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G:\tecnicatura en cd e ia\2025\SEGUNDO AÑO\2do año 1er cuatrimestre\aprendizaje automatico\parcial\uniendo datos\"/>
    </mc:Choice>
  </mc:AlternateContent>
  <xr:revisionPtr revIDLastSave="0" documentId="13_ncr:1_{C0E0257D-E26A-4158-9D1A-12E3D9B6E669}" xr6:coauthVersionLast="47" xr6:coauthVersionMax="47" xr10:uidLastSave="{00000000-0000-0000-0000-000000000000}"/>
  <bookViews>
    <workbookView xWindow="-120" yWindow="-120" windowWidth="29040" windowHeight="15840" xr2:uid="{3AECCB8D-7B6E-4D2A-A71C-ADB5336A21BE}"/>
  </bookViews>
  <sheets>
    <sheet name="NC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 l="1"/>
  <c r="B13" i="1"/>
  <c r="B29" i="1"/>
  <c r="B30" i="1"/>
  <c r="B33" i="1"/>
  <c r="B39" i="1"/>
  <c r="B58" i="1"/>
  <c r="B61" i="1"/>
  <c r="B66" i="1"/>
  <c r="B68" i="1"/>
  <c r="B95" i="1"/>
  <c r="B102" i="1"/>
  <c r="B109" i="1"/>
  <c r="B112" i="1"/>
  <c r="B113" i="1"/>
  <c r="B114" i="1"/>
  <c r="B115" i="1"/>
  <c r="B117" i="1"/>
  <c r="B118" i="1"/>
  <c r="B121" i="1"/>
  <c r="B122" i="1"/>
  <c r="B123" i="1"/>
  <c r="B124" i="1"/>
  <c r="B127" i="1"/>
  <c r="B144" i="1"/>
  <c r="B148" i="1"/>
  <c r="B149" i="1"/>
  <c r="B152" i="1"/>
  <c r="B155" i="1"/>
  <c r="B160" i="1"/>
  <c r="B166" i="1"/>
  <c r="B167" i="1"/>
  <c r="B171" i="1"/>
  <c r="B178" i="1"/>
  <c r="B202" i="1"/>
  <c r="B288" i="1"/>
  <c r="B295" i="1"/>
  <c r="B322" i="1"/>
  <c r="B413" i="1"/>
  <c r="B414" i="1"/>
  <c r="B415" i="1"/>
  <c r="B433" i="1"/>
  <c r="B434" i="1"/>
  <c r="B435" i="1"/>
  <c r="B454" i="1"/>
  <c r="B458" i="1"/>
  <c r="B459" i="1"/>
  <c r="B462" i="1"/>
  <c r="B465" i="1"/>
  <c r="B469" i="1"/>
  <c r="B470" i="1"/>
  <c r="B473" i="1"/>
  <c r="B476" i="1"/>
  <c r="B491" i="1"/>
  <c r="B498" i="1"/>
  <c r="B501" i="1"/>
  <c r="B502" i="1"/>
  <c r="B509" i="1"/>
  <c r="B511" i="1"/>
  <c r="B512" i="1"/>
  <c r="B513" i="1"/>
  <c r="B518" i="1"/>
  <c r="B532" i="1"/>
  <c r="B539" i="1"/>
  <c r="B542" i="1"/>
  <c r="B546" i="1"/>
  <c r="B547" i="1"/>
  <c r="B550" i="1"/>
  <c r="B553" i="1"/>
  <c r="B557" i="1"/>
  <c r="B558" i="1"/>
  <c r="B559" i="1"/>
  <c r="B560" i="1"/>
  <c r="B561" i="1"/>
  <c r="B563" i="1"/>
  <c r="B564" i="1"/>
  <c r="B565" i="1"/>
  <c r="B566" i="1"/>
  <c r="B567" i="1"/>
  <c r="B568" i="1"/>
  <c r="B570" i="1"/>
  <c r="B581" i="1"/>
  <c r="B584" i="1"/>
  <c r="B587" i="1"/>
  <c r="B590" i="1"/>
  <c r="B593" i="1"/>
  <c r="B618" i="1"/>
  <c r="B627" i="1"/>
  <c r="B630" i="1"/>
  <c r="B633" i="1"/>
  <c r="B634" i="1"/>
  <c r="B638" i="1"/>
  <c r="B640" i="1"/>
  <c r="B641" i="1"/>
  <c r="B642" i="1"/>
  <c r="B643" i="1"/>
  <c r="B655" i="1"/>
  <c r="B658" i="1"/>
  <c r="B660" i="1"/>
  <c r="B663" i="1"/>
  <c r="B666" i="1"/>
  <c r="B669" i="1"/>
  <c r="B672" i="1"/>
  <c r="B675" i="1"/>
  <c r="B686" i="1"/>
  <c r="B689" i="1"/>
  <c r="B690" i="1"/>
  <c r="B693" i="1"/>
  <c r="B695" i="1"/>
  <c r="B696" i="1"/>
  <c r="B697" i="1"/>
  <c r="B698" i="1"/>
  <c r="B699" i="1"/>
  <c r="B701" i="1"/>
  <c r="B702" i="1"/>
  <c r="B703" i="1"/>
  <c r="B704" i="1"/>
  <c r="B705" i="1"/>
  <c r="B706" i="1"/>
  <c r="B707" i="1"/>
  <c r="B709" i="1"/>
  <c r="B710" i="1"/>
  <c r="B714" i="1"/>
  <c r="B715" i="1"/>
  <c r="B716" i="1"/>
  <c r="B717" i="1"/>
  <c r="B718" i="1"/>
  <c r="B722" i="1"/>
  <c r="B723" i="1"/>
  <c r="B724" i="1"/>
  <c r="B725" i="1"/>
  <c r="B731" i="1"/>
  <c r="B732" i="1"/>
  <c r="B735" i="1"/>
  <c r="B740" i="1"/>
  <c r="B741" i="1"/>
  <c r="B744" i="1"/>
  <c r="B745" i="1"/>
  <c r="B746" i="1"/>
  <c r="B748" i="1"/>
  <c r="B761" i="1"/>
  <c r="B762" i="1"/>
  <c r="B765" i="1"/>
  <c r="B766" i="1"/>
  <c r="B770" i="1"/>
  <c r="B809" i="1"/>
  <c r="B812" i="1"/>
  <c r="B813" i="1"/>
  <c r="B816" i="1"/>
  <c r="B817" i="1"/>
  <c r="B818" i="1"/>
  <c r="B825" i="1"/>
  <c r="B828" i="1"/>
  <c r="B832" i="1"/>
  <c r="B835" i="1"/>
  <c r="B842" i="1"/>
  <c r="B845" i="1"/>
  <c r="B846" i="1"/>
  <c r="B850" i="1"/>
  <c r="B851" i="1"/>
  <c r="B852" i="1"/>
  <c r="B853" i="1"/>
  <c r="B856" i="1"/>
  <c r="B858" i="1"/>
  <c r="B859" i="1"/>
  <c r="B860" i="1"/>
  <c r="B861" i="1"/>
  <c r="B862" i="1"/>
  <c r="B863" i="1"/>
  <c r="B864" i="1"/>
  <c r="B866" i="1"/>
  <c r="B868" i="1"/>
  <c r="B871" i="1"/>
  <c r="B874" i="1"/>
  <c r="B877" i="1"/>
  <c r="B880" i="1"/>
  <c r="B891" i="1"/>
  <c r="B892" i="1"/>
  <c r="B893" i="1"/>
  <c r="B894" i="1"/>
  <c r="B912" i="1"/>
  <c r="B915" i="1"/>
  <c r="B920" i="1"/>
  <c r="B936" i="1"/>
  <c r="B966" i="1"/>
  <c r="B987" i="1"/>
  <c r="B1006" i="1"/>
  <c r="B1009" i="1"/>
  <c r="B1123" i="1"/>
  <c r="B1129" i="1"/>
  <c r="B1142" i="1"/>
  <c r="B1190" i="1"/>
  <c r="B1191" i="1"/>
  <c r="B1194" i="1"/>
  <c r="B1195" i="1"/>
  <c r="B1200" i="1"/>
  <c r="B1203" i="1"/>
  <c r="B1204" i="1"/>
  <c r="B1209" i="1"/>
  <c r="B1210" i="1"/>
  <c r="B1213" i="1"/>
  <c r="B1219" i="1"/>
  <c r="B1223" i="1"/>
  <c r="B1245" i="1"/>
  <c r="B1246" i="1"/>
  <c r="B1253" i="1"/>
  <c r="B1254" i="1"/>
  <c r="B1257" i="1"/>
  <c r="B1258" i="1"/>
  <c r="B1259" i="1"/>
  <c r="B1265" i="1"/>
  <c r="B1266" i="1"/>
  <c r="B1272" i="1"/>
  <c r="B1273" i="1"/>
  <c r="B1275" i="1"/>
  <c r="B1276" i="1"/>
  <c r="B1277" i="1"/>
  <c r="B1278" i="1"/>
  <c r="B1327" i="1"/>
  <c r="B1328" i="1"/>
  <c r="B1348" i="1"/>
  <c r="B1351" i="1"/>
  <c r="B1352" i="1"/>
  <c r="B1353" i="1"/>
  <c r="B1362" i="1"/>
  <c r="B1364" i="1"/>
  <c r="B1377" i="1"/>
  <c r="B1444" i="1"/>
  <c r="B1448" i="1"/>
  <c r="B1468" i="1"/>
  <c r="B1471" i="1"/>
  <c r="B1497" i="1"/>
  <c r="B1507" i="1"/>
  <c r="B1533" i="1"/>
  <c r="B1538" i="1"/>
  <c r="B1547" i="1"/>
  <c r="B1572" i="1"/>
  <c r="B1573" i="1"/>
  <c r="B1575" i="1"/>
  <c r="B1605" i="1"/>
  <c r="B1607" i="1"/>
  <c r="B1618" i="1"/>
  <c r="B1645" i="1"/>
  <c r="B1646" i="1"/>
  <c r="B1647" i="1"/>
  <c r="B1655" i="1"/>
  <c r="B1683" i="1"/>
  <c r="B1691" i="1"/>
  <c r="B1692" i="1"/>
  <c r="B1695" i="1"/>
  <c r="B1702" i="1"/>
  <c r="B1705" i="1"/>
  <c r="B1716" i="1"/>
  <c r="B1719" i="1"/>
  <c r="B1740" i="1"/>
  <c r="B1804" i="1"/>
  <c r="B1851" i="1"/>
  <c r="B1853" i="1"/>
  <c r="B1857" i="1"/>
  <c r="B1858" i="1"/>
  <c r="B1861" i="1"/>
  <c r="B1865" i="1"/>
  <c r="B1866" i="1"/>
  <c r="B1869" i="1"/>
  <c r="B1873" i="1"/>
  <c r="B1876" i="1"/>
  <c r="B1891" i="1"/>
  <c r="B1896" i="1"/>
  <c r="B1897" i="1"/>
  <c r="B1900" i="1"/>
  <c r="B1904" i="1"/>
  <c r="B1912" i="1"/>
  <c r="B1913" i="1"/>
  <c r="B1916" i="1"/>
  <c r="B1931" i="1"/>
  <c r="B1936" i="1"/>
  <c r="B1945" i="1"/>
  <c r="B1956" i="1"/>
  <c r="B1957" i="1"/>
  <c r="B1958" i="1"/>
  <c r="B1962" i="1"/>
  <c r="B1963" i="1"/>
  <c r="B1964" i="1"/>
  <c r="B1967" i="1"/>
  <c r="B1970" i="1"/>
  <c r="B2023" i="1"/>
  <c r="B2045" i="1"/>
  <c r="B2068" i="1"/>
  <c r="B2073" i="1"/>
  <c r="B2079" i="1"/>
  <c r="B2094" i="1"/>
  <c r="B2102" i="1"/>
  <c r="B2103" i="1"/>
  <c r="B2108" i="1"/>
  <c r="B2115" i="1"/>
  <c r="B2155" i="1"/>
  <c r="B2162" i="1"/>
  <c r="B2184" i="1"/>
  <c r="B2191" i="1"/>
  <c r="B2237" i="1"/>
  <c r="B2238" i="1"/>
  <c r="B2240" i="1"/>
  <c r="B2241" i="1"/>
  <c r="B2242" i="1"/>
  <c r="B2245" i="1"/>
  <c r="B2246" i="1"/>
  <c r="B2248" i="1"/>
  <c r="B2249" i="1"/>
  <c r="B2278" i="1"/>
  <c r="B2297" i="1"/>
  <c r="B2356" i="1"/>
  <c r="B2360" i="1"/>
  <c r="B2366" i="1"/>
  <c r="B2367" i="1"/>
  <c r="B2369" i="1"/>
  <c r="B2374" i="1"/>
  <c r="B2409" i="1"/>
  <c r="B2414" i="1"/>
  <c r="B2449" i="1"/>
  <c r="B2453" i="1"/>
  <c r="B2458" i="1"/>
  <c r="B2464" i="1"/>
  <c r="B2476" i="1"/>
  <c r="B2477" i="1"/>
  <c r="B2478" i="1"/>
  <c r="B2498" i="1"/>
  <c r="B2505" i="1"/>
  <c r="B2508" i="1"/>
  <c r="B2509" i="1"/>
  <c r="B2510" i="1"/>
  <c r="B2511" i="1"/>
  <c r="B2515" i="1"/>
  <c r="B2519" i="1"/>
  <c r="B2520" i="1"/>
  <c r="B2524" i="1"/>
  <c r="B2525" i="1"/>
  <c r="B2533" i="1"/>
  <c r="B2542" i="1"/>
  <c r="B2547" i="1"/>
  <c r="B2551" i="1"/>
  <c r="B2552" i="1"/>
  <c r="B2553" i="1"/>
  <c r="B2556" i="1"/>
  <c r="B2557" i="1"/>
  <c r="B2560" i="1"/>
  <c r="B2562" i="1"/>
  <c r="B2563" i="1"/>
  <c r="B2566" i="1"/>
  <c r="B2567" i="1"/>
  <c r="B2568" i="1"/>
  <c r="B2570" i="1"/>
  <c r="B2573" i="1"/>
  <c r="B2574" i="1"/>
  <c r="B2576" i="1"/>
  <c r="B2577" i="1"/>
  <c r="B2580" i="1"/>
  <c r="B2581" i="1"/>
  <c r="B2584" i="1"/>
  <c r="B2585" i="1"/>
  <c r="B2586" i="1"/>
  <c r="B2602" i="1"/>
  <c r="B2609" i="1"/>
  <c r="B2616" i="1"/>
  <c r="B2623" i="1"/>
  <c r="B2634" i="1"/>
  <c r="B2641" i="1"/>
  <c r="B2652" i="1"/>
  <c r="B2660" i="1"/>
  <c r="B2664" i="1"/>
  <c r="B2666" i="1"/>
  <c r="B2667" i="1"/>
  <c r="B2668" i="1"/>
  <c r="B2674" i="1"/>
  <c r="B2676" i="1"/>
  <c r="B2677" i="1"/>
  <c r="B2678" i="1"/>
  <c r="B2679" i="1"/>
  <c r="B2680" i="1"/>
  <c r="B2692" i="1"/>
  <c r="B2710" i="1"/>
  <c r="B2727" i="1"/>
  <c r="B2732" i="1"/>
  <c r="B2739" i="1"/>
  <c r="B2793" i="1"/>
  <c r="B2798" i="1"/>
  <c r="B2803" i="1"/>
  <c r="B2813" i="1"/>
  <c r="B2824" i="1"/>
  <c r="B2827" i="1"/>
  <c r="B2836" i="1"/>
  <c r="B2837" i="1"/>
  <c r="B2838" i="1"/>
  <c r="B2841" i="1"/>
  <c r="B2842" i="1"/>
  <c r="B2845" i="1"/>
  <c r="B2849" i="1"/>
  <c r="B2852" i="1"/>
  <c r="B2854" i="1"/>
  <c r="B2857" i="1"/>
  <c r="B2860" i="1"/>
  <c r="B2863" i="1"/>
  <c r="B2865" i="1"/>
  <c r="B2868" i="1"/>
  <c r="B2870" i="1"/>
  <c r="B2873" i="1"/>
  <c r="B2875" i="1"/>
  <c r="B2878" i="1"/>
  <c r="B2880" i="1"/>
  <c r="B2883" i="1"/>
  <c r="B2885" i="1"/>
  <c r="B2889" i="1"/>
  <c r="B2890" i="1"/>
  <c r="B2894" i="1"/>
  <c r="B2898" i="1"/>
  <c r="B2910" i="1"/>
  <c r="B2914" i="1"/>
  <c r="B2919" i="1"/>
  <c r="B2924" i="1"/>
  <c r="B2937" i="1"/>
  <c r="B2951" i="1"/>
  <c r="B2962" i="1"/>
  <c r="B2972" i="1"/>
  <c r="B2982" i="1"/>
  <c r="B2992" i="1"/>
  <c r="B3002" i="1"/>
  <c r="B3012" i="1"/>
  <c r="B3017" i="1"/>
  <c r="B3023" i="1"/>
  <c r="B3041" i="1"/>
  <c r="B3042" i="1"/>
  <c r="B3047" i="1"/>
  <c r="B3051" i="1"/>
  <c r="B3057" i="1"/>
  <c r="B3063" i="1"/>
  <c r="B3077" i="1"/>
  <c r="B3083" i="1"/>
  <c r="B3102" i="1"/>
  <c r="B3115" i="1"/>
  <c r="B3121" i="1"/>
  <c r="B3127" i="1"/>
  <c r="B3133" i="1"/>
  <c r="B3139" i="1"/>
  <c r="B3148" i="1"/>
  <c r="B3174" i="1"/>
  <c r="B3177" i="1"/>
  <c r="B3181" i="1"/>
  <c r="B3182" i="1"/>
  <c r="B3187" i="1"/>
  <c r="B3216" i="1"/>
  <c r="B3219" i="1"/>
  <c r="B3230" i="1"/>
  <c r="B3237" i="1"/>
  <c r="B3243" i="1"/>
  <c r="B3250" i="1"/>
  <c r="B3259" i="1"/>
  <c r="B3266" i="1"/>
  <c r="B3269" i="1"/>
  <c r="B3273" i="1"/>
  <c r="B3285" i="1"/>
  <c r="B3289" i="1"/>
  <c r="B3294" i="1"/>
  <c r="B3295" i="1"/>
  <c r="B3297" i="1"/>
  <c r="B3298" i="1"/>
  <c r="B3301" i="1"/>
  <c r="B3302" i="1"/>
  <c r="B3303" i="1"/>
  <c r="B3305" i="1"/>
  <c r="B3306" i="1"/>
  <c r="B3309" i="1"/>
  <c r="B3310" i="1"/>
  <c r="B3312" i="1"/>
  <c r="B3313" i="1"/>
  <c r="B3315" i="1"/>
  <c r="B3316" i="1"/>
  <c r="B3319" i="1"/>
  <c r="B3320" i="1"/>
  <c r="B3322" i="1"/>
  <c r="B3323" i="1"/>
  <c r="B3325" i="1"/>
  <c r="B3329" i="1"/>
  <c r="B3335" i="1"/>
  <c r="B3336" i="1"/>
  <c r="B3337" i="1"/>
  <c r="B3338" i="1"/>
  <c r="B3341" i="1"/>
  <c r="B3348" i="1"/>
  <c r="B3349" i="1"/>
  <c r="B3366" i="1"/>
  <c r="B3367" i="1"/>
  <c r="B3375" i="1"/>
  <c r="B3376" i="1"/>
  <c r="B3382" i="1"/>
  <c r="B3383" i="1"/>
  <c r="B3398" i="1"/>
  <c r="B3399" i="1"/>
  <c r="B3405" i="1"/>
  <c r="B3406" i="1"/>
  <c r="B3433" i="1"/>
  <c r="B3442" i="1"/>
  <c r="B3477" i="1"/>
  <c r="B3506" i="1"/>
  <c r="B3507" i="1"/>
  <c r="B3513" i="1"/>
  <c r="B3519" i="1"/>
  <c r="B3526" i="1"/>
  <c r="B3537" i="1"/>
  <c r="B3544" i="1"/>
  <c r="B3547" i="1"/>
  <c r="B3550" i="1"/>
  <c r="B3553" i="1"/>
  <c r="B3568" i="1"/>
  <c r="B3571" i="1"/>
  <c r="B3580" i="1"/>
  <c r="B3583" i="1"/>
  <c r="B3586" i="1"/>
  <c r="B3593" i="1"/>
  <c r="B3594" i="1"/>
  <c r="B3596" i="1"/>
  <c r="B3603" i="1"/>
  <c r="B3604" i="1"/>
  <c r="B3605" i="1"/>
  <c r="B3610" i="1"/>
  <c r="B3629" i="1"/>
  <c r="B3636" i="1"/>
  <c r="B3641" i="1"/>
  <c r="B3642" i="1"/>
  <c r="B3645" i="1"/>
  <c r="B3648" i="1"/>
  <c r="B3651" i="1"/>
  <c r="B3652" i="1"/>
  <c r="B3664" i="1"/>
  <c r="B3666" i="1"/>
  <c r="B3669" i="1"/>
  <c r="B3693" i="1"/>
  <c r="B3706" i="1"/>
  <c r="B3734" i="1"/>
  <c r="B3738" i="1"/>
  <c r="B3739" i="1"/>
  <c r="B3744" i="1"/>
  <c r="B3747" i="1"/>
  <c r="B3750" i="1"/>
  <c r="B3753" i="1"/>
  <c r="B3760" i="1"/>
  <c r="B3764" i="1"/>
  <c r="B3767" i="1"/>
  <c r="B3777" i="1"/>
  <c r="B3778" i="1"/>
  <c r="B3780" i="1"/>
  <c r="B3782" i="1"/>
  <c r="B3783" i="1"/>
  <c r="B3787" i="1"/>
  <c r="B3791" i="1"/>
  <c r="B3792" i="1"/>
  <c r="B3793" i="1"/>
  <c r="B3803" i="1"/>
  <c r="B3805" i="1"/>
  <c r="B3825" i="1"/>
  <c r="B3841" i="1"/>
  <c r="B3842" i="1"/>
  <c r="B3843" i="1"/>
  <c r="B3844" i="1"/>
  <c r="B3874" i="1"/>
  <c r="B3875" i="1"/>
  <c r="B3877" i="1"/>
  <c r="B3878" i="1"/>
  <c r="B3879" i="1"/>
  <c r="B3880" i="1"/>
  <c r="B3881" i="1"/>
  <c r="B3891" i="1"/>
  <c r="B3895" i="1"/>
  <c r="B3896" i="1"/>
  <c r="B3913" i="1"/>
  <c r="B3916" i="1"/>
  <c r="B3917" i="1"/>
  <c r="B3918" i="1"/>
  <c r="B3919" i="1"/>
  <c r="B3943" i="1"/>
  <c r="B3947" i="1"/>
  <c r="B3948" i="1"/>
  <c r="B3953" i="1"/>
  <c r="B3957" i="1"/>
  <c r="B3959" i="1"/>
  <c r="B3965" i="1"/>
  <c r="B3968" i="1"/>
  <c r="B3977" i="1"/>
  <c r="B3978" i="1"/>
  <c r="B3979" i="1"/>
  <c r="B3981" i="1"/>
  <c r="B3987" i="1"/>
  <c r="B4000" i="1"/>
  <c r="B4005" i="1"/>
  <c r="B4006" i="1"/>
  <c r="B4014" i="1"/>
  <c r="B4018" i="1"/>
  <c r="B4029" i="1"/>
  <c r="B4033" i="1"/>
  <c r="B4041" i="1"/>
  <c r="B4046" i="1"/>
  <c r="B4065" i="1"/>
  <c r="B4066" i="1"/>
  <c r="B4069" i="1"/>
  <c r="B4084" i="1"/>
  <c r="B4097" i="1"/>
  <c r="B4100" i="1"/>
  <c r="B4105" i="1"/>
  <c r="B4106" i="1"/>
  <c r="B4108" i="1"/>
  <c r="B4111" i="1"/>
  <c r="B4116" i="1"/>
  <c r="B4119" i="1"/>
  <c r="B4123" i="1"/>
  <c r="B4126" i="1"/>
  <c r="B4131" i="1"/>
  <c r="B4134" i="1"/>
  <c r="B4141" i="1"/>
  <c r="B4145" i="1"/>
  <c r="B4153" i="1"/>
  <c r="B4154" i="1"/>
  <c r="B4155" i="1"/>
  <c r="B4179" i="1"/>
  <c r="B4183" i="1"/>
  <c r="B4190" i="1"/>
  <c r="B4193" i="1"/>
  <c r="B4234" i="1"/>
  <c r="B4235" i="1"/>
  <c r="B4255" i="1"/>
  <c r="B4256" i="1"/>
  <c r="B4260" i="1"/>
  <c r="B4261" i="1"/>
  <c r="B4275" i="1"/>
  <c r="B4279" i="1"/>
  <c r="B4280" i="1"/>
  <c r="B4281" i="1"/>
  <c r="B4285" i="1"/>
  <c r="B4304" i="1"/>
  <c r="B4326" i="1"/>
  <c r="B4329" i="1"/>
  <c r="B4330" i="1"/>
  <c r="B4341" i="1"/>
  <c r="B4354" i="1"/>
  <c r="B4355" i="1"/>
  <c r="B4368" i="1"/>
  <c r="B4371" i="1"/>
  <c r="B4372" i="1"/>
  <c r="B4381" i="1"/>
  <c r="B4403" i="1"/>
  <c r="B4406" i="1"/>
  <c r="B4408" i="1"/>
  <c r="B4412" i="1"/>
  <c r="B4420" i="1"/>
  <c r="B4428" i="1"/>
  <c r="B4429" i="1"/>
  <c r="B4433" i="1"/>
  <c r="B4434" i="1"/>
  <c r="B4437" i="1"/>
  <c r="B4457" i="1"/>
  <c r="B4458" i="1"/>
  <c r="B4469" i="1"/>
  <c r="B4470" i="1"/>
  <c r="B4471" i="1"/>
  <c r="B4473" i="1"/>
  <c r="B4474" i="1"/>
  <c r="B4475" i="1"/>
  <c r="B4476" i="1"/>
  <c r="B4479" i="1"/>
  <c r="B4481" i="1"/>
  <c r="B4483" i="1"/>
  <c r="B4490" i="1"/>
  <c r="B4500" i="1"/>
  <c r="B4516" i="1"/>
  <c r="B4517" i="1"/>
  <c r="B4519" i="1"/>
  <c r="B4520" i="1"/>
  <c r="B4566" i="1"/>
  <c r="B4567" i="1"/>
  <c r="B4573" i="1"/>
  <c r="B4579" i="1"/>
  <c r="B4588" i="1"/>
  <c r="B4609" i="1"/>
  <c r="B4636" i="1"/>
  <c r="B4668" i="1"/>
  <c r="B4696" i="1"/>
  <c r="B4699" i="1"/>
  <c r="B4702" i="1"/>
  <c r="B4709" i="1"/>
  <c r="B4714" i="1"/>
  <c r="B4717" i="1"/>
  <c r="B4728" i="1"/>
  <c r="B4735" i="1"/>
  <c r="B4738" i="1"/>
  <c r="B4745" i="1"/>
  <c r="B4749" i="1"/>
  <c r="B4775" i="1"/>
  <c r="B4776" i="1"/>
  <c r="B4832" i="1"/>
  <c r="B4835" i="1"/>
  <c r="B4849" i="1"/>
  <c r="B4852" i="1"/>
  <c r="B4882" i="1"/>
  <c r="B4889" i="1"/>
  <c r="B4900" i="1"/>
  <c r="B4914" i="1"/>
  <c r="B4925" i="1"/>
  <c r="B4929" i="1"/>
  <c r="B4932" i="1"/>
  <c r="B4935" i="1"/>
  <c r="B4938" i="1"/>
  <c r="B4957" i="1"/>
  <c r="B4961" i="1"/>
  <c r="B4964" i="1"/>
  <c r="B4979" i="1"/>
  <c r="B4983" i="1"/>
  <c r="B4986" i="1"/>
  <c r="B5026" i="1"/>
  <c r="B5039" i="1"/>
  <c r="B5054" i="1"/>
  <c r="B5061" i="1"/>
  <c r="B5071" i="1"/>
  <c r="B5100" i="1"/>
  <c r="B5110" i="1"/>
  <c r="B5121" i="1"/>
  <c r="B5130" i="1"/>
  <c r="B5134" i="1"/>
  <c r="B5137" i="1"/>
  <c r="B5142" i="1"/>
  <c r="B5151" i="1"/>
  <c r="B5154" i="1"/>
  <c r="B5163" i="1"/>
  <c r="B5172" i="1"/>
  <c r="B5179" i="1"/>
  <c r="B5199" i="1"/>
  <c r="B5204" i="1"/>
  <c r="B5215" i="1"/>
  <c r="B5227" i="1"/>
  <c r="B5238" i="1"/>
  <c r="B5248" i="1"/>
  <c r="B5260" i="1"/>
  <c r="B5265" i="1"/>
  <c r="B5269" i="1"/>
  <c r="B5272" i="1"/>
  <c r="B5285" i="1"/>
  <c r="B5293" i="1"/>
  <c r="B5310" i="1"/>
  <c r="B5349" i="1"/>
  <c r="B5358" i="1"/>
  <c r="B5359" i="1"/>
  <c r="B5391" i="1"/>
  <c r="B5397" i="1"/>
  <c r="B5399" i="1"/>
  <c r="B5408" i="1"/>
  <c r="B5451" i="1"/>
  <c r="B5479" i="1"/>
  <c r="B5484" i="1"/>
  <c r="B5499" i="1"/>
  <c r="B5505" i="1"/>
  <c r="B5508" i="1"/>
  <c r="B5512" i="1"/>
  <c r="B5517" i="1"/>
  <c r="B5518" i="1"/>
  <c r="B5519" i="1"/>
  <c r="B5522" i="1"/>
  <c r="B5552" i="1"/>
  <c r="B5553" i="1"/>
  <c r="B5570" i="1"/>
  <c r="B5575" i="1"/>
  <c r="B5581" i="1"/>
  <c r="B5582" i="1"/>
  <c r="B5583" i="1"/>
  <c r="B5599" i="1"/>
  <c r="B5605" i="1"/>
  <c r="B5611" i="1"/>
  <c r="B5622" i="1"/>
  <c r="B5628" i="1"/>
  <c r="B5634" i="1"/>
  <c r="B5635" i="1"/>
  <c r="B5636" i="1"/>
  <c r="B5644" i="1"/>
  <c r="B5647" i="1"/>
  <c r="B5697" i="1"/>
  <c r="B5703" i="1"/>
  <c r="B5709" i="1"/>
  <c r="B5715" i="1"/>
  <c r="B5718" i="1"/>
  <c r="B5724" i="1"/>
  <c r="B5729" i="1"/>
  <c r="B5745" i="1"/>
  <c r="B5748" i="1"/>
  <c r="B5750" i="1"/>
  <c r="B5753" i="1"/>
  <c r="B5759" i="1"/>
  <c r="B5760" i="1"/>
  <c r="B5765" i="1"/>
  <c r="B5766" i="1"/>
  <c r="B5767" i="1"/>
  <c r="B5770" i="1"/>
  <c r="B5774" i="1"/>
  <c r="B5775" i="1"/>
  <c r="B5780" i="1"/>
  <c r="B5785" i="1"/>
  <c r="B5791" i="1"/>
  <c r="B5792" i="1"/>
  <c r="B5799" i="1"/>
  <c r="B5800" i="1"/>
  <c r="B5811" i="1"/>
  <c r="B5814" i="1"/>
  <c r="B5820" i="1"/>
  <c r="B5821" i="1"/>
  <c r="B5822" i="1"/>
  <c r="B5825" i="1"/>
  <c r="B5837" i="1"/>
  <c r="B5839" i="1"/>
  <c r="B5841" i="1"/>
  <c r="B5842" i="1"/>
  <c r="B5845" i="1"/>
  <c r="B5846" i="1"/>
  <c r="B5848" i="1"/>
  <c r="B5849" i="1"/>
  <c r="B5858" i="1"/>
  <c r="B5863" i="1"/>
  <c r="B5868" i="1"/>
  <c r="B5869" i="1"/>
  <c r="B5870" i="1"/>
  <c r="B5872" i="1"/>
  <c r="B5874" i="1"/>
  <c r="B5875" i="1"/>
  <c r="B5880" i="1"/>
  <c r="B5881" i="1"/>
  <c r="B5886" i="1"/>
  <c r="B5887" i="1"/>
  <c r="B5892" i="1"/>
  <c r="B5893" i="1"/>
  <c r="B5895" i="1"/>
  <c r="B5901" i="1"/>
  <c r="B5915" i="1"/>
  <c r="B5919" i="1"/>
  <c r="B5923" i="1"/>
  <c r="B5928" i="1"/>
  <c r="B5929" i="1"/>
  <c r="B5950" i="1"/>
  <c r="B5958" i="1"/>
  <c r="B5975" i="1"/>
  <c r="B6035" i="1"/>
  <c r="B6038" i="1"/>
  <c r="B6042" i="1"/>
  <c r="B6047" i="1"/>
  <c r="B6058" i="1"/>
  <c r="B6064" i="1"/>
  <c r="B6069" i="1"/>
  <c r="B6070" i="1"/>
  <c r="B6074" i="1"/>
  <c r="B6075" i="1"/>
  <c r="B6084" i="1"/>
  <c r="B6085" i="1"/>
  <c r="B6087" i="1"/>
  <c r="B6088" i="1"/>
  <c r="B6089" i="1"/>
  <c r="B6090" i="1"/>
  <c r="B6091" i="1"/>
  <c r="B6093" i="1"/>
  <c r="B6094" i="1"/>
  <c r="B6098" i="1"/>
  <c r="B6099" i="1"/>
  <c r="B6104" i="1"/>
  <c r="B6105" i="1"/>
  <c r="B6106" i="1"/>
  <c r="B6107" i="1"/>
  <c r="B6109" i="1"/>
  <c r="B6110" i="1"/>
  <c r="B6126" i="1"/>
  <c r="B6127" i="1"/>
  <c r="B6128" i="1"/>
  <c r="B6129" i="1"/>
  <c r="B6136" i="1"/>
  <c r="B6137" i="1"/>
  <c r="B6146" i="1"/>
  <c r="B6147" i="1"/>
  <c r="B6155" i="1"/>
  <c r="B6203" i="1"/>
  <c r="B6245" i="1"/>
  <c r="B6250" i="1"/>
  <c r="B6251" i="1"/>
  <c r="B6254" i="1"/>
  <c r="B6255" i="1"/>
  <c r="B6256" i="1"/>
  <c r="B6262" i="1"/>
  <c r="B6263" i="1"/>
  <c r="B6267" i="1"/>
  <c r="B6269" i="1"/>
  <c r="B6279" i="1"/>
  <c r="B6280" i="1"/>
  <c r="B6283" i="1"/>
  <c r="B6284" i="1"/>
  <c r="B6286" i="1"/>
  <c r="B6287" i="1"/>
  <c r="B6294" i="1"/>
  <c r="B6295" i="1"/>
  <c r="B6298" i="1"/>
  <c r="B6310" i="1"/>
  <c r="B6312" i="1"/>
  <c r="B6313" i="1"/>
  <c r="B6316" i="1"/>
  <c r="B6317" i="1"/>
  <c r="B6320" i="1"/>
  <c r="B6325" i="1"/>
  <c r="B6326" i="1"/>
  <c r="B6332" i="1"/>
  <c r="B6335" i="1"/>
  <c r="B6338" i="1"/>
  <c r="B6339" i="1"/>
  <c r="B6340" i="1"/>
  <c r="B6346" i="1"/>
  <c r="B6349" i="1"/>
  <c r="B6351" i="1"/>
  <c r="B6356" i="1"/>
  <c r="B6370" i="1"/>
  <c r="B6371" i="1"/>
  <c r="B6383" i="1"/>
  <c r="B6384" i="1"/>
  <c r="B6385" i="1"/>
  <c r="B6397" i="1"/>
  <c r="B6398" i="1"/>
  <c r="B6403" i="1"/>
  <c r="B6414" i="1"/>
  <c r="B6415" i="1"/>
  <c r="B6416" i="1"/>
  <c r="B6417" i="1"/>
  <c r="B6418" i="1"/>
  <c r="B6419" i="1"/>
  <c r="B6420" i="1"/>
  <c r="B6421" i="1"/>
  <c r="B6426" i="1"/>
  <c r="B6428" i="1"/>
  <c r="B6429" i="1"/>
  <c r="B6437" i="1"/>
  <c r="B6438" i="1"/>
  <c r="B6443" i="1"/>
  <c r="B6444" i="1"/>
  <c r="B6447" i="1"/>
  <c r="B6450" i="1"/>
  <c r="B6454" i="1"/>
  <c r="B6457" i="1"/>
  <c r="B6469" i="1"/>
  <c r="B6474" i="1"/>
  <c r="B6479" i="1"/>
  <c r="B6481" i="1"/>
  <c r="B6482" i="1"/>
  <c r="B6486" i="1"/>
  <c r="B6487" i="1"/>
  <c r="B6493" i="1"/>
  <c r="B6500" i="1"/>
  <c r="B6510" i="1"/>
  <c r="B6511" i="1"/>
  <c r="B6515" i="1"/>
  <c r="B6524" i="1"/>
  <c r="B6527" i="1"/>
  <c r="B6530" i="1"/>
  <c r="B6535" i="1"/>
  <c r="B6540" i="1"/>
  <c r="B6543" i="1"/>
  <c r="B6546" i="1"/>
  <c r="B6549" i="1"/>
  <c r="B6559" i="1"/>
  <c r="B6560" i="1"/>
  <c r="B6570" i="1"/>
  <c r="B6571" i="1"/>
  <c r="B6578" i="1"/>
  <c r="B6579" i="1"/>
  <c r="B6587" i="1"/>
  <c r="B6590" i="1"/>
  <c r="B6591" i="1"/>
  <c r="B6592" i="1"/>
  <c r="B6610" i="1"/>
  <c r="B6613" i="1"/>
  <c r="B6622" i="1"/>
  <c r="B6625" i="1"/>
  <c r="B6628" i="1"/>
  <c r="B6639" i="1"/>
  <c r="B6640" i="1"/>
  <c r="B6648" i="1"/>
  <c r="B6649" i="1"/>
  <c r="B6653" i="1"/>
  <c r="B6669" i="1"/>
  <c r="B6672" i="1"/>
  <c r="B6683" i="1"/>
  <c r="B6690" i="1"/>
  <c r="B6694" i="1"/>
  <c r="B6699" i="1"/>
  <c r="B6700" i="1"/>
  <c r="B6706" i="1"/>
  <c r="B6713" i="1"/>
  <c r="B6715" i="1"/>
  <c r="B6716" i="1"/>
  <c r="B6717" i="1"/>
  <c r="B6718" i="1"/>
  <c r="B6721" i="1"/>
  <c r="B6724" i="1"/>
  <c r="B6740" i="1"/>
  <c r="B6741" i="1"/>
  <c r="B6746" i="1"/>
  <c r="B6754" i="1"/>
  <c r="B6757" i="1"/>
  <c r="B6765" i="1"/>
  <c r="B6773" i="1"/>
  <c r="B6774" i="1"/>
  <c r="B6776" i="1"/>
  <c r="B6777" i="1"/>
  <c r="B6788" i="1"/>
  <c r="B6791" i="1"/>
  <c r="B6797" i="1"/>
  <c r="B6810" i="1"/>
  <c r="B6811" i="1"/>
  <c r="B6816" i="1"/>
  <c r="B6817" i="1"/>
  <c r="B6821" i="1"/>
  <c r="B6822" i="1"/>
  <c r="B6823" i="1"/>
  <c r="B6835" i="1"/>
  <c r="B6838" i="1"/>
  <c r="B6848" i="1"/>
  <c r="B6861" i="1"/>
  <c r="B6862" i="1"/>
  <c r="B6863" i="1"/>
  <c r="B6872" i="1"/>
  <c r="B6873" i="1"/>
  <c r="B6874" i="1"/>
  <c r="B6879" i="1"/>
  <c r="B6885" i="1"/>
  <c r="B6886" i="1"/>
  <c r="B6897" i="1"/>
  <c r="B6900" i="1"/>
  <c r="B6904" i="1"/>
  <c r="B6908" i="1"/>
  <c r="B6912" i="1"/>
  <c r="B6940" i="1"/>
  <c r="B6943" i="1"/>
  <c r="B6963" i="1"/>
  <c r="B6967" i="1"/>
  <c r="B6968" i="1"/>
  <c r="B6974" i="1"/>
  <c r="B6977" i="1"/>
  <c r="B7069" i="1"/>
  <c r="B7075" i="1"/>
  <c r="B7076" i="1"/>
  <c r="B7078" i="1"/>
  <c r="B7081" i="1"/>
  <c r="B7093" i="1"/>
  <c r="B7094" i="1"/>
  <c r="B7095" i="1"/>
  <c r="B7107" i="1"/>
  <c r="B7136" i="1"/>
  <c r="B7139" i="1"/>
  <c r="B7161" i="1"/>
  <c r="B7184" i="1"/>
  <c r="B7185" i="1"/>
  <c r="B7186" i="1"/>
  <c r="B7192" i="1"/>
  <c r="B7212" i="1"/>
  <c r="B7215" i="1"/>
  <c r="B7222" i="1"/>
  <c r="B7229" i="1"/>
  <c r="B7237" i="1"/>
  <c r="B7244" i="1"/>
  <c r="B7251" i="1"/>
  <c r="B7258" i="1"/>
  <c r="B7265" i="1"/>
  <c r="B7268" i="1"/>
  <c r="B7271" i="1"/>
  <c r="B7274" i="1"/>
  <c r="B7293" i="1"/>
  <c r="B7296" i="1"/>
  <c r="B7299" i="1"/>
  <c r="B7302" i="1"/>
  <c r="B7304" i="1"/>
  <c r="B7309" i="1"/>
  <c r="B7310" i="1"/>
  <c r="B7311" i="1"/>
  <c r="B7312" i="1"/>
  <c r="B7315" i="1"/>
  <c r="B7330" i="1"/>
  <c r="B7331" i="1"/>
  <c r="B7334" i="1"/>
  <c r="B7337" i="1"/>
  <c r="B7340" i="1"/>
  <c r="B7344" i="1"/>
  <c r="B7348" i="1"/>
  <c r="B7369" i="1"/>
  <c r="B7370" i="1"/>
  <c r="B7477" i="1"/>
  <c r="B7478" i="1"/>
  <c r="B7482" i="1"/>
  <c r="B7489" i="1"/>
  <c r="B7490" i="1"/>
  <c r="B7491" i="1"/>
  <c r="B7517" i="1"/>
  <c r="B7533" i="1"/>
  <c r="B7560" i="1"/>
  <c r="B7561" i="1"/>
  <c r="B7562" i="1"/>
  <c r="B7563" i="1"/>
  <c r="B7564" i="1"/>
  <c r="B7565" i="1"/>
  <c r="B7567" i="1"/>
  <c r="B7568" i="1"/>
  <c r="B7593" i="1"/>
  <c r="B7594" i="1"/>
  <c r="B7600" i="1"/>
  <c r="B7604" i="1"/>
  <c r="B7609" i="1"/>
  <c r="B7631" i="1"/>
  <c r="B7636" i="1"/>
  <c r="B7645" i="1"/>
  <c r="B7647" i="1"/>
  <c r="B7656" i="1"/>
  <c r="B7657" i="1"/>
  <c r="B7658" i="1"/>
  <c r="B7659" i="1"/>
  <c r="B7660" i="1"/>
  <c r="B7664" i="1"/>
  <c r="B7665" i="1"/>
  <c r="B7673" i="1"/>
  <c r="B7674" i="1"/>
  <c r="B7675" i="1"/>
  <c r="B7676" i="1"/>
  <c r="B7686" i="1"/>
  <c r="B7687" i="1"/>
  <c r="B7696" i="1"/>
  <c r="B7701" i="1"/>
  <c r="B7702" i="1"/>
  <c r="B7703" i="1"/>
  <c r="B7706" i="1"/>
  <c r="B7713" i="1"/>
  <c r="B7714" i="1"/>
  <c r="B7716" i="1"/>
  <c r="B7726" i="1"/>
  <c r="B7727" i="1"/>
  <c r="B7753" i="1"/>
  <c r="B7755" i="1"/>
  <c r="B7777" i="1"/>
  <c r="B7780" i="1"/>
  <c r="B7794" i="1"/>
  <c r="B7795" i="1"/>
  <c r="B7811" i="1"/>
  <c r="B7814" i="1"/>
  <c r="B7823" i="1"/>
  <c r="B7847" i="1"/>
  <c r="B7860" i="1"/>
  <c r="B7868" i="1"/>
  <c r="B7869" i="1"/>
  <c r="B7871" i="1"/>
  <c r="B7872" i="1"/>
  <c r="B7873" i="1"/>
  <c r="B7883" i="1"/>
  <c r="B7884" i="1"/>
  <c r="B7885" i="1"/>
  <c r="B7899" i="1"/>
  <c r="B7902" i="1"/>
  <c r="B7907" i="1"/>
  <c r="B7908" i="1"/>
  <c r="B7909" i="1"/>
  <c r="B7919" i="1"/>
  <c r="B7924" i="1"/>
  <c r="B7930" i="1"/>
  <c r="B7933" i="1"/>
  <c r="B7936" i="1"/>
  <c r="B7939" i="1"/>
  <c r="B7953" i="1"/>
  <c r="B7956" i="1"/>
  <c r="B7959" i="1"/>
  <c r="B7967" i="1"/>
  <c r="B7970" i="1"/>
  <c r="B7975" i="1"/>
  <c r="B7980" i="1"/>
  <c r="B7981" i="1"/>
  <c r="B7982" i="1"/>
  <c r="B7987" i="1"/>
  <c r="B7988" i="1"/>
  <c r="B8007" i="1"/>
  <c r="B8008" i="1"/>
  <c r="B8011" i="1"/>
  <c r="B8015" i="1"/>
  <c r="B8018" i="1"/>
  <c r="B8021" i="1"/>
  <c r="B8028" i="1"/>
  <c r="B8031" i="1"/>
  <c r="B8032" i="1"/>
  <c r="B8033" i="1"/>
  <c r="B8034" i="1"/>
  <c r="B8080" i="1"/>
  <c r="B8088" i="1"/>
  <c r="B8096" i="1"/>
  <c r="B8110" i="1"/>
  <c r="B8140" i="1"/>
  <c r="B8143" i="1"/>
  <c r="B8149" i="1"/>
  <c r="B8152" i="1"/>
  <c r="B8157" i="1"/>
  <c r="B8165" i="1"/>
  <c r="B8166" i="1"/>
  <c r="B8181" i="1"/>
  <c r="B8197" i="1"/>
  <c r="B8207" i="1"/>
  <c r="B8210" i="1"/>
  <c r="B8213" i="1"/>
  <c r="B8229" i="1"/>
  <c r="B8234" i="1"/>
  <c r="B8239" i="1"/>
  <c r="B8250" i="1"/>
  <c r="B8251" i="1"/>
  <c r="B8268" i="1"/>
  <c r="B8270" i="1"/>
  <c r="B8273" i="1"/>
  <c r="B8276" i="1"/>
  <c r="B8277" i="1"/>
  <c r="B8278" i="1"/>
  <c r="B8279" i="1"/>
  <c r="B8280" i="1"/>
  <c r="B8298" i="1"/>
  <c r="B8302" i="1"/>
  <c r="B8303" i="1"/>
  <c r="B8309" i="1"/>
  <c r="B8310" i="1"/>
  <c r="B8316" i="1"/>
  <c r="B8323" i="1"/>
  <c r="B8324" i="1"/>
  <c r="B8343" i="1"/>
  <c r="B8346" i="1"/>
  <c r="B8352" i="1"/>
  <c r="B8355" i="1"/>
  <c r="B8368" i="1"/>
  <c r="B8386" i="1"/>
  <c r="B8425" i="1"/>
  <c r="B8439" i="1"/>
  <c r="B8442" i="1"/>
  <c r="B8452" i="1"/>
  <c r="B8453" i="1"/>
  <c r="B8454" i="1"/>
  <c r="B8455" i="1"/>
  <c r="B8456" i="1"/>
  <c r="B8465" i="1"/>
  <c r="B8466" i="1"/>
  <c r="B8528" i="1"/>
  <c r="B8573" i="1"/>
  <c r="B8574" i="1"/>
  <c r="B8575" i="1"/>
  <c r="B8581" i="1"/>
  <c r="B8589" i="1"/>
  <c r="B8592" i="1"/>
  <c r="B8612" i="1"/>
  <c r="B8625" i="1"/>
  <c r="B8652" i="1"/>
  <c r="B8694" i="1"/>
  <c r="B8712" i="1"/>
  <c r="B8713" i="1"/>
  <c r="B8716" i="1"/>
  <c r="B8717" i="1"/>
  <c r="B8718" i="1"/>
  <c r="B8719" i="1"/>
  <c r="B8723" i="1"/>
  <c r="B8772" i="1"/>
  <c r="B8777" i="1"/>
  <c r="B8794" i="1"/>
  <c r="B8801" i="1"/>
  <c r="B8812" i="1"/>
  <c r="B8815" i="1"/>
  <c r="B8820" i="1"/>
  <c r="B8827" i="1"/>
  <c r="B8830" i="1"/>
  <c r="B8871" i="1"/>
  <c r="B8887" i="1"/>
  <c r="B8892" i="1"/>
  <c r="B8895" i="1"/>
  <c r="B8896" i="1"/>
  <c r="B8897" i="1"/>
  <c r="B8911" i="1"/>
  <c r="B8916" i="1"/>
  <c r="B8947" i="1"/>
  <c r="B8965" i="1"/>
  <c r="B8966" i="1"/>
  <c r="B8967" i="1"/>
  <c r="B9043" i="1"/>
  <c r="B9044" i="1"/>
  <c r="B9045" i="1"/>
  <c r="B9055" i="1"/>
  <c r="B9056" i="1"/>
  <c r="B9083" i="1"/>
  <c r="B9084" i="1"/>
  <c r="B9090" i="1"/>
  <c r="B9093" i="1"/>
  <c r="B9167" i="1"/>
  <c r="B9176" i="1"/>
  <c r="B9197" i="1"/>
  <c r="B9231" i="1"/>
  <c r="B9235" i="1"/>
  <c r="B9240" i="1"/>
  <c r="B9346" i="1"/>
  <c r="B9347" i="1"/>
  <c r="B9349" i="1"/>
  <c r="B9350" i="1"/>
  <c r="B9351" i="1"/>
  <c r="B9357" i="1"/>
  <c r="B9417" i="1"/>
  <c r="B9463" i="1"/>
  <c r="B9464" i="1"/>
  <c r="B9465" i="1"/>
  <c r="B9468" i="1"/>
  <c r="B9469" i="1"/>
  <c r="B9487" i="1"/>
  <c r="B9513" i="1"/>
  <c r="B9519" i="1"/>
  <c r="B9522" i="1"/>
  <c r="B9525" i="1"/>
  <c r="B9528" i="1"/>
  <c r="B9560" i="1"/>
  <c r="B9567" i="1"/>
  <c r="B9580" i="1"/>
  <c r="B9588" i="1"/>
  <c r="B9619" i="1"/>
  <c r="B9622" i="1"/>
  <c r="B9672" i="1"/>
  <c r="B9777" i="1"/>
  <c r="B9780" i="1"/>
  <c r="B9805" i="1"/>
  <c r="B9822" i="1"/>
  <c r="B9828" i="1"/>
  <c r="B9904" i="1"/>
  <c r="B9905" i="1"/>
  <c r="B9937" i="1"/>
  <c r="B9938" i="1"/>
  <c r="B9941" i="1"/>
  <c r="B9998" i="1"/>
  <c r="B9999" i="1"/>
  <c r="B10165" i="1"/>
  <c r="B10277" i="1"/>
  <c r="B10278" i="1"/>
  <c r="B10280" i="1"/>
  <c r="B10281" i="1"/>
  <c r="B10282" i="1"/>
  <c r="B10331" i="1"/>
  <c r="B10341" i="1"/>
  <c r="B10347" i="1"/>
  <c r="B10351" i="1"/>
  <c r="B10357" i="1"/>
  <c r="B10361" i="1"/>
  <c r="B10370" i="1"/>
  <c r="B10376" i="1"/>
  <c r="B10393" i="1"/>
  <c r="B10399" i="1"/>
  <c r="B10400" i="1"/>
  <c r="B10401" i="1"/>
  <c r="B10409" i="1"/>
  <c r="B10414" i="1"/>
  <c r="B10427" i="1"/>
  <c r="B10453" i="1"/>
  <c r="B10465" i="1"/>
  <c r="B10466" i="1"/>
  <c r="B10472" i="1"/>
  <c r="B10473" i="1"/>
  <c r="B10512" i="1"/>
  <c r="B10520" i="1"/>
  <c r="B10523" i="1"/>
  <c r="B10527" i="1"/>
  <c r="B10530" i="1"/>
  <c r="B10533" i="1"/>
  <c r="B10536" i="1"/>
  <c r="B10539" i="1"/>
  <c r="B10548" i="1"/>
  <c r="B10549" i="1"/>
  <c r="B10556" i="1"/>
  <c r="B10559" i="1"/>
  <c r="B10562" i="1"/>
  <c r="B10565" i="1"/>
  <c r="B10602" i="1"/>
  <c r="B10636" i="1"/>
  <c r="B10666" i="1"/>
  <c r="B10678" i="1"/>
  <c r="B10684" i="1"/>
  <c r="B10694" i="1"/>
  <c r="B10704" i="1"/>
  <c r="B10710" i="1"/>
  <c r="B10782" i="1"/>
  <c r="B10787" i="1"/>
  <c r="B10804" i="1"/>
  <c r="B10805" i="1"/>
  <c r="B10841" i="1"/>
  <c r="B10844" i="1"/>
  <c r="B10854" i="1"/>
  <c r="B10882" i="1"/>
  <c r="B10883" i="1"/>
  <c r="B10944" i="1"/>
  <c r="B10969" i="1"/>
  <c r="B11007" i="1"/>
  <c r="B11016" i="1"/>
  <c r="B11062" i="1"/>
  <c r="B11063" i="1"/>
  <c r="B11105" i="1"/>
  <c r="B11106" i="1"/>
  <c r="B11107" i="1"/>
  <c r="B11108" i="1"/>
  <c r="B11187" i="1"/>
  <c r="B11832" i="1"/>
  <c r="B11841" i="1"/>
  <c r="B11895" i="1"/>
  <c r="B11896" i="1"/>
  <c r="B11900" i="1"/>
  <c r="B11953" i="1"/>
  <c r="B11954" i="1"/>
  <c r="B11955" i="1"/>
  <c r="B11956" i="1"/>
  <c r="B12055" i="1"/>
  <c r="B12722" i="1"/>
  <c r="B12729" i="1"/>
  <c r="B12748" i="1"/>
  <c r="B12764" i="1"/>
  <c r="B12767" i="1"/>
  <c r="B12782" i="1"/>
  <c r="B12790" i="1"/>
  <c r="B12797" i="1"/>
  <c r="B12799" i="1"/>
  <c r="B12805" i="1"/>
  <c r="B12808" i="1"/>
  <c r="B12814" i="1"/>
  <c r="B12815" i="1"/>
  <c r="B12818" i="1"/>
  <c r="B12822" i="1"/>
  <c r="B12825" i="1"/>
  <c r="B12830" i="1"/>
  <c r="B12833" i="1"/>
  <c r="B12838" i="1"/>
  <c r="B12845" i="1"/>
  <c r="B12846" i="1"/>
  <c r="B12852" i="1"/>
  <c r="B12855" i="1"/>
  <c r="B12858" i="1"/>
  <c r="B12876" i="1"/>
  <c r="B12879" i="1"/>
  <c r="B12886" i="1"/>
  <c r="B12889" i="1"/>
  <c r="B12892" i="1"/>
  <c r="B12893" i="1"/>
  <c r="B12901" i="1"/>
  <c r="B12902" i="1"/>
  <c r="B12903" i="1"/>
  <c r="B12913" i="1"/>
  <c r="B12920" i="1"/>
  <c r="B12955" i="1"/>
  <c r="B12967" i="1"/>
  <c r="B12992" i="1"/>
  <c r="B13004" i="1"/>
  <c r="B13016" i="1"/>
  <c r="B13032" i="1"/>
  <c r="B13044" i="1"/>
  <c r="B13092" i="1"/>
  <c r="B13103" i="1"/>
  <c r="B13118" i="1"/>
  <c r="B13125" i="1"/>
  <c r="B13129" i="1"/>
  <c r="B13132" i="1"/>
  <c r="B13139" i="1"/>
  <c r="B13159" i="1"/>
  <c r="B13167" i="1"/>
  <c r="B13173" i="1"/>
  <c r="B13178" i="1"/>
  <c r="B13179" i="1"/>
  <c r="B13183" i="1"/>
  <c r="B13187" i="1"/>
  <c r="B13197" i="1"/>
  <c r="B13228" i="1"/>
  <c r="B13235" i="1"/>
  <c r="B13257" i="1"/>
  <c r="B13258" i="1"/>
  <c r="B13268" i="1"/>
  <c r="B13271" i="1"/>
  <c r="B13275" i="1"/>
  <c r="B13287" i="1"/>
  <c r="B13290" i="1"/>
  <c r="B13293" i="1"/>
  <c r="B13377" i="1"/>
  <c r="B13382" i="1"/>
  <c r="B13389" i="1"/>
  <c r="B13392" i="1"/>
  <c r="B13400" i="1"/>
  <c r="B13403" i="1"/>
  <c r="B13413" i="1"/>
  <c r="B13482" i="1"/>
  <c r="B13485" i="1"/>
  <c r="B13501" i="1"/>
  <c r="B13506" i="1"/>
  <c r="B13523" i="1"/>
  <c r="B13526" i="1"/>
  <c r="B13536" i="1"/>
  <c r="B13540" i="1"/>
  <c r="B13541" i="1"/>
  <c r="B13553" i="1"/>
  <c r="B13560" i="1"/>
  <c r="B13561" i="1"/>
  <c r="B13562" i="1"/>
  <c r="B13568" i="1"/>
  <c r="B13569" i="1"/>
  <c r="B13570" i="1"/>
  <c r="B13575" i="1"/>
  <c r="B13576" i="1"/>
  <c r="B13579" i="1"/>
  <c r="B13582" i="1"/>
  <c r="B13583" i="1"/>
  <c r="B13591" i="1"/>
  <c r="B13596" i="1"/>
  <c r="B13599" i="1"/>
  <c r="B13604" i="1"/>
  <c r="B13607" i="1"/>
  <c r="B13618" i="1"/>
  <c r="B13621" i="1"/>
  <c r="B13631" i="1"/>
  <c r="B13634" i="1"/>
  <c r="B13637" i="1"/>
  <c r="B13663" i="1"/>
  <c r="B13667" i="1"/>
  <c r="B13675" i="1"/>
  <c r="B13679" i="1"/>
  <c r="B13687" i="1"/>
  <c r="B13690" i="1"/>
  <c r="B13709" i="1"/>
  <c r="B13712" i="1"/>
  <c r="B13715" i="1"/>
  <c r="B13718" i="1"/>
  <c r="B13721" i="1"/>
  <c r="B13738" i="1"/>
  <c r="B13741" i="1"/>
  <c r="B13763" i="1"/>
  <c r="B13764" i="1"/>
  <c r="B13765" i="1"/>
  <c r="B13766" i="1"/>
  <c r="B13795" i="1"/>
  <c r="B13802" i="1"/>
  <c r="B13820" i="1"/>
  <c r="B13822" i="1"/>
  <c r="B13823" i="1"/>
  <c r="B13861" i="1"/>
  <c r="B13869" i="1"/>
  <c r="B13894" i="1"/>
  <c r="B13898" i="1"/>
  <c r="B13907" i="1"/>
  <c r="B13923" i="1"/>
  <c r="B13924" i="1"/>
  <c r="B13926" i="1"/>
  <c r="B13930" i="1"/>
  <c r="B13931" i="1"/>
  <c r="B13932" i="1"/>
  <c r="B13996" i="1"/>
  <c r="B14007" i="1"/>
  <c r="B14018" i="1"/>
  <c r="B14022" i="1"/>
  <c r="B14023" i="1"/>
  <c r="B14037" i="1"/>
  <c r="B14038" i="1"/>
  <c r="B14043" i="1"/>
  <c r="B14046" i="1"/>
  <c r="B14050" i="1"/>
  <c r="B14051" i="1"/>
  <c r="B14077" i="1"/>
  <c r="B14081" i="1"/>
  <c r="B14088" i="1"/>
  <c r="B14091" i="1"/>
  <c r="B14095" i="1"/>
  <c r="B14096" i="1"/>
  <c r="B14118" i="1"/>
  <c r="B14154" i="1"/>
  <c r="B14158" i="1"/>
  <c r="B14225" i="1"/>
  <c r="B14265" i="1"/>
  <c r="B14331" i="1"/>
  <c r="B14346" i="1"/>
  <c r="B14387" i="1"/>
  <c r="B14393" i="1"/>
  <c r="B14403" i="1"/>
  <c r="B14414" i="1"/>
  <c r="B14423" i="1"/>
  <c r="B14426" i="1"/>
  <c r="B14431" i="1"/>
  <c r="B14432" i="1"/>
  <c r="B14434" i="1"/>
  <c r="B14446" i="1"/>
  <c r="B14455" i="1"/>
  <c r="B14469" i="1"/>
  <c r="B14475" i="1"/>
  <c r="B14480" i="1"/>
  <c r="B14530" i="1"/>
  <c r="B14531" i="1"/>
  <c r="B14544" i="1"/>
  <c r="B14545" i="1"/>
  <c r="B14600" i="1"/>
  <c r="B14601" i="1"/>
  <c r="B14603" i="1"/>
  <c r="B14606" i="1"/>
  <c r="B14614" i="1"/>
  <c r="B14615" i="1"/>
  <c r="B14618" i="1"/>
  <c r="B14619" i="1"/>
  <c r="B14625" i="1"/>
  <c r="B14626" i="1"/>
  <c r="B14631" i="1"/>
  <c r="B14633" i="1"/>
  <c r="B14640" i="1"/>
  <c r="B14642" i="1"/>
  <c r="B14649" i="1"/>
  <c r="B14650" i="1"/>
  <c r="B14654" i="1"/>
  <c r="B14754" i="1"/>
  <c r="B14755" i="1"/>
  <c r="B14756" i="1"/>
  <c r="B14758" i="1"/>
  <c r="B14759" i="1"/>
  <c r="B14760" i="1"/>
  <c r="B14762" i="1"/>
  <c r="B14765" i="1"/>
  <c r="B14766" i="1"/>
  <c r="B14796" i="1"/>
  <c r="B14800" i="1"/>
  <c r="B14810" i="1"/>
  <c r="B14813" i="1"/>
  <c r="B14814" i="1"/>
  <c r="B14818" i="1"/>
  <c r="B14821" i="1"/>
  <c r="B14828" i="1"/>
  <c r="B14829" i="1"/>
  <c r="B14830" i="1"/>
  <c r="B14841" i="1"/>
  <c r="B14849" i="1"/>
  <c r="B14854" i="1"/>
  <c r="B14855" i="1"/>
  <c r="B14856" i="1"/>
  <c r="B14857" i="1"/>
  <c r="B14860" i="1"/>
  <c r="B14864" i="1"/>
  <c r="B14867" i="1"/>
  <c r="B14873" i="1"/>
  <c r="B14878" i="1"/>
  <c r="B14879" i="1"/>
  <c r="B14885" i="1"/>
  <c r="B14886" i="1"/>
  <c r="B14891" i="1"/>
  <c r="B14894" i="1"/>
  <c r="B14902" i="1"/>
  <c r="B14907" i="1"/>
  <c r="B14936" i="1"/>
  <c r="B14949" i="1"/>
  <c r="B14975" i="1"/>
  <c r="B14987" i="1"/>
  <c r="B14990" i="1"/>
  <c r="B15001" i="1"/>
  <c r="B15006" i="1"/>
  <c r="B15008" i="1"/>
  <c r="B15012" i="1"/>
  <c r="B15052" i="1"/>
  <c r="B15057" i="1"/>
  <c r="B15060" i="1"/>
  <c r="B15068" i="1"/>
  <c r="B15069" i="1"/>
  <c r="B15070" i="1"/>
  <c r="B15077" i="1"/>
  <c r="B15097" i="1"/>
  <c r="B15112" i="1"/>
  <c r="B15136" i="1"/>
  <c r="B15139" i="1"/>
  <c r="B15140" i="1"/>
  <c r="B15152" i="1"/>
  <c r="B15159" i="1"/>
  <c r="B15167" i="1"/>
  <c r="B15178" i="1"/>
  <c r="B15186" i="1"/>
  <c r="B15211" i="1"/>
  <c r="B15212" i="1"/>
  <c r="B15213" i="1"/>
  <c r="B15214" i="1"/>
  <c r="B15220" i="1"/>
  <c r="B15223" i="1"/>
  <c r="B15228" i="1"/>
  <c r="B15240" i="1"/>
  <c r="B15248" i="1"/>
  <c r="B15252" i="1"/>
  <c r="B15256" i="1"/>
  <c r="B15260" i="1"/>
  <c r="B15268" i="1"/>
  <c r="B15296" i="1"/>
  <c r="B15315" i="1"/>
  <c r="B15322" i="1"/>
  <c r="B15338" i="1"/>
  <c r="B15344" i="1"/>
  <c r="B15389" i="1"/>
  <c r="B15464" i="1"/>
  <c r="B15499" i="1"/>
  <c r="B15549" i="1"/>
  <c r="B15581" i="1"/>
  <c r="B15615" i="1"/>
  <c r="B15629" i="1"/>
  <c r="B15631" i="1"/>
  <c r="B15680" i="1"/>
  <c r="B15749" i="1"/>
  <c r="B15750" i="1"/>
  <c r="B15752" i="1"/>
  <c r="B15763" i="1"/>
  <c r="B15766" i="1"/>
  <c r="B15770" i="1"/>
  <c r="B15771" i="1"/>
  <c r="B15774" i="1"/>
  <c r="B15775" i="1"/>
  <c r="B15776" i="1"/>
  <c r="B15806" i="1"/>
  <c r="B15807" i="1"/>
  <c r="B15808" i="1"/>
  <c r="B15813" i="1"/>
  <c r="B15814" i="1"/>
  <c r="B15815" i="1"/>
  <c r="B15836" i="1"/>
  <c r="B15841" i="1"/>
  <c r="B15844" i="1"/>
  <c r="B15854" i="1"/>
  <c r="B15867" i="1"/>
  <c r="B16012" i="1"/>
  <c r="B16053" i="1"/>
  <c r="B16054" i="1"/>
  <c r="B16075" i="1"/>
  <c r="B16113" i="1"/>
  <c r="B16154" i="1"/>
  <c r="B16168" i="1"/>
  <c r="B16169" i="1"/>
  <c r="B16172" i="1"/>
  <c r="B16190" i="1"/>
  <c r="B16209" i="1"/>
  <c r="B16212" i="1"/>
  <c r="B16216" i="1"/>
  <c r="B16280" i="1"/>
  <c r="B16282" i="1"/>
  <c r="B16283" i="1"/>
  <c r="B16284" i="1"/>
  <c r="B16291" i="1"/>
  <c r="B16297" i="1"/>
  <c r="B16300" i="1"/>
  <c r="B16312" i="1"/>
  <c r="B16318" i="1"/>
  <c r="B16321" i="1"/>
  <c r="B16330" i="1"/>
  <c r="B16331" i="1"/>
  <c r="B16335" i="1"/>
  <c r="B16336" i="1"/>
  <c r="B16343" i="1"/>
  <c r="B16346" i="1"/>
  <c r="B16353" i="1"/>
  <c r="B16354" i="1"/>
  <c r="B16367" i="1"/>
  <c r="B16372" i="1"/>
  <c r="B16375" i="1"/>
  <c r="B16381" i="1"/>
  <c r="B16382" i="1"/>
  <c r="B16390" i="1"/>
  <c r="B16393" i="1"/>
  <c r="B16395" i="1"/>
  <c r="B16398" i="1"/>
  <c r="B16403" i="1"/>
  <c r="B16406" i="1"/>
  <c r="B16414" i="1"/>
  <c r="B16436" i="1"/>
  <c r="B16444" i="1"/>
  <c r="B16450" i="1"/>
  <c r="B16458" i="1"/>
  <c r="B16461" i="1"/>
  <c r="B16470" i="1"/>
  <c r="B16471" i="1"/>
  <c r="B16511" i="1"/>
  <c r="B16626" i="1"/>
  <c r="B16949" i="1"/>
  <c r="B17056" i="1"/>
  <c r="B17057" i="1"/>
  <c r="B17108" i="1"/>
  <c r="B17124" i="1"/>
  <c r="B17269" i="1"/>
  <c r="B17275" i="1"/>
  <c r="B17284" i="1"/>
  <c r="B17288" i="1"/>
  <c r="B17292" i="1"/>
  <c r="B17296" i="1"/>
  <c r="B17301" i="1"/>
  <c r="B17310" i="1"/>
  <c r="B17311" i="1"/>
  <c r="B17315" i="1"/>
  <c r="B17323" i="1"/>
  <c r="B17338" i="1"/>
  <c r="B17341" i="1"/>
  <c r="B17355" i="1"/>
  <c r="B17361" i="1"/>
  <c r="B17369" i="1"/>
  <c r="B17372" i="1"/>
  <c r="B17373" i="1"/>
  <c r="B17380" i="1"/>
  <c r="B17381" i="1"/>
  <c r="B17384" i="1"/>
  <c r="B17469" i="1"/>
  <c r="B17519" i="1"/>
  <c r="B17524" i="1"/>
  <c r="B17529" i="1"/>
  <c r="B17534" i="1"/>
  <c r="B17538" i="1"/>
  <c r="B17541" i="1"/>
  <c r="B17550" i="1"/>
  <c r="B17571" i="1"/>
  <c r="B17588" i="1"/>
  <c r="B17597" i="1"/>
  <c r="B17632" i="1"/>
  <c r="B17655" i="1"/>
  <c r="B17659" i="1"/>
  <c r="B17663" i="1"/>
  <c r="B17668" i="1"/>
  <c r="B17671" i="1"/>
  <c r="B17674" i="1"/>
  <c r="B17679" i="1"/>
  <c r="B17682" i="1"/>
  <c r="B17683" i="1"/>
  <c r="B17684" i="1"/>
  <c r="B17690" i="1"/>
  <c r="B17695" i="1"/>
  <c r="B17699" i="1"/>
  <c r="B17700" i="1"/>
  <c r="B17710" i="1"/>
  <c r="B17733" i="1"/>
  <c r="B17756" i="1"/>
  <c r="B17778" i="1"/>
  <c r="B17785" i="1"/>
  <c r="B17796" i="1"/>
  <c r="B17800" i="1"/>
  <c r="B17815" i="1"/>
  <c r="B17832" i="1"/>
  <c r="B17840" i="1"/>
  <c r="B17860" i="1"/>
  <c r="B17882" i="1"/>
  <c r="B17903" i="1"/>
  <c r="B17907" i="1"/>
  <c r="B17914" i="1"/>
  <c r="B17917" i="1"/>
  <c r="B17920" i="1"/>
  <c r="B17931" i="1"/>
  <c r="B17933" i="1"/>
  <c r="B17934" i="1"/>
  <c r="B17940" i="1"/>
  <c r="B17943" i="1"/>
  <c r="B17944" i="1"/>
  <c r="B17950" i="1"/>
  <c r="B17951" i="1"/>
  <c r="B17964" i="1"/>
  <c r="B17978" i="1"/>
  <c r="B17979" i="1"/>
  <c r="B17983" i="1"/>
  <c r="B17986" i="1"/>
  <c r="B18016" i="1"/>
  <c r="B18041" i="1"/>
  <c r="B18046" i="1"/>
  <c r="B18050" i="1"/>
  <c r="B18062" i="1"/>
  <c r="B18078" i="1"/>
  <c r="B18114" i="1"/>
  <c r="B18131" i="1"/>
  <c r="B18133" i="1"/>
  <c r="B18135" i="1"/>
  <c r="B18136" i="1"/>
  <c r="B18138" i="1"/>
  <c r="B18140" i="1"/>
  <c r="B18142" i="1"/>
  <c r="B18143" i="1"/>
  <c r="B18144" i="1"/>
  <c r="B18148" i="1"/>
  <c r="B18179" i="1"/>
  <c r="B18180" i="1"/>
  <c r="B18198" i="1"/>
  <c r="B18199" i="1"/>
  <c r="B18201" i="1"/>
  <c r="B18202" i="1"/>
  <c r="B18205" i="1"/>
  <c r="B18220" i="1"/>
  <c r="B18227" i="1"/>
  <c r="B18231" i="1"/>
  <c r="B18232" i="1"/>
  <c r="B18233" i="1"/>
  <c r="B18234" i="1"/>
  <c r="B18235" i="1"/>
  <c r="B18236" i="1"/>
  <c r="B18237" i="1"/>
  <c r="B18247" i="1"/>
  <c r="B18248" i="1"/>
  <c r="B18249" i="1"/>
  <c r="B18250" i="1"/>
  <c r="B18251" i="1"/>
  <c r="B18252" i="1"/>
  <c r="B18253" i="1"/>
  <c r="B18254" i="1"/>
  <c r="B18269" i="1"/>
  <c r="B18287" i="1"/>
  <c r="B18290" i="1"/>
  <c r="B18308" i="1"/>
  <c r="B18332" i="1"/>
  <c r="B18334" i="1"/>
  <c r="B18335" i="1"/>
  <c r="B18336" i="1"/>
  <c r="B18345" i="1"/>
  <c r="B18371" i="1"/>
  <c r="B18393" i="1"/>
  <c r="B18452" i="1"/>
  <c r="B18456" i="1"/>
  <c r="B18816" i="1"/>
  <c r="B18857" i="1"/>
  <c r="B18895" i="1"/>
  <c r="B18900" i="1"/>
  <c r="B18915" i="1"/>
  <c r="B18916" i="1"/>
  <c r="B18917" i="1"/>
  <c r="B18919" i="1"/>
  <c r="B18921" i="1"/>
  <c r="B18922" i="1"/>
  <c r="B18923" i="1"/>
  <c r="B18924" i="1"/>
  <c r="B18926" i="1"/>
  <c r="B18927" i="1"/>
  <c r="B18930" i="1"/>
  <c r="B18931" i="1"/>
  <c r="B18932" i="1"/>
  <c r="B18935" i="1"/>
  <c r="B18939" i="1"/>
  <c r="B18942" i="1"/>
  <c r="B18947" i="1"/>
  <c r="B18951" i="1"/>
  <c r="B18952" i="1"/>
  <c r="B18960" i="1"/>
  <c r="B18961" i="1"/>
  <c r="B18967" i="1"/>
  <c r="B18968" i="1"/>
  <c r="B18973" i="1"/>
  <c r="B18976" i="1"/>
  <c r="B18988" i="1"/>
  <c r="B18990" i="1"/>
  <c r="B18992" i="1"/>
  <c r="B18994" i="1"/>
  <c r="B18995" i="1"/>
  <c r="B18998" i="1"/>
  <c r="B18999" i="1"/>
  <c r="B19000" i="1"/>
  <c r="B19001" i="1"/>
  <c r="B19014" i="1"/>
  <c r="B19019" i="1"/>
  <c r="B19024" i="1"/>
  <c r="B19029" i="1"/>
  <c r="B19035" i="1"/>
  <c r="B19040" i="1"/>
  <c r="B19045" i="1"/>
  <c r="B19050" i="1"/>
  <c r="B19056" i="1"/>
  <c r="B19057" i="1"/>
  <c r="B19058" i="1"/>
  <c r="B19060" i="1"/>
  <c r="B19064" i="1"/>
  <c r="B19067" i="1"/>
  <c r="B19069" i="1"/>
  <c r="B19070" i="1"/>
  <c r="B19071" i="1"/>
  <c r="B19072" i="1"/>
  <c r="B19078" i="1"/>
  <c r="B19079" i="1"/>
  <c r="B19084" i="1"/>
  <c r="B19200" i="1"/>
  <c r="B19228" i="1"/>
  <c r="B19249" i="1"/>
  <c r="B19250" i="1"/>
  <c r="B19252" i="1"/>
  <c r="B19253" i="1"/>
  <c r="B19255" i="1"/>
  <c r="B19258" i="1"/>
  <c r="B19264" i="1"/>
  <c r="B19266" i="1"/>
  <c r="B19268" i="1"/>
  <c r="B19270" i="1"/>
  <c r="B19275" i="1"/>
  <c r="B19276" i="1"/>
  <c r="B19283" i="1"/>
  <c r="B19301" i="1"/>
  <c r="B19302" i="1"/>
  <c r="B19309" i="1"/>
  <c r="B19329" i="1"/>
  <c r="B19331" i="1"/>
  <c r="B19332" i="1"/>
  <c r="B19337" i="1"/>
  <c r="B19339" i="1"/>
  <c r="B19341" i="1"/>
  <c r="B19342" i="1"/>
  <c r="B19345" i="1"/>
  <c r="B19395" i="1"/>
  <c r="B19434" i="1"/>
  <c r="B19459" i="1"/>
  <c r="B19469" i="1"/>
  <c r="B19474" i="1"/>
  <c r="B19480" i="1"/>
  <c r="B19486" i="1"/>
  <c r="B19499" i="1"/>
  <c r="B19520" i="1"/>
  <c r="B19546" i="1"/>
  <c r="B19553" i="1"/>
  <c r="B19568" i="1"/>
  <c r="B19572" i="1"/>
  <c r="B19574" i="1"/>
  <c r="B19577" i="1"/>
  <c r="B19594" i="1"/>
  <c r="B19595" i="1"/>
  <c r="B19599" i="1"/>
  <c r="B19605" i="1"/>
  <c r="B19609" i="1"/>
  <c r="B19614" i="1"/>
  <c r="B19617" i="1"/>
  <c r="B19621" i="1"/>
  <c r="B19631" i="1"/>
  <c r="B19637" i="1"/>
  <c r="B19646" i="1"/>
  <c r="B19673" i="1"/>
  <c r="B19689" i="1"/>
  <c r="B19692" i="1"/>
  <c r="B19731" i="1"/>
  <c r="B19792" i="1"/>
  <c r="B19797" i="1"/>
  <c r="B19801" i="1"/>
  <c r="B19814" i="1"/>
  <c r="B19822" i="1"/>
  <c r="B19823" i="1"/>
  <c r="B19825" i="1"/>
  <c r="B19840" i="1"/>
  <c r="B19847" i="1"/>
  <c r="B19854" i="1"/>
  <c r="B19860" i="1"/>
  <c r="B19881" i="1"/>
  <c r="B19888" i="1"/>
  <c r="B19894" i="1"/>
  <c r="B19916" i="1"/>
  <c r="B19919" i="1"/>
  <c r="B19983" i="1"/>
  <c r="B19987" i="1"/>
  <c r="B19988" i="1"/>
  <c r="B20019" i="1"/>
  <c r="B20020" i="1"/>
  <c r="B20039" i="1"/>
  <c r="B20048" i="1"/>
  <c r="B20052" i="1"/>
  <c r="B20078" i="1"/>
  <c r="B20090" i="1"/>
  <c r="B20099" i="1"/>
  <c r="B20146" i="1"/>
  <c r="B20148" i="1"/>
  <c r="B20149" i="1"/>
  <c r="B20150" i="1"/>
  <c r="B20153" i="1"/>
  <c r="B20158" i="1"/>
  <c r="B20225" i="1"/>
  <c r="B20229" i="1"/>
  <c r="B20232" i="1"/>
  <c r="B20233" i="1"/>
  <c r="B20239" i="1"/>
  <c r="B20325" i="1"/>
  <c r="B20381" i="1"/>
  <c r="B20384" i="1"/>
  <c r="B20431" i="1"/>
  <c r="B20463" i="1"/>
  <c r="B20464" i="1"/>
  <c r="B20467" i="1"/>
  <c r="B20485" i="1"/>
  <c r="B20486" i="1"/>
  <c r="B20492" i="1"/>
  <c r="B20500" i="1"/>
  <c r="B20512" i="1"/>
  <c r="B20515" i="1"/>
  <c r="B20528" i="1"/>
  <c r="B20541" i="1"/>
  <c r="B20567" i="1"/>
  <c r="B20569" i="1"/>
  <c r="B20570" i="1"/>
  <c r="B20583" i="1"/>
  <c r="B20610" i="1"/>
  <c r="B20706" i="1"/>
  <c r="B20742" i="1"/>
  <c r="B20794" i="1"/>
  <c r="B20846" i="1"/>
  <c r="B20920" i="1"/>
  <c r="B20962" i="1"/>
  <c r="B20996" i="1"/>
  <c r="B21016" i="1"/>
  <c r="B21038" i="1"/>
  <c r="B21058" i="1"/>
  <c r="B21080" i="1"/>
  <c r="B21100" i="1"/>
  <c r="B21122" i="1"/>
  <c r="B21185" i="1"/>
  <c r="B21207" i="1"/>
  <c r="B21227" i="1"/>
  <c r="B21250" i="1"/>
  <c r="B21260" i="1"/>
  <c r="B21293" i="1"/>
  <c r="B21303" i="1"/>
  <c r="B21336" i="1"/>
  <c r="B21356" i="1"/>
  <c r="B21378" i="1"/>
  <c r="B21388" i="1"/>
  <c r="B21443" i="1"/>
  <c r="B21453" i="1"/>
  <c r="B21487" i="1"/>
  <c r="B21507" i="1"/>
  <c r="B21528" i="1"/>
  <c r="B21571" i="1"/>
  <c r="B21591" i="1"/>
  <c r="B21613" i="1"/>
  <c r="B21676" i="1"/>
  <c r="B21698" i="1"/>
  <c r="B21718" i="1"/>
  <c r="B21741" i="1"/>
  <c r="B21782" i="1"/>
  <c r="B21823" i="1"/>
  <c r="B21864" i="1"/>
  <c r="B21905" i="1"/>
  <c r="B21947" i="1"/>
  <c r="B21988" i="1"/>
  <c r="B22029" i="1"/>
  <c r="B22070" i="1"/>
  <c r="B22111" i="1"/>
  <c r="B22153" i="1"/>
  <c r="B22155" i="1"/>
  <c r="B22158" i="1"/>
  <c r="B22161" i="1"/>
  <c r="B22163" i="1"/>
  <c r="B22164" i="1"/>
  <c r="B22166" i="1"/>
  <c r="B22169" i="1"/>
  <c r="B22176" i="1"/>
  <c r="B22179" i="1"/>
  <c r="B22183" i="1"/>
  <c r="B22190" i="1"/>
  <c r="B22198" i="1"/>
  <c r="B22201" i="1"/>
  <c r="B22204" i="1"/>
  <c r="B22213" i="1"/>
  <c r="B22218" i="1"/>
  <c r="B22235" i="1"/>
  <c r="B22240" i="1"/>
  <c r="B22257" i="1"/>
  <c r="B22260" i="1"/>
  <c r="B22322" i="1"/>
  <c r="B22336" i="1"/>
  <c r="B22349" i="1"/>
  <c r="B22350" i="1"/>
  <c r="B22353" i="1"/>
  <c r="B22374" i="1"/>
  <c r="B22394" i="1"/>
  <c r="B22397" i="1"/>
  <c r="B22399" i="1"/>
  <c r="B22406" i="1"/>
  <c r="B22418" i="1"/>
  <c r="B22423" i="1"/>
  <c r="B22439" i="1"/>
  <c r="B22444" i="1"/>
  <c r="B22448" i="1"/>
  <c r="B22451" i="1"/>
  <c r="B22452" i="1"/>
  <c r="B22453" i="1"/>
  <c r="B22455" i="1"/>
  <c r="B22458" i="1"/>
  <c r="B22459" i="1"/>
  <c r="B22460" i="1"/>
  <c r="B22462" i="1"/>
  <c r="B22468" i="1"/>
  <c r="B22469" i="1"/>
  <c r="B22471" i="1"/>
  <c r="B22472" i="1"/>
  <c r="B22473" i="1"/>
  <c r="B22476" i="1"/>
  <c r="B22477" i="1"/>
  <c r="B22478" i="1"/>
  <c r="B22489" i="1"/>
  <c r="B22501" i="1"/>
  <c r="B22512" i="1"/>
  <c r="B22548" i="1"/>
  <c r="B22577" i="1"/>
  <c r="B22654" i="1"/>
  <c r="B22683" i="1"/>
  <c r="B22713" i="1"/>
  <c r="B22742" i="1"/>
  <c r="B22801" i="1"/>
  <c r="B22830" i="1"/>
  <c r="B23005" i="1"/>
  <c r="B23151" i="1"/>
  <c r="B23173" i="1"/>
  <c r="B23195" i="1"/>
  <c r="B23217" i="1"/>
  <c r="B23240" i="1"/>
  <c r="B23241" i="1"/>
  <c r="B23242" i="1"/>
  <c r="B23243" i="1"/>
  <c r="B23245" i="1"/>
  <c r="B23246" i="1"/>
  <c r="B23247" i="1"/>
  <c r="B23248" i="1"/>
  <c r="B23250" i="1"/>
  <c r="B23252" i="1"/>
  <c r="B23281" i="1"/>
  <c r="B23340" i="1"/>
  <c r="B23369" i="1"/>
  <c r="B23399" i="1"/>
  <c r="B23400" i="1"/>
  <c r="B23401" i="1"/>
  <c r="B23402" i="1"/>
  <c r="B23404" i="1"/>
  <c r="B23405" i="1"/>
  <c r="B23406" i="1"/>
  <c r="B23407" i="1"/>
  <c r="B23408" i="1"/>
  <c r="B23410" i="1"/>
  <c r="B23411" i="1"/>
  <c r="B23416" i="1"/>
  <c r="B23417" i="1"/>
  <c r="B23420" i="1"/>
  <c r="B23423" i="1"/>
  <c r="B23424" i="1"/>
  <c r="B23425" i="1"/>
  <c r="B23430" i="1"/>
  <c r="B23431" i="1"/>
  <c r="B23435" i="1"/>
  <c r="B23436" i="1"/>
  <c r="B23438" i="1"/>
  <c r="B23439" i="1"/>
  <c r="B23440" i="1"/>
  <c r="B23441" i="1"/>
  <c r="B23442" i="1"/>
  <c r="B23445" i="1"/>
  <c r="B23448" i="1"/>
  <c r="B23453" i="1"/>
  <c r="B23454" i="1"/>
  <c r="B23458" i="1"/>
  <c r="B23466" i="1"/>
  <c r="B23475" i="1"/>
  <c r="B23494" i="1"/>
  <c r="B23510" i="1"/>
  <c r="B23518" i="1"/>
  <c r="B23527" i="1"/>
  <c r="B23537" i="1"/>
  <c r="B23538" i="1"/>
  <c r="B23548" i="1"/>
  <c r="B23550" i="1"/>
  <c r="B23551" i="1"/>
  <c r="B23552" i="1"/>
  <c r="B23554" i="1"/>
  <c r="B23555" i="1"/>
  <c r="B23556" i="1"/>
  <c r="B23559" i="1"/>
  <c r="B23566" i="1"/>
  <c r="B23573" i="1"/>
  <c r="B23580" i="1"/>
  <c r="B23587" i="1"/>
  <c r="B23597" i="1"/>
  <c r="B23600" i="1"/>
  <c r="B23641" i="1"/>
  <c r="B23766" i="1"/>
  <c r="B23807" i="1"/>
  <c r="B23932" i="1"/>
  <c r="B23975" i="1"/>
  <c r="B24103" i="1"/>
  <c r="B24123" i="1"/>
  <c r="B24144" i="1"/>
  <c r="B24186" i="1"/>
  <c r="B24196" i="1"/>
  <c r="B24228" i="1"/>
  <c r="B24270" i="1"/>
  <c r="B24280" i="1"/>
  <c r="B24355" i="1"/>
  <c r="B24365" i="1"/>
  <c r="B24441" i="1"/>
  <c r="B24461" i="1"/>
  <c r="B24525" i="1"/>
  <c r="B24545" i="1"/>
  <c r="B24566" i="1"/>
  <c r="B24607" i="1"/>
  <c r="B24692" i="1"/>
  <c r="B24712" i="1"/>
  <c r="B24733" i="1"/>
  <c r="B24776" i="1"/>
  <c r="B24941" i="1"/>
  <c r="B25106" i="1"/>
  <c r="B25109" i="1"/>
  <c r="B25111" i="1"/>
  <c r="B25112" i="1"/>
  <c r="B25113" i="1"/>
  <c r="B25115" i="1"/>
  <c r="B25116" i="1"/>
  <c r="B25117" i="1"/>
  <c r="B25118" i="1"/>
  <c r="B25121" i="1"/>
  <c r="B25204" i="1"/>
  <c r="B25287" i="1"/>
  <c r="B25370" i="1"/>
  <c r="B25454" i="1"/>
  <c r="B25537" i="1"/>
  <c r="B25620" i="1"/>
  <c r="B25703" i="1"/>
  <c r="B25787" i="1"/>
  <c r="B25788" i="1"/>
  <c r="B25789" i="1"/>
  <c r="B25790" i="1"/>
  <c r="B25792" i="1"/>
  <c r="B25875" i="1"/>
  <c r="B25958" i="1"/>
  <c r="B26041" i="1"/>
  <c r="B26125" i="1"/>
  <c r="B26126" i="1"/>
  <c r="B26127" i="1"/>
  <c r="B26128" i="1"/>
  <c r="B26131" i="1"/>
  <c r="B26139" i="1"/>
  <c r="B26152" i="1"/>
  <c r="B26153" i="1"/>
  <c r="B26157" i="1"/>
  <c r="B26192" i="1"/>
  <c r="B26200" i="1"/>
  <c r="B26208" i="1"/>
  <c r="B26617" i="1"/>
  <c r="B26618" i="1"/>
  <c r="B26652" i="1"/>
  <c r="B26653" i="1"/>
  <c r="B26655" i="1"/>
  <c r="B26658" i="1"/>
  <c r="B26667" i="1"/>
  <c r="B26696" i="1"/>
  <c r="B26706" i="1"/>
  <c r="B26709" i="1"/>
  <c r="B26710" i="1"/>
  <c r="B26715" i="1"/>
  <c r="B26730" i="1"/>
  <c r="B26738" i="1"/>
  <c r="B26740" i="1"/>
  <c r="B26741" i="1"/>
  <c r="B26742" i="1"/>
  <c r="B26744" i="1"/>
  <c r="B26754" i="1"/>
  <c r="B26764" i="1"/>
  <c r="B26774" i="1"/>
  <c r="B26779" i="1"/>
  <c r="B26783" i="1"/>
  <c r="B26787" i="1"/>
  <c r="B26792" i="1"/>
  <c r="B26802" i="1"/>
  <c r="B26835" i="1"/>
  <c r="B26904" i="1"/>
  <c r="B26928" i="1"/>
  <c r="B26953" i="1"/>
  <c r="B26960" i="1"/>
  <c r="B26972" i="1"/>
  <c r="B26978" i="1"/>
  <c r="B26984" i="1"/>
  <c r="B26991" i="1"/>
  <c r="B27055" i="1"/>
  <c r="B27087" i="1"/>
  <c r="B27119" i="1"/>
  <c r="B27151" i="1"/>
  <c r="B27166" i="1"/>
  <c r="B27173" i="1"/>
  <c r="B27202" i="1"/>
  <c r="B27203" i="1"/>
  <c r="B27218" i="1"/>
  <c r="B27226" i="1"/>
  <c r="B27231" i="1"/>
  <c r="B27237" i="1"/>
  <c r="B27250" i="1"/>
  <c r="B27321" i="1"/>
  <c r="B27322" i="1"/>
  <c r="B27332" i="1"/>
  <c r="B27337" i="1"/>
  <c r="B27339" i="1"/>
  <c r="B27343" i="1"/>
  <c r="B27348" i="1"/>
  <c r="B27356" i="1"/>
  <c r="B27366" i="1"/>
  <c r="B27375" i="1"/>
  <c r="B27376" i="1"/>
  <c r="B27382" i="1"/>
  <c r="B27387" i="1"/>
  <c r="B27388" i="1"/>
  <c r="B27390" i="1"/>
  <c r="B27393" i="1"/>
  <c r="B27394" i="1"/>
  <c r="B27396" i="1"/>
  <c r="B27404" i="1"/>
  <c r="B27412" i="1"/>
  <c r="B27428" i="1"/>
  <c r="B27429" i="1"/>
  <c r="B27434" i="1"/>
  <c r="B27459" i="1"/>
  <c r="B27636" i="1"/>
  <c r="B27637" i="1"/>
  <c r="B27645" i="1"/>
  <c r="B27646" i="1"/>
  <c r="B27657" i="1"/>
  <c r="B27658" i="1"/>
  <c r="B27659" i="1"/>
  <c r="B27661" i="1"/>
  <c r="B27662" i="1"/>
  <c r="B27663" i="1"/>
  <c r="B27701" i="1"/>
  <c r="B27706" i="1"/>
  <c r="B27707" i="1"/>
  <c r="B27708" i="1"/>
  <c r="B27709" i="1"/>
  <c r="B27710" i="1"/>
  <c r="B27733" i="1"/>
  <c r="B27740" i="1"/>
  <c r="B27743" i="1"/>
  <c r="B27746" i="1"/>
  <c r="B27749" i="1"/>
  <c r="B27754" i="1"/>
  <c r="B27755" i="1"/>
  <c r="B27758" i="1"/>
  <c r="B27759" i="1"/>
  <c r="B27761" i="1"/>
  <c r="B27762" i="1"/>
  <c r="B27763" i="1"/>
  <c r="B27764" i="1"/>
  <c r="B27765" i="1"/>
  <c r="B27845" i="1"/>
  <c r="B27847" i="1"/>
  <c r="B27850" i="1"/>
  <c r="B27853" i="1"/>
  <c r="B27856" i="1"/>
  <c r="B27860" i="1"/>
  <c r="B27865" i="1"/>
  <c r="B27870" i="1"/>
  <c r="B27875" i="1"/>
  <c r="B27881" i="1"/>
  <c r="B27882" i="1"/>
  <c r="B27883" i="1"/>
  <c r="B27884" i="1"/>
  <c r="B27885" i="1"/>
  <c r="B27887" i="1"/>
  <c r="B27902" i="1"/>
  <c r="B27917" i="1"/>
  <c r="B27949" i="1"/>
  <c r="B27964" i="1"/>
  <c r="B27979" i="1"/>
  <c r="B27994" i="1"/>
  <c r="B28010" i="1"/>
  <c r="B28037" i="1"/>
  <c r="B28044" i="1"/>
  <c r="B28051" i="1"/>
  <c r="B28071" i="1"/>
  <c r="B28076" i="1"/>
  <c r="B28079" i="1"/>
  <c r="B28082" i="1"/>
  <c r="B28086" i="1"/>
  <c r="B28096" i="1"/>
  <c r="B28106" i="1"/>
  <c r="B28116" i="1"/>
  <c r="B28128" i="1"/>
  <c r="B28131" i="1"/>
  <c r="B28144" i="1"/>
  <c r="B28147" i="1"/>
  <c r="B28150" i="1"/>
  <c r="B28160" i="1"/>
  <c r="B28165" i="1"/>
  <c r="B28168" i="1"/>
  <c r="B28171" i="1"/>
  <c r="B28175" i="1"/>
  <c r="B28190" i="1"/>
  <c r="B28205" i="1"/>
  <c r="B28220" i="1"/>
  <c r="B28235" i="1"/>
  <c r="B28251" i="1"/>
  <c r="B28266" i="1"/>
  <c r="B28281" i="1"/>
  <c r="B28296" i="1"/>
  <c r="B28312" i="1"/>
  <c r="B28322" i="1"/>
  <c r="B28332" i="1"/>
  <c r="B28342" i="1"/>
  <c r="B28353" i="1"/>
  <c r="B28360" i="1"/>
  <c r="B28367" i="1"/>
  <c r="B28375" i="1"/>
  <c r="B28382" i="1"/>
  <c r="B28389" i="1"/>
  <c r="B28398" i="1"/>
  <c r="B28401" i="1"/>
  <c r="B28404" i="1"/>
  <c r="B28408" i="1"/>
  <c r="B28415" i="1"/>
  <c r="B28422" i="1"/>
  <c r="B28430" i="1"/>
  <c r="B28433" i="1"/>
  <c r="B28442" i="1"/>
  <c r="B28443" i="1"/>
  <c r="B28445" i="1"/>
  <c r="B28446" i="1"/>
  <c r="B28447" i="1"/>
  <c r="B28449" i="1"/>
  <c r="B28456" i="1"/>
  <c r="B28463" i="1"/>
  <c r="B28471" i="1"/>
  <c r="B28474" i="1"/>
  <c r="B28477" i="1"/>
  <c r="B28481" i="1"/>
  <c r="B28488" i="1"/>
  <c r="B28501" i="1"/>
  <c r="B28529" i="1"/>
  <c r="B28557" i="1"/>
  <c r="B28585" i="1"/>
  <c r="B28594" i="1"/>
  <c r="B28622" i="1"/>
  <c r="B28632" i="1"/>
  <c r="B28644" i="1"/>
  <c r="B28656" i="1"/>
  <c r="B28679" i="1"/>
  <c r="B28682" i="1"/>
  <c r="B28685" i="1"/>
  <c r="B28688" i="1"/>
  <c r="B28692" i="1"/>
  <c r="B28693" i="1"/>
  <c r="B28695" i="1"/>
  <c r="B28698" i="1"/>
  <c r="B28712" i="1"/>
  <c r="B28717" i="1"/>
  <c r="B28726" i="1"/>
  <c r="B28738" i="1"/>
  <c r="B28902" i="1"/>
  <c r="B29041" i="1"/>
  <c r="B29045" i="1"/>
  <c r="B29049" i="1"/>
  <c r="B29053" i="1"/>
  <c r="B29058" i="1"/>
  <c r="B29076" i="1"/>
  <c r="B29077" i="1"/>
  <c r="B29081" i="1"/>
  <c r="B29085" i="1"/>
  <c r="B29087" i="1"/>
  <c r="B29091" i="1"/>
  <c r="B29094" i="1"/>
  <c r="B29123" i="1"/>
  <c r="B29136" i="1"/>
  <c r="B29149" i="1"/>
  <c r="B29162" i="1"/>
  <c r="B29176" i="1"/>
  <c r="B29183" i="1"/>
  <c r="B29194" i="1"/>
  <c r="B29201" i="1"/>
  <c r="B29210" i="1"/>
  <c r="B29229" i="1"/>
  <c r="B29242" i="1"/>
  <c r="B29255" i="1"/>
  <c r="B29269" i="1"/>
  <c r="B29276" i="1"/>
  <c r="B29287" i="1"/>
  <c r="B29294" i="1"/>
  <c r="B29303" i="1"/>
  <c r="B29314" i="1"/>
  <c r="B29321" i="1"/>
  <c r="B29329" i="1"/>
  <c r="B29338" i="1"/>
  <c r="B29347" i="1"/>
  <c r="B29373" i="1"/>
  <c r="B29378" i="1"/>
  <c r="B29381" i="1"/>
  <c r="B29384" i="1"/>
  <c r="B29388" i="1"/>
  <c r="B29398" i="1"/>
  <c r="B29420" i="1"/>
  <c r="B29430" i="1"/>
  <c r="B29442" i="1"/>
  <c r="B29447" i="1"/>
  <c r="B29450" i="1"/>
  <c r="B29453" i="1"/>
  <c r="B29457" i="1"/>
  <c r="B29462" i="1"/>
  <c r="B29465" i="1"/>
  <c r="B29468" i="1"/>
  <c r="B29472" i="1"/>
  <c r="B29477" i="1"/>
  <c r="B29480" i="1"/>
  <c r="B29483" i="1"/>
  <c r="B29487" i="1"/>
  <c r="B29502" i="1"/>
  <c r="B29517" i="1"/>
  <c r="B29532" i="1"/>
  <c r="B29547" i="1"/>
  <c r="B29563" i="1"/>
  <c r="B29578" i="1"/>
  <c r="B29593" i="1"/>
  <c r="B29608" i="1"/>
  <c r="B29624" i="1"/>
  <c r="B29634" i="1"/>
  <c r="B29656" i="1"/>
  <c r="B29666" i="1"/>
  <c r="B29677" i="1"/>
  <c r="B29692" i="1"/>
  <c r="B29699" i="1"/>
  <c r="B29723" i="1"/>
  <c r="B29730" i="1"/>
  <c r="B29737" i="1"/>
  <c r="B29752" i="1"/>
  <c r="B29759" i="1"/>
  <c r="B29768" i="1"/>
  <c r="B29771" i="1"/>
  <c r="B29775" i="1"/>
  <c r="B29782" i="1"/>
  <c r="B29789" i="1"/>
  <c r="B29797" i="1"/>
  <c r="B29800" i="1"/>
  <c r="B29809" i="1"/>
  <c r="B29810" i="1"/>
  <c r="B29812" i="1"/>
  <c r="B29819" i="1"/>
  <c r="B29826" i="1"/>
  <c r="B29834" i="1"/>
  <c r="B29837" i="1"/>
  <c r="B29840" i="1"/>
  <c r="B29844" i="1"/>
  <c r="B29853" i="1"/>
  <c r="B29862" i="1"/>
  <c r="B29933" i="1"/>
  <c r="B29956" i="1"/>
  <c r="B29981" i="1"/>
  <c r="B29982" i="1"/>
  <c r="B29983" i="1"/>
  <c r="B29987" i="1"/>
  <c r="B29993" i="1"/>
  <c r="B30001" i="1"/>
  <c r="B30011" i="1"/>
  <c r="B30017" i="1"/>
  <c r="B30025" i="1"/>
  <c r="B30030" i="1"/>
  <c r="B30031" i="1"/>
  <c r="B30032" i="1"/>
  <c r="B30033" i="1"/>
  <c r="B30035" i="1"/>
  <c r="B30036" i="1"/>
  <c r="B30040" i="1"/>
  <c r="B30044" i="1"/>
  <c r="B30048" i="1"/>
  <c r="B30052" i="1"/>
  <c r="B30056" i="1"/>
  <c r="B30063" i="1"/>
  <c r="B30064" i="1"/>
  <c r="B30065" i="1"/>
  <c r="B30082" i="1"/>
  <c r="B30087" i="1"/>
  <c r="B30109" i="1"/>
  <c r="B30110" i="1"/>
  <c r="B30116" i="1"/>
  <c r="B30122" i="1"/>
  <c r="B30128" i="1"/>
  <c r="B30135" i="1"/>
  <c r="B30142" i="1"/>
  <c r="B30162" i="1"/>
  <c r="B30182" i="1"/>
  <c r="B30203" i="1"/>
  <c r="B30223" i="1"/>
  <c r="B30243" i="1"/>
  <c r="B30263" i="1"/>
  <c r="B30270" i="1"/>
  <c r="B30283" i="1"/>
  <c r="B30296" i="1"/>
  <c r="B30323" i="1"/>
  <c r="B30332" i="1"/>
  <c r="B30336" i="1"/>
  <c r="B30349" i="1"/>
  <c r="B30360" i="1"/>
  <c r="B30361" i="1"/>
  <c r="B30365" i="1"/>
  <c r="B30366" i="1"/>
  <c r="B30367" i="1"/>
  <c r="B30370" i="1"/>
  <c r="B30371" i="1"/>
  <c r="B30376" i="1"/>
  <c r="B30377" i="1"/>
  <c r="B30378" i="1"/>
  <c r="B30379" i="1"/>
  <c r="B30382" i="1"/>
  <c r="B30384" i="1"/>
  <c r="B30385" i="1"/>
  <c r="B30407" i="1"/>
  <c r="B30408" i="1"/>
  <c r="B30411" i="1"/>
  <c r="B30412" i="1"/>
  <c r="B30416" i="1"/>
  <c r="B30424" i="1"/>
  <c r="B30432" i="1"/>
  <c r="B30435" i="1"/>
  <c r="B30438" i="1"/>
  <c r="B30444" i="1"/>
  <c r="B30445" i="1"/>
  <c r="B30473" i="1"/>
  <c r="B30474" i="1"/>
  <c r="B30476" i="1"/>
  <c r="B30480" i="1"/>
  <c r="B30493" i="1"/>
  <c r="B30549" i="1"/>
  <c r="B30593" i="1"/>
  <c r="B30610" i="1"/>
  <c r="B30662" i="1"/>
  <c r="B30755" i="1"/>
  <c r="B30797" i="1"/>
  <c r="B30802" i="1"/>
  <c r="B30841" i="1"/>
  <c r="B30872" i="1"/>
  <c r="B30930" i="1"/>
  <c r="B31014" i="1"/>
  <c r="B31142" i="1"/>
  <c r="B31163" i="1"/>
  <c r="B31218" i="1"/>
  <c r="B31252" i="1"/>
  <c r="B31352" i="1"/>
  <c r="B31390" i="1"/>
  <c r="B31417" i="1"/>
  <c r="B31503" i="1"/>
  <c r="B31705" i="1"/>
  <c r="B31741" i="1"/>
  <c r="B31748" i="1"/>
  <c r="B31753" i="1"/>
  <c r="B31755" i="1"/>
  <c r="B31762" i="1"/>
  <c r="B31767" i="1"/>
  <c r="B31768" i="1"/>
  <c r="B31775" i="1"/>
  <c r="B31782" i="1"/>
  <c r="B31792" i="1"/>
  <c r="B31793" i="1"/>
  <c r="B31794" i="1"/>
  <c r="B31797" i="1"/>
  <c r="B31809" i="1"/>
  <c r="B31813" i="1"/>
  <c r="B31814" i="1"/>
  <c r="B31816" i="1"/>
  <c r="B31831" i="1"/>
  <c r="B31835" i="1"/>
  <c r="B31841" i="1"/>
  <c r="B31849" i="1"/>
  <c r="B31851" i="1"/>
  <c r="B31856" i="1"/>
  <c r="B31861" i="1"/>
  <c r="B31862" i="1"/>
  <c r="B31864" i="1"/>
  <c r="B31873" i="1"/>
  <c r="B31912" i="1"/>
  <c r="B31931" i="1"/>
  <c r="B31932" i="1"/>
  <c r="B31933" i="1"/>
  <c r="B31937" i="1"/>
  <c r="B31938" i="1"/>
  <c r="B31942" i="1"/>
  <c r="B31943" i="1"/>
  <c r="B31944" i="1"/>
  <c r="B31947" i="1"/>
  <c r="B31948" i="1"/>
  <c r="B31950" i="1"/>
  <c r="B31951" i="1"/>
  <c r="B31953" i="1"/>
  <c r="B31955" i="1"/>
  <c r="B31956" i="1"/>
  <c r="B31957" i="1"/>
  <c r="B31959" i="1"/>
  <c r="B31962" i="1"/>
  <c r="B31963" i="1"/>
  <c r="B31964" i="1"/>
  <c r="B31978" i="1"/>
  <c r="B31991" i="1"/>
  <c r="B31999" i="1"/>
  <c r="B32000" i="1"/>
  <c r="B32002" i="1"/>
  <c r="B32008" i="1"/>
  <c r="B32010" i="1"/>
  <c r="B32013" i="1"/>
  <c r="B32036" i="1"/>
  <c r="B32061" i="1"/>
  <c r="B32071" i="1"/>
  <c r="B32072" i="1"/>
  <c r="B32074" i="1"/>
  <c r="B32075" i="1"/>
  <c r="B32092" i="1"/>
  <c r="B32099" i="1"/>
  <c r="B32107" i="1"/>
  <c r="B32112" i="1"/>
  <c r="B32116" i="1"/>
  <c r="B32141" i="1"/>
  <c r="B32167" i="1"/>
  <c r="B32189" i="1"/>
  <c r="B32216" i="1"/>
  <c r="B32217" i="1"/>
  <c r="B32219" i="1"/>
  <c r="B32222" i="1"/>
  <c r="B32229" i="1"/>
  <c r="B32230" i="1"/>
  <c r="B32232" i="1"/>
  <c r="B32236" i="1"/>
  <c r="B32241" i="1"/>
  <c r="B32248" i="1"/>
  <c r="B32255" i="1"/>
  <c r="B32262" i="1"/>
  <c r="B32264" i="1"/>
  <c r="B32271" i="1"/>
  <c r="B32279" i="1"/>
  <c r="B32287" i="1"/>
  <c r="B32304" i="1"/>
  <c r="B32321" i="1"/>
  <c r="B32331" i="1"/>
  <c r="B32339" i="1"/>
  <c r="B32341" i="1"/>
  <c r="B32347" i="1"/>
  <c r="B32361" i="1"/>
  <c r="B32375" i="1"/>
  <c r="B32390" i="1"/>
  <c r="B32392" i="1"/>
  <c r="B32395" i="1"/>
  <c r="B32398" i="1"/>
  <c r="B32419" i="1"/>
  <c r="B32425" i="1"/>
  <c r="B32426" i="1"/>
  <c r="B32428" i="1"/>
  <c r="B32432" i="1"/>
  <c r="B32433" i="1"/>
  <c r="B32437" i="1"/>
  <c r="B32438" i="1"/>
  <c r="B32447" i="1"/>
  <c r="B32458" i="1"/>
  <c r="B32467" i="1"/>
  <c r="B32470" i="1"/>
  <c r="B32473" i="1"/>
  <c r="B32478" i="1"/>
  <c r="B32484" i="1"/>
  <c r="B32487" i="1"/>
  <c r="B32491" i="1"/>
  <c r="B32493" i="1"/>
  <c r="B32497" i="1"/>
  <c r="B32502" i="1"/>
  <c r="B32509" i="1"/>
  <c r="B32514" i="1"/>
  <c r="B32515" i="1"/>
  <c r="B32570" i="1"/>
  <c r="B32573" i="1"/>
  <c r="B32591" i="1"/>
  <c r="B32592" i="1"/>
  <c r="B32596" i="1"/>
  <c r="B32598" i="1"/>
  <c r="B32599" i="1"/>
  <c r="B32603" i="1"/>
  <c r="B32604" i="1"/>
  <c r="B32606" i="1"/>
  <c r="B32610" i="1"/>
  <c r="B32611" i="1"/>
  <c r="B32615" i="1"/>
  <c r="B32616" i="1"/>
  <c r="B32619" i="1"/>
  <c r="B32621" i="1"/>
  <c r="B32622" i="1"/>
  <c r="B32624" i="1"/>
  <c r="B32626" i="1"/>
  <c r="B32627" i="1"/>
  <c r="B32634" i="1"/>
  <c r="B32635" i="1"/>
  <c r="B32638" i="1"/>
  <c r="B32641" i="1"/>
  <c r="B32645" i="1"/>
  <c r="B32648" i="1"/>
  <c r="B32652" i="1"/>
  <c r="B32653" i="1"/>
  <c r="B32655" i="1"/>
  <c r="B32656" i="1"/>
  <c r="B32658" i="1"/>
  <c r="B32659" i="1"/>
  <c r="B32662" i="1"/>
  <c r="B32669" i="1"/>
  <c r="B32670" i="1"/>
  <c r="B32671" i="1"/>
  <c r="B32676" i="1"/>
  <c r="B32686" i="1"/>
  <c r="B32696" i="1"/>
  <c r="B32708" i="1"/>
  <c r="B32718" i="1"/>
  <c r="B32728" i="1"/>
  <c r="B32739" i="1"/>
  <c r="B32740" i="1"/>
  <c r="B32744" i="1"/>
  <c r="B32745" i="1"/>
  <c r="B32753" i="1"/>
  <c r="B32754" i="1"/>
  <c r="B32755" i="1"/>
  <c r="B32757" i="1"/>
  <c r="B32760" i="1"/>
  <c r="B32764" i="1"/>
  <c r="B32768" i="1"/>
  <c r="B32771" i="1"/>
  <c r="B32774" i="1"/>
  <c r="B32777" i="1"/>
  <c r="B32778" i="1"/>
  <c r="B32779" i="1"/>
  <c r="B32780" i="1"/>
  <c r="B32781" i="1"/>
  <c r="B32783" i="1"/>
  <c r="B32784" i="1"/>
  <c r="B32785" i="1"/>
  <c r="B32786" i="1"/>
  <c r="B32793" i="1"/>
  <c r="B32794" i="1"/>
  <c r="B32796" i="1"/>
  <c r="B32798" i="1"/>
  <c r="B32801" i="1"/>
  <c r="B32804" i="1"/>
  <c r="B32806" i="1"/>
  <c r="B32807" i="1"/>
  <c r="B32808" i="1"/>
  <c r="B32810" i="1"/>
  <c r="B32816" i="1"/>
  <c r="B32819" i="1"/>
  <c r="B32826" i="1"/>
  <c r="B32827" i="1"/>
  <c r="B32830" i="1"/>
  <c r="B32833" i="1"/>
  <c r="B32834" i="1"/>
  <c r="B32839" i="1"/>
  <c r="B32933" i="1"/>
  <c r="B32966" i="1"/>
  <c r="B33047" i="1"/>
  <c r="B33078" i="1"/>
  <c r="B33079" i="1"/>
  <c r="B33092" i="1"/>
  <c r="B33101" i="1"/>
  <c r="B33157" i="1"/>
  <c r="B33170" i="1"/>
  <c r="B33191" i="1"/>
  <c r="B33196" i="1"/>
  <c r="B33205" i="1"/>
  <c r="B33220" i="1"/>
  <c r="B33231" i="1"/>
  <c r="B33242" i="1"/>
  <c r="B33250" i="1"/>
  <c r="B33262" i="1"/>
  <c r="B33265" i="1"/>
  <c r="B33270" i="1"/>
  <c r="B33285" i="1"/>
  <c r="B33312" i="1"/>
  <c r="B33314" i="1"/>
  <c r="B33315" i="1"/>
  <c r="B33322" i="1"/>
  <c r="B33326" i="1"/>
  <c r="B33329" i="1"/>
  <c r="B33330" i="1"/>
  <c r="B33332" i="1"/>
  <c r="B33337" i="1"/>
  <c r="B33349" i="1"/>
  <c r="B33350" i="1"/>
  <c r="B33351" i="1"/>
  <c r="B33376" i="1"/>
  <c r="B33387" i="1"/>
  <c r="B33389" i="1"/>
  <c r="B33392" i="1"/>
  <c r="B33395" i="1"/>
  <c r="B33401" i="1"/>
  <c r="B33408" i="1"/>
  <c r="B33422" i="1"/>
  <c r="B33438" i="1"/>
  <c r="B33439" i="1"/>
  <c r="B33441" i="1"/>
  <c r="B33452" i="1"/>
  <c r="B33461" i="1"/>
  <c r="B33478" i="1"/>
  <c r="B33480" i="1"/>
  <c r="B33482" i="1"/>
  <c r="B33483" i="1"/>
  <c r="B33501" i="1"/>
  <c r="B33520" i="1"/>
  <c r="B33523" i="1"/>
  <c r="B33527" i="1"/>
  <c r="B33532" i="1"/>
  <c r="B33543" i="1"/>
  <c r="B33552" i="1"/>
  <c r="B33559" i="1"/>
  <c r="B33568" i="1"/>
  <c r="B33569" i="1"/>
  <c r="B33579" i="1"/>
  <c r="B33580" i="1"/>
  <c r="B33581" i="1"/>
  <c r="B33589" i="1"/>
  <c r="B33598" i="1"/>
  <c r="B33609" i="1"/>
  <c r="B33610" i="1"/>
  <c r="B33615" i="1"/>
  <c r="B33631" i="1"/>
  <c r="B33632" i="1"/>
  <c r="B33633" i="1"/>
  <c r="B33637" i="1"/>
  <c r="B33644" i="1"/>
  <c r="B33649" i="1"/>
  <c r="B33669" i="1"/>
  <c r="B33670" i="1"/>
  <c r="B33671" i="1"/>
  <c r="B33673" i="1"/>
  <c r="B33678" i="1"/>
  <c r="B33681" i="1"/>
  <c r="B33695" i="1"/>
  <c r="B33709" i="1"/>
  <c r="B33729" i="1"/>
  <c r="B33743" i="1"/>
  <c r="B33744" i="1"/>
  <c r="B33746" i="1"/>
  <c r="B33747" i="1"/>
  <c r="B33749" i="1"/>
  <c r="B33750" i="1"/>
  <c r="B33752" i="1"/>
  <c r="B33755" i="1"/>
  <c r="B33756" i="1"/>
  <c r="B33757" i="1"/>
  <c r="B33764" i="1"/>
  <c r="B33768" i="1"/>
  <c r="B33769" i="1"/>
  <c r="B33772" i="1"/>
  <c r="B33773" i="1"/>
  <c r="B33796" i="1"/>
  <c r="B33803" i="1"/>
  <c r="B33812" i="1"/>
  <c r="B33815" i="1"/>
  <c r="B33817" i="1"/>
  <c r="B33826" i="1"/>
  <c r="B33832" i="1"/>
  <c r="B33843" i="1"/>
  <c r="B33844" i="1"/>
  <c r="B33845" i="1"/>
  <c r="B33848" i="1"/>
  <c r="B33849" i="1"/>
  <c r="B33850" i="1"/>
  <c r="B33853" i="1"/>
  <c r="B33856" i="1"/>
  <c r="B33864" i="1"/>
  <c r="B33865" i="1"/>
  <c r="B33873" i="1"/>
  <c r="B33933" i="1"/>
  <c r="B33942" i="1"/>
  <c r="B33956" i="1"/>
  <c r="B33974" i="1"/>
  <c r="B33985" i="1"/>
  <c r="B33993" i="1"/>
  <c r="B33997" i="1"/>
  <c r="B34454" i="1"/>
  <c r="B34457" i="1"/>
  <c r="B34458" i="1"/>
  <c r="B34459" i="1"/>
  <c r="B34463" i="1"/>
  <c r="B34466" i="1"/>
  <c r="B34467" i="1"/>
  <c r="B34628" i="1"/>
  <c r="B34632" i="1"/>
  <c r="B34635" i="1"/>
  <c r="B34639" i="1"/>
  <c r="B34646" i="1"/>
  <c r="B34650" i="1"/>
  <c r="B34687" i="1"/>
  <c r="B34699" i="1"/>
  <c r="B34732" i="1"/>
  <c r="B34804" i="1"/>
  <c r="B34808" i="1"/>
  <c r="B34809" i="1"/>
  <c r="B34810" i="1"/>
  <c r="B34817" i="1"/>
  <c r="B34818" i="1"/>
  <c r="B34820" i="1"/>
  <c r="B34821" i="1"/>
  <c r="B34822" i="1"/>
  <c r="B34823" i="1"/>
  <c r="B34826" i="1"/>
  <c r="B34836" i="1"/>
  <c r="B34843" i="1"/>
  <c r="B34846" i="1"/>
  <c r="B34850" i="1"/>
  <c r="B34851" i="1"/>
  <c r="B34868" i="1"/>
  <c r="B34869" i="1"/>
  <c r="B34878" i="1"/>
  <c r="B34881" i="1"/>
  <c r="B34893" i="1"/>
  <c r="B34894" i="1"/>
  <c r="B34913" i="1"/>
  <c r="B34954" i="1"/>
  <c r="B34968" i="1"/>
  <c r="B34972" i="1"/>
  <c r="B34975" i="1"/>
  <c r="B34979" i="1"/>
  <c r="B34988" i="1"/>
  <c r="B34989" i="1"/>
  <c r="B34991" i="1"/>
  <c r="B34992" i="1"/>
  <c r="B34998" i="1"/>
  <c r="B34999" i="1"/>
  <c r="B35002" i="1"/>
  <c r="B35007" i="1"/>
  <c r="B35047" i="1"/>
  <c r="B35048" i="1"/>
  <c r="B35052" i="1"/>
  <c r="B35066" i="1"/>
  <c r="B35067" i="1"/>
  <c r="B35070" i="1"/>
  <c r="B35073" i="1"/>
  <c r="B35076" i="1"/>
  <c r="B35080" i="1"/>
  <c r="B35084" i="1"/>
  <c r="B35101" i="1"/>
  <c r="B35107" i="1"/>
  <c r="B35112" i="1"/>
  <c r="B35127" i="1"/>
  <c r="B35142" i="1"/>
  <c r="B35161" i="1"/>
  <c r="B35165" i="1"/>
  <c r="B35166" i="1"/>
  <c r="B35167" i="1"/>
  <c r="B35169" i="1"/>
  <c r="B35171" i="1"/>
  <c r="B35172" i="1"/>
  <c r="B35179" i="1"/>
  <c r="B35180" i="1"/>
  <c r="B35181" i="1"/>
  <c r="B35184" i="1"/>
  <c r="B35199" i="1"/>
  <c r="B35201" i="1"/>
  <c r="B35202" i="1"/>
  <c r="B35204" i="1"/>
  <c r="B35205" i="1"/>
  <c r="B35215" i="1"/>
  <c r="B35216" i="1"/>
  <c r="B35218" i="1"/>
  <c r="B35224" i="1"/>
  <c r="B35227" i="1"/>
  <c r="B35235" i="1"/>
  <c r="B35237" i="1"/>
  <c r="B35238" i="1"/>
  <c r="B35239" i="1"/>
  <c r="B35246" i="1"/>
  <c r="B35247" i="1"/>
  <c r="B35249" i="1"/>
  <c r="B35250" i="1"/>
  <c r="B35252" i="1"/>
  <c r="B35257" i="1"/>
  <c r="B35258" i="1"/>
  <c r="B35261" i="1"/>
  <c r="B35264" i="1"/>
  <c r="B35270" i="1"/>
  <c r="B35272" i="1"/>
  <c r="B35277" i="1"/>
  <c r="B35279" i="1"/>
  <c r="B35287" i="1"/>
  <c r="B35294" i="1"/>
  <c r="B35301" i="1"/>
  <c r="B35309" i="1"/>
  <c r="B35313" i="1"/>
  <c r="B35329" i="1"/>
  <c r="B35332" i="1"/>
  <c r="B35336" i="1"/>
  <c r="B35342" i="1"/>
  <c r="B35344" i="1"/>
  <c r="B35351" i="1"/>
  <c r="B35355" i="1"/>
  <c r="B35359" i="1"/>
  <c r="B35360" i="1"/>
  <c r="B35376" i="1"/>
  <c r="B35379" i="1"/>
  <c r="B35382" i="1"/>
  <c r="B35389" i="1"/>
  <c r="B35394" i="1"/>
  <c r="B35400" i="1"/>
  <c r="B35401" i="1"/>
  <c r="B35403" i="1"/>
  <c r="B35404" i="1"/>
  <c r="B35407" i="1"/>
  <c r="B35408" i="1"/>
  <c r="B35411" i="1"/>
  <c r="B35413" i="1"/>
  <c r="B35414" i="1"/>
  <c r="B35424" i="1"/>
  <c r="B35427" i="1"/>
  <c r="B35432" i="1"/>
  <c r="B35435" i="1"/>
  <c r="B35437" i="1"/>
  <c r="B35445" i="1"/>
  <c r="B35448" i="1"/>
  <c r="B35460" i="1"/>
  <c r="B35467" i="1"/>
  <c r="B35472" i="1"/>
  <c r="B35475" i="1"/>
  <c r="B35483" i="1"/>
  <c r="B35486" i="1"/>
  <c r="B35491" i="1"/>
  <c r="B35500" i="1"/>
  <c r="B35511" i="1"/>
  <c r="B35516" i="1"/>
  <c r="B35520" i="1"/>
  <c r="B35538" i="1"/>
  <c r="B35542" i="1"/>
  <c r="B35557" i="1"/>
  <c r="B35563" i="1"/>
  <c r="B35592" i="1"/>
  <c r="B35641" i="1"/>
  <c r="B35648" i="1"/>
  <c r="B35650" i="1"/>
  <c r="B35659" i="1"/>
  <c r="B35660" i="1"/>
  <c r="B35667" i="1"/>
  <c r="B35673" i="1"/>
  <c r="B35674" i="1"/>
  <c r="B35679" i="1"/>
  <c r="B35680" i="1"/>
  <c r="B35699" i="1"/>
  <c r="B35704" i="1"/>
  <c r="B35705" i="1"/>
  <c r="B35715" i="1"/>
  <c r="B35718" i="1"/>
  <c r="B35739" i="1"/>
  <c r="B35743" i="1"/>
  <c r="B35744" i="1"/>
  <c r="B35745" i="1"/>
  <c r="B35746" i="1"/>
  <c r="B35750" i="1"/>
  <c r="B35754" i="1"/>
  <c r="B35755" i="1"/>
  <c r="B35756" i="1"/>
  <c r="B35757" i="1"/>
  <c r="B35758" i="1"/>
  <c r="B35760" i="1"/>
  <c r="B35761" i="1"/>
  <c r="B35762" i="1"/>
  <c r="B35768" i="1"/>
  <c r="B35771" i="1"/>
  <c r="B35772" i="1"/>
  <c r="B35775" i="1"/>
  <c r="B35781" i="1"/>
  <c r="B35789" i="1"/>
  <c r="B35790" i="1"/>
  <c r="B35801" i="1"/>
  <c r="B35804" i="1"/>
  <c r="B35805" i="1"/>
  <c r="B35807" i="1"/>
  <c r="B35808" i="1"/>
  <c r="B35809" i="1"/>
  <c r="B35814" i="1"/>
  <c r="B35815" i="1"/>
  <c r="B35816" i="1"/>
  <c r="B35821" i="1"/>
  <c r="B35824" i="1"/>
  <c r="B35825" i="1"/>
  <c r="B35835" i="1"/>
  <c r="B35836" i="1"/>
  <c r="B35837" i="1"/>
  <c r="B35839" i="1"/>
  <c r="B35842" i="1"/>
  <c r="B35843" i="1"/>
  <c r="B35845" i="1"/>
  <c r="B35846" i="1"/>
  <c r="B35847" i="1"/>
  <c r="B35849" i="1"/>
  <c r="B35867" i="1"/>
  <c r="B35881" i="1"/>
  <c r="B35899" i="1"/>
  <c r="B35926" i="1"/>
  <c r="B35940" i="1"/>
  <c r="B35947" i="1"/>
  <c r="B35961" i="1"/>
  <c r="B35965" i="1"/>
  <c r="B35977" i="1"/>
  <c r="B35979" i="1"/>
  <c r="B35982" i="1"/>
  <c r="B35985" i="1"/>
  <c r="B35987" i="1"/>
  <c r="B36014" i="1"/>
  <c r="B36022" i="1"/>
  <c r="B36044" i="1"/>
  <c r="B36045" i="1"/>
  <c r="B36052" i="1"/>
  <c r="B36082" i="1"/>
  <c r="B36083" i="1"/>
  <c r="B36097" i="1"/>
  <c r="B36101" i="1"/>
  <c r="B36104" i="1"/>
  <c r="B36109" i="1"/>
  <c r="B36146" i="1"/>
  <c r="B36152" i="1"/>
  <c r="B36155" i="1"/>
  <c r="B36156" i="1"/>
  <c r="B36159" i="1"/>
  <c r="B36180" i="1"/>
  <c r="B36185" i="1"/>
  <c r="B36190" i="1"/>
  <c r="B36193" i="1"/>
  <c r="B36196" i="1"/>
  <c r="B36218" i="1"/>
  <c r="B36330" i="1"/>
  <c r="B36331" i="1"/>
  <c r="B36365" i="1"/>
  <c r="B36366" i="1"/>
  <c r="B36377" i="1"/>
  <c r="B36385" i="1"/>
  <c r="B36386" i="1"/>
  <c r="B36387" i="1"/>
  <c r="B36390" i="1"/>
  <c r="B36406" i="1"/>
  <c r="B36411" i="1"/>
  <c r="B36425" i="1"/>
  <c r="B36453" i="1"/>
  <c r="B36461" i="1"/>
  <c r="B36462" i="1"/>
  <c r="B36464" i="1"/>
  <c r="B36474" i="1"/>
  <c r="B36477" i="1"/>
  <c r="B36482" i="1"/>
  <c r="B36485" i="1"/>
  <c r="B36492" i="1"/>
  <c r="B36498" i="1"/>
  <c r="B36499" i="1"/>
  <c r="B36507" i="1"/>
  <c r="B36508" i="1"/>
  <c r="B36537" i="1"/>
  <c r="B36544" i="1"/>
  <c r="B36545" i="1"/>
  <c r="B36549" i="1"/>
  <c r="B36585" i="1"/>
  <c r="B36586" i="1"/>
  <c r="B36589" i="1"/>
  <c r="B36591" i="1"/>
  <c r="B36647" i="1"/>
  <c r="B36657" i="1"/>
  <c r="B36659" i="1"/>
  <c r="B36680" i="1"/>
  <c r="B36690" i="1"/>
  <c r="B36696" i="1"/>
  <c r="B36701" i="1"/>
  <c r="B36716" i="1"/>
  <c r="B36717" i="1"/>
  <c r="B36718" i="1"/>
  <c r="B36724" i="1"/>
  <c r="B36726" i="1"/>
  <c r="B36727" i="1"/>
  <c r="B36728" i="1"/>
  <c r="B36732" i="1"/>
  <c r="B36738" i="1"/>
  <c r="B36743" i="1"/>
  <c r="B36746" i="1"/>
  <c r="B36760" i="1"/>
  <c r="B36767" i="1"/>
  <c r="B36768" i="1"/>
  <c r="B36782" i="1"/>
  <c r="B36785" i="1"/>
  <c r="B36787" i="1"/>
  <c r="B36788" i="1"/>
  <c r="B36791" i="1"/>
  <c r="B36792" i="1"/>
  <c r="B36797" i="1"/>
  <c r="B36799" i="1"/>
  <c r="B36801" i="1"/>
  <c r="B36824" i="1"/>
  <c r="B36829" i="1"/>
  <c r="B36830" i="1"/>
  <c r="B36834" i="1"/>
  <c r="B36835" i="1"/>
  <c r="B36837" i="1"/>
  <c r="B36841" i="1"/>
  <c r="B36850" i="1"/>
  <c r="B36852" i="1"/>
  <c r="B36855" i="1"/>
  <c r="B36871" i="1"/>
  <c r="B36876" i="1"/>
  <c r="B36892" i="1"/>
  <c r="B36898" i="1"/>
  <c r="B36900" i="1"/>
  <c r="B36920" i="1"/>
  <c r="B36956" i="1"/>
  <c r="B36968" i="1"/>
  <c r="B36976" i="1"/>
  <c r="B36985" i="1"/>
  <c r="B36987" i="1"/>
  <c r="B36992" i="1"/>
  <c r="B36996" i="1"/>
  <c r="B36999" i="1"/>
  <c r="B37002" i="1"/>
  <c r="B37005" i="1"/>
  <c r="B37012" i="1"/>
  <c r="B37013" i="1"/>
  <c r="B37019" i="1"/>
  <c r="B37030" i="1"/>
  <c r="B37031" i="1"/>
  <c r="B37040" i="1"/>
  <c r="B37060" i="1"/>
  <c r="B37104" i="1"/>
  <c r="B37113" i="1"/>
  <c r="B37115" i="1"/>
  <c r="B37134" i="1"/>
  <c r="B37136" i="1"/>
  <c r="B37155" i="1"/>
  <c r="B37156" i="1"/>
  <c r="B37174" i="1"/>
  <c r="B37260" i="1"/>
  <c r="B37271" i="1"/>
  <c r="B37300" i="1"/>
  <c r="B37378" i="1"/>
  <c r="B37385" i="1"/>
  <c r="B37410" i="1"/>
  <c r="B37432" i="1"/>
  <c r="B37441" i="1"/>
  <c r="B37474" i="1"/>
  <c r="B37475" i="1"/>
  <c r="B37480" i="1"/>
  <c r="B37484" i="1"/>
  <c r="B37486" i="1"/>
  <c r="B37494" i="1"/>
  <c r="B37499" i="1"/>
  <c r="B37506" i="1"/>
  <c r="B37508" i="1"/>
  <c r="B37514" i="1"/>
  <c r="B37518" i="1"/>
  <c r="B37542" i="1"/>
  <c r="B37579" i="1"/>
  <c r="B37580" i="1"/>
  <c r="B37588" i="1"/>
  <c r="B37595" i="1"/>
  <c r="B37603" i="1"/>
  <c r="B37605" i="1"/>
  <c r="B37606" i="1"/>
  <c r="B37616" i="1"/>
  <c r="B37619" i="1"/>
  <c r="B37623" i="1"/>
  <c r="B37638" i="1"/>
  <c r="B37640" i="1"/>
  <c r="B37647" i="1"/>
  <c r="B37665" i="1"/>
  <c r="B37685" i="1"/>
  <c r="B37709" i="1"/>
  <c r="B37710" i="1"/>
  <c r="B37713" i="1"/>
  <c r="B37719" i="1"/>
  <c r="B37725" i="1"/>
  <c r="B37732" i="1"/>
  <c r="B37735" i="1"/>
  <c r="B37736" i="1"/>
  <c r="B37737" i="1"/>
  <c r="B37752" i="1"/>
  <c r="B37753" i="1"/>
  <c r="B37762" i="1"/>
  <c r="B37775" i="1"/>
  <c r="B37788" i="1"/>
  <c r="B37789" i="1"/>
  <c r="B37790" i="1"/>
  <c r="B37795" i="1"/>
  <c r="B37806" i="1"/>
  <c r="B37816" i="1"/>
  <c r="B37823" i="1"/>
  <c r="B37832" i="1"/>
  <c r="B37833" i="1"/>
  <c r="B37874" i="1"/>
  <c r="B37877" i="1"/>
  <c r="B37901" i="1"/>
  <c r="B37952" i="1"/>
  <c r="B37955" i="1"/>
  <c r="B37972" i="1"/>
  <c r="B37975" i="1"/>
  <c r="B37983" i="1"/>
  <c r="B38012" i="1"/>
  <c r="B38021" i="1"/>
  <c r="B38032" i="1"/>
  <c r="B38037" i="1"/>
  <c r="B38045" i="1"/>
  <c r="B38059" i="1"/>
  <c r="B38067" i="1"/>
  <c r="B38076" i="1"/>
  <c r="B38093" i="1"/>
  <c r="B38106" i="1"/>
  <c r="B38107" i="1"/>
  <c r="B38110" i="1"/>
  <c r="B38113" i="1"/>
  <c r="B38114" i="1"/>
  <c r="B38118" i="1"/>
  <c r="B38121" i="1"/>
  <c r="B38127" i="1"/>
  <c r="B38131" i="1"/>
  <c r="B38133" i="1"/>
  <c r="B38179" i="1"/>
  <c r="B38216" i="1"/>
  <c r="B38220" i="1"/>
  <c r="B38254" i="1"/>
  <c r="B38260" i="1"/>
  <c r="B38261" i="1"/>
  <c r="B38262" i="1"/>
  <c r="B38267" i="1"/>
  <c r="B38274" i="1"/>
  <c r="B38275" i="1"/>
  <c r="B38281" i="1"/>
  <c r="B38302" i="1"/>
  <c r="B38305" i="1"/>
  <c r="B38308" i="1"/>
  <c r="B38312" i="1"/>
  <c r="B38314" i="1"/>
  <c r="B38332" i="1"/>
  <c r="B38337" i="1"/>
  <c r="B38340" i="1"/>
  <c r="B38342" i="1"/>
  <c r="B38345" i="1"/>
  <c r="B38349" i="1"/>
  <c r="B38354" i="1"/>
  <c r="B38358" i="1"/>
  <c r="B38360" i="1"/>
  <c r="B38368" i="1"/>
  <c r="B38389" i="1"/>
  <c r="B38402" i="1"/>
  <c r="B38404" i="1"/>
  <c r="B38409" i="1"/>
  <c r="B38423" i="1"/>
  <c r="B38425" i="1"/>
  <c r="B38426" i="1"/>
  <c r="B38436" i="1"/>
  <c r="B38445" i="1"/>
  <c r="B38455" i="1"/>
  <c r="B38458" i="1"/>
  <c r="B38461" i="1"/>
  <c r="B38462" i="1"/>
  <c r="B38471" i="1"/>
  <c r="B38472" i="1"/>
  <c r="B38473" i="1"/>
  <c r="B38480" i="1"/>
  <c r="B38481" i="1"/>
  <c r="B38485" i="1"/>
  <c r="B38488" i="1"/>
  <c r="B38491" i="1"/>
  <c r="B38498" i="1"/>
  <c r="B38522" i="1"/>
  <c r="B38533" i="1"/>
  <c r="B38541" i="1"/>
  <c r="B38544" i="1"/>
  <c r="B38559" i="1"/>
  <c r="B38561" i="1"/>
  <c r="B38575" i="1"/>
  <c r="B38577" i="1"/>
  <c r="B38579" i="1"/>
  <c r="B38580" i="1"/>
  <c r="B38584" i="1"/>
  <c r="B38599" i="1"/>
  <c r="B38604" i="1"/>
  <c r="B38609" i="1"/>
  <c r="B38625" i="1"/>
  <c r="B38627" i="1"/>
  <c r="B38645" i="1"/>
  <c r="B38672" i="1"/>
  <c r="B38673" i="1"/>
  <c r="B38674" i="1"/>
  <c r="B38679" i="1"/>
  <c r="B38682" i="1"/>
  <c r="B38686" i="1"/>
  <c r="B38688" i="1"/>
  <c r="B38697" i="1"/>
  <c r="B38707" i="1"/>
  <c r="B38718" i="1"/>
  <c r="B38719" i="1"/>
  <c r="B38725" i="1"/>
  <c r="B38741" i="1"/>
  <c r="B38743" i="1"/>
  <c r="B38751" i="1"/>
  <c r="B38754" i="1"/>
  <c r="B38755" i="1"/>
  <c r="B38760" i="1"/>
  <c r="B38762" i="1"/>
  <c r="B38768" i="1"/>
  <c r="B38772" i="1"/>
  <c r="B38786" i="1"/>
  <c r="B38794" i="1"/>
  <c r="B38803" i="1"/>
  <c r="B38804" i="1"/>
  <c r="B38805" i="1"/>
  <c r="B38808" i="1"/>
  <c r="B38811" i="1"/>
  <c r="B38815" i="1"/>
  <c r="B38827" i="1"/>
  <c r="B38851" i="1"/>
  <c r="B38866" i="1"/>
  <c r="B38898" i="1"/>
  <c r="B38902" i="1"/>
  <c r="B38903" i="1"/>
  <c r="B38904" i="1"/>
  <c r="B38915" i="1"/>
  <c r="B38916" i="1"/>
  <c r="B38919" i="1"/>
  <c r="B38933" i="1"/>
  <c r="B38944" i="1"/>
  <c r="B38945" i="1"/>
  <c r="B38956" i="1"/>
  <c r="B38962" i="1"/>
  <c r="B38968" i="1"/>
  <c r="B38972" i="1"/>
  <c r="B38985" i="1"/>
  <c r="B38986" i="1"/>
  <c r="B39007" i="1"/>
  <c r="B39010" i="1"/>
  <c r="B39048" i="1"/>
  <c r="B39049" i="1"/>
  <c r="B39060" i="1"/>
  <c r="B39063" i="1"/>
  <c r="B39095" i="1"/>
  <c r="B39121" i="1"/>
  <c r="B39122" i="1"/>
  <c r="B39143" i="1"/>
  <c r="B39147" i="1"/>
  <c r="B39150" i="1"/>
  <c r="B39155" i="1"/>
  <c r="B39167" i="1"/>
  <c r="B39176" i="1"/>
  <c r="B39180" i="1"/>
  <c r="B39181" i="1"/>
  <c r="B39185" i="1"/>
  <c r="B39203" i="1"/>
  <c r="B39207" i="1"/>
  <c r="B39217" i="1"/>
  <c r="B39218" i="1"/>
  <c r="B39232" i="1"/>
  <c r="B39246" i="1"/>
  <c r="B39247" i="1"/>
  <c r="B39248" i="1"/>
  <c r="B39250" i="1"/>
  <c r="B39251" i="1"/>
  <c r="B39256" i="1"/>
  <c r="B39260" i="1"/>
  <c r="B39264" i="1"/>
  <c r="B39266" i="1"/>
  <c r="B39269" i="1"/>
  <c r="B39272" i="1"/>
  <c r="B39276" i="1"/>
  <c r="B39279" i="1"/>
  <c r="B39284" i="1"/>
  <c r="B39289" i="1"/>
  <c r="B39292" i="1"/>
  <c r="B39300" i="1"/>
  <c r="B39301" i="1"/>
  <c r="B39302" i="1"/>
  <c r="B39304" i="1"/>
  <c r="B39305" i="1"/>
  <c r="B39308" i="1"/>
  <c r="B39313" i="1"/>
  <c r="B39318" i="1"/>
  <c r="B39322" i="1"/>
  <c r="B39323" i="1"/>
  <c r="B39325" i="1"/>
  <c r="B39327" i="1"/>
  <c r="B39332" i="1"/>
  <c r="B39337" i="1"/>
  <c r="B39338" i="1"/>
  <c r="B39340" i="1"/>
  <c r="B39341" i="1"/>
  <c r="B39343" i="1"/>
  <c r="B39344" i="1"/>
  <c r="B39346" i="1"/>
  <c r="B39347" i="1"/>
  <c r="B39352" i="1"/>
  <c r="B39355" i="1"/>
  <c r="B39356" i="1"/>
  <c r="B39358" i="1"/>
  <c r="B39359" i="1"/>
  <c r="B39360" i="1"/>
  <c r="B39361" i="1"/>
  <c r="B39363" i="1"/>
  <c r="B39364" i="1"/>
  <c r="B39365" i="1"/>
  <c r="B39372" i="1"/>
  <c r="B39382" i="1"/>
  <c r="B39385" i="1"/>
  <c r="B39388" i="1"/>
  <c r="B39393" i="1"/>
  <c r="B39397" i="1"/>
  <c r="B39401" i="1"/>
  <c r="B39412" i="1"/>
  <c r="B39428" i="1"/>
  <c r="B39444" i="1"/>
  <c r="B39445" i="1"/>
  <c r="B39449" i="1"/>
  <c r="B39450" i="1"/>
  <c r="B39455" i="1"/>
  <c r="B39462" i="1"/>
  <c r="B39467" i="1"/>
  <c r="B39470" i="1"/>
  <c r="B39475" i="1"/>
  <c r="B39476" i="1"/>
  <c r="B39480" i="1"/>
  <c r="B39481" i="1"/>
  <c r="B39487" i="1"/>
  <c r="B39493" i="1"/>
  <c r="B39494" i="1"/>
  <c r="B39496" i="1"/>
  <c r="B39504" i="1"/>
  <c r="B39513" i="1"/>
  <c r="B39516" i="1"/>
  <c r="B39517" i="1"/>
  <c r="B39524" i="1"/>
  <c r="B39525" i="1"/>
  <c r="B39534" i="1"/>
  <c r="B39537" i="1"/>
  <c r="B39540" i="1"/>
  <c r="B39586" i="1"/>
  <c r="B39595" i="1"/>
  <c r="B39607" i="1"/>
  <c r="B39608" i="1"/>
  <c r="B39609" i="1"/>
  <c r="B39626" i="1"/>
  <c r="B39627" i="1"/>
  <c r="B39632" i="1"/>
  <c r="B39637" i="1"/>
  <c r="B39638" i="1"/>
  <c r="B39640" i="1"/>
  <c r="B39641" i="1"/>
  <c r="B39642" i="1"/>
  <c r="B39645" i="1"/>
  <c r="B39650" i="1"/>
  <c r="B39667" i="1"/>
  <c r="B39668" i="1"/>
  <c r="B39669" i="1"/>
  <c r="B39670" i="1"/>
  <c r="B39677" i="1"/>
  <c r="B39708" i="1"/>
  <c r="B39713" i="1"/>
  <c r="B39728" i="1"/>
  <c r="B39739" i="1"/>
  <c r="B39758" i="1"/>
  <c r="B39759" i="1"/>
  <c r="B39768" i="1"/>
  <c r="B39769" i="1"/>
  <c r="B39774" i="1"/>
  <c r="B39798" i="1"/>
  <c r="B39850" i="1"/>
  <c r="B39853" i="1"/>
  <c r="B39872" i="1"/>
  <c r="B39873" i="1"/>
  <c r="B39876" i="1"/>
  <c r="B39882" i="1"/>
  <c r="B39889" i="1"/>
  <c r="B39897" i="1"/>
  <c r="B39899" i="1"/>
  <c r="B39900" i="1"/>
  <c r="B39903" i="1"/>
  <c r="B39906" i="1"/>
  <c r="B39907" i="1"/>
  <c r="B39909" i="1"/>
  <c r="B39910" i="1"/>
  <c r="B39913" i="1"/>
  <c r="B39915" i="1"/>
  <c r="B39932" i="1"/>
  <c r="B39941" i="1"/>
  <c r="B39944" i="1"/>
  <c r="B39950" i="1"/>
  <c r="B39955" i="1"/>
  <c r="B39963" i="1"/>
  <c r="B39971" i="1"/>
  <c r="B39973" i="1"/>
  <c r="B39976" i="1"/>
  <c r="B39978" i="1"/>
  <c r="B39990" i="1"/>
  <c r="B39999" i="1"/>
  <c r="B40000" i="1"/>
  <c r="B40005" i="1"/>
  <c r="B40006" i="1"/>
  <c r="B40008" i="1"/>
  <c r="B40009" i="1"/>
  <c r="B40011" i="1"/>
  <c r="B40014" i="1"/>
  <c r="B40019" i="1"/>
  <c r="B40042" i="1"/>
  <c r="B40048" i="1"/>
  <c r="B40049" i="1"/>
  <c r="B40050" i="1"/>
  <c r="B40052" i="1"/>
  <c r="B40053" i="1"/>
  <c r="B40056" i="1"/>
  <c r="B40057" i="1"/>
  <c r="B40059" i="1"/>
  <c r="B40060" i="1"/>
  <c r="B40068" i="1"/>
  <c r="B40073" i="1"/>
  <c r="B40086" i="1"/>
  <c r="B40090" i="1"/>
  <c r="B40094" i="1"/>
  <c r="B40167" i="1"/>
  <c r="B40174" i="1"/>
  <c r="B40223" i="1"/>
  <c r="B40230" i="1"/>
  <c r="B40231" i="1"/>
  <c r="B40234" i="1"/>
  <c r="B40237" i="1"/>
  <c r="B40239" i="1"/>
  <c r="B40248" i="1"/>
  <c r="B40271" i="1"/>
  <c r="B40283" i="1"/>
  <c r="B40284" i="1"/>
  <c r="B40290" i="1"/>
  <c r="B40303" i="1"/>
  <c r="B40313" i="1"/>
  <c r="B40325" i="1"/>
  <c r="B40327" i="1"/>
  <c r="B40328" i="1"/>
  <c r="B40329" i="1"/>
  <c r="B40332" i="1"/>
  <c r="B40333" i="1"/>
  <c r="B40335" i="1"/>
  <c r="B40337" i="1"/>
  <c r="B40338" i="1"/>
  <c r="B40407" i="1"/>
  <c r="B40502" i="1"/>
  <c r="B40512" i="1"/>
  <c r="B40519" i="1"/>
  <c r="B40520" i="1"/>
  <c r="B40527" i="1"/>
  <c r="B40598" i="1"/>
  <c r="B40619" i="1"/>
  <c r="B40620" i="1"/>
  <c r="B40628" i="1"/>
  <c r="B40629" i="1"/>
  <c r="B40636" i="1"/>
  <c r="B40643" i="1"/>
  <c r="B40650" i="1"/>
  <c r="B40670" i="1"/>
  <c r="B40673" i="1"/>
  <c r="B40676" i="1"/>
  <c r="B40679" i="1"/>
  <c r="B40682" i="1"/>
  <c r="B40689" i="1"/>
  <c r="B40691" i="1"/>
  <c r="B40735" i="1"/>
  <c r="B40742" i="1"/>
  <c r="B40747" i="1"/>
  <c r="B40748" i="1"/>
  <c r="B40752" i="1"/>
  <c r="B40761" i="1"/>
  <c r="B40762" i="1"/>
  <c r="B40779" i="1"/>
  <c r="B40783" i="1"/>
  <c r="B40784" i="1"/>
  <c r="B40786" i="1"/>
  <c r="B40801" i="1"/>
  <c r="B40807" i="1"/>
  <c r="B40809" i="1"/>
  <c r="B40810" i="1"/>
  <c r="B40813" i="1"/>
  <c r="B40814" i="1"/>
  <c r="B40821" i="1"/>
  <c r="B40822" i="1"/>
  <c r="B40827" i="1"/>
  <c r="B40833" i="1"/>
  <c r="B40836" i="1"/>
  <c r="B40841" i="1"/>
  <c r="B40854" i="1"/>
  <c r="B40856" i="1"/>
  <c r="B40857" i="1"/>
  <c r="B40887" i="1"/>
  <c r="B40893" i="1"/>
  <c r="B40901" i="1"/>
  <c r="B40906" i="1"/>
  <c r="B40909" i="1"/>
  <c r="B40911" i="1"/>
  <c r="B40914" i="1"/>
  <c r="B40919" i="1"/>
  <c r="B40927" i="1"/>
  <c r="B40928" i="1"/>
  <c r="B40931" i="1"/>
  <c r="B40932" i="1"/>
  <c r="B40934" i="1"/>
  <c r="B40935" i="1"/>
  <c r="B40937" i="1"/>
  <c r="B40945" i="1"/>
  <c r="B40951" i="1"/>
  <c r="B40956" i="1"/>
  <c r="B40958" i="1"/>
  <c r="B40974" i="1"/>
  <c r="B40975" i="1"/>
  <c r="B40990" i="1"/>
  <c r="B40991" i="1"/>
  <c r="B40995" i="1"/>
  <c r="B40996" i="1"/>
  <c r="B41001" i="1"/>
  <c r="B41022" i="1"/>
  <c r="B41023" i="1"/>
  <c r="B41024" i="1"/>
  <c r="B41034" i="1"/>
  <c r="B41039" i="1"/>
  <c r="B41042" i="1"/>
  <c r="B41049" i="1"/>
  <c r="B41069" i="1"/>
  <c r="B41080" i="1"/>
  <c r="B41157" i="1"/>
  <c r="B41158" i="1"/>
  <c r="B41170" i="1"/>
  <c r="B41174" i="1"/>
  <c r="B41177" i="1"/>
  <c r="B41180" i="1"/>
  <c r="B41188" i="1"/>
  <c r="B41189" i="1"/>
  <c r="B41192" i="1"/>
  <c r="B41196" i="1"/>
  <c r="B41199" i="1"/>
  <c r="B41200" i="1"/>
  <c r="B41202" i="1"/>
  <c r="B41230" i="1"/>
  <c r="B41234" i="1"/>
  <c r="B41242" i="1"/>
  <c r="B41254" i="1"/>
  <c r="B41255" i="1"/>
  <c r="B41271" i="1"/>
  <c r="B41318" i="1"/>
  <c r="B41419" i="1"/>
  <c r="B41426" i="1"/>
  <c r="B41496" i="1"/>
  <c r="B41525" i="1"/>
  <c r="B41530" i="1"/>
  <c r="B41532" i="1"/>
  <c r="B41543" i="1"/>
  <c r="B41549" i="1"/>
  <c r="B41569" i="1"/>
  <c r="B41573" i="1"/>
  <c r="B41577" i="1"/>
  <c r="B41580" i="1"/>
  <c r="B41583" i="1"/>
  <c r="B41594" i="1"/>
  <c r="B41602" i="1"/>
  <c r="B41603" i="1"/>
  <c r="B41611" i="1"/>
  <c r="B41620" i="1"/>
  <c r="B41621" i="1"/>
  <c r="B41638" i="1"/>
  <c r="B41647" i="1"/>
  <c r="B41655" i="1"/>
  <c r="B41664" i="1"/>
  <c r="B41702" i="1"/>
  <c r="B41704" i="1"/>
  <c r="B41713" i="1"/>
  <c r="B41723" i="1"/>
  <c r="B41726" i="1"/>
  <c r="B41729" i="1"/>
  <c r="B41731" i="1"/>
  <c r="B41764" i="1"/>
  <c r="B41771" i="1"/>
  <c r="B41782" i="1"/>
  <c r="B41788" i="1"/>
  <c r="B41791" i="1"/>
  <c r="B41794" i="1"/>
  <c r="B41798" i="1"/>
  <c r="B41803" i="1"/>
  <c r="B41806" i="1"/>
  <c r="B41809" i="1"/>
  <c r="B41811" i="1"/>
  <c r="B41817" i="1"/>
  <c r="B41822" i="1"/>
  <c r="B41825" i="1"/>
  <c r="B41839" i="1"/>
  <c r="B41874" i="1"/>
  <c r="B41881" i="1"/>
  <c r="B41882" i="1"/>
  <c r="B41893" i="1"/>
  <c r="B41896" i="1"/>
  <c r="B41907" i="1"/>
  <c r="B41921" i="1"/>
  <c r="B41934" i="1"/>
  <c r="B41950" i="1"/>
  <c r="B41954" i="1"/>
  <c r="B42000" i="1"/>
  <c r="B42004" i="1"/>
  <c r="B42011" i="1"/>
  <c r="B42012" i="1"/>
  <c r="B42095" i="1"/>
  <c r="B42109" i="1"/>
  <c r="B42155" i="1"/>
  <c r="B42171" i="1"/>
  <c r="B42179" i="1"/>
  <c r="B42180" i="1"/>
  <c r="B42184" i="1"/>
  <c r="B42187" i="1"/>
  <c r="B42188" i="1"/>
  <c r="B42191" i="1"/>
  <c r="B42197" i="1"/>
  <c r="B42198" i="1"/>
  <c r="B42199" i="1"/>
  <c r="B42206" i="1"/>
  <c r="B42210" i="1"/>
  <c r="B42213" i="1"/>
  <c r="B42215" i="1"/>
  <c r="B42216" i="1"/>
  <c r="B42220" i="1"/>
  <c r="B42226" i="1"/>
  <c r="B42228" i="1"/>
  <c r="B42252" i="1"/>
  <c r="B42255" i="1"/>
  <c r="B42264" i="1"/>
  <c r="B42294" i="1"/>
  <c r="B42297" i="1"/>
  <c r="B42300" i="1"/>
  <c r="B42306" i="1"/>
  <c r="B42310" i="1"/>
  <c r="B42326" i="1"/>
  <c r="B42332" i="1"/>
  <c r="B42343" i="1"/>
  <c r="B42348" i="1"/>
  <c r="B42349" i="1"/>
  <c r="B42350" i="1"/>
  <c r="B42353" i="1"/>
  <c r="B42384" i="1"/>
  <c r="B42412" i="1"/>
  <c r="B42417" i="1"/>
  <c r="B42427" i="1"/>
  <c r="B42430" i="1"/>
  <c r="B42433" i="1"/>
  <c r="B42437" i="1"/>
  <c r="B42443" i="1"/>
  <c r="B42458" i="1"/>
  <c r="B42481" i="1"/>
  <c r="B42482" i="1"/>
  <c r="B42486" i="1"/>
  <c r="B42487" i="1"/>
  <c r="B42493" i="1"/>
  <c r="B42494" i="1"/>
  <c r="B42506" i="1"/>
  <c r="B42508" i="1"/>
  <c r="B42509" i="1"/>
  <c r="B42514" i="1"/>
  <c r="B42516" i="1"/>
  <c r="B42519" i="1"/>
  <c r="B42523" i="1"/>
  <c r="B42524" i="1"/>
  <c r="B42526" i="1"/>
  <c r="B42527" i="1"/>
  <c r="B42529" i="1"/>
  <c r="B42530" i="1"/>
  <c r="B42538" i="1"/>
  <c r="B42541" i="1"/>
  <c r="B42543" i="1"/>
  <c r="B42550" i="1"/>
  <c r="B42556" i="1"/>
  <c r="B42557" i="1"/>
  <c r="B42558" i="1"/>
  <c r="B42560" i="1"/>
  <c r="B42561" i="1"/>
  <c r="B42588" i="1"/>
  <c r="B42589" i="1"/>
  <c r="B42596" i="1"/>
  <c r="B42616" i="1"/>
  <c r="B42617" i="1"/>
  <c r="B42622" i="1"/>
  <c r="B42710" i="1"/>
  <c r="B42716" i="1"/>
  <c r="B42722" i="1"/>
  <c r="B42725" i="1"/>
  <c r="B42729" i="1"/>
  <c r="B42815" i="1"/>
  <c r="B42823" i="1"/>
  <c r="B42829" i="1"/>
  <c r="B42830" i="1"/>
  <c r="B42831" i="1"/>
  <c r="B42834" i="1"/>
  <c r="B42866" i="1"/>
  <c r="B42873" i="1"/>
  <c r="B42875" i="1"/>
  <c r="B42876" i="1"/>
  <c r="B42903" i="1"/>
  <c r="B42930" i="1"/>
  <c r="B42944" i="1"/>
  <c r="B42965" i="1"/>
  <c r="B42982" i="1"/>
  <c r="B42995" i="1"/>
  <c r="B42999" i="1"/>
  <c r="B43002" i="1"/>
  <c r="B43011" i="1"/>
  <c r="B43038" i="1"/>
  <c r="B43044" i="1"/>
  <c r="B43068" i="1"/>
  <c r="B43069" i="1"/>
  <c r="B43070" i="1"/>
  <c r="B43196" i="1"/>
  <c r="B43220" i="1"/>
  <c r="B43286" i="1"/>
  <c r="B43287" i="1"/>
  <c r="B43289" i="1"/>
  <c r="B43337" i="1"/>
  <c r="B43341" i="1"/>
  <c r="B43375" i="1"/>
  <c r="B43399" i="1"/>
  <c r="B43404" i="1"/>
  <c r="B43411" i="1"/>
  <c r="B43416" i="1"/>
  <c r="B43429" i="1"/>
  <c r="B43462" i="1"/>
  <c r="B43463" i="1"/>
  <c r="B43467" i="1"/>
  <c r="B43470" i="1"/>
  <c r="B43473" i="1"/>
  <c r="B43474" i="1"/>
  <c r="B43477" i="1"/>
  <c r="B43532" i="1"/>
  <c r="B43534" i="1"/>
  <c r="B43535" i="1"/>
  <c r="B43536" i="1"/>
  <c r="B43537" i="1"/>
  <c r="B43547" i="1"/>
  <c r="B43551" i="1"/>
  <c r="B43554" i="1"/>
  <c r="B43558" i="1"/>
  <c r="B43559" i="1"/>
  <c r="B43561" i="1"/>
  <c r="B43568" i="1"/>
  <c r="B43578" i="1"/>
  <c r="B43582" i="1"/>
  <c r="B43594" i="1"/>
  <c r="B43604" i="1"/>
  <c r="B43605" i="1"/>
  <c r="B43606" i="1"/>
  <c r="B43608" i="1"/>
  <c r="B43609" i="1"/>
  <c r="B43613" i="1"/>
  <c r="B43616" i="1"/>
  <c r="B43621" i="1"/>
  <c r="B43656" i="1"/>
  <c r="B43657" i="1"/>
  <c r="B43658" i="1"/>
  <c r="B43684" i="1"/>
  <c r="B43856" i="1"/>
  <c r="B43866" i="1"/>
  <c r="B43875" i="1"/>
  <c r="B43876" i="1"/>
  <c r="B43879" i="1"/>
  <c r="B43882" i="1"/>
  <c r="B43889" i="1"/>
  <c r="B43907" i="1"/>
  <c r="B43911" i="1"/>
  <c r="B43935" i="1"/>
  <c r="B43959" i="1"/>
  <c r="B43960" i="1"/>
  <c r="B43961" i="1"/>
  <c r="B43965" i="1"/>
  <c r="B43966" i="1"/>
  <c r="B43973" i="1"/>
  <c r="B43974" i="1"/>
  <c r="B43981" i="1"/>
  <c r="B43983" i="1"/>
  <c r="B43993" i="1"/>
  <c r="B43997" i="1"/>
  <c r="B44000" i="1"/>
  <c r="B44006" i="1"/>
  <c r="B44007" i="1"/>
  <c r="B44009" i="1"/>
  <c r="B44016" i="1"/>
  <c r="B44020" i="1"/>
  <c r="B44024" i="1"/>
  <c r="B44030" i="1"/>
  <c r="B44031" i="1"/>
  <c r="B44035" i="1"/>
  <c r="B44036" i="1"/>
  <c r="B44040" i="1"/>
  <c r="B44043" i="1"/>
  <c r="B44051" i="1"/>
  <c r="B44054" i="1"/>
  <c r="B44062" i="1"/>
  <c r="B44067" i="1"/>
  <c r="B44071" i="1"/>
  <c r="B44077" i="1"/>
  <c r="B44081" i="1"/>
  <c r="B44084" i="1"/>
  <c r="B44093" i="1"/>
  <c r="B44096" i="1"/>
  <c r="B44100" i="1"/>
  <c r="B44101" i="1"/>
  <c r="B44104" i="1"/>
  <c r="B44107" i="1"/>
  <c r="B44108" i="1"/>
  <c r="B44119" i="1"/>
  <c r="B44132" i="1"/>
  <c r="B44135" i="1"/>
  <c r="B44163" i="1"/>
  <c r="B44169" i="1"/>
  <c r="B44188" i="1"/>
  <c r="B44197" i="1"/>
  <c r="B44203" i="1"/>
  <c r="B44210" i="1"/>
  <c r="B44213" i="1"/>
  <c r="B44221" i="1"/>
  <c r="B44234" i="1"/>
  <c r="B44243" i="1"/>
  <c r="B44270" i="1"/>
  <c r="B44281" i="1"/>
  <c r="B44315" i="1"/>
  <c r="B44318" i="1"/>
  <c r="B44330" i="1"/>
  <c r="B44337" i="1"/>
  <c r="B44403" i="1"/>
  <c r="B44409" i="1"/>
  <c r="B44435" i="1"/>
  <c r="B44456" i="1"/>
  <c r="B44466" i="1"/>
  <c r="B44470" i="1"/>
  <c r="B44480" i="1"/>
  <c r="B44502" i="1"/>
  <c r="B44506" i="1"/>
  <c r="B44532" i="1"/>
  <c r="B44533" i="1"/>
  <c r="B44538" i="1"/>
  <c r="B44550" i="1"/>
  <c r="B44561" i="1"/>
  <c r="B44565" i="1"/>
  <c r="B44568" i="1"/>
  <c r="B44574" i="1"/>
  <c r="B44591" i="1"/>
  <c r="B44603" i="1"/>
  <c r="B44619" i="1"/>
  <c r="B44622" i="1"/>
  <c r="B44625" i="1"/>
  <c r="B44637" i="1"/>
  <c r="B44638" i="1"/>
  <c r="B44646" i="1"/>
  <c r="B44659" i="1"/>
  <c r="B44666" i="1"/>
  <c r="B44667" i="1"/>
  <c r="B44684" i="1"/>
  <c r="B44688" i="1"/>
  <c r="B44696" i="1"/>
  <c r="B44701" i="1"/>
  <c r="B44710" i="1"/>
  <c r="B44729" i="1"/>
  <c r="B44740" i="1"/>
  <c r="B44747" i="1"/>
  <c r="B44750" i="1"/>
  <c r="B44761" i="1"/>
  <c r="B44765" i="1"/>
  <c r="B44774" i="1"/>
  <c r="B44779" i="1"/>
  <c r="B44783" i="1"/>
  <c r="B44792" i="1"/>
  <c r="B44809" i="1"/>
  <c r="B44810" i="1"/>
  <c r="B44811" i="1"/>
  <c r="B44822" i="1"/>
  <c r="B44825" i="1"/>
  <c r="B44834" i="1"/>
  <c r="B44838" i="1"/>
  <c r="B44846" i="1"/>
  <c r="B44852" i="1"/>
  <c r="B44855" i="1"/>
  <c r="B44862" i="1"/>
  <c r="B44866" i="1"/>
  <c r="B44917" i="1"/>
  <c r="B44925" i="1"/>
  <c r="B44930" i="1"/>
  <c r="B44932" i="1"/>
  <c r="B44933" i="1"/>
  <c r="B44961" i="1"/>
  <c r="B44972" i="1"/>
  <c r="B44973" i="1"/>
  <c r="B44975" i="1"/>
  <c r="B44976" i="1"/>
  <c r="B44978" i="1"/>
  <c r="B44979" i="1"/>
  <c r="B44982" i="1"/>
  <c r="B45058" i="1"/>
  <c r="B45110" i="1"/>
  <c r="B45160" i="1"/>
  <c r="B45207" i="1"/>
  <c r="B45211" i="1"/>
  <c r="B45215" i="1"/>
  <c r="B45220" i="1"/>
  <c r="B45223" i="1"/>
  <c r="B45229" i="1"/>
  <c r="B45234" i="1"/>
  <c r="B45236" i="1"/>
  <c r="B45239" i="1"/>
  <c r="B45241" i="1"/>
  <c r="B45244" i="1"/>
  <c r="B45246" i="1"/>
  <c r="B45251" i="1"/>
  <c r="B45259" i="1"/>
  <c r="B45262" i="1"/>
  <c r="B45263" i="1"/>
  <c r="B45264" i="1"/>
  <c r="B45265" i="1"/>
  <c r="B45267" i="1"/>
  <c r="B45270" i="1"/>
  <c r="B45276" i="1"/>
  <c r="B45278" i="1"/>
  <c r="B45280" i="1"/>
  <c r="B45281" i="1"/>
  <c r="B45284" i="1"/>
  <c r="B45285" i="1"/>
  <c r="B45289" i="1"/>
  <c r="B45290" i="1"/>
  <c r="B45292" i="1"/>
  <c r="B45293" i="1"/>
  <c r="B45294" i="1"/>
  <c r="B45310" i="1"/>
  <c r="B45311" i="1"/>
  <c r="B45312" i="1"/>
  <c r="B45322" i="1"/>
  <c r="B45323" i="1"/>
  <c r="B45324" i="1"/>
  <c r="B45326" i="1"/>
  <c r="B45327" i="1"/>
  <c r="B45343" i="1"/>
  <c r="B45367" i="1"/>
  <c r="B45370" i="1"/>
  <c r="B45376" i="1"/>
  <c r="B45377" i="1"/>
  <c r="B45381" i="1"/>
  <c r="B45388" i="1"/>
  <c r="B45391" i="1"/>
  <c r="B45395" i="1"/>
  <c r="B45398" i="1"/>
  <c r="B45399" i="1"/>
  <c r="B45402" i="1"/>
  <c r="B45403" i="1"/>
  <c r="B45404" i="1"/>
  <c r="B45405" i="1"/>
  <c r="B45422" i="1"/>
  <c r="B45434" i="1"/>
  <c r="B45440" i="1"/>
  <c r="B45443" i="1"/>
  <c r="B45449" i="1"/>
  <c r="B45454" i="1"/>
  <c r="B45466" i="1"/>
  <c r="B45469" i="1"/>
  <c r="B45470" i="1"/>
  <c r="B45476" i="1"/>
  <c r="B45480" i="1"/>
  <c r="B45482" i="1"/>
  <c r="B45486" i="1"/>
  <c r="B45496" i="1"/>
  <c r="B45500" i="1"/>
  <c r="B45509" i="1"/>
  <c r="B45516" i="1"/>
  <c r="B45534" i="1"/>
  <c r="B45581" i="1"/>
  <c r="B45584" i="1"/>
  <c r="B45591" i="1"/>
  <c r="B45598" i="1"/>
  <c r="B45617" i="1"/>
  <c r="B45622" i="1"/>
  <c r="B45627" i="1"/>
  <c r="B45637" i="1"/>
  <c r="B45644" i="1"/>
  <c r="B45661" i="1"/>
  <c r="B45668" i="1"/>
  <c r="B45670" i="1"/>
  <c r="B45671" i="1"/>
  <c r="B45672" i="1"/>
  <c r="B45673" i="1"/>
  <c r="B45678" i="1"/>
  <c r="B45697" i="1"/>
  <c r="B45698" i="1"/>
  <c r="B45699" i="1"/>
  <c r="B45724" i="1"/>
  <c r="B45725" i="1"/>
  <c r="B45732" i="1"/>
  <c r="B45737" i="1"/>
  <c r="B45743" i="1"/>
  <c r="B45747" i="1"/>
  <c r="B45752" i="1"/>
  <c r="B46415" i="1"/>
  <c r="B46439" i="1"/>
  <c r="B46465" i="1"/>
  <c r="B46489" i="1"/>
  <c r="B46499" i="1"/>
  <c r="B46511" i="1"/>
  <c r="B46512" i="1"/>
  <c r="B46513" i="1"/>
  <c r="B46517" i="1"/>
  <c r="B46518" i="1"/>
  <c r="B46536" i="1"/>
  <c r="B46537" i="1"/>
  <c r="B46543" i="1"/>
  <c r="B46549" i="1"/>
  <c r="B46563" i="1"/>
  <c r="B46568" i="1"/>
  <c r="B46571" i="1"/>
  <c r="B46633" i="1"/>
  <c r="B46638" i="1"/>
  <c r="B46662" i="1"/>
  <c r="B46693" i="1"/>
  <c r="B46732" i="1"/>
  <c r="B46756" i="1"/>
  <c r="B46757" i="1"/>
  <c r="B46766" i="1"/>
  <c r="B46770" i="1"/>
  <c r="B46773" i="1"/>
  <c r="B46779" i="1"/>
  <c r="B46780" i="1"/>
  <c r="B46790" i="1"/>
  <c r="B46792" i="1"/>
  <c r="B46799" i="1"/>
  <c r="B46819" i="1"/>
  <c r="B46823" i="1"/>
  <c r="B46872" i="1"/>
  <c r="B46888" i="1"/>
  <c r="B46893" i="1"/>
  <c r="B46922" i="1"/>
  <c r="B46944" i="1"/>
  <c r="B46973" i="1"/>
  <c r="B46976" i="1"/>
  <c r="B46998" i="1"/>
  <c r="B47016" i="1"/>
  <c r="B47030" i="1"/>
  <c r="B47060" i="1"/>
  <c r="B47082" i="1"/>
  <c r="B47100" i="1"/>
  <c r="B47101" i="1"/>
  <c r="B47154" i="1"/>
  <c r="B47156" i="1"/>
  <c r="B47157" i="1"/>
  <c r="B47163" i="1"/>
  <c r="B47194" i="1"/>
  <c r="B47195" i="1"/>
  <c r="B47199" i="1"/>
  <c r="B47206" i="1"/>
  <c r="B47208" i="1"/>
  <c r="B47213" i="1"/>
  <c r="B47224" i="1"/>
  <c r="B47243" i="1"/>
  <c r="B47249" i="1"/>
  <c r="B47250" i="1"/>
  <c r="B47251" i="1"/>
  <c r="B47253" i="1"/>
  <c r="B47254" i="1"/>
  <c r="B47296" i="1"/>
  <c r="B47301" i="1"/>
</calcChain>
</file>

<file path=xl/sharedStrings.xml><?xml version="1.0" encoding="utf-8"?>
<sst xmlns="http://schemas.openxmlformats.org/spreadsheetml/2006/main" count="42916" uniqueCount="15438">
  <si>
    <t>Descripcion Mercaderia</t>
  </si>
  <si>
    <t>Caballos. asnos. mulos y burdeganos. vivos.</t>
  </si>
  <si>
    <t>- Caballos:</t>
  </si>
  <si>
    <t>Sangre pura de carrera</t>
  </si>
  <si>
    <t>Polo argentino</t>
  </si>
  <si>
    <t>Silla argentino</t>
  </si>
  <si>
    <t>Criollos</t>
  </si>
  <si>
    <t>arabes</t>
  </si>
  <si>
    <t>Cuarto de milla</t>
  </si>
  <si>
    <t>Peruano de paso</t>
  </si>
  <si>
    <t>Los demas</t>
  </si>
  <si>
    <t xml:space="preserve"> </t>
  </si>
  <si>
    <t>Raza pura</t>
  </si>
  <si>
    <t>Para polo</t>
  </si>
  <si>
    <t>Para salto</t>
  </si>
  <si>
    <t>Para consumo</t>
  </si>
  <si>
    <t>Para trabajo</t>
  </si>
  <si>
    <t>Animales vivos de la especie bovina.</t>
  </si>
  <si>
    <t>- Bovinos domesticos:</t>
  </si>
  <si>
    <t>Preñadas o con cria al pie</t>
  </si>
  <si>
    <t>Toros y toritos</t>
  </si>
  <si>
    <t>Vacas y vaquillonas</t>
  </si>
  <si>
    <t>Para reproduccion</t>
  </si>
  <si>
    <t>Novillos y novillitos</t>
  </si>
  <si>
    <t>Terneros y terneritos</t>
  </si>
  <si>
    <t>- Bufalos:</t>
  </si>
  <si>
    <t>Animales vivos de la especie porcina.</t>
  </si>
  <si>
    <t>Puros por pedrigree. excepto los de quinta generacion (R.2507/93 ex-ANA)</t>
  </si>
  <si>
    <t>- Los demas:</t>
  </si>
  <si>
    <t>- - De peso inferior a 50 kg</t>
  </si>
  <si>
    <t>Puros por cruza (R. 2507/93 ex-ANA)</t>
  </si>
  <si>
    <t>- - De peso superior o igual a 50 kg</t>
  </si>
  <si>
    <t>Animales vivos de las especies ovina o caprina.</t>
  </si>
  <si>
    <t>Reproductores de raza pura</t>
  </si>
  <si>
    <t>Gallos. gallinas. patos. gansos. pavos (gallipavos) y pintadas. de las especies domesticas. vivos.</t>
  </si>
  <si>
    <t>- De peso inferior o igual a 185 g:</t>
  </si>
  <si>
    <t>De lineas puras o hibridas. para reproduccion</t>
  </si>
  <si>
    <t>Los demas animales vivos.</t>
  </si>
  <si>
    <t>- Mamiferos:</t>
  </si>
  <si>
    <t>Conejos</t>
  </si>
  <si>
    <t>Liebres</t>
  </si>
  <si>
    <t>Animales de las especies principalmente utilizadas para la alimentacion humana</t>
  </si>
  <si>
    <t>Peliferos</t>
  </si>
  <si>
    <t>Chinchillas</t>
  </si>
  <si>
    <t>Nutrias</t>
  </si>
  <si>
    <t>Visones</t>
  </si>
  <si>
    <t>Zorros</t>
  </si>
  <si>
    <t>Ratas (Rattus spp.)</t>
  </si>
  <si>
    <t>Rata noruega (Rattus norvegicus)</t>
  </si>
  <si>
    <t>Rata negra (Rattus rattus)</t>
  </si>
  <si>
    <t>Raton de laboratorio (Mus musculus)</t>
  </si>
  <si>
    <t>Caninos</t>
  </si>
  <si>
    <t>Felinos</t>
  </si>
  <si>
    <t>Ofidios</t>
  </si>
  <si>
    <t>- Aves:</t>
  </si>
  <si>
    <t>Loros</t>
  </si>
  <si>
    <t>Avestruces (Struthio camelus). para reproduccion (R.359/99 MEOYSP)</t>
  </si>
  <si>
    <t>Las demas</t>
  </si>
  <si>
    <t>Palomas</t>
  </si>
  <si>
    <t>Canario (Serinus canaria)</t>
  </si>
  <si>
    <t>- Insectos:</t>
  </si>
  <si>
    <t>Reinas</t>
  </si>
  <si>
    <t>Raza caucasica</t>
  </si>
  <si>
    <t>Raza italiana</t>
  </si>
  <si>
    <t>Rana Toro (Rana catesbeiana) (larvas. postmetamorficos. juveniles y adultos)</t>
  </si>
  <si>
    <t>Carne de animales de la especie bovina. fresca o refrigerada.</t>
  </si>
  <si>
    <t>Canales</t>
  </si>
  <si>
    <t>Del Genero Bubalus</t>
  </si>
  <si>
    <t>Medias canales</t>
  </si>
  <si>
    <t>Cuartos delanteros</t>
  </si>
  <si>
    <t>Cuartos traseros</t>
  </si>
  <si>
    <t>Medias canales incompletas. excepto del Genero Bubalus</t>
  </si>
  <si>
    <t>Cuartos delanteros incompletos. excepto del Genero Bubalus</t>
  </si>
  <si>
    <t>Bife angosto. cuadril y lomo (Rump &amp; Loin). Pierna mocha. Rueda. excepto del Genero Bubalus</t>
  </si>
  <si>
    <t>Bife angosto. cuadril y lomo (Rump &amp; Loin)</t>
  </si>
  <si>
    <t>Pierna mocha</t>
  </si>
  <si>
    <t>Rueda</t>
  </si>
  <si>
    <t>Cuarto pistola. excepto del Genero Bubalus</t>
  </si>
  <si>
    <t>Asado. incluso con vacio. excepto del Genero Bubalus</t>
  </si>
  <si>
    <t>Bifes. excepto del Genero Bubalus</t>
  </si>
  <si>
    <t>Ossobuco. Pecho. Espinazo. excepto del Genero Bubalus</t>
  </si>
  <si>
    <t>Ossobuco</t>
  </si>
  <si>
    <t>Pecho</t>
  </si>
  <si>
    <t>Espinazo</t>
  </si>
  <si>
    <t>En envases inmediatos de contenido neto inferior o igual a 5 kg (R.420/99 MEYOSP). excepto del Genero Bubalus</t>
  </si>
  <si>
    <t>Aguja. Huachalomo. Tapa de aguja. Sobrecostilla. Bife Ancho. Tapa de bife ancho. Chingolo. Marucha. Matambre</t>
  </si>
  <si>
    <t>Aguja</t>
  </si>
  <si>
    <t>Huachalomo</t>
  </si>
  <si>
    <t>Tapa de aguja</t>
  </si>
  <si>
    <t>Sobrecostilla</t>
  </si>
  <si>
    <t>Bife Ancho</t>
  </si>
  <si>
    <t>Tapa de bife ancho</t>
  </si>
  <si>
    <t>Chingolo</t>
  </si>
  <si>
    <t>Marucha</t>
  </si>
  <si>
    <t>Matambre</t>
  </si>
  <si>
    <t>Asado. Tapa de asado. Azotillo. Brazuelo. Cogote. Falda. Pecho</t>
  </si>
  <si>
    <t>Asado</t>
  </si>
  <si>
    <t>Tapa de asado</t>
  </si>
  <si>
    <t>Azotillo</t>
  </si>
  <si>
    <t>Brazuelo</t>
  </si>
  <si>
    <t>Cogote</t>
  </si>
  <si>
    <t>Falda</t>
  </si>
  <si>
    <t>Bife Angosto. Colita de Cuadril. Cuadril. Corazon de cuadril. Tapa de cuadril. Lomo. Peceto</t>
  </si>
  <si>
    <t>Bife Angosto</t>
  </si>
  <si>
    <t>Colita de Cuadril</t>
  </si>
  <si>
    <t>Cuadril</t>
  </si>
  <si>
    <t>Corazon de cuadril</t>
  </si>
  <si>
    <t>Tapa de cuadril</t>
  </si>
  <si>
    <t>Lomo</t>
  </si>
  <si>
    <t>Peceto</t>
  </si>
  <si>
    <t>Bola de Lomo. Cuadrada. Nalga de Adentro. Tapa de nalga. Nalga de Afuera. Tortuguita. Garron</t>
  </si>
  <si>
    <t>Bola de Lomo</t>
  </si>
  <si>
    <t>Cuadrada</t>
  </si>
  <si>
    <t>Nalga de Adentro</t>
  </si>
  <si>
    <t>Tapa de nalga</t>
  </si>
  <si>
    <t>Nalga de Afuera</t>
  </si>
  <si>
    <t>Tortuguita</t>
  </si>
  <si>
    <t>Garron</t>
  </si>
  <si>
    <t>Carnaza de paleta. Bife de paleta. Centro de carnaza de paleta. Vacio. Bife de vacio</t>
  </si>
  <si>
    <t>Carnaza de paleta</t>
  </si>
  <si>
    <t>Bife de paleta</t>
  </si>
  <si>
    <t>Centro de carnaza de paleta</t>
  </si>
  <si>
    <t>Vacio</t>
  </si>
  <si>
    <t>Bife de vacio</t>
  </si>
  <si>
    <t>Cortes en juego</t>
  </si>
  <si>
    <t>Pertenecientes unicamente al cuarto delantero</t>
  </si>
  <si>
    <t>Pertenecientes unicamente al cuarto trasero</t>
  </si>
  <si>
    <t>Cuarto delantero. incluso incompleto</t>
  </si>
  <si>
    <t>Cuarto trasero. incluso incompleto</t>
  </si>
  <si>
    <t>Carne picada</t>
  </si>
  <si>
    <t>Del Genero Bubalus. en envases inmediatos de contenido neto inferior o igual a 5 kg (R.420/99 MEYOSP)</t>
  </si>
  <si>
    <t>Del Genero Bubalus. en envases inmediatos de contenido neto superior a 5 kg</t>
  </si>
  <si>
    <t>Aguja. Sobrecostilla. Bife Ancho</t>
  </si>
  <si>
    <t>Bife ancho</t>
  </si>
  <si>
    <t>Asado. Brazuelo. Cogote. Pecho</t>
  </si>
  <si>
    <t>Bife Angosto. Cuadril</t>
  </si>
  <si>
    <t>Bife angosto</t>
  </si>
  <si>
    <t>Bola de Lomo. Cuadrada. Nalga de Adentro. Nalga de Afuera. Garron</t>
  </si>
  <si>
    <t>Carnaza de paleta. Vacio</t>
  </si>
  <si>
    <t>Pertenecientes unicamente al Cuarto delantero</t>
  </si>
  <si>
    <t>Pertenecientes unicamente al Cuarto trasero</t>
  </si>
  <si>
    <t>Tapa de asado. paleta. falda y matambre</t>
  </si>
  <si>
    <t>Cogote. Aguja. Carnaza de paleta y parte de asado (Chuck and Blade)</t>
  </si>
  <si>
    <t>Recortes de troceo (Trimming)</t>
  </si>
  <si>
    <t>Carne de animales de la especie bovina. congelada.</t>
  </si>
  <si>
    <t>Cuarto Pistola. excepto del Genero Bubalus</t>
  </si>
  <si>
    <t>Los demas huesos resultantes del desposte</t>
  </si>
  <si>
    <t>Corte constituido por bola de lomo. nalga de adentro. peceto. tortuguita y garron.</t>
  </si>
  <si>
    <t>Corte constituido por cuadril. colita de cuadril. bola de lomo. nalga de adentro. peceto. tortuguita y garron.</t>
  </si>
  <si>
    <t>En envases inmediato de contenido neto inferior o igual a 5 kg (R.420/99 MEYOSP). excepto del Genero Bubalus</t>
  </si>
  <si>
    <t>Aguja. Huachalomo. Tapa de aguja. Sobrecostilla. Bife ancho. Tapa de bife ancho. Chingolo. Marucha. Matambre</t>
  </si>
  <si>
    <t>Bife angosto. Colita de Cuadril. Cuadril. Corazon de cuadril. Tapa de cuadril. Lomo. Peceto</t>
  </si>
  <si>
    <t>Bola de Lomo. Cuadrada. Nalga de adentro. Tapa de nalga. Nalga de afuera. Tortuguita. Garron</t>
  </si>
  <si>
    <t>Bola de lomo</t>
  </si>
  <si>
    <t>Nalga de adentro</t>
  </si>
  <si>
    <t>Tapa de Nalga</t>
  </si>
  <si>
    <t>Nalga de afuera</t>
  </si>
  <si>
    <t>Recortes de troceo (trimming)</t>
  </si>
  <si>
    <t>Del Genero Bubalus. en envases inmediato de contenido neto inferior o igual a 5 kg (R.420/99 MEYOSP)</t>
  </si>
  <si>
    <t>Del Genero Bubalus. en envases inmediato de contenido neto superior a 5 kg</t>
  </si>
  <si>
    <t>Aguja. Sobrecostilla. Bife Ancho. Tapa de Bife Ancho envasada en block. Tapa de Aguja envasada en block.</t>
  </si>
  <si>
    <t>Tapa de Bife Ancho envasada en block</t>
  </si>
  <si>
    <t>Tapa de Aguja envasada en block</t>
  </si>
  <si>
    <t>Carnaza de Paleta. Vacio</t>
  </si>
  <si>
    <t>Carnaza de Paleta</t>
  </si>
  <si>
    <t>Tapa de asado. falda y matambre</t>
  </si>
  <si>
    <t>Cogote. aguja. carnaza de paleta y parte de asado (Chuck and Blade)</t>
  </si>
  <si>
    <t>Nalga de afuera con tortuguita</t>
  </si>
  <si>
    <t>Carne de animales de la especie porcina. fresca. refrigerada o congelada.</t>
  </si>
  <si>
    <t>- Fresca o refrigerada:</t>
  </si>
  <si>
    <t>Piernas y sus trozos</t>
  </si>
  <si>
    <t>Piernas</t>
  </si>
  <si>
    <t>Paletas y sus trozos</t>
  </si>
  <si>
    <t>Sin deshuesar</t>
  </si>
  <si>
    <t>Carre</t>
  </si>
  <si>
    <t>Pechito</t>
  </si>
  <si>
    <t>Panceta</t>
  </si>
  <si>
    <t>Lomo (solomillo)</t>
  </si>
  <si>
    <t>Bondiola</t>
  </si>
  <si>
    <t>- Congelada:</t>
  </si>
  <si>
    <t>Huesos resultantes del desposte</t>
  </si>
  <si>
    <t>Carne de animales de las especies ovina o caprina. fresca. refrigerada o congelada.</t>
  </si>
  <si>
    <t>En envases inmediatos de contenido neto inferior o igual a 14 kg (R.257/00 ME)</t>
  </si>
  <si>
    <t>- Las demas carnes de animales de la especie ovina. frescas o refrigeradas:</t>
  </si>
  <si>
    <t>En envases inmediatos de contenido neto inferior o igual a 5 kg (R.257/00 ME)</t>
  </si>
  <si>
    <t>- Las demas carnes de animales de la especie ovina. congeladas:</t>
  </si>
  <si>
    <t>En envases inmediatos de contenido neto inferior o igual a 5 kg (R.420/99 MEYOSP)</t>
  </si>
  <si>
    <t>Carne de animales de las especies caballar. asnal o mular. fresca. refrigerada o congelada.</t>
  </si>
  <si>
    <t>Cuartos delanteros y sus cortes</t>
  </si>
  <si>
    <t>Cuartos completos</t>
  </si>
  <si>
    <t>Cortes individuales</t>
  </si>
  <si>
    <t>Cuartos traseros y sus cortes</t>
  </si>
  <si>
    <t>Corte pistola</t>
  </si>
  <si>
    <t>Cortes combinados individuales de ambos cuartos</t>
  </si>
  <si>
    <t>Despojos comestibles de animales de las especies bovina. porcina. ovina. caprina. caballar. asnal o mular. frescos. refrigerados o congelados.</t>
  </si>
  <si>
    <t>Sesos. quijadas. pulmon. corazon. riñones. centro de entraña. medula y pajarilla (Dto 499/98. RG 159/98 AFIP)</t>
  </si>
  <si>
    <t>Molleja de corazon y molleja de cogote (Dto. 499/98; RG 159/98 AFIP)</t>
  </si>
  <si>
    <t>Entraña fina</t>
  </si>
  <si>
    <t>- De la especie bovina. congelados:</t>
  </si>
  <si>
    <t>Sin epitelio (Dto. 499/98; RG 159/98 AFIP)</t>
  </si>
  <si>
    <t>Colas (rabos)</t>
  </si>
  <si>
    <t>Sesos. quijadas. pulmon. corazon. riñones. centro de entraña. medula. pajarilla (Dto. 499/98; RG 159/98 AFIP)</t>
  </si>
  <si>
    <t>- De la especie porcina. congelados:</t>
  </si>
  <si>
    <t>De las especies ovina y caprina (R.2507/93 ex-ANA)</t>
  </si>
  <si>
    <t>De la especie ovina (R.2507/93 ex-ANA)</t>
  </si>
  <si>
    <t>De la especie caprina (R.2507/93 ex-ANA)</t>
  </si>
  <si>
    <t>Carne y despojos comestibles. de aves de la partida 01.05. frescos. refrigerados o congelados.</t>
  </si>
  <si>
    <t>- De aves de la especie Gallus domesticus:</t>
  </si>
  <si>
    <t>- - De aves de la especie Gallus domesticus:</t>
  </si>
  <si>
    <t>Pollos eviscerados (Res. Nro 11/99 SIC y M)</t>
  </si>
  <si>
    <t>De peso inferior o igual a 1 kg.</t>
  </si>
  <si>
    <t>En envases inmediatos de contenido neto inferior o igual a 2 kg (R.420/99 MEYOSP)</t>
  </si>
  <si>
    <t>En envases inmediatos de contenido neto inferior o igual a 15 kg (R.420/99 MEYOSP)</t>
  </si>
  <si>
    <t>- De pavo (gallipavo):</t>
  </si>
  <si>
    <t>En envases inmediatos de contenido neto inferior o igual a 2 kg (R.420/99 ME)</t>
  </si>
  <si>
    <t>- De pato:</t>
  </si>
  <si>
    <t>- De ganso:</t>
  </si>
  <si>
    <t>Las demas carnes y despojos comestibles. frescos. refrigerados o congelados.</t>
  </si>
  <si>
    <t>De conejo</t>
  </si>
  <si>
    <t>Trozos (R.747/95 MEYOSP)</t>
  </si>
  <si>
    <t>De liebre</t>
  </si>
  <si>
    <t>Europea (Lepus Capensis L. Europeaus) (R.3023/93 ex-ANA)</t>
  </si>
  <si>
    <t>En envases inmediatos de contenido neto inferior o igual a 5 kg (R.1044/00 ME)</t>
  </si>
  <si>
    <t>De ciervo</t>
  </si>
  <si>
    <t>Lomos</t>
  </si>
  <si>
    <t>Bifes anchos y angostos</t>
  </si>
  <si>
    <t>Cogote en cortes</t>
  </si>
  <si>
    <t>Colas</t>
  </si>
  <si>
    <t>Vacio y costillar</t>
  </si>
  <si>
    <t>Ancas (patas) de rana</t>
  </si>
  <si>
    <t>Tocino sin partes magras y grasa de cerdo o de ave sin fundir ni extraer de otro modo. frescos. refrigerados. congelados. salados o en salmuera. secos o ahumados.</t>
  </si>
  <si>
    <t>Tocino</t>
  </si>
  <si>
    <t>Fresco. refrigerado o congelado</t>
  </si>
  <si>
    <t>De lomo</t>
  </si>
  <si>
    <t>Grasa</t>
  </si>
  <si>
    <t>Fresca. refrigerada o congelada</t>
  </si>
  <si>
    <t>Carne y despojos comestibles. salados o en salmuera. secos o ahumados; harina y polvo comestibles. de carne o de despojos.</t>
  </si>
  <si>
    <t>- Carne de la especie porcina:</t>
  </si>
  <si>
    <t>Jamones</t>
  </si>
  <si>
    <t>- Los demas. incluidos la harina y polvo comestibles. de carne o de despojos:</t>
  </si>
  <si>
    <t>Carne de aves de la partida 01.05</t>
  </si>
  <si>
    <t>De gallos y de gallinas</t>
  </si>
  <si>
    <t>Carne de la especie ovina</t>
  </si>
  <si>
    <t>Carne de la especie caballar</t>
  </si>
  <si>
    <t>Despojos comestibles</t>
  </si>
  <si>
    <t>De la especie caprina (R.2507/93ex-ANA)</t>
  </si>
  <si>
    <t>Peces vivos.</t>
  </si>
  <si>
    <t>- Peces ornamentales:</t>
  </si>
  <si>
    <t>Arawanas (Osteoglossum bicirrhosum)</t>
  </si>
  <si>
    <t>- Los demas peces vivos:</t>
  </si>
  <si>
    <t>Tilapias (Tilapia spp.. Oreochromis spp.. Sarotherodon spp.. Danakilia spp.; sus hibridos)</t>
  </si>
  <si>
    <t>Esturiones (Acipenser baeri. Acipenser gueldenstaedtii. Acipenser persicus. Acipenser stellatus)</t>
  </si>
  <si>
    <t>Esturiones (Acipencer baeri. Acipenser gueldenstaedtii. Acipenser persicus. Acipenser stellatus)</t>
  </si>
  <si>
    <t>Pescado fresco o refrigerado. excepto los filetes y demas carne de pescado de la partida 03.04.</t>
  </si>
  <si>
    <t>- Salmonidos. excepto los despojos comestibles de pescado de las subpartidas 0302.91 a 0302.99:€.</t>
  </si>
  <si>
    <t>Truchas enteras provenientes de cultivo (Oncorhynchus mykiss) (Res. 137/08 MEYP)</t>
  </si>
  <si>
    <t>Salmones del Atlantico (Salmo salar)</t>
  </si>
  <si>
    <t>Salmones del Danubio (Hucho hucho)</t>
  </si>
  <si>
    <t>- Pescados planos (Pleuronectidae. Bothidae. Cynoglossidae. Soleidae. Scophthalmidae y Citharidae). excepto los despojos comestibles de las subpartidas 0302.91 a 0302.99:€.</t>
  </si>
  <si>
    <t>- Atunes (del genero Thunnus). listados o bonitos de vientre rayado (Euthynnus (Katsuwonus) pelamis). excepto los despojos comestibles de pescado de las subpartidas 0302.91 a 0302.99:€.</t>
  </si>
  <si>
    <t>-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pampanos (Caranx spp.). cobias (Rachycentron canadum). palometones plateados (Pampus spp.). papardas del Pacifico (Cololabis saira). macarelas (Decapterus spp.). capelanes (Mallotus villosus). peces espada (Xiphias gladius). bacoretas orientales (Euthynnus affinis). bonitos (Sarda spp.). agujas. marlines. peces vela o picudos (Istiophoridae). excepto los despojos comestibles de pescado de las subpartidas 0302.91 a 0302.99:</t>
  </si>
  <si>
    <t>Anchoitas (Engraulis anchoita)</t>
  </si>
  <si>
    <t>--Sardinas (Sardina pilchardus. Sardinops spp.). sardinelas (Sardinella spp.) y espadines (Sprattus sprattus)</t>
  </si>
  <si>
    <t>Agujas. marlines. peces vela o picudos (Istiophoridae)</t>
  </si>
  <si>
    <t>- Pescados de las familias Bregmacerotidae. Euclichthyidae. Gadidae. Macrouridae. Melanonidae. Merlucciidae. Moridae y Muraenolepididae. excepto los despojos comestibles de pescado de las subpartidas 0302.91 a 0302.99:</t>
  </si>
  <si>
    <t>Hubbsi (Merluccius hubbsi)</t>
  </si>
  <si>
    <t>Austral (Merluccius australis)</t>
  </si>
  <si>
    <t>Merluzas del genero Merluccius</t>
  </si>
  <si>
    <t>Polaca (Micromesistius australis)</t>
  </si>
  <si>
    <t>Bacalao criollo (Salilota australis)</t>
  </si>
  <si>
    <t>Merluza de cola (Macruronus magellanicus)</t>
  </si>
  <si>
    <t>-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t>
  </si>
  <si>
    <t>Bagres de canal (Ictalurus punctatus)</t>
  </si>
  <si>
    <t>- Los demas pescados. excepto los despojos comestibles de pescado de las subpartidas 0302.91 a 0302.99:</t>
  </si>
  <si>
    <t>En envases inmediatos de contenido neto inferior o igual a 1 kg</t>
  </si>
  <si>
    <t>Gatuzo (Mustelus schmitti)</t>
  </si>
  <si>
    <t>Cazon (Galeorhinus galeus)</t>
  </si>
  <si>
    <t>Tiburon espinoso (Squalus acanthias)</t>
  </si>
  <si>
    <t>Pez angel (Squatina spp.)</t>
  </si>
  <si>
    <t>Merluzas negras (Dissostichus eleginoides)</t>
  </si>
  <si>
    <t>Austromerluzas antarticas (Dissostichus mawsoni)</t>
  </si>
  <si>
    <t>Besugo (Pagrus pagrus) (Res. 137/08 MEYP)</t>
  </si>
  <si>
    <t>Sargo (Diplodus argenteus)</t>
  </si>
  <si>
    <t>Pargos (Lutjanus purpureus)</t>
  </si>
  <si>
    <t>Chernas (Polyprion americanus). meros (Acanthistius spp.). esturiones (Acipenser baerii) y pejerreyes (Atherina spp.)</t>
  </si>
  <si>
    <t>Chernas (Polyprion americanus)</t>
  </si>
  <si>
    <t>Meros (Acanthistius spp.)</t>
  </si>
  <si>
    <t>Esturiones (Acipenser baerii)</t>
  </si>
  <si>
    <t>Pejerreyes (Atherina spp.)</t>
  </si>
  <si>
    <t>Sabalos (Prochilodus spp.). tilapias (Tilapia spp.. Sarotherodon spp.. Danakilia spp.; sus hibridos). surubies (Pseudoplatystoma spp.). tarariras (Hoplias malabaricus &amp; H. cf. lacerdae). bogas (Leporinus spp.). lisas (Mugil spp.). arapaimas (Arapaima gigas) y pescadillas (Cynoscion spp.)</t>
  </si>
  <si>
    <t>Sabalos (Prochilodus spp.)</t>
  </si>
  <si>
    <t>Prochilodus platensis</t>
  </si>
  <si>
    <t>Tilapias (Tilapia spp.. Sarotherodon spp.. Danakilia spp.; sus hibridos)</t>
  </si>
  <si>
    <t>Surubies (Pseudoplatystoma spp.)</t>
  </si>
  <si>
    <t>Pseudoplatystoma coruscans</t>
  </si>
  <si>
    <t>Tarariras (Hoplias malabaricus &amp; H.cf. lacerdae)</t>
  </si>
  <si>
    <t>Bogas (Leporinus spp.)</t>
  </si>
  <si>
    <t>Lisas (Mugil spp.)</t>
  </si>
  <si>
    <t>Arapaimas (Arapaima gigas)</t>
  </si>
  <si>
    <t>Pescadillas (Cynoscion spp.)</t>
  </si>
  <si>
    <t>«Piramutabas» (Brachyplatystoma vaillantii). douradas (Brachyplatystoma flavicans). pacues (Piaractus mesopotamicus). tambaquies (Colossoma macropomum) y tambacues (hibridos de tambaquies y pacues)</t>
  </si>
  <si>
    <t>«Piramutabas» (Brachyplatystoma vaillantii)</t>
  </si>
  <si>
    <t>Douradas (Brachyplatistoma flavicans)</t>
  </si>
  <si>
    <t>Pacues (Piaractus mesopotamicus)</t>
  </si>
  <si>
    <t>Tambaquies (Colossoma macropomum)</t>
  </si>
  <si>
    <t>Tambacues (hibridos de tambaquies y pacues)</t>
  </si>
  <si>
    <t>Armados (Pterodoras spp.; Oxydoras spp.; Rhinodoras spp.; Anadoras spp.; Platydoras spp.; Trachidoras spp.; Doras spp.). Bagres de rio (Pimelodus spp.; Rhamdia spp.). Dorados de rio (Salminus spp.). Manduvies (Ageneiosus spp.; Auchenipterus spp.). Manguruyues (Zungaro spp.). Paties (Luciopimelodus pati) (Decreto 2684/2012)</t>
  </si>
  <si>
    <t>Armados (Pterodoras spp.; Oxydoras spp.; Rhinodoras spp.; Anadoras spp.; Platydoras spp.; Trachidoras spp.; Doras spp.)</t>
  </si>
  <si>
    <t>Bagres de rio (Pimelodus spp.; Rhamdia a spp.)</t>
  </si>
  <si>
    <t>Dorados de rio (Salminus spp.)</t>
  </si>
  <si>
    <t>Manduvies (Argeneiosus spp.; Auchenipterus spp.)</t>
  </si>
  <si>
    <t>Manguruyues (Zungaro spp.)</t>
  </si>
  <si>
    <t>Paties (Luciopimelodus pati)</t>
  </si>
  <si>
    <t>Corvinas (Micropogonias furnieri)</t>
  </si>
  <si>
    <t>Abadejo (Genypterus blacodes)</t>
  </si>
  <si>
    <t>Chuchos (Dasyatidae. Myliobatidae); guitarras (Rhinobatidae); torpedos (Narcinidae. Torpedinidae)</t>
  </si>
  <si>
    <t>- Higados. huevas. lechas. aletas. cabezas. colas. vejigas natatorias y demas despojos comestibles de pescado:</t>
  </si>
  <si>
    <t>Huevas de Esturion (Ascipenser baeri)</t>
  </si>
  <si>
    <t>Pescado congelado. excepto los filetes y demas carne de pescado de la partida 03.04.</t>
  </si>
  <si>
    <t>- Salmonidos. excepto los despojos comestibles de pescado de las subpartidas 0303.91 a 0303.99:</t>
  </si>
  <si>
    <t>En envases inmediatos de contenido neto inferior o igual a 1 kg (R.420/99 MEYOSP)</t>
  </si>
  <si>
    <t>Trucha corte mariposa proveniente de cultivo (Oncorhynchus mykiss) (Res. 137/08 MEYP)</t>
  </si>
  <si>
    <t>-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0303.91 a 0303.99:</t>
  </si>
  <si>
    <t>En envases inmediatos de contenido neto inferior o igual a 1kg</t>
  </si>
  <si>
    <t>- Pescados planos (Pleuronectidae. Bothidae. Cynoglossidae. Soleidae. Scophthalmidae y Citharidae). excepto los despojos comestibles de pescado de las subpartidas 0303.91 a 0303.99:</t>
  </si>
  <si>
    <t>- Atunes (del genero Thunnus). listados o bonitos de vientre rayado (Euthynnus (Katsuwonus) pelamis). excepto los despojos comestibles de pescado de las subpartidas 0303.91 a 0303.99:</t>
  </si>
  <si>
    <t>-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pampanos (Caranx spp.). cobias (Rachycentron canadum). palometones plateados (Pampus spp.). papardas del Pacifico (Cololabis saira). macarelas (Decapterus spp.). capelanes (Mallotus villosus). peces espada (Xiphias gladius). bacoretas orientales (Euthynnus affinis). bonitos (Sarda spp.). agujas. marlines. peces vela o picudos (Istiophoridae). excepto los despojos comestibles de pescado de las subpartidas 0303.91 a 0303.99:</t>
  </si>
  <si>
    <t>En envases inmediatos de contenido neto inferior o igual a 1 kg.</t>
  </si>
  <si>
    <t>- Pescados de las familias Bregmacerotidae. Euclichthyidae. Gadidae. Macrouridae. Melanonidae. Merlucciidae. Moridae y Muraenolepididae. excepto los despojos comestibles de pescado de las subpartidas 0303.91 a 0303.99:</t>
  </si>
  <si>
    <t>En envases de contenido neto inferior o igual a 1 kg (R420/99 MEYOSP)</t>
  </si>
  <si>
    <t>Descabezada y eviscerada. incluso sin cola (H&amp;G Y H&amp;G&amp;T)</t>
  </si>
  <si>
    <t>En envases de contenido neto superior a 1 kg pero inferior o igual a 3 kg</t>
  </si>
  <si>
    <t>Descabezada y eviscerada. incluso sin cola (H&amp;G Y H&amp;G&amp;T). elaboradas en planta de reproceso en tierra</t>
  </si>
  <si>
    <t>Las demas. descabezadas y evisceradas. incluso sin cola (H&amp;G Y H&amp;G&amp;T)</t>
  </si>
  <si>
    <t>Merluzas de cola (Macruronus magellanicus)</t>
  </si>
  <si>
    <t>En envases inmediatos de contenido neto inferior o igual a 1 kg (R420/99 MEYOSP)</t>
  </si>
  <si>
    <t>Granadero chico (Coelorhynchus fasciatus)</t>
  </si>
  <si>
    <t>Granadero (Macrurus spp.)</t>
  </si>
  <si>
    <t>- Los demas pescados. excepto los despojos comestibles de pescado de las subpartidas 0303.91 a 0303.99:€.</t>
  </si>
  <si>
    <t>Tiburones azules (Prionace glauca)</t>
  </si>
  <si>
    <t>Enteros</t>
  </si>
  <si>
    <t>En envases inmediatos de contenido neto inferior o igual a 1Kg</t>
  </si>
  <si>
    <t>Eviscerados. sin cabeza y sin aletas</t>
  </si>
  <si>
    <t>En trozos. con piel</t>
  </si>
  <si>
    <t>En trozos. sin piel</t>
  </si>
  <si>
    <t>Raya roja (Zearaja chilensis)</t>
  </si>
  <si>
    <t>Aletas</t>
  </si>
  <si>
    <t>Raya pintada (Atlantoraja castelnaui)</t>
  </si>
  <si>
    <t>Evisceradas. sin cabeza y sin cola</t>
  </si>
  <si>
    <t>De peso superior o igual a 10 kg</t>
  </si>
  <si>
    <t>En envases inmediatos de contenido neto inferior igual a 1 kg</t>
  </si>
  <si>
    <t>Pan ready (Res. 137/08 MEYP)</t>
  </si>
  <si>
    <t>Pargos (Lutjanus purpureus) y rapes (Lophius gastrophysus)</t>
  </si>
  <si>
    <t>Rapes (Lophius gastrophysus)</t>
  </si>
  <si>
    <t>Chernas (Polyprion americanus). meros (Acanthistius spp.). lisas (Mugil spp.). esturiones (Acipenser baerii. Acipenser gueldenstaedtii. Acipenser persicus. Acipenser stellatus). pejerreyes (Atherina spp.) y nototenias (Patagonotothen spp.)</t>
  </si>
  <si>
    <t>Nototenias (Patagonotothen spp.)</t>
  </si>
  <si>
    <t>Sabalos (Prochilodus spp.). tilapias (Tilapia spp.. Sarotherodon spp.. Danakilia spp.; sus hibridos). surubies (Pseudoplatystoma spp.). tarariras (Hoplias malabaricus &amp; H. cf. lacerdae). bogas (Leporinus spp.) y arapaimas (Arapaima gigas)</t>
  </si>
  <si>
    <t>Tarariras (Hoplias malabaricus &amp; H. cf. lacerdae)</t>
  </si>
  <si>
    <t>Douradas (Brachyplatystoma flavicans)</t>
  </si>
  <si>
    <t>Lenguados (Paralichthyidae)</t>
  </si>
  <si>
    <t>Pejerrey (Odontesthes spp.)</t>
  </si>
  <si>
    <t>Pargo blanco (Umbrina canosai)</t>
  </si>
  <si>
    <t>Salmon de mar (Pseudopersis semifasciata)</t>
  </si>
  <si>
    <t>Bagres de rio (Pimelodus spp.; Rhamdia spp.)</t>
  </si>
  <si>
    <t>Manduvies (Ageneiosus spp.; Auchenipterus spp.)</t>
  </si>
  <si>
    <t>Besugo (Pagrus pagrus)</t>
  </si>
  <si>
    <t>Corvina Negra (Pogonias cromis)</t>
  </si>
  <si>
    <t>Pampanito (Stromateus brasiliensis)</t>
  </si>
  <si>
    <t>Palometa pintada (Parona signata)</t>
  </si>
  <si>
    <t>Rayas (Rajidae)</t>
  </si>
  <si>
    <t>Cabezas de Merluzas negras (Dissostichus eleginoides)</t>
  </si>
  <si>
    <t>Cabezas de Austromerluzas antarticas (Dissostichus mawsoni)</t>
  </si>
  <si>
    <t>Cabezas</t>
  </si>
  <si>
    <t>Alas y collares</t>
  </si>
  <si>
    <t>Pechos</t>
  </si>
  <si>
    <t>Merluza (Merluccius hubbsi)</t>
  </si>
  <si>
    <t>Collares con hueso o cartilago</t>
  </si>
  <si>
    <t>los demas</t>
  </si>
  <si>
    <t>Filetes y demas carne de pescado (incluso picada). frescos. refrigerados o congelados. - Filetes frescos o refrigerados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t>
  </si>
  <si>
    <t>-Filetes frescos o refrigerados de tilapias (Oreochromis spp.). bagres o peces gato (Pangasius spp.. Silurus spp.. Clarias spp.. Ictalurus spp.). carpas (Cyprinus spp.. Carassius spp.. Ctenopharyngodon idellus. Hypophthalmichthys spp..Cirrhinus spp.. Mylopharyngodon piceus. Catla catla. Labeo spp.. Osteochilus hasselti. Leptobarbus hoeveni. Megalobrama spp.). anguilas (Anguilla spp.). percas del Nilo (Lates niloticus) y de peces cabeza de serpiente (Channa spp.):</t>
  </si>
  <si>
    <t>- Filetes de los demas pescados. frescos o refrigerados:</t>
  </si>
  <si>
    <t>- - Salmones del Pacifico (Oncorhynchus nerka. Oncorhynchus gorbuscha. Oncorhynchus keta. Oncorhynchus tschawytscha. Oncorhynchus kisutch. Oncorhynchus masou y Oncorhynchus rhodurus). salmones del Atlantico (Salmo salar) y salmones del Danubio (Hucho hucho)</t>
  </si>
  <si>
    <t>Trucha proveniente de cultivo (Oncorhynchus mykiss) (Res. 137/08 MEYP)</t>
  </si>
  <si>
    <t>Hubbsi (Merluccius hubbsi) (Res. 137/08 MEYP)</t>
  </si>
  <si>
    <t>Merluza negra (Dissostichus eleginoides)</t>
  </si>
  <si>
    <t>Cherna (Polyprion americanus)</t>
  </si>
  <si>
    <t>Lenguado (Paralichtys spp.) (Res. 137/08 MEYP)</t>
  </si>
  <si>
    <t>Armados (Pterodoras spp.; Oxydoras spp.; Rhinodoras spp.; Anadoras spp.; Platydoras spp.; Trachidoras spp.; Doras spp.). Bagres de rio (Pimelodus spp.; Rhamdia spp.). Bogas (Leporinus spp.). Dorados de rio (Salminus spp.). Manduvies (Ageneiosus spp.; Auchenipterus spp.). Manguruyues (Zungaro spp.). Paties (Luciopimelodus pati). Sabalos (Prochilodus spp.). Surubies (Pseudoplatystoma spp.) (Decreto 2684/2012)</t>
  </si>
  <si>
    <t>Tarariras (Hoplias malabaricus y H cf. lacerdae) (Decreto 2684/2012)</t>
  </si>
  <si>
    <t>- Los demas. frescos o refrigerados:</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</si>
  <si>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</si>
  <si>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Cocochas (Res. 137/08 MEYP)</t>
  </si>
  <si>
    <t>- Filetes congelados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t>
  </si>
  <si>
    <t>Desgrasados. en envases inmediatos de contenido neto inferior o igual a 1 kg (R.420/99 MEYOSP)</t>
  </si>
  <si>
    <t>Los demas. excepto desgrasados. en envases inmediatos de contenido neto inferior o igual a 1 kg (R.420/99 MEYOSP)</t>
  </si>
  <si>
    <t>- Filetes congelados de pescados de las familias Bregmacerotidae. Euclichthyidae. Gadidae. Macrouridae. Melanonidae. Merlucciidae. Moridae y Muraenolepididae:</t>
  </si>
  <si>
    <t>Desgrasados. en envases inmediatos de contenido neto inferior o igual a 1 kg (R420/99 MEYOSP)</t>
  </si>
  <si>
    <t>De hubbsi (Merluccius hubbsi)</t>
  </si>
  <si>
    <t>Sin piel y sin espinas (Res. 137/08 MEYP)</t>
  </si>
  <si>
    <t>Sin piel y poca espina (Res. 137/08 MEYP)</t>
  </si>
  <si>
    <t>Lomos. sin piel. sin espinas (Res. 137/08 MEYP)</t>
  </si>
  <si>
    <t>Trozos de filete. sin piel. sin espinas. excepto los lomos (Res.137/08 MEYP)</t>
  </si>
  <si>
    <t>De Merluza Austral (Merluccius australis)</t>
  </si>
  <si>
    <t>Del genero Urophycis</t>
  </si>
  <si>
    <t>Los demas. excepto desgrasados. en envases inmediatos de contenido neto inferior o igual a 1 kg (R420/99 MEYOSP)</t>
  </si>
  <si>
    <t>Sin piel y sin espinas. desgrasados (Res. 137/08 MEYP)</t>
  </si>
  <si>
    <t>Sin piel y sin espinas. excepto desgrasados (Res. 137/08 MEYP)</t>
  </si>
  <si>
    <t>De hubbsi (Merluccius hubbsi). desgrasados</t>
  </si>
  <si>
    <t>Sin piel y sin espinas. elaborados en planta de reproceso en tierra</t>
  </si>
  <si>
    <t>Los demas. sin piel y sin espinas</t>
  </si>
  <si>
    <t>Sin piel y poca espinas. elaborados en planta de reproceso en tierra</t>
  </si>
  <si>
    <t>Los demas. sin piel y poca espina</t>
  </si>
  <si>
    <t>Los demas. elaborados en planta de reproceso en tierra</t>
  </si>
  <si>
    <t>Lomos. sin piel y sin espinas</t>
  </si>
  <si>
    <t>De hubbsi (Merluccius hubbsi). excepto desgrasados</t>
  </si>
  <si>
    <t>Desgrasados</t>
  </si>
  <si>
    <t>Sin desgrasar</t>
  </si>
  <si>
    <t>Sin piel y poca espina. excepto desgrasados (Res. 137/08 MEYP)</t>
  </si>
  <si>
    <t>Sin piel y sin espina. excepto desgrasados (Res. 137/08 MEYP)</t>
  </si>
  <si>
    <t>Sin piel y poca espina. desgrasados (Res. 137/08 MEYP)</t>
  </si>
  <si>
    <t>Sin piel y sin espina. desgrasados (Res. 137/08 MEYP)</t>
  </si>
  <si>
    <t>- Filetes congelados de los demas pescados:</t>
  </si>
  <si>
    <t>Desgrasados. en envases inmediatos de contenido neto inferior o igual a 1 kg.</t>
  </si>
  <si>
    <t>Los demas. excepto desgrasados. en envases inmediatos de contenido neto inferior o igual a 1 Kg (R.420/99 MEyOSP)</t>
  </si>
  <si>
    <t>--Atunes (del genero Thunnus). listados o bonitos de vientre rayado (Euthynnus (Katsuwonus) pelamis)</t>
  </si>
  <si>
    <t>Los demas cazones y escualos</t>
  </si>
  <si>
    <t>Zearaja chilensis</t>
  </si>
  <si>
    <t>De la especie Acanthistius brasilianus</t>
  </si>
  <si>
    <t>Sin piel y poca espina. desgrasados</t>
  </si>
  <si>
    <t>Pescadillas (Cynocion spp)</t>
  </si>
  <si>
    <t>Pacues (Piaractus mesopotamicus) (Res. 137/08 MEYP)</t>
  </si>
  <si>
    <t>Lenguados (Paralichtys spp)</t>
  </si>
  <si>
    <t>Sin piel y sin espinas. desgrasados</t>
  </si>
  <si>
    <t>Armados (Pterodoras spp.; Oxydoras spp.; Rhinodoras spp.; Anadoras spp.; Platydoras spp.; Trachidoras spp.; Doras spp.). Bagres de rio (Pimelodus spp.; Rhamdia spp.). Bogas (Leporinus spp.). Dorados de rio (Salminus spp.). Manduvies (Ageneiosus spp.; Auchenipterus spp.). Manguruyues (Zungaro spp.). Paties (Luciopimelodus pati). Sabalos (Prochilodus spp.) Surubies Pseudoplatystoma spp.) (Decreto 2684/2012)</t>
  </si>
  <si>
    <t>Pez palo (Percophis brasillensis)</t>
  </si>
  <si>
    <t>- Los demas. congelados:</t>
  </si>
  <si>
    <t>En rodajas o en trozos (R.420/99 MEYOSP)</t>
  </si>
  <si>
    <t>Carne picada en envases inmediatos de contenido neto inferior o igual a 1 kg.</t>
  </si>
  <si>
    <t>Cachetes</t>
  </si>
  <si>
    <t>Collares</t>
  </si>
  <si>
    <t>Sin hueso o cartilago</t>
  </si>
  <si>
    <t>--Tilapias (Oreochromis spp.). bagres o peces gato (Pangasius spp.. Silurus spp.. Clarias spp.. Ictalurus spp.). carpas (Cyprinus spp.. Carassius spp.. Ctenopharyngodon idellus. Hypophthalmichthys spp.. Cirrhinus spp.. Mylopharyngodon piceus.Catla catla. Labeo spp.. Osteochilus hasselti. Leptobarbus hoeveni. Megalobrama spp.). anguilas (Anguilla spp.). percas del Nilo (Lates niloticus) y peces cabeza de serpiente (Channa spp.)</t>
  </si>
  <si>
    <t>Surimi</t>
  </si>
  <si>
    <t>Hubbsi (Merluccius hubbsi) (Res 137/08 MEYP)</t>
  </si>
  <si>
    <t>En rodajas y/o en trozos (R420/99 MEYOSP)</t>
  </si>
  <si>
    <t>Carne picada en envases de contenido neto inferior o igual a 1 kg (R420/99 MEYOSP)</t>
  </si>
  <si>
    <t>Chorizo (Res. 137/08 MEYP)</t>
  </si>
  <si>
    <t>Minced (Res. 137/08 MEYP)</t>
  </si>
  <si>
    <t>En rodajas y/o en trozos (R.420/99 MEYOSP)</t>
  </si>
  <si>
    <t>Carne picada en envases de contenido neto inferior o igual a 1 kg (R.420/99 MEYOSP)</t>
  </si>
  <si>
    <t>- - Rayas (Rajidae).</t>
  </si>
  <si>
    <t>En envases de contenido neto inferior o igual a 1 kg.</t>
  </si>
  <si>
    <t>Cachetes (Res.137/08 MEYP)</t>
  </si>
  <si>
    <t>Pescado seco. salado o en salmuera; pescado ahumado. incluso cocido antes o durante el ahumado; harina. polvo y «pellets» de pescado. aptos para la alimentacion humana.</t>
  </si>
  <si>
    <t>- Harina. polvo y «pellets» de pescado. aptos para la alimentacion humana</t>
  </si>
  <si>
    <t>De merluza negra (Dissostichus eleginoides)</t>
  </si>
  <si>
    <t>De Austromerluza antartica (Dissostichus mawsoni)</t>
  </si>
  <si>
    <t>- Filetes de pescado. secos. salados o en salmuera. sin ahumar:</t>
  </si>
  <si>
    <t>Bacalaos (Gadus morhua. Gadus ogac. Gadus macrocephalus)</t>
  </si>
  <si>
    <t>Carboneros (Pollachius virens)</t>
  </si>
  <si>
    <t>Brosmios (Brosme brosme) y marucas (Molva molva)</t>
  </si>
  <si>
    <t>Merluza comun (Merluccius hubbsi)</t>
  </si>
  <si>
    <t>De anchoas (Engraulis anchoita) (Res. 137/08 MEYP)</t>
  </si>
  <si>
    <t>Armados (Pterodoras spp.; Oxydoras spp.; Rhinodoras spp.; Anadoras spp.; Platydoras spp.; Trachidoras spp.; Doras spp.). Bagres de rio (Pimelodus spp.; Rhamdia spp.). Bogas (Leporinus spp.). Dorados de rio (Salminus spp.). Manduvies (Ageneiosus spp.; Auchenipterus spp.). Manguruyues (Zungaro spp.). Paties (Luciopimelodus pati). Sabalos (Prochilodus spp.). Surubies (Pseudoplatystoma spp.) (Decreto 2.684/2012)</t>
  </si>
  <si>
    <t>Rayas (Rajidae); Chuchos (Dasyatidae. Myliobatidae); guitarras (Rhinobatidae); torpedos (Narcinidae. Torpedinidae)</t>
  </si>
  <si>
    <t>- Pescados ahumados. incluidos los filetes. excepto los despojos comestibles de pescado:</t>
  </si>
  <si>
    <t>Carboneros (Pollachius virens). marucas (Molva molva) y brosmios (Brosme brosme)</t>
  </si>
  <si>
    <t>Austromerluza antartica (Dissostichus mawsoni)</t>
  </si>
  <si>
    <t>Filetes (Res. 137/08 MEYP)</t>
  </si>
  <si>
    <t>- Pescado seco. incluso salado. sin ahumar. excepto los despojos comestibles:</t>
  </si>
  <si>
    <t>Bacalaos polares (Boreogadus saida). carboneros (Pollachius virens). marucas (Molva molva). marucas azules (Molva dypterygia). brosmios (Brosme brosme). brotolas de fango (Urophycis blennoides) y eglefinos (Melanogrammus aeglefinus)</t>
  </si>
  <si>
    <t>- -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pampanos (Caranx spp.). cobias (Rachycentron canadum). palometones plateados (Pampus spp.). papardas del Pacifico (Cololabis saira). macarelas (Decapterus spp.). capelanes (Mallotus villosus). peces espada (Xiphias gladius). bacoretas orientales (Euthynnus affinis). bonitos (Sarda spp.). agujas. marlines. peces vela o picudos (Istiophoridae).</t>
  </si>
  <si>
    <t>Anchoas (Engraulis spp.)</t>
  </si>
  <si>
    <t>Caballas (Scomber japonicus)</t>
  </si>
  <si>
    <t>Tiburon</t>
  </si>
  <si>
    <t>- Pescado salado sin secar ni ahumar y pescado en salmuera. excepto los despojos comestibles:</t>
  </si>
  <si>
    <t>En envases inmediatos de contenido neto superior a 1 kg (R.420/99 MEYOSP)</t>
  </si>
  <si>
    <t>De la especie Engraulis anchoita. descabezadas y evisceradas (H &amp; G) (Res. 137/08 MEYP)</t>
  </si>
  <si>
    <t>Pescados de las familias Bregmacerotidae. Euclichthyidae. Gadidae. Macrouridae. Melanonidae. Merlucciidae. Moridae y Muraenolepididae</t>
  </si>
  <si>
    <t>- Aletas. cabezas. colas. vejigas natatorias y demas despojos comestibles de pescado:</t>
  </si>
  <si>
    <t>Secas. incluso saladas. sin ahumar</t>
  </si>
  <si>
    <t>De Gatuzo (Mustelus schmitti)</t>
  </si>
  <si>
    <t>De Cazon (Galeorhinus galeus)</t>
  </si>
  <si>
    <t>De Tiburon espinoso (Squalus acanthias)</t>
  </si>
  <si>
    <t>Crustaceos. incluso pelados. vivos. frescos. refrigerados. congelados. secos. salados o en salmuera; crustaceos. incluso pelados. ahumados. incluso cocidos antes o durante el ahumado; crustaceos sin pelar. cocidos en agua o vapor. incluso refrigerados. congelados. secos. salados o en salmuera; harina. polvo y «pellets» de crustaceos. aptos para la alimentacion humana.</t>
  </si>
  <si>
    <t>- Congelados:</t>
  </si>
  <si>
    <t>Enteras</t>
  </si>
  <si>
    <t>Pelados. ahumados. incluso cocidos antes o durante el ahumado</t>
  </si>
  <si>
    <t>Centolla y centollon. en envases inmediatos de contenido neto inferior o igual a 1 kg (R420/99 MEYOSP)</t>
  </si>
  <si>
    <t>En envases inmediatos de contenido neto superior a 1 kg (R420/99 MEYOSP)</t>
  </si>
  <si>
    <t>Langostinos</t>
  </si>
  <si>
    <t>Langostinos sin clasificar segun cantidad de piezas por unidad de peso (R.2053/93 ex-ANA)</t>
  </si>
  <si>
    <t>Los demas langostinos.</t>
  </si>
  <si>
    <t>En envases inmediatos de contenido neto superior a 1 kg pero inferior o igual a 2 kg</t>
  </si>
  <si>
    <t>Pelados y devenados</t>
  </si>
  <si>
    <t>Devenados sin pelar (Easy Peel)</t>
  </si>
  <si>
    <t>Pelados</t>
  </si>
  <si>
    <t>- - Los demas. incluidos la harina. polvo y «pellets» de crustaceos. aptos para la alimentacion humana</t>
  </si>
  <si>
    <t>«Krill» (Euphausia superba)</t>
  </si>
  <si>
    <t>- Vivos. frescos o refrigerados:</t>
  </si>
  <si>
    <t>- - Langostas (Palinurus spp.. Panulirus spp.. Jasus spp.).</t>
  </si>
  <si>
    <t>Peladas. ahumadas. incluso cocidas antes o durante el ahumado</t>
  </si>
  <si>
    <t>- - Bogavantes (Homarus spp.).</t>
  </si>
  <si>
    <t>- - Cangrejos (excepto macruros) .</t>
  </si>
  <si>
    <t>- - Cigalas (Nephrops norvegicus).</t>
  </si>
  <si>
    <t>- - Camarones y langostinos y demas decapodos Natantia. de agua fria (Pandalus spp.. Crangon crangon).</t>
  </si>
  <si>
    <t>Langostinos (Pleoticus Muelleri)</t>
  </si>
  <si>
    <t>- - Los demas. incluidos la harina. polvo y «pellets» de crustaceos. aptos para la alimentacion humana.</t>
  </si>
  <si>
    <t>Langostas de agua dulce (Cherax quadricarinatus)</t>
  </si>
  <si>
    <t>- - Cangrejos (excepto macruros).</t>
  </si>
  <si>
    <t>Moluscos. incluso separados de sus valvas. vivos. frescos. refrigerados. congelados. secos. salados o en salmuera; moluscos. incluso pelados. ahumados. incluso cocidos antes o durante el ahumado; harina. polvo y «pellets» de moluscos. aptos para la alimentacion humana.</t>
  </si>
  <si>
    <t>- Ostras:</t>
  </si>
  <si>
    <t>Congeladas</t>
  </si>
  <si>
    <t>- Vieiras. volandeiras y demas moluscos de los generos Pecten. Chlamys o Placopecten:</t>
  </si>
  <si>
    <t>- Mejillones (Mytilus spp.. Perna spp.):</t>
  </si>
  <si>
    <t>- Jibias (sepias)* y globitos; calamares y potas:</t>
  </si>
  <si>
    <t>Calamar (llex argentinus)</t>
  </si>
  <si>
    <t>Calamares y potas</t>
  </si>
  <si>
    <t>Calamar (Illex argentinus)</t>
  </si>
  <si>
    <t>Enteros (Res. 137/08 MEYP)</t>
  </si>
  <si>
    <t>Anillas sin piel (Res.137/08 MEYP)</t>
  </si>
  <si>
    <t>Vainas (Res. 137/08 MEYP)</t>
  </si>
  <si>
    <t>Picos. huevas. gonadas. trozos (Res. 137/08 MEYP)</t>
  </si>
  <si>
    <t>Tentaculos sin pico y sin ojos (Res. 137/08 MEYP)</t>
  </si>
  <si>
    <t>Tubos</t>
  </si>
  <si>
    <t>Limpios (Res. 137/08 MEYP)</t>
  </si>
  <si>
    <t>Jibias (sepias)* y globitos</t>
  </si>
  <si>
    <t>Secos. salados o en salmuera</t>
  </si>
  <si>
    <t>- Pulpos (Octopus spp.):</t>
  </si>
  <si>
    <t>De tierra (Helix aspersa)</t>
  </si>
  <si>
    <t>- Almejas. berberechos y arcas (familias Arcidae. Arcticidae. Cardiidae. Donacidae. Hiatellidae. Mactridae. Mesodesmatidae. Myidae. Semelidae. Solecurtidae. Solenidae. Tridacnidae y Veneridae):</t>
  </si>
  <si>
    <t>- Abulones u orejas de mar (Haliotis spp.) y cobos (caracoles de mar) (Strombus spp.):</t>
  </si>
  <si>
    <t>--Abulones u orejas de mar (Haliotis spp.). vivos. frescos o refrigerados</t>
  </si>
  <si>
    <t>--Cobos (caracoles de mar) (Strombus spp.). vivos. frescos o refrigerados</t>
  </si>
  <si>
    <t>--Abulones u orejas de mar (Haliotis spp.). congelados</t>
  </si>
  <si>
    <t>--Cobos (caracoles de mar) (Strombus spp.). congelados</t>
  </si>
  <si>
    <t>- - Los demas abulones u orejas de mar (Haliotis spp.).</t>
  </si>
  <si>
    <t>- - Los demas cobos (caracoles de mar) (Strombus spp.).</t>
  </si>
  <si>
    <t>- Los demas. incluidos la harina. polvo y «pellets». aptos para la alimentacion humana:</t>
  </si>
  <si>
    <t>Vieiras (zygochlamis patagonica)</t>
  </si>
  <si>
    <t>Vieiras (Zygochlamys patagonica).</t>
  </si>
  <si>
    <t>Vieiras (Zygochlamys patagonica)</t>
  </si>
  <si>
    <t>Peladas. ahumados. incluso cocidos antes o durante el ahumado</t>
  </si>
  <si>
    <t>Invertebrados acuaticos. excepto los crustaceos y moluscos. vivos. frescos. refrigerados. congelados. secos. salados o en salmuera; invertebrados acuaticos. excepto los crustaceos y moluscos. ahumados. incluso cocidos antes o durante el ahumado; harina. polvo y «pellets» de invertebrados acuaticos. excepto de los crustaceos y moluscos. aptos para la alimentacion humana.</t>
  </si>
  <si>
    <t>- Pepinos de mar (Stichopus japonicus. Holothuroidea):</t>
  </si>
  <si>
    <t>- Erizos de mar (Strongylocentrotus spp.. Paracentrotus lividus. Loxechinus albus. Echinus esculentus):</t>
  </si>
  <si>
    <t>Leche y nata (crema). sin concentrar. sin adicion de azucar ni otro edulcorante.</t>
  </si>
  <si>
    <t>- Con un contenido de materias grasas inferior o igual al 1 % en peso</t>
  </si>
  <si>
    <t>Leche UHT («Ultra High Temperature»)</t>
  </si>
  <si>
    <t>En envases inmediatos de contenido neto inferior o igual a 2 l (R.420/99 MEYOSP)</t>
  </si>
  <si>
    <t>- Con un contenido de materias grasas superior al 1 % pero inferior o igual al 6 %. en peso</t>
  </si>
  <si>
    <t>- Con un contenido de materias grasas superior al 6 % pero inferior o igual al 10 %. en peso</t>
  </si>
  <si>
    <t>Leche</t>
  </si>
  <si>
    <t>Nata (crema)</t>
  </si>
  <si>
    <t>UHT («Ultra High Temperature»)</t>
  </si>
  <si>
    <t>En envases inmediatos de contenido neto inferior o igual a 2 l (R420/99 MEYOSP)</t>
  </si>
  <si>
    <t>Elaborada con leche de cabra. bufala u ovina</t>
  </si>
  <si>
    <t>- Con un contenido de materias grasas superior al 10 % en peso</t>
  </si>
  <si>
    <t>Leche y nata (crema). concentradas o con adicion de azucar u otro edulcorante.</t>
  </si>
  <si>
    <t>- En polvo. granulos o demas formas solidas. con un contenido de materias grasas inferior o igual al 1.5 % en peso</t>
  </si>
  <si>
    <t>Con un contenido de arsenico. plomo o cobre. considerados aisladamente. inferior a 5 ppm</t>
  </si>
  <si>
    <t>Enlatadas</t>
  </si>
  <si>
    <t>- En polvo. granulos o demas formas solidas. con un contenido de materias grasas superior al 1.5 % en peso:</t>
  </si>
  <si>
    <t>Leche entera</t>
  </si>
  <si>
    <t>Leche parcialmente descremada</t>
  </si>
  <si>
    <t>Elaborada con leche de cabra. bufala u A ovina</t>
  </si>
  <si>
    <t>En envases inmediatos de contenido neto inferior o igual a 2 kg (R.967/99 MEYOSP)</t>
  </si>
  <si>
    <t>- Las demas:</t>
  </si>
  <si>
    <t>En envases inmediatos de contenido neto inferior o igual a 2 kg</t>
  </si>
  <si>
    <t>Suero de manteca (de mantequilla)*. leche y nata (crema) cuajadas. yogur. kefir y demas leches y natas (cremas). fermentadas o acidificadas. incluso concentrados. con adicion de azucar u otro edulcorante. aromatizados o con frutas u otros frutos o cacao.</t>
  </si>
  <si>
    <t>En envases inmediatos de contenido neto inferior o igual a 1 l (R.420/99 MEYOSP)</t>
  </si>
  <si>
    <t>Elaborado con leche bovina</t>
  </si>
  <si>
    <t>Lactosuero. incluso concentrado o con adicion de azucar u otro edulcorante; productos constituidos por los componentes naturales de la leche. incluso con adicion de azucar u otro edulcorante. no expresados ni comprendidos en otra parte.</t>
  </si>
  <si>
    <t>Manteca (mantequilla)* y demas materias grasas de la leche; pastas lacteas para untar.</t>
  </si>
  <si>
    <t>- Manteca (mantequilla)*</t>
  </si>
  <si>
    <t>Elaborada con leche bovina</t>
  </si>
  <si>
    <t>Aceite butirico (&lt;&lt;butter oil&gt;&gt;)</t>
  </si>
  <si>
    <t>Quesos y requeson.</t>
  </si>
  <si>
    <t>- Queso fresco (sin madurar). incluido el del lactosuero. y requeson</t>
  </si>
  <si>
    <t>Mozzarella</t>
  </si>
  <si>
    <t>En hormas o en envases inmediatos de contenido neto inferior o igual a 1 Kg (Res.386/07)</t>
  </si>
  <si>
    <t>Elaborada con leche de cabra. oveja o bufala</t>
  </si>
  <si>
    <t>Ricota</t>
  </si>
  <si>
    <t>Queso crema</t>
  </si>
  <si>
    <t>Elaborado con leche de cabra. oveja o bufala</t>
  </si>
  <si>
    <t>En hormas o en envases inmediatos de contenido neto inferior o igual a 1 kg (Res.386/07 MEP) (Res.420/99 MEYOSP)</t>
  </si>
  <si>
    <t>En fetas</t>
  </si>
  <si>
    <t>En envases inmediatos de contenido neto superior a 1 Kg pero inferior o igual a 2 Kg (Res. 420/99)</t>
  </si>
  <si>
    <t>Con un contenido de humedad inferior al 36.0 % en peso (pasta dura)</t>
  </si>
  <si>
    <t>En envases inmediatos de contenido neto inferior o igual a 8 kg (R.420/99 MEYOSP)</t>
  </si>
  <si>
    <t>Con un contenido de humedad superior o igual al 36.0 % pero inferior al 46.0 %. en peso (pasta semidura)</t>
  </si>
  <si>
    <t>En hormas o en envases inmediatos de contenido neto inferior o igual a 1 kg (Res.386/07 MEP) (Res.420/99MEYOSP)</t>
  </si>
  <si>
    <t>Tipo Cheddar</t>
  </si>
  <si>
    <t>En envases inmediatos de contenido neto superior a 1 Kg pero inferior o igual a 8 Kg (Res. 420/99)</t>
  </si>
  <si>
    <t>Con un contenido de humedad superior o igual al 46.0 % pero inferior al 55.0 %. en peso (pasta blanda)</t>
  </si>
  <si>
    <t>En envases inmediatos de contenido neto inferior o igual a 5 kg (R.967/99 MEYOSP)</t>
  </si>
  <si>
    <t>Huevos de ave con cascara (cascaron). frescos. conservados o cocidos.</t>
  </si>
  <si>
    <t>- Huevos fecundados para incubacion:</t>
  </si>
  <si>
    <t>- Los demas huevos frescos:</t>
  </si>
  <si>
    <t>Huevos de ave sin cascara (cascaron) y yemas de huevo. frescos. secos. cocidos en agua o vapor. moldeados. congelados o conservados de otro modo. incluso con adicion de azucar u otro edulcorante.</t>
  </si>
  <si>
    <t>- Yemas de huevo:</t>
  </si>
  <si>
    <t>Miel natural.</t>
  </si>
  <si>
    <t>En envases inmediatos de contenido neto inferior o igual a 2.5 kg (R.874/97 MEYOSP)</t>
  </si>
  <si>
    <t>De citrus</t>
  </si>
  <si>
    <t>De eucalipto</t>
  </si>
  <si>
    <t>De treboles</t>
  </si>
  <si>
    <t>De alfalfa</t>
  </si>
  <si>
    <t>Las demas. incluidas las mezclas</t>
  </si>
  <si>
    <t>A granel (Ley 25.525)(en envases de capacidad superior o igual a 300 kg)</t>
  </si>
  <si>
    <t>De abejas</t>
  </si>
  <si>
    <t>Productos comestibles de origen animal no expresados ni comprendidos en otra parte.</t>
  </si>
  <si>
    <t>Jalea real</t>
  </si>
  <si>
    <t>En envases de contenido neto inferior o igual a 2.5 kg</t>
  </si>
  <si>
    <t>Propoleos</t>
  </si>
  <si>
    <t>Polen en los terminos del Art. 785 C.A.A.</t>
  </si>
  <si>
    <t>En envases de contenido neto inferior o igual a 2.5 Kg</t>
  </si>
  <si>
    <t>CABELLO EN BRUTO. INCLUSO LAVADO O DESGRASADO; DESPERDICIOS DE CABELLO.</t>
  </si>
  <si>
    <t>Cerdas de cerdo o de jabali; pelo de tejon y demas pelos para cepilleria; desperdicios de dichas cerdas o pelos.</t>
  </si>
  <si>
    <t>Cerdas de cerdo</t>
  </si>
  <si>
    <t>Lavadas. blanqueadas o desgrasadas. incluso teñidas</t>
  </si>
  <si>
    <t>Teñidas</t>
  </si>
  <si>
    <t>Blancas</t>
  </si>
  <si>
    <t>Negras</t>
  </si>
  <si>
    <t>Desperdicios</t>
  </si>
  <si>
    <t>Pelos</t>
  </si>
  <si>
    <t>Lavados. blanqueados o desgrasados. incluso teñidos</t>
  </si>
  <si>
    <t>Teñidos</t>
  </si>
  <si>
    <t>Tripas. vejigas y estomagos de animales. excepto los de pescado. enteros o en trozos. frescos. refrigerados. congelados. salados o en salmuera. secos o ahumados.</t>
  </si>
  <si>
    <t>Tripas</t>
  </si>
  <si>
    <t>De bovino</t>
  </si>
  <si>
    <t>Tripa orilla</t>
  </si>
  <si>
    <t>Frescas. refrigeradas o congeladas (Dto. 499/98; RG 159/98 AFIP)</t>
  </si>
  <si>
    <t>Calibradas</t>
  </si>
  <si>
    <t>Tripa salame</t>
  </si>
  <si>
    <t>Tripon</t>
  </si>
  <si>
    <t>Frescos. refrigerados o congelados (Dto. 499/98; RG 159/98 AFIP)</t>
  </si>
  <si>
    <t>Calibrados</t>
  </si>
  <si>
    <t>Tripa gorda</t>
  </si>
  <si>
    <t>Chinchulines</t>
  </si>
  <si>
    <t>De ovino</t>
  </si>
  <si>
    <t>De porcino</t>
  </si>
  <si>
    <t>De caprino (R.2507/93 ex-ANA)</t>
  </si>
  <si>
    <t>De equino</t>
  </si>
  <si>
    <t>De bovino. ovino o caprino (R.2507/93 ex-ANA)</t>
  </si>
  <si>
    <t>Mondongo. librillo. cuajo. vejiga. frescos. refrigerados o congelados (Dto. 499/98; RG 159/98 AFIP)</t>
  </si>
  <si>
    <t>Mondongo. librillo. cuajo. vejiga. frescos. refrigerados o congelados</t>
  </si>
  <si>
    <t>De caprino</t>
  </si>
  <si>
    <t>Pieles y demas partes de ave. con sus plumas o plumon. plumas y partes de plumas (incluso recortadas) y plumon. en bruto o simplemente limpiados. desinfectados o preparados para su conservacion; polvo y desperdicios de plumas o de partes de plumas.</t>
  </si>
  <si>
    <t>De avestruz</t>
  </si>
  <si>
    <t>De ganso</t>
  </si>
  <si>
    <t>Harina de pluma</t>
  </si>
  <si>
    <t>Huesos y nucleos corneos. en bruto. desgrasados. simplemente preparados (pero sin cortar en forma determinada). acidulados o desgelatinizados; polvo y desperdicios de estas materias.</t>
  </si>
  <si>
    <t>Marfil. concha (caparazon) de tortuga. ballenas de mamiferos marinos (incluidas las barbas). cuernos. astas. cascos. pezuñas. uñas. garras y picos. en bruto o simplemente preparados. pero sin cortar en forma determinada; polvo y desperdicios de estas materias.</t>
  </si>
  <si>
    <t>Marfil</t>
  </si>
  <si>
    <t>Material biologico comprendido en la Resolucion MS N° 1789/06</t>
  </si>
  <si>
    <t>Polvo y desperdicios de marfil</t>
  </si>
  <si>
    <t>Cuernos y astas</t>
  </si>
  <si>
    <t>Cascos. uñas. pezuñas y garras</t>
  </si>
  <si>
    <t>Coral y materias similares. en bruto o simplemente preparados. pero sin otro trabajo; valvas y caparazones de moluscos. crustaceos o equinodermos. y jibiones. en bruto o simplemente preparados. pero sin cortar en forma determinada. incluso en polvo y desperdicios.</t>
  </si>
  <si>
    <t>Coral</t>
  </si>
  <si>
    <t>Valvas y caparazones</t>
  </si>
  <si>
    <t>ambar gris. castoreo. algalia y almizcle; cantaridas; bilis. incluso desecada; glandulas y demas sustancias de origen animal utilizadas para la preparacion de productos farmaceuticos. frescas. refrigeradas. congeladas o conservadas provisionalmente de otra forma.</t>
  </si>
  <si>
    <t>Pancreas bovinos</t>
  </si>
  <si>
    <t>Ambar gris</t>
  </si>
  <si>
    <t>Castoreo</t>
  </si>
  <si>
    <t>Algalia</t>
  </si>
  <si>
    <t>Almizcle</t>
  </si>
  <si>
    <t>Cantaridas</t>
  </si>
  <si>
    <t>Calculos biliares</t>
  </si>
  <si>
    <t>Glandulas</t>
  </si>
  <si>
    <t>Suprarrenales</t>
  </si>
  <si>
    <t>Tiroides</t>
  </si>
  <si>
    <t>Testiculos</t>
  </si>
  <si>
    <t>Ovarios</t>
  </si>
  <si>
    <t>Hipofisis</t>
  </si>
  <si>
    <t>Pancreas porcino</t>
  </si>
  <si>
    <t>Vesicula biliar</t>
  </si>
  <si>
    <t>Secreciones</t>
  </si>
  <si>
    <t>Bilis. incluso desecada</t>
  </si>
  <si>
    <t>Organos</t>
  </si>
  <si>
    <t>Traqueas de aves de la partida 01.05</t>
  </si>
  <si>
    <t>Productos de origen animal no expresados ni comprendidos en otra parte; animales muertos de los Capitulos 1 o 3. impropios para la alimentacion humana.</t>
  </si>
  <si>
    <t>- - Productos de pescado o de crustaceos. moluscos o demas invertebrados acuaticos; animales muertos del Capitulo 3</t>
  </si>
  <si>
    <t>Huevas de pescado fecundadas. para reproduccion</t>
  </si>
  <si>
    <t>Embriones de animales</t>
  </si>
  <si>
    <t>Semen animal</t>
  </si>
  <si>
    <t>Ovino o caprino (R.2507/93 ex-ANA)</t>
  </si>
  <si>
    <t>Huevos de gusano de seda</t>
  </si>
  <si>
    <t>Crin y sus desperdicios. incluso en capas con soporte o sin el</t>
  </si>
  <si>
    <t>De equidos</t>
  </si>
  <si>
    <t>De bovidos</t>
  </si>
  <si>
    <t>Sangre</t>
  </si>
  <si>
    <t>De bovino. excepto seca (Dto. 499/98; RG 159/98 AFIP)</t>
  </si>
  <si>
    <t>De ovino. excepto seca</t>
  </si>
  <si>
    <t>Recortes y desperdicios de pieles y cueros en bruto</t>
  </si>
  <si>
    <t>Despojos de liebre europea (LEPUS CAPENSIS- -L.EUROPAEUS) (R.3023/93 ex-ANA)</t>
  </si>
  <si>
    <t>Esponjas naturales de origen animal</t>
  </si>
  <si>
    <t>Cochinilla</t>
  </si>
  <si>
    <t>Cartilago de tiburon</t>
  </si>
  <si>
    <t>Material biologico comprendido en la Resolucion N° 1789/06 MS</t>
  </si>
  <si>
    <t>Huevos de Rana Toro (Rana catesbeiana)</t>
  </si>
  <si>
    <t>Bulbos. cebollas. tuberculos. raices y bulbos tuberosos. turiones y rizomas. en reposo vegetativo. en vegetacion o en flor; plantas y raices de achicoria. excepto las raices de la partida 12.12.</t>
  </si>
  <si>
    <t>De tulipanes</t>
  </si>
  <si>
    <t>De gladiolos</t>
  </si>
  <si>
    <t>De citricos (R.2507/93 ex-ANA)</t>
  </si>
  <si>
    <t>Plantas y retoños de platanos o bananos. excepto los de origen meristematico perteneciente a la especie Musa acuminata (R.2507/93 ex-ANA)</t>
  </si>
  <si>
    <t>Las demas plantas vivas (incluidas sus raices). esquejes e injertos; micelios.</t>
  </si>
  <si>
    <t>De vid</t>
  </si>
  <si>
    <t>Dieffenbachia</t>
  </si>
  <si>
    <t>Crisantemos</t>
  </si>
  <si>
    <t>Plantas y retoños de platanos o bananos. excepto los de origen meristematicos pertenecientes a la especie Musa acuminata (R.2507/93 ex-ANA)</t>
  </si>
  <si>
    <t>De kiwi</t>
  </si>
  <si>
    <t>De arandanos</t>
  </si>
  <si>
    <t>De manzana</t>
  </si>
  <si>
    <t>Pie o portainjerto</t>
  </si>
  <si>
    <t>De pera</t>
  </si>
  <si>
    <t>Micelios</t>
  </si>
  <si>
    <t>Plantas ornamentales. para trasplantar</t>
  </si>
  <si>
    <t>De orquidea</t>
  </si>
  <si>
    <t>Cactus</t>
  </si>
  <si>
    <t>Otras plantas. para trasplantar</t>
  </si>
  <si>
    <t>De caña de azucar</t>
  </si>
  <si>
    <t>De cafe</t>
  </si>
  <si>
    <t>De maiz (R.2507/93 ex-ANA)</t>
  </si>
  <si>
    <t>De olivo</t>
  </si>
  <si>
    <t>Flores y capullos. cortados para ramos o adornos. frescos. secos. blanqueados. teñidos. impregnados o preparados de otra forma.</t>
  </si>
  <si>
    <t>- Frescos:</t>
  </si>
  <si>
    <t>Mini rosa</t>
  </si>
  <si>
    <t>De largo de tallo inferior a 40 cm</t>
  </si>
  <si>
    <t>De largo de tallo superior o igual a 40 cm pero inferior o igual a 60 cm</t>
  </si>
  <si>
    <t>De largo de tallo superior a 60 cm pero inferior o igual a 80 cm</t>
  </si>
  <si>
    <t>Mini clavel</t>
  </si>
  <si>
    <t>Gypsophila</t>
  </si>
  <si>
    <t>Tulipanes</t>
  </si>
  <si>
    <t>Secos (R.2013/93 ex-ANA)</t>
  </si>
  <si>
    <t>Follaje. hojas. ramas y demas partes de plantas. sin flores ni capullos. y hierbas. musgos y liquenes. para ramos o adornos. frescos. secos. blanqueados. teñidos. impregnados o preparados de otra forma.</t>
  </si>
  <si>
    <t>Papas (patatas)* frescas o refrigeradas.</t>
  </si>
  <si>
    <t>En envases inmediatos de contenido neto inferior o igual a 2.5 kg (R.420/99 MEYOSP)</t>
  </si>
  <si>
    <t>Tomates frescos o refrigerados.</t>
  </si>
  <si>
    <t>Redondos (Res.46/91 IASCAV)</t>
  </si>
  <si>
    <t>Peritas (Res.46/91 IASCAV)</t>
  </si>
  <si>
    <t>Cebollas. chalotes. ajos. puerros y demas hortalizas aliaceas. frescos o refrigerados.</t>
  </si>
  <si>
    <t>Cebollas</t>
  </si>
  <si>
    <t>Para siembra</t>
  </si>
  <si>
    <t>Chalotes</t>
  </si>
  <si>
    <t>En envases inmediatos de contenido neto inferior o igual a 2.5 kg (R.967/99 MEYOSP)</t>
  </si>
  <si>
    <t>Coles. incluidos los repollos. coliflores. coles rizadas. colinabos y productos comestibles similares del genero Brassica. frescos o refrigerados.</t>
  </si>
  <si>
    <t>Lechugas (Lactuca sativa) y achicorias. comprendidas la escarola y la endibia (Cichorium spp.). frescas o refrigeradas.</t>
  </si>
  <si>
    <t>- Lechugas:</t>
  </si>
  <si>
    <t>- Achicorias. comprendidas la escarola y la endibia:</t>
  </si>
  <si>
    <t>--Endibia «witloof» (Cichorium intybus var. foliosum)</t>
  </si>
  <si>
    <t>Zanahorias. nabos. remolachas para ensalada. salsifies. apionabos. rabanos y raices comestibles similares. frescos o refrigerados.</t>
  </si>
  <si>
    <t>PEPINOS Y PEPINILLOS. FRESCOS O REFRIGERADOS.</t>
  </si>
  <si>
    <t>Hortalizas de vaina. aunque esten desvainadas. frescas o refrigeradas.</t>
  </si>
  <si>
    <t>Las demas hortalizas. frescas o refrigeradas.</t>
  </si>
  <si>
    <t>En envases inmediatos de contenido neto inferior o igual a 1 kg (R. 257/00 ME)</t>
  </si>
  <si>
    <t>- Hongos y trufas:</t>
  </si>
  <si>
    <t>Trufas</t>
  </si>
  <si>
    <t>--Alcachofas (alcauciles)*</t>
  </si>
  <si>
    <t>Maiz dulce</t>
  </si>
  <si>
    <t>Perejil. radichio. berro. hinojo (R.2507/93 ex-ANA)</t>
  </si>
  <si>
    <t>Hortalizas. aunque esten cocidas en agua o vapor. congeladas.</t>
  </si>
  <si>
    <t>- Papas (patatas)*</t>
  </si>
  <si>
    <t>Sin cocer (Ley 25063)</t>
  </si>
  <si>
    <t>En envases inmediatos de contenido neto inferior o igual a 3 kg</t>
  </si>
  <si>
    <t>- Hortalizas de vaina. esten o no desvainadas:</t>
  </si>
  <si>
    <t>Espinaca de la especie Spinacea oleracea sin cocer (R.2507/93 ex-ANA)</t>
  </si>
  <si>
    <t>Lechuga. repollo. endibia. perejil. apio. achicoria. radichio. berro. hinojo. brecol («broccoli»). coliflor. coles. esparragos. presentados sin cocer (R.2507/93 ex-ANA)</t>
  </si>
  <si>
    <t>Sin cocer</t>
  </si>
  <si>
    <t>Hortalizas conservadas provisionalmente (por ejemplo: con gas sulfuroso o con agua salada. sulfurosa o adicionada de otras sustancias para asegurar dicha conservacion). pero todavia impropias para consumo inmediato.</t>
  </si>
  <si>
    <t>Con agua salada</t>
  </si>
  <si>
    <t>Con agua sulfurosa o adicionada de otras sustancias</t>
  </si>
  <si>
    <t>Alcaparras</t>
  </si>
  <si>
    <t>Con agua salada. sulfurosa o adicionada de otras sustancias</t>
  </si>
  <si>
    <t>Hortalizas secas. incluidas las cortadas en trozos o en rodajas o las trituradas o pulverizadas. pero sin otra preparacion.</t>
  </si>
  <si>
    <t>- Orejas de Judas (Auricularia spp.). hongos gelatinosos (Tremella spp.) y demas hongos; trufas:</t>
  </si>
  <si>
    <t>Ajo en polvo</t>
  </si>
  <si>
    <t>Calabaza (zapallo)</t>
  </si>
  <si>
    <t>Zanahoria</t>
  </si>
  <si>
    <t>Hortalizas de vaina secas desvainadas. aunque esten mondadas o partidas.</t>
  </si>
  <si>
    <t>En envases inmediatos de contenido neto inferior o igual a 1 kg (R.967/99 MEYOSP) (Res.835/05 SAGPyA)</t>
  </si>
  <si>
    <t>Partidas</t>
  </si>
  <si>
    <t>En envases inmediatos de contenido neto superior a 1 kg e inferior o igual 2 kg (Res.835/05 SAGPyA)</t>
  </si>
  <si>
    <t>Enteras (Ley 21453)</t>
  </si>
  <si>
    <t>Verdes (Ley 21.453)</t>
  </si>
  <si>
    <t>Amarillas (Ley 21.453)</t>
  </si>
  <si>
    <t>Partidas (Ley 21453)</t>
  </si>
  <si>
    <t>En envases inmediatos de contenido neto inferior o igual a 1kg (R.967/99 MEYOSP) (Res. 835/05 SAGPyA)</t>
  </si>
  <si>
    <t>Partidos</t>
  </si>
  <si>
    <t>En envases inmediatos de contenido neto superior a 1 kg e inferior o igual a 2kg. (Res.835/05 SAGPyA)</t>
  </si>
  <si>
    <t>Enteros (Ley 21453)</t>
  </si>
  <si>
    <t>De diametro superior o igual a 9 mm (Ley 21.453)</t>
  </si>
  <si>
    <t>De diametro superior o igual a 8 mm pero inferior a 9 mm (Ley 21.453)</t>
  </si>
  <si>
    <t>De diametro superior o igual a 7 mm pero inferior a 8 mm (Ley 21.453)</t>
  </si>
  <si>
    <t>Los demas (Ley 21.453)</t>
  </si>
  <si>
    <t>Partidos (Ley 21453)</t>
  </si>
  <si>
    <t>- Porotos (frijoles. frejoles. alubias. judias)* (Vigna spp.. Phaseolus spp.):</t>
  </si>
  <si>
    <t>En envases inmediatos de contenido neto inferior o igual a 2 kg (Res. 835/05 SAGPyA)</t>
  </si>
  <si>
    <t>En envases de contenido neto superior a 20 kg (Ley 21453)</t>
  </si>
  <si>
    <t>En envases inmediatos de contenido neto inferior o igual a 1 kg (R.967/99 MEOSP)</t>
  </si>
  <si>
    <t>En envases inmediatos de contenido neto superior a 1 kg e inferior o igual a 2 kg (Res. 835/05 SAGPyA)</t>
  </si>
  <si>
    <t>Negro</t>
  </si>
  <si>
    <t>En envases de contenido neto superior a 20 kg (Ley 21.453)</t>
  </si>
  <si>
    <t>En envases inmediatos de contenido neto inferior o igual a 1 kg (R.967/99 MEYOSP)</t>
  </si>
  <si>
    <t>Blanco</t>
  </si>
  <si>
    <t>Alubia (Ley 21.453)</t>
  </si>
  <si>
    <t>En envases de contenido neto superior a 20 Kg (Ley 21.453)</t>
  </si>
  <si>
    <t>De hasta 190 granos/100 g (Ley 21.453)</t>
  </si>
  <si>
    <t>De 191 granos. hasta 220 granos/100 g (Ley 21.453)</t>
  </si>
  <si>
    <t>Desde 221 granos/100 g (ley 21.453)</t>
  </si>
  <si>
    <t>Ovales (Ley 21.453)</t>
  </si>
  <si>
    <t>En envase de contenido neto superior a 20 kg (Ley 21.453)</t>
  </si>
  <si>
    <t>En envases de contenido neto superior a 20 kg</t>
  </si>
  <si>
    <t>Colorados</t>
  </si>
  <si>
    <t>Del tipo comercial Light Red Kidney</t>
  </si>
  <si>
    <t>En envases de contenido neto superior a 20 Kg (Ley 21453)</t>
  </si>
  <si>
    <t>Del tipo comercial Dark Red Kidney</t>
  </si>
  <si>
    <t>Del tipo comercial Carioca</t>
  </si>
  <si>
    <t>Del tipo comercial Cranberry</t>
  </si>
  <si>
    <t>En envases inmediatos de contenido neto inferior o igual a 2 Kg (Res N°835/05 SAGPyA)</t>
  </si>
  <si>
    <t>Para Siembra</t>
  </si>
  <si>
    <t>Pallares (Phaseolus coccineus. var. Albus) (Ley 21.453)</t>
  </si>
  <si>
    <t>En envases inmediatos de contenido neto inferior o igual a 2 kg (Res. N° 835/05 SAGPyA)</t>
  </si>
  <si>
    <t>Los demas.</t>
  </si>
  <si>
    <t>En envases inmediatos de contenido neto inferior o igual a 1 kg (R.967/99 MEYOSP) (Res. 835/05 SAGPyA)</t>
  </si>
  <si>
    <t>- Habas (Vicia faba var. major). haba caballar (Vicia faba var. equina) y haba menor (Vicia faba var. minor)</t>
  </si>
  <si>
    <t>Raices de mandioca (yuca)*. arrurruz o salep. aguaturmas (patacas)*. batatas (boniatos. camotes)* y raices y tuberculos similares ricos en fecula o inulina. frescos. refrigerados. congelados o secos. incluso troceados o en «pellets»; medula de sagu.</t>
  </si>
  <si>
    <t>-Raices de mandioca (yuca)*</t>
  </si>
  <si>
    <t>- Batatas (boniatos. camotes)*</t>
  </si>
  <si>
    <t>Secas</t>
  </si>
  <si>
    <t>Ñame (Dioscorea spp.)</t>
  </si>
  <si>
    <t>Cocos. nueces del Brasil y nueces de «caju» (merey. cajuil. anacardo. marañon)*. frescos o secos. incluso sin cascara o mondados.</t>
  </si>
  <si>
    <t>- Cocos:</t>
  </si>
  <si>
    <t>Frescos a granel (RG.2146 AFIP)</t>
  </si>
  <si>
    <t>- Nueces del Brasil:</t>
  </si>
  <si>
    <t>- Nueces de «caju» (merey. cajuil. anacardo. marañon)*:</t>
  </si>
  <si>
    <t>Los demas frutos de cascara frescos o secos. incluso sin cascara o mondados.</t>
  </si>
  <si>
    <t>- Almendras:</t>
  </si>
  <si>
    <t>- Avellanas (Corylus spp.):</t>
  </si>
  <si>
    <t>- Nueces de nogal:</t>
  </si>
  <si>
    <t>- Castañas (Castanea spp.):</t>
  </si>
  <si>
    <t>- Pistachos:</t>
  </si>
  <si>
    <t>- Nueces de macadamia:</t>
  </si>
  <si>
    <t>Secos</t>
  </si>
  <si>
    <t>Nueces de Pecan</t>
  </si>
  <si>
    <t>Con cascara</t>
  </si>
  <si>
    <t>Sin cascara</t>
  </si>
  <si>
    <t>Bananas. incluidos los platanos «plantains». frescos o secos.</t>
  </si>
  <si>
    <t>- Platanos «plantains»</t>
  </si>
  <si>
    <t>Datiles. higos. piñas (ananas). aguacates (paltas)*. guayabas. mangos y mangostanes. frescos o secos.</t>
  </si>
  <si>
    <t>Frescos</t>
  </si>
  <si>
    <t>A granel (RG.2146 AFIP)</t>
  </si>
  <si>
    <t>- Aguacates (paltas)*</t>
  </si>
  <si>
    <t>En envases inmediatos de contenido neto inferior o igual a 4 kg (Dec.PEN 509/07 Anexo III)</t>
  </si>
  <si>
    <t>En envases inmediatos de contenido neto superior a 4 kg e inferior o igual a 20 kg (Dec.PEN 509/07 Anexo III)</t>
  </si>
  <si>
    <t>Guayabas</t>
  </si>
  <si>
    <t>Mangos</t>
  </si>
  <si>
    <t>Mangostanes</t>
  </si>
  <si>
    <t>Agrios (citricos) frescos o secos.</t>
  </si>
  <si>
    <t>En envases inmediatos de contenido neto inferior o igual a 16 kg (Dec.PEN 509/07 Anexo III)</t>
  </si>
  <si>
    <t>En envases inmediatos de contenido neto superior a 16 kg e inferior o igual a 20 kg (Dec.PEN 509/07 Anexo III)</t>
  </si>
  <si>
    <t>- Mandarinas (incluidas las tangerinas y satsumas); clementinas. «wilkings» e hibridos similares de agrios (citricos):</t>
  </si>
  <si>
    <t>Frescas a granel (RG.2146 AFIP)</t>
  </si>
  <si>
    <t>En envases inmediatos de contenido neto inferior o igual a 16 kg (Dec. PEN 509/07 Anexo III)</t>
  </si>
  <si>
    <t>En envases inmediatos de contenido neto superior a 16 kg e inferior o igual a 20 kg (Dec. PEN 509/07 Anexo III)</t>
  </si>
  <si>
    <t>Frescos a granel (RG 2146 AFIP)</t>
  </si>
  <si>
    <t>Uvas. frescas o secas. incluidas las pasas.</t>
  </si>
  <si>
    <t>En envases inmediatos de contenido neto inferior o igual a 2.5 kg (Dec.PEN 509/07 Anexo III)</t>
  </si>
  <si>
    <t>En envases inmediatos de contenido neto superior a 2.5 kg e inferior o igual a 20 kg (Dec.PEN 509/07 Anexo III)</t>
  </si>
  <si>
    <t>En envases inmediatos de contenido neto inferior o igual a 2.5 Kg (R.420/99 MEYOSP)</t>
  </si>
  <si>
    <t>Pasas</t>
  </si>
  <si>
    <t>Rubias con semillas</t>
  </si>
  <si>
    <t>Rubias sin semillas</t>
  </si>
  <si>
    <t>Negras sin semillas</t>
  </si>
  <si>
    <t>En envases inmediatos de contenido neto superior a 2.5 kg e inferior o igual a 20 kg (R.420/99 MEYOSP)</t>
  </si>
  <si>
    <t>Melones. sandias y papayas. frescos.</t>
  </si>
  <si>
    <t>- Melones y sandias:</t>
  </si>
  <si>
    <t>Melones a granel (RG.2146 AFIP)</t>
  </si>
  <si>
    <t>En envases inmediatos de contenido neto inferior o igual a 20 kg.(Dec.PEN 509/07 Anexo III)</t>
  </si>
  <si>
    <t>Manzanas. peras y membrillos. frescos.</t>
  </si>
  <si>
    <t>Damascos (chabacanos. albaricoques)*. cerezas. duraznos (melocotones)* (incluidos los griñones y nectarinas). ciruelas y endrinas. frescos.</t>
  </si>
  <si>
    <t>- Damascos (chabacanos. albaricoques)*</t>
  </si>
  <si>
    <t>- Cerezas:</t>
  </si>
  <si>
    <t>- Duraznos (melocotones)*. incluidos los griñones y nectarinas</t>
  </si>
  <si>
    <t>Duraznos (melocotones)*. excluidos los griñones y nectarinas</t>
  </si>
  <si>
    <t>Griñones y nectarinas</t>
  </si>
  <si>
    <t>Las demas frutas u otros frutos. frescos.</t>
  </si>
  <si>
    <t>- Frutillas (fresas)*</t>
  </si>
  <si>
    <t>- Caquis (persimonios)*</t>
  </si>
  <si>
    <t>Carambolas (Averrhoa carambola). chirimoyas y demas frutos del genero Annona. yacas (Artocarpus heterophyllus). "litchis" (Litchi chinensis). maracuyas (Passiflora edulis). pitayas (Hylocereus spp.. Selenicereus undatus) y tamarindos (Tamarindus indica)</t>
  </si>
  <si>
    <t>Carambolas (Averrhoa carambola)</t>
  </si>
  <si>
    <t>Chirimoyas y demas frutos del genero Annona</t>
  </si>
  <si>
    <t>Yacas (Artocarpus heterophyllus)</t>
  </si>
  <si>
    <t>"Litchis" (Litchi chinensis)</t>
  </si>
  <si>
    <t>Maracuyas (Passiflora edulis)</t>
  </si>
  <si>
    <t>Pitayas (Hylocereus spp.. Selenicereus undatus)</t>
  </si>
  <si>
    <t>Tamarindos (Tamarindus indica)</t>
  </si>
  <si>
    <t>Frutas y otros frutos. sin cocer o cocidos en agua o vapor. congelados. incluso con adicion de azucar u otro edulcorante.</t>
  </si>
  <si>
    <t>Sin cocer y sin adicion de azucar u otro edulcorante (Ley 25.063)</t>
  </si>
  <si>
    <t>En envases inmediatos de contenido neto superior a 2.5 kg e inferior o igual a 20 kg (967/99 MEYOSP)</t>
  </si>
  <si>
    <t>Frutas y otros frutos. conservados provisionalmente (por ejemplo: con gas sulfuroso o con agua salada. sulfurosa o adicionada de otras sustancias para dicha conservacion). pero todavia impropios para consumo inmediato.</t>
  </si>
  <si>
    <t>Frutas y otros frutos. secos. excepto los de las partidas 08.01 a 08.06; mezclas de frutas u otros frutos. secos. o de frutos de cascara de este Capitulo.</t>
  </si>
  <si>
    <t>En envases inmediatos de contenido neto inferior o igual a 1 kg (Dec.PEN 509/07 Anexo III)</t>
  </si>
  <si>
    <t>Con carozo</t>
  </si>
  <si>
    <t>Con un contenido de humedad superior o igual al 30 % en peso pero inferior o igual al 34 % en peso</t>
  </si>
  <si>
    <t>Variedad d'Agen.</t>
  </si>
  <si>
    <t>Variedad President</t>
  </si>
  <si>
    <t>Sin carozo</t>
  </si>
  <si>
    <t>Variedad d´Agen</t>
  </si>
  <si>
    <t>Peras</t>
  </si>
  <si>
    <t>Pelones</t>
  </si>
  <si>
    <t>Cortezas de agrios (citricos). melones o sandias. frescas. congeladas. secas o presentadas en agua salada. sulfurosa o adicionada de otras sustancias para su conservacion provisional.</t>
  </si>
  <si>
    <t>Frescas. congeladas o secas (R.453/96 ex-ANA)</t>
  </si>
  <si>
    <t>Unicamente presentadas en agua salada. sulfurosa o adicionada de otras sustancias para asegurar provisionalmente su conservacion (R.1946/93 ex-ANA)</t>
  </si>
  <si>
    <t>Cafe. incluso tostado o descafeinado; cascara y cascarilla de cafe; sucedaneos del cafe que contengan cafe en cualquier proporcion.</t>
  </si>
  <si>
    <t>- Cafe sin tostar:</t>
  </si>
  <si>
    <t>En grano</t>
  </si>
  <si>
    <t>Arabigos</t>
  </si>
  <si>
    <t>Robustas (Conillon)</t>
  </si>
  <si>
    <t>- Cafe tostado:</t>
  </si>
  <si>
    <t>En envases inmediatos de contenido inferior o igual a 2 kg</t>
  </si>
  <si>
    <t>En envases inmediatos de contenido inferior o igual a 2kg.</t>
  </si>
  <si>
    <t>Presentado en capsula</t>
  </si>
  <si>
    <t>En envases de contenido inferior o igual a 2 kg</t>
  </si>
  <si>
    <t>Te. incluso aromatizado.</t>
  </si>
  <si>
    <t>-Te verde (sin fermentar) presentado en envases inmediatos con un contenido inferior o igual a 3 kg</t>
  </si>
  <si>
    <t>- Te negro (fermentado) y te parcialmente fermentado. presentados en envases inmediatos con un contenido inferior o igual a 3 kg</t>
  </si>
  <si>
    <t>Con un contenido de extracto acuoso superior o igual a 15 g/% determinado por infusion a 20° C durante 5 minutos</t>
  </si>
  <si>
    <t>Yerba mate.</t>
  </si>
  <si>
    <t>Simplemente canchada</t>
  </si>
  <si>
    <t>En envases inmediatos de contenido neto inferior o igual a 3 kg (R. 967/99 MEYOSP)</t>
  </si>
  <si>
    <t>Pimienta del genero Piper; frutos de los generos Capsicum o Pimenta. secos. triturados o pulverizados.</t>
  </si>
  <si>
    <t>- Pimienta:</t>
  </si>
  <si>
    <t>Negra</t>
  </si>
  <si>
    <t>Blanca</t>
  </si>
  <si>
    <t>- Frutos de los generos Capsicum o Pimenta:</t>
  </si>
  <si>
    <t>Vainilla.</t>
  </si>
  <si>
    <t>Canela y flores de canelero.</t>
  </si>
  <si>
    <t>- Sin triturar ni pulverizar:</t>
  </si>
  <si>
    <t>Clavos (frutos enteros. clavillos y pedunculos).</t>
  </si>
  <si>
    <t>Nuez moscada. macis. amomos y cardamomos.</t>
  </si>
  <si>
    <t>- Nuez moscada:</t>
  </si>
  <si>
    <t>- Macis:</t>
  </si>
  <si>
    <t>- Amomos y cardamomos:</t>
  </si>
  <si>
    <t>Semillas de anis. badiana. hinojo. cilantro. comino o alcaravea; bayas de enebro.</t>
  </si>
  <si>
    <t>- Semillas de cilantro:</t>
  </si>
  <si>
    <t>- Semillas de comino:</t>
  </si>
  <si>
    <t>- Semillas de anis. badiana. alcaravea o hinojo; bayas de enebro:</t>
  </si>
  <si>
    <t>De anis (anis verde)</t>
  </si>
  <si>
    <t>De badiana (anis estrellado)</t>
  </si>
  <si>
    <t>Jengibre. azafran. curcuma. tomillo. hojas de laurel. curri y demas especias.</t>
  </si>
  <si>
    <t>- Jengibre:</t>
  </si>
  <si>
    <t>- Las demas especias:</t>
  </si>
  <si>
    <t>--Mezclas previstas en la Nota 1 b) de este Capitulo</t>
  </si>
  <si>
    <t>Tomillo</t>
  </si>
  <si>
    <t>Hojas de laurel</t>
  </si>
  <si>
    <t>Curry</t>
  </si>
  <si>
    <t>Trigo y morcajo (tranquillon).</t>
  </si>
  <si>
    <t>- Trigo duro:</t>
  </si>
  <si>
    <t>Candeal</t>
  </si>
  <si>
    <t>A granel. con hasta 15 % de embolsado (Ley 21.453)</t>
  </si>
  <si>
    <t>Mas del 15 % de embolsado (Ley 21.453)</t>
  </si>
  <si>
    <t>En envases inmediatos de contenido neto inferior o igual a 2 Kg (Res Nro 835/2005 SAGPyA)</t>
  </si>
  <si>
    <t>Tagan Rock</t>
  </si>
  <si>
    <t>Trigo Pan</t>
  </si>
  <si>
    <t>Centeno.</t>
  </si>
  <si>
    <t>A granel. con hasta 15% de embolsado</t>
  </si>
  <si>
    <t>Mas del 15% embolsado</t>
  </si>
  <si>
    <t>Cebada.</t>
  </si>
  <si>
    <t>Cervecera</t>
  </si>
  <si>
    <t>Mas del 15 % de embolsado (Ley 21453)</t>
  </si>
  <si>
    <t>Otras. en grano</t>
  </si>
  <si>
    <t>A granel. con hasta 15% de embolsado (Ley 21.453)</t>
  </si>
  <si>
    <t>Avena.</t>
  </si>
  <si>
    <t>Maiz.</t>
  </si>
  <si>
    <t>A granel. con hasta 15 % de embolsado (Ley 21453)</t>
  </si>
  <si>
    <t>Pisingallo</t>
  </si>
  <si>
    <t>Flint o Plata</t>
  </si>
  <si>
    <t>Fresco (R.2507/93 ex-ANA)</t>
  </si>
  <si>
    <t>Arroz.</t>
  </si>
  <si>
    <t>- Arroz con cascara (arroz «paddy»)</t>
  </si>
  <si>
    <t>Parboilizado</t>
  </si>
  <si>
    <t>No parboilizado</t>
  </si>
  <si>
    <t>Los demas (Ley 21.435)</t>
  </si>
  <si>
    <t>En envases inmediatos de contenido neto inferior o igual a 2 kg (R.420/99 MEYOSP) (Res. 835/05 SAGPyA)</t>
  </si>
  <si>
    <t>En envases de contenido neto superior a 2 kg e inferior o igual a 60 kg (R.102/01 ME)</t>
  </si>
  <si>
    <t>En envases de contenido neto superior a 2 kg e inferior o igual a 60 kg (R.102/01ME) (Ley 21.453)</t>
  </si>
  <si>
    <t>Pulido o glaseado</t>
  </si>
  <si>
    <t>Con un contenido de grano quebrado inferior o igual al 10 % (Ley 21.453)</t>
  </si>
  <si>
    <t>Con un contenido de grano quebrado superior al 10 % (Ley 21.453)</t>
  </si>
  <si>
    <t>En envases inmediatos de contenido neto inferior o igual a 2 kg (Res.835/05 SAGPyA)</t>
  </si>
  <si>
    <t>Medio grano (Ley 21.453)</t>
  </si>
  <si>
    <t>Medio grano y cuarto grano (Ley 21.453)</t>
  </si>
  <si>
    <t>Cuarto grano. con un contenido de cuerpos extraños inferior o igual al 1 % (Ley 21.453)</t>
  </si>
  <si>
    <t>En envases inmediatos de contenido neto inferior o igual a 2 Kg (Res. 835/05 SAGPyA)</t>
  </si>
  <si>
    <t>Cuarto grano. con un contenido de cuerpos extraños superior al 1 % (Ley 21.453)</t>
  </si>
  <si>
    <t>Arrocin. con un contenido de cuerpos extraños inferior o igual al 1 % (Ley 21.453)</t>
  </si>
  <si>
    <t>En envases inmediatos de contenido neto inferior o igual a 2 Kg (Res.835/05 SAGPyA)</t>
  </si>
  <si>
    <t>Arrocin. con un contenido de cuerpos extraños superior al 1 % (Ley 21.453)</t>
  </si>
  <si>
    <t>Cuarto grano y arrocin. con un contenido de cuerpos extraños inferior o igual al 1 % (Ley 21.453)</t>
  </si>
  <si>
    <t>Cuarto grano y arrocin. con un contenido de cuerpos extraños superior al 1 % (Ley 21.453)</t>
  </si>
  <si>
    <t>En envases inmediatos de contenido neto inferior o igual a 2 kg (Res. 835/05 SAGPyA).</t>
  </si>
  <si>
    <t>Sorgo de grano (granifero).</t>
  </si>
  <si>
    <t>A granel. con hasta el 15 % embolsado (Ley 21.453)</t>
  </si>
  <si>
    <t>Mas del 15 % embolsado (Ley 21453)</t>
  </si>
  <si>
    <t>Alforfon. mijo y alpiste; los demas cereales.</t>
  </si>
  <si>
    <t>En envases inmediatos de contenido neto inferior o igual a 2 Kg</t>
  </si>
  <si>
    <t>- Mijo:</t>
  </si>
  <si>
    <t>Mijo perla (Pennisetum glaucum)</t>
  </si>
  <si>
    <t>A granel. con hasta el 15 % embolsado</t>
  </si>
  <si>
    <t>Mas del 15 % embolsado</t>
  </si>
  <si>
    <t>Mas del 15 % embolsado (Ley 21.453)</t>
  </si>
  <si>
    <t>Harina de trigo o de morcajo (tranquillon).</t>
  </si>
  <si>
    <t>De trigo (Ley 21.453)</t>
  </si>
  <si>
    <t>Fortificada con hierro y vitaminas. con adicion de aditivos</t>
  </si>
  <si>
    <t>En envases inmediatos de contenido neto superior a 2 kg pero inferior o igual a 5 kg</t>
  </si>
  <si>
    <t>De morcajo (tranquillon)</t>
  </si>
  <si>
    <t>Harina de cereales. excepto de trigo o de morcajo (tranquillon).</t>
  </si>
  <si>
    <t>En envases de contenido neto inferior o igual a 20 kg (R.967/99 MEYOSP)</t>
  </si>
  <si>
    <t>De cebada</t>
  </si>
  <si>
    <t>De avena</t>
  </si>
  <si>
    <t>De Quinoa (Chenopodium quinoa)</t>
  </si>
  <si>
    <t>De arroz</t>
  </si>
  <si>
    <t>De centeno</t>
  </si>
  <si>
    <t>Grañones. semola y «pellets». de cereales.</t>
  </si>
  <si>
    <t>- Grañones y semola:</t>
  </si>
  <si>
    <t>De los demas cereales</t>
  </si>
  <si>
    <t>-«Pellets»</t>
  </si>
  <si>
    <t>Granos de cereales trabajados de otro modo (por ejemplo: mondados. aplastados. en copos. perlados. troceados o quebrantados). excepto el arroz de la partida 10.06; germen de cereales entero. aplastado. en copos o molido.</t>
  </si>
  <si>
    <t>- Granos aplastados o en copos:</t>
  </si>
  <si>
    <t>- Los demas granos trabajados (por ejemplo: mondados. perlados. troceados o quebrantados):</t>
  </si>
  <si>
    <t>Despuntada</t>
  </si>
  <si>
    <t>A granel. con hasta el 15% embolsado</t>
  </si>
  <si>
    <t>De trigo</t>
  </si>
  <si>
    <t>De maiz</t>
  </si>
  <si>
    <t>Harina. semola. polvo. copos. granulos y «pellets» de papa (patata)*.</t>
  </si>
  <si>
    <t>- Copos. granulos y «pellets»</t>
  </si>
  <si>
    <t>Harina. semola y polvo de las hortalizas de la partida 07.13. de sagu o de las raices o tuberculos de la partida 07.14 o de los productos del Capitulo 8.</t>
  </si>
  <si>
    <t>- De las hortalizas de la partida 07.13</t>
  </si>
  <si>
    <t>De arvejas (chicharos. guisantes)* (Pisum Sativum)</t>
  </si>
  <si>
    <t>De garbanzos</t>
  </si>
  <si>
    <t>De habas (Vicia faba var. major). haba caballar (Vicia faba var. equina) y haba menor (Vicia faba var. minor)</t>
  </si>
  <si>
    <t>De lentejas</t>
  </si>
  <si>
    <t>De porotos (frijoles. frejoles. alubias. judias)* (Vigna spp. Phaseolus spp.)</t>
  </si>
  <si>
    <t>-De sagu o de las raices o tuberculos de la partida 07.14</t>
  </si>
  <si>
    <t>- De los productos del Capitulo 8</t>
  </si>
  <si>
    <t>De bananas o platanos</t>
  </si>
  <si>
    <t>De castañas</t>
  </si>
  <si>
    <t>De almendras</t>
  </si>
  <si>
    <t>Malta (de cebada u otros cereales). incluso tostada.</t>
  </si>
  <si>
    <t>Entera o partida</t>
  </si>
  <si>
    <t>De cebada cervecera (Ley 21.453)</t>
  </si>
  <si>
    <t>Molida o en harina</t>
  </si>
  <si>
    <t>Almidon y fecula; inulina.</t>
  </si>
  <si>
    <t>- Almidon y fecula:</t>
  </si>
  <si>
    <t>--Fecula de papa (patata)*</t>
  </si>
  <si>
    <t>--Fecula de mandioca (yuca)*</t>
  </si>
  <si>
    <t>Almidon de arroz</t>
  </si>
  <si>
    <t>GLUTEN DE TRIGO. INCLUSO SECO.</t>
  </si>
  <si>
    <t>Habas (porotos. frijoles. frejoles)* de soja (soya). incluso quebrantadas.</t>
  </si>
  <si>
    <t>A granel. con hasta 15 % embolsado (Ley 21453)</t>
  </si>
  <si>
    <t>Desactivada</t>
  </si>
  <si>
    <t>Manies (cacahuetes. cacahuates)* sin tostar ni cocer de otro modo. incluso sin cascara o quebrantados.</t>
  </si>
  <si>
    <t>Mani confiteria segun resolucion 12/99 de la Secretaria de Agricultura. Ganaderia. Pesca y Alimentacion. excepto blancheado (Ley 21.453)</t>
  </si>
  <si>
    <t>Mani partido segun resolucion 12/99 de la Secretaria de Agricultura. Ganaderia. Pesca y Alimentacion. excepto blancheado (Ley 21.453)</t>
  </si>
  <si>
    <t>Mani blancheado</t>
  </si>
  <si>
    <t>Entero</t>
  </si>
  <si>
    <t>Partido</t>
  </si>
  <si>
    <t>COPRA.</t>
  </si>
  <si>
    <t>Semillas de lino. incluso quebrantadas</t>
  </si>
  <si>
    <t>Semillas de nabo (nabina) o de colza. incluso quebrantadas.</t>
  </si>
  <si>
    <t>Semilla de nabo</t>
  </si>
  <si>
    <t>Semilla de colza</t>
  </si>
  <si>
    <t>A granel con hasta el 15 % embolsado (Ley 21.453)</t>
  </si>
  <si>
    <t>Semilla de nabo (Ley 21.453)</t>
  </si>
  <si>
    <t>Semilla de colza (Ley 21.453)</t>
  </si>
  <si>
    <t>Mas de 15 % embolsado (Ley 21.453)</t>
  </si>
  <si>
    <t>Semillas de girasol. incluso quebrantadas.</t>
  </si>
  <si>
    <t>Descascaradas (R.747/95 MEYOSP)</t>
  </si>
  <si>
    <t>Tipo confiteria. con cascara. con un contenido de materia grasa inferior o igual al 36 % en peso. calculado sobre sustancia seca y libre de cuerpos extraños y en el que por lo menos el 90 % de los granos presente un ancho maximo superior o igual a 7.5 mm (R.747/95 MEYOSP)</t>
  </si>
  <si>
    <t>Las demas semillas y frutos oleaginosos. incluso quebrantados.</t>
  </si>
  <si>
    <t>- Semillas de algodon:</t>
  </si>
  <si>
    <t>Semillas de Cañamo (Cannabis sativa)</t>
  </si>
  <si>
    <t>Semilla de piñon (Jatropha curcas)</t>
  </si>
  <si>
    <t>Semillas de Chia (Salvia hispanica L)</t>
  </si>
  <si>
    <t>Harina de semillas o de frutos oleaginosos. excepto la harina de mostaza.</t>
  </si>
  <si>
    <t>Semillas. frutos y esporas. para siembra.</t>
  </si>
  <si>
    <t>- Semillas forrajeras:</t>
  </si>
  <si>
    <t>Blanco (Trifolium repens)</t>
  </si>
  <si>
    <t>Rojo (Trifolium pratense)</t>
  </si>
  <si>
    <t>Alta (Festuca arundinacea)</t>
  </si>
  <si>
    <t>Rubra (Festuca rubra)</t>
  </si>
  <si>
    <t>De Sorgo de Alepo (Shorgum halepense) (R.2507/93 ex-ANA)</t>
  </si>
  <si>
    <t>De melilotus (Melilotus spp.)</t>
  </si>
  <si>
    <t>De poa (Poa trivialis)</t>
  </si>
  <si>
    <t>De lotus (Lotus spp.)</t>
  </si>
  <si>
    <t>De agropiro (Agropyrum elongatum)</t>
  </si>
  <si>
    <t>De pasto ovillo (Dactylis glomerata)</t>
  </si>
  <si>
    <t>De cebadilla (Bromus spp.)</t>
  </si>
  <si>
    <t>De fleo de los prados (Phleum pratensis)</t>
  </si>
  <si>
    <t>De tomate</t>
  </si>
  <si>
    <t>De hortalizas aliaceas</t>
  </si>
  <si>
    <t>De cebolla</t>
  </si>
  <si>
    <t>De puerro</t>
  </si>
  <si>
    <t>De raices comestibles</t>
  </si>
  <si>
    <t>De zanahoria</t>
  </si>
  <si>
    <t>De rabano</t>
  </si>
  <si>
    <t>De coles</t>
  </si>
  <si>
    <t>De coliflor</t>
  </si>
  <si>
    <t>De brecoles («broccoli»)</t>
  </si>
  <si>
    <t>De Bruselas</t>
  </si>
  <si>
    <t>De repollo</t>
  </si>
  <si>
    <t>De lechuga</t>
  </si>
  <si>
    <t>De berenjena</t>
  </si>
  <si>
    <t>De espinaca</t>
  </si>
  <si>
    <t>De citricos (R. 2507/93 ex-ANA)</t>
  </si>
  <si>
    <t>De coniferas</t>
  </si>
  <si>
    <t>De Pinus elliotti</t>
  </si>
  <si>
    <t>De Pinus taeda</t>
  </si>
  <si>
    <t>De Eucalyptus spp.</t>
  </si>
  <si>
    <t>De sandia</t>
  </si>
  <si>
    <t>Conos de lupulo frescos o secos. incluso triturados. molidos o en «pellets»; lupulino.</t>
  </si>
  <si>
    <t>-Conos de lupulo sin triturar ni moler ni en «pellets»</t>
  </si>
  <si>
    <t>- Conos de lupulo triturados. molidos o en «pellets»; lupulino</t>
  </si>
  <si>
    <t>Conos de lupulo</t>
  </si>
  <si>
    <t>Lupulino</t>
  </si>
  <si>
    <t>Plantas. partes de plantas. semillas y frutos de las especies utilizadas principalmente en perfumeria. medicina o para usos insecticidas. parasiticidas o similares. frescos. refrigerados. congelados o secos. incluso cortados. quebrantados o pulverizados.</t>
  </si>
  <si>
    <t>-Raices de «ginseng»</t>
  </si>
  <si>
    <t>Oregano (Origanum vulgare)</t>
  </si>
  <si>
    <t>Precursores</t>
  </si>
  <si>
    <t>Cornezuelo del centeno (R.2020/93 ex-ANA)</t>
  </si>
  <si>
    <t>En disolucion acuosa con una concentracion inferior o igual al 30 % P/V</t>
  </si>
  <si>
    <t>Estupefacientes</t>
  </si>
  <si>
    <t>Estupefacientes Lista 4 (R.2017/93 ex-ANA)</t>
  </si>
  <si>
    <t>Polen proveniente de la familia de las rosaceas (R.2507/93 ex-ANA)</t>
  </si>
  <si>
    <t>Albahaca</t>
  </si>
  <si>
    <t>Plantago psillum</t>
  </si>
  <si>
    <t>Tilo</t>
  </si>
  <si>
    <t>Boldo</t>
  </si>
  <si>
    <t>Cedron</t>
  </si>
  <si>
    <t>Cardo mariano</t>
  </si>
  <si>
    <t>Manzanilla</t>
  </si>
  <si>
    <t>Menta</t>
  </si>
  <si>
    <t>Valeriana</t>
  </si>
  <si>
    <t>Raices de regaliz</t>
  </si>
  <si>
    <t>Hojas de hybiscus frescas</t>
  </si>
  <si>
    <t>Hojas de senna secas</t>
  </si>
  <si>
    <t>Algarrobas. algas. remolacha azucarera y caña de azucar. frescas. refrigeradas. congeladas o secas. incluso pulverizadas; carozos (huesos)* y almendras de frutos y demas productos vegetales (incluidas las raices de achicoria sin tostar de la variedad Cichorium intybus sativum) empleados principalmente en la alimentacion humana. no expresados ni comprendidos en otra parte.</t>
  </si>
  <si>
    <t>- Algas:</t>
  </si>
  <si>
    <t>Estevia (stevia) («Ka a He e») (Stevia rebaudiana)</t>
  </si>
  <si>
    <t>Carozos (huesos)* y almendras de damasco (albaricoque. chabacano)*. de durazno (melocoton)* (incluidos los griñones y nectarinas) o de ciruela</t>
  </si>
  <si>
    <t>Paja y cascabillo de cereales. en bruto. incluso picados. molidos. prensados o en «pellets».</t>
  </si>
  <si>
    <t>Nabos forrajeros. remolachas forrajeras. raices forrajeras. heno. alfalfa. trebol. esparceta. coles forrajeras. altramuces. vezas y productos forrajeros similares. incluso en «pellets».</t>
  </si>
  <si>
    <t>-Harina y «pellets» de alfalfa</t>
  </si>
  <si>
    <t>De sorgo de Alepo (Shorgum halepense) (R.2507/93 ex-ANA)</t>
  </si>
  <si>
    <t>Goma laca; gomas. resinas. gomorresinas y oleorresinas (por ejemplo. balsamos). naturales.</t>
  </si>
  <si>
    <t>Goma laca</t>
  </si>
  <si>
    <t>Estupefacientes (R.2017/93 ex-ANA)</t>
  </si>
  <si>
    <t>Cannabis (Marihuana). Resinas (Haschisch)</t>
  </si>
  <si>
    <t>Goma Tragacanto</t>
  </si>
  <si>
    <t>Goma Karaya</t>
  </si>
  <si>
    <t>Las demas gomorresinas y resinas</t>
  </si>
  <si>
    <t>Los demas balsamos y oleorresinas</t>
  </si>
  <si>
    <t>Balsamo del Peru</t>
  </si>
  <si>
    <t>Balsamo de Tolu</t>
  </si>
  <si>
    <t>Benjui</t>
  </si>
  <si>
    <t>Las demas gomas</t>
  </si>
  <si>
    <t>Jugos y extractos vegetales; materias pecticas. pectinatos y pectatos; agar-agar y demas mucilagos y espesativos derivados de los vegetales. incluso modificados.</t>
  </si>
  <si>
    <t>- Jugos y extractos vegetales:</t>
  </si>
  <si>
    <t>Concentrados de paja de adormidera</t>
  </si>
  <si>
    <t>De papaya (Carica papaya). seco</t>
  </si>
  <si>
    <t>De semilla de toronja o pomelo</t>
  </si>
  <si>
    <t>De Ginkgo biloba. seco</t>
  </si>
  <si>
    <t>Valepotriatos</t>
  </si>
  <si>
    <t>De «ginseng»</t>
  </si>
  <si>
    <t>Silimarina</t>
  </si>
  <si>
    <t>De piretro (pelitre)* o de raices que contengan rotenona</t>
  </si>
  <si>
    <t>De piretro (pelitre)</t>
  </si>
  <si>
    <t>Estupefacientes Lista 4 (R. 2017/93 ex-ANA)</t>
  </si>
  <si>
    <t>Cannabis (Marihuana). extracto y tintura</t>
  </si>
  <si>
    <t>Cannabis (Marihuana). sus aceites</t>
  </si>
  <si>
    <t>De Gingko biloba</t>
  </si>
  <si>
    <t>De aloe</t>
  </si>
  <si>
    <t>De beyadona</t>
  </si>
  <si>
    <t>De cola</t>
  </si>
  <si>
    <t>Materias pecticas (pectinas)</t>
  </si>
  <si>
    <t>- Mucilagos y espesativos derivados de los vegetales. incluso modificados:</t>
  </si>
  <si>
    <t>De algarroba o de su semilla</t>
  </si>
  <si>
    <t>Harina de endosperma</t>
  </si>
  <si>
    <t>De semillas de guar</t>
  </si>
  <si>
    <t>Carraghenina (musgo de Irlanda)</t>
  </si>
  <si>
    <t>Materias vegetales de las especies utilizadas principalmente en cesteria o esparteria (por ejemplo: bambu. roten (ratan)*. caña. junco. mimbre. rafia. paja de cereales limpiada. blanqueada o teñida. corteza de tilo).</t>
  </si>
  <si>
    <t>-Roten (ratan)*</t>
  </si>
  <si>
    <t>Caña colihue</t>
  </si>
  <si>
    <t>Rafia</t>
  </si>
  <si>
    <t>Mimbre</t>
  </si>
  <si>
    <t>Productos vegetales no expresados ni comprendidos en otra parte.</t>
  </si>
  <si>
    <t>En bruto</t>
  </si>
  <si>
    <t>Materias vegetales de las especies utilizadas principalmente en la fabricacion de escobas. cepillos o brochas (por ejemplo: sorgo. piasava. grama. ixtle (tampico)). incluso en torcidas o en haces</t>
  </si>
  <si>
    <t>Paja de Guinea (R.2507/93 ex-ANA)</t>
  </si>
  <si>
    <t>Materias vegetales de las especies utlilizadas principalmente para relleno (por ejemplo: «kapok» (miriguano de bombacaceas). crin vegetal. crin marina). incluso en capas aun con soporte de otras materias.</t>
  </si>
  <si>
    <t>Materias primas vegetales de las especies utilizadas principalmente para teñir o curtir</t>
  </si>
  <si>
    <t>Grasa de cerdo (incluida la manteca de cerdo) y grasa de ave. excepto las de las partidas 02.09 o 15.03.</t>
  </si>
  <si>
    <t>Grasa de animales de las especies bovina. ovina o caprina. excepto las de la partida 15.03.</t>
  </si>
  <si>
    <t>Bovino</t>
  </si>
  <si>
    <t>Fundido (incluido el «primer jugo»)</t>
  </si>
  <si>
    <t>Grasa ovina</t>
  </si>
  <si>
    <t>Grasa caprina</t>
  </si>
  <si>
    <t>Grasa bovina</t>
  </si>
  <si>
    <t>De corazon. de cabeza. de pulmon. de molleja de corazon. de cogote. de mondongo. de roseta. de pancreas. de tapa. de tripa de salame. de higado. de centro de entraña. de suprarrenales. de riñonada. canal pelviana. capadura. tela vacuna (Dto. 499/98; RG 159/98 AFIP)</t>
  </si>
  <si>
    <t>Estearina solar. aceite de manteca de cerdo. oleoestearina. oleomargarina y aceite de sebo. sin emulsionar. mezclar ni preparar de otro modo.</t>
  </si>
  <si>
    <t>Oleoestearina</t>
  </si>
  <si>
    <t>Oleomargarina</t>
  </si>
  <si>
    <t>Aceite de sebo</t>
  </si>
  <si>
    <t>Estearina solar</t>
  </si>
  <si>
    <t>Aceite de manteca de cerdo</t>
  </si>
  <si>
    <t>Grasas y aceites. y sus fracciones. de pescado o de mamiferos marinos. incluso refinados. pero sin modificar quimicamente.</t>
  </si>
  <si>
    <t>De bacalao</t>
  </si>
  <si>
    <t>Aceite en bruto</t>
  </si>
  <si>
    <t>Grasa de lana y sustancias grasas derivadas. incluida la lanolina.</t>
  </si>
  <si>
    <t>Lanolina</t>
  </si>
  <si>
    <t>Las demas grasas y aceites animales. y sus fracciones. incluso refinados. pero sin modificar quimicamente.</t>
  </si>
  <si>
    <t>De pie de buey</t>
  </si>
  <si>
    <t>Aceite de soja (soya) y sus fracciones. incluso refinado. pero sin modificar quimicamente.</t>
  </si>
  <si>
    <t>A granel (Ley 21.453)</t>
  </si>
  <si>
    <t>En envases de 10 kg arriba unicamente</t>
  </si>
  <si>
    <t>Refinado</t>
  </si>
  <si>
    <t>En envases con capacidad inferior o igual a 5 l (Res.359/99 MEYOSP)</t>
  </si>
  <si>
    <t>Los demas. en envases de 10 kg arriba unicamente (Ley 21.453)</t>
  </si>
  <si>
    <t>En tambores con capacidad superior a 200 l (Ley 21.453)</t>
  </si>
  <si>
    <t>Aceite de mani (cacahuate. cacahuete)* y sus fracciones. incluso refinado. pero sin modificar quimicamente.</t>
  </si>
  <si>
    <t>A granel</t>
  </si>
  <si>
    <t>En envases de contenido neto inferior o igual a 5 l (Res.747/95 MEyOSP)</t>
  </si>
  <si>
    <t>Aceite de oliva y sus fracciones. incluso refinado. pero sin modificar quimicamente.</t>
  </si>
  <si>
    <t>En envases inmediatos de contenido neto inferior o igual a 5 l (R.747/95 MEYOSP)</t>
  </si>
  <si>
    <t>En otros envases (R.772/98 MEYOSP)</t>
  </si>
  <si>
    <t>Mezclas</t>
  </si>
  <si>
    <t>Envasadas (R.772/98 MEYOSP)</t>
  </si>
  <si>
    <t>Fracciones</t>
  </si>
  <si>
    <t>En envases de contenido neto inferior o igual a 5 kg (R.967/99 MEYOSP)</t>
  </si>
  <si>
    <t>Los demas aceites y sus fracciones obtenidos exclusivamente de aceituna. incluso refinados. pero sin modificar quimicamente. y mezclas de estos aceites o fracciones con los aceites o fracciones de la partida 15.09.</t>
  </si>
  <si>
    <t>Exclusivamente de aceituna</t>
  </si>
  <si>
    <t>Mezclas con los aceites o fracciones de la partida 15.09</t>
  </si>
  <si>
    <t>Aceite de palma y sus fracciones. incluso refinado. pero sin modificar quimicamente.</t>
  </si>
  <si>
    <t>Aceites de girasol. cartamo o algodon. y sus fracciones. incluso refinados. pero sin modificar quimicamente.</t>
  </si>
  <si>
    <t>- Aceites de girasol o cartamo. y sus fracciones:</t>
  </si>
  <si>
    <t>De girasol</t>
  </si>
  <si>
    <t>Virgen (segun Articulo 528 del Codigo Alimentario Argentino)</t>
  </si>
  <si>
    <t>Con un contenido de acido oleico superior o igual al 75% sobre el total de acidos grasos (alto oleico)</t>
  </si>
  <si>
    <t>De cartamo</t>
  </si>
  <si>
    <t>Refinado. en envases con capacidad inferior o igual a 5 l (R.359/99 MEYOSP)</t>
  </si>
  <si>
    <t>- Aceite de algodon y sus fracciones:</t>
  </si>
  <si>
    <t>Aceites de coco (de copra). de almendra de palma o de babasu. y sus fracciones. incluso refinados. pero sin modificar quimicamente.</t>
  </si>
  <si>
    <t>- Aceite de coco (de copra) y sus fracciones:</t>
  </si>
  <si>
    <t>- Aceites de almendra de palma o de babasu. y sus fracciones:</t>
  </si>
  <si>
    <t>De almendra de palma</t>
  </si>
  <si>
    <t>De babasu</t>
  </si>
  <si>
    <t>Aceites de nabo (de nabina). colza o mostaza. y sus fracciones. incluso refinados. pero sin modificar quimicamente.</t>
  </si>
  <si>
    <t>- Aceites de nabo (de nabina) o de colza con bajo contenido de acido erucico y sus fracciones:</t>
  </si>
  <si>
    <t>Refinados</t>
  </si>
  <si>
    <t>Refinados (Ley 21.453)</t>
  </si>
  <si>
    <t>Las demas grasas y aceites vegetales fijos (incluido el aceite de jojoba). y sus fracciones. incluso refinados. pero sin modificar quimicamente.</t>
  </si>
  <si>
    <t>- Aceite de lino (de linaza) y sus fracciones:</t>
  </si>
  <si>
    <t>En tambores de contenido neto superior a 200 l.</t>
  </si>
  <si>
    <t>- Aceite de maiz y sus fracciones:</t>
  </si>
  <si>
    <t>Aceite de jojoba y sus fracciones</t>
  </si>
  <si>
    <t>Aceite de tung</t>
  </si>
  <si>
    <t>Aceite de uva</t>
  </si>
  <si>
    <t>Los demas. en envases de 10 kg arriba unicamente</t>
  </si>
  <si>
    <t>En tambores con capacidad superior a 200 l</t>
  </si>
  <si>
    <t>Refinado. en envases inmediatos de contenido neto inferior o igual a 5 l (R.747/95 MEYOSP)</t>
  </si>
  <si>
    <t>En envases de contenido neto inferior o igual a 5 l (R.08/01 ME)</t>
  </si>
  <si>
    <t>Grasas y aceites. animales o vegetales. y sus fracciones. parcial o totalmente hidrogenados. interesterificados. reesterificados o elaidinizados. incluso refinados. pero sin preparar de otro modo.</t>
  </si>
  <si>
    <t>Parcial o totalmente hidrogenados</t>
  </si>
  <si>
    <t>Interesterificados. reesterificados o elaidinizados</t>
  </si>
  <si>
    <t>De palma y palmiste</t>
  </si>
  <si>
    <t>Margarina; mezclas o preparaciones alimenticias de grasas o aceites. animales o vegetales. o de fracciones de diferentes grasas o aceites. de este Capitulo. excepto las grasas y aceites alimenticios y sus fracciones. de la partida 15.16.</t>
  </si>
  <si>
    <t>Mezclas de aceites refinados. en envases con capacidad inferior o igual a 5 l</t>
  </si>
  <si>
    <t>Que contengan aceite de soja</t>
  </si>
  <si>
    <t>Que contengan aceite de girasol</t>
  </si>
  <si>
    <t>De origen animal exclusivamente (R.2012/93 ex-ANA)</t>
  </si>
  <si>
    <t>Las demas. que contengan aceite de soja</t>
  </si>
  <si>
    <t>Los demas. que contengan aceite de girasol. en envases de 10 Kg arriba unicamente</t>
  </si>
  <si>
    <t>De palma y palmiste. en envases de capacidad superior o igual a 20 kg pero inferior o igual a 25 kg</t>
  </si>
  <si>
    <t>Grasas y aceites. animales o vegetales. y sus fracciones. cocidos. oxidados. deshidratados. sulfurados. soplados. polimerizados por calor en vacio o atmosfera inerte («estandolizados»). o modificados quimicamente de otra forma. excepto los de la partida 15.16; mezclas o preparaciones no alimenticias de grasas o de aceites. animales o vegetales. o de fracciones de diferentes grasas o aceites de este Capitulo. no expresadas ni comprendidas en otra parte.</t>
  </si>
  <si>
    <t>Aceite vegetal epoxidado</t>
  </si>
  <si>
    <t>Grasas y aceites. animales o vegetales y sus fracciones</t>
  </si>
  <si>
    <t>Mezclas o preparaciones no alimenticias</t>
  </si>
  <si>
    <t>De origen vegetal</t>
  </si>
  <si>
    <t>Que contengan soja</t>
  </si>
  <si>
    <t>Glicerol en bruto; aguas y lejias glicerinosas</t>
  </si>
  <si>
    <t>Glicerol en bruto</t>
  </si>
  <si>
    <t>Aguas y lejias glicerinosas</t>
  </si>
  <si>
    <t>Ceras vegetales (excepto los trigliceridos). cera de abejas o de otros insectos y esperma de ballena o de otros cetaceos (espermaceti). incluso refinadas o coloreadas.</t>
  </si>
  <si>
    <t>Cera de abeja</t>
  </si>
  <si>
    <t>Esperma de ballena o de otros cetaceos (espermaceti)</t>
  </si>
  <si>
    <t>Degras; residuos procedentes del tratamiento de grasas o ceras. animales o vegetales.</t>
  </si>
  <si>
    <t>Degras</t>
  </si>
  <si>
    <t>Residuos procedentes del tratamiento de grasas o ceras animales o vegetales</t>
  </si>
  <si>
    <t>Pasta de neutralizacion</t>
  </si>
  <si>
    <t>Embutidos y productos similares de carne. despojos o sangre; preparaciones alimenticias a base de estos productos.</t>
  </si>
  <si>
    <t>Ãšnicamente de la especie porcina</t>
  </si>
  <si>
    <t>Las demas preparaciones y conservas de carne. despojos o sangre.</t>
  </si>
  <si>
    <t>- De aves de la partida 01.05:</t>
  </si>
  <si>
    <t>Con un contenido de carne o de despojos superior o igual a 57 % en peso. sin cocer</t>
  </si>
  <si>
    <t>Con un contenido de carne o de despojos superior o igual a 57 % en peso. cocidas</t>
  </si>
  <si>
    <t>Carne cocida congelada procesada en IQF congelamiento rapido individual (R.1044/00 ME)</t>
  </si>
  <si>
    <t>Platos preparados semi-listos o listos (Resolucion Conjunta N° 150/2005 MSyA y N° 684/2005 SAGPyA)</t>
  </si>
  <si>
    <t>Con un contenido de carne o de despojos superior o igual a 25 % pero inferior a 57 %. en peso</t>
  </si>
  <si>
    <t>- De la especie porcina:</t>
  </si>
  <si>
    <t>Conservas</t>
  </si>
  <si>
    <t>Menudencias congeladas</t>
  </si>
  <si>
    <t>Hamburguesas</t>
  </si>
  <si>
    <t>Carne cocida</t>
  </si>
  <si>
    <t>Congelada procesada IQF congelamiento rapido individual</t>
  </si>
  <si>
    <t>Carne cocida congelada procesada IQF congelamiento rapido individual (R257/00 ME)</t>
  </si>
  <si>
    <t>Preparaciones de sangre de cualquier animal</t>
  </si>
  <si>
    <t>De la especie bovina</t>
  </si>
  <si>
    <t>De las especies ovina y caprina</t>
  </si>
  <si>
    <t>Extractos y jugos de carne. pescado o de crustaceos. moluscos o demas invertebrados acuaticos.</t>
  </si>
  <si>
    <t>De carne bovina (R 1579/98 MEYOSP)</t>
  </si>
  <si>
    <t>Extractos</t>
  </si>
  <si>
    <t>Preparaciones y conservas de pescado; caviar y sus sucedaneos preparados con huevas de pescado.</t>
  </si>
  <si>
    <t>- Pescado entero o en trozos. excepto el pescado picado:</t>
  </si>
  <si>
    <t>Sardinas</t>
  </si>
  <si>
    <t>Al natural</t>
  </si>
  <si>
    <t>En aceite</t>
  </si>
  <si>
    <t>En salsa de tomate</t>
  </si>
  <si>
    <t>Atunes</t>
  </si>
  <si>
    <t>Congelados</t>
  </si>
  <si>
    <t>Lomos precocidos</t>
  </si>
  <si>
    <t>Los demas. en trozos</t>
  </si>
  <si>
    <t>Listados</t>
  </si>
  <si>
    <t>Bonitos</t>
  </si>
  <si>
    <t>De la especie Engraulis anchoita</t>
  </si>
  <si>
    <t>Filetes en aceite (Res. 137/08 MEYP)</t>
  </si>
  <si>
    <t>Preparaciones (Res. 137/08 MEYP)</t>
  </si>
  <si>
    <t>Anchoas (Engraulis anchoita)</t>
  </si>
  <si>
    <t>En envases inmediatos de contenido neto inferior o igual a 1 kg (R. 420/99 MEYOSP)</t>
  </si>
  <si>
    <t>Filetes y demas carnes de Merluza hubbsi. rebozadas (Res.137/08 MEYP)</t>
  </si>
  <si>
    <t>De atun</t>
  </si>
  <si>
    <t>De listados</t>
  </si>
  <si>
    <t>De sardinas. de sardinelas o de espadines</t>
  </si>
  <si>
    <t>De «surimi» acondicionadas al vacio</t>
  </si>
  <si>
    <t>En envases inmediatos de contenido neto inferior o igual a 1 kg (Res. 137/08 MEYP)</t>
  </si>
  <si>
    <t>De merluza comun (Merluccius hubbsi). excepto de «surimi» acondicionadas al vacio</t>
  </si>
  <si>
    <t>Medallones. bastones. formitas. hamburguesas y nuggets (Res. 137/08 MEyP)</t>
  </si>
  <si>
    <t>De truchas provenientes de cultivo (Oncorhynchus mykiss) (Res. 137/08 MEYP)</t>
  </si>
  <si>
    <t>Excepto de «surimi». en envases inmediatos de contenido neto inferior o igual a 1 kg (R.420/99 MEYOSP y Decreto 1341/16)</t>
  </si>
  <si>
    <t>- Caviar y sus sucedaneos:</t>
  </si>
  <si>
    <t>De Esturiones (Ascipenser baeri)</t>
  </si>
  <si>
    <t>Crustaceos. moluscos y demas invertebrados acuaticos. preparados o conservados.</t>
  </si>
  <si>
    <t>- Camarones. langostinos y demas decapodos Natantia:</t>
  </si>
  <si>
    <t>Camarones</t>
  </si>
  <si>
    <t>Cocidos y pelados</t>
  </si>
  <si>
    <t>Empanados o rebozados</t>
  </si>
  <si>
    <t>- Moluscos:</t>
  </si>
  <si>
    <t>En envases inmediatos de contenido neto inferior o igual a 1 kg (R 420/99 MEYOSP)</t>
  </si>
  <si>
    <t>- - Jibias (sepias)*. globitos. calamares y potas</t>
  </si>
  <si>
    <t>Rebozados. prefritos. cazuela. de Calamar (Illex Argentinus) (Res. 137/08 MEYP)</t>
  </si>
  <si>
    <t>Rebozados. prefritos. cazuela. en escabeche de Calamar (Illex Argentinus) (Res. 137/08 MEYP)</t>
  </si>
  <si>
    <t>Almejas</t>
  </si>
  <si>
    <t>Berberechos</t>
  </si>
  <si>
    <t>Arcas</t>
  </si>
  <si>
    <t>- Los demas invertebrados acuaticos:</t>
  </si>
  <si>
    <t>Azucar de caña o de remolacha y sacarosa quimicamente pura. en estado solido.</t>
  </si>
  <si>
    <t>- Azucar en bruto sin adicion de aromatizante ni colorante:</t>
  </si>
  <si>
    <t>--Azucar de caña mencionado en la Nota 2 de subpartida de este Capitulo</t>
  </si>
  <si>
    <t> -- Los demas</t>
  </si>
  <si>
    <t>Azucar blanco en los terminos del Art 768 C.A.A.</t>
  </si>
  <si>
    <t>Los demas azucares. incluidas la lactosa. maltosa. glucosa y fructosa (levulosa) quimicamente puras. en estado solido; jarabe de azucar sin adicion de aromatizante ni colorante; sucedaneos de la miel. incluso mezclados con miel natural; azucar y melaza caramelizados.</t>
  </si>
  <si>
    <t>- Lactosa y jarabe de lactosa:</t>
  </si>
  <si>
    <t>--Con un contenido de lactosa superior o igual al 99 % en peso. expresado en lactosa anhidra. calculado sobre producto seco</t>
  </si>
  <si>
    <t>-Azucar y jarabe de arce («maple»)</t>
  </si>
  <si>
    <t>- Glucosa y jarabe de glucosa. sin fructosa o con un contenido de fructosa sobre producto seco. inferior al 20 % en peso</t>
  </si>
  <si>
    <t>Glucosa</t>
  </si>
  <si>
    <t>Quimicamente pura</t>
  </si>
  <si>
    <t>Jarabe de glucosa</t>
  </si>
  <si>
    <t>- Glucosa y jarabe de glucosa. con un contenido de fructosa sobre producto seco superior o igual al 20 % pero inferior al 50 %. en peso. excepto el azucar invertido</t>
  </si>
  <si>
    <t>- Las demas fructosas yjarabe de fructosa. con un contenido de fructosa sobre producto seco superior al 50 % en peso. excepto el azucar invertido</t>
  </si>
  <si>
    <t>Fructosas</t>
  </si>
  <si>
    <t>Jarabe de fructosa</t>
  </si>
  <si>
    <t>- Los demas. incluido el azucar invertido y demas azucares y jarabes de azucar. con un contenido de fructosa sobre producto seco de 50 % en peso</t>
  </si>
  <si>
    <t>Maltosa quimicamente pura</t>
  </si>
  <si>
    <t>Maltodextrina incluidos sus jarabes</t>
  </si>
  <si>
    <t>Azucares y melazas caramelizados</t>
  </si>
  <si>
    <t>Melaza procedente de la extraccion o del refinado del azucar.</t>
  </si>
  <si>
    <t>Articulos de confiteria sin cacao (incluido el chocolate blanco).</t>
  </si>
  <si>
    <t>Chocolate blanco</t>
  </si>
  <si>
    <t>En bloques. tabletas o barras</t>
  </si>
  <si>
    <t>Rellenos</t>
  </si>
  <si>
    <t>En envases inmediatos de contenido neto inferior o igual a 50 g</t>
  </si>
  <si>
    <t>En envases inmediatos de contenido neto superior a 50 g pero inferior o igual a 100 g</t>
  </si>
  <si>
    <t>Bombones. caramelos. confites y pastillas</t>
  </si>
  <si>
    <t>Caramelos</t>
  </si>
  <si>
    <t>Duros</t>
  </si>
  <si>
    <t>Blandos y masticables</t>
  </si>
  <si>
    <t>Chupetines</t>
  </si>
  <si>
    <t>Confites y grageas</t>
  </si>
  <si>
    <t>Confites</t>
  </si>
  <si>
    <t>Pastillas</t>
  </si>
  <si>
    <t>Obtenidas por compresion</t>
  </si>
  <si>
    <t>A base de azucar fantasia (tipo malvavisco)</t>
  </si>
  <si>
    <t>Bombones</t>
  </si>
  <si>
    <t>Turrones</t>
  </si>
  <si>
    <t>Jaleas y pastas de frutos</t>
  </si>
  <si>
    <t>Barras de cereal</t>
  </si>
  <si>
    <t>Cacao en grano. entero o partido. crudo o tostado.</t>
  </si>
  <si>
    <t>Crudo</t>
  </si>
  <si>
    <t>Tostado</t>
  </si>
  <si>
    <t>CaSCARA. PELÃCULAS Y DEMaS RESIDUOS DE CACAO.</t>
  </si>
  <si>
    <t>Pasta de cacao. incluso desgrasada.</t>
  </si>
  <si>
    <t>Manteca. grasa y aceite de cacao.</t>
  </si>
  <si>
    <t>Manteca de cacao</t>
  </si>
  <si>
    <t>CACAO EN POLVO SIN ADICION DE AZÃšCAR NI OTRO EDULCORANTE.</t>
  </si>
  <si>
    <t>Chocolate y demas preparaciones alimenticias que contengan cacao.</t>
  </si>
  <si>
    <t>- Las demas preparaciones. en bloques. tabletas o barras con peso superior a 2 kg o en forma liquida. pastosa o en polvo. granulos o formas similares. en recipientes o en envases inmediatos. con un contenido superior a 2 kg</t>
  </si>
  <si>
    <t>Cobertura de chocolate</t>
  </si>
  <si>
    <t>Chocolate</t>
  </si>
  <si>
    <t>- Los demas. en bloques. tabletas o barras:</t>
  </si>
  <si>
    <t>Las demas preparaciones</t>
  </si>
  <si>
    <t>Que contenga edulcorante sintetico como sustituto del azucar</t>
  </si>
  <si>
    <t>Con cereales. frutas u otros frutos</t>
  </si>
  <si>
    <t>En envases inmediatos de contenido neto inferior o igual 50 g</t>
  </si>
  <si>
    <t>Avellanas. almendras. pasas de uva. frutas y otros frutos recubiertos</t>
  </si>
  <si>
    <t>Avellanas</t>
  </si>
  <si>
    <t>Almendras</t>
  </si>
  <si>
    <t>Mani</t>
  </si>
  <si>
    <t>Recubiertos</t>
  </si>
  <si>
    <t>Figuras</t>
  </si>
  <si>
    <t>Huevos</t>
  </si>
  <si>
    <t>Macizos</t>
  </si>
  <si>
    <t>Macizas</t>
  </si>
  <si>
    <t>Pasta para untar</t>
  </si>
  <si>
    <t>Productos a base de cereales</t>
  </si>
  <si>
    <t>Extracto de malta; preparaciones alimenticias de harina. grañones. semola. almidon. fecula o extracto de malta. que no contengan cacao o con un contenido de cacao inferior al 40 % en peso calculado sobre una base totalmente desgrasada. no expresadas ni comprendidas en otra parte; preparaciones alimenticias de productos de las partidas 04.01 a 04.04 que no contengan cacao o con un contenido de cacao inferior al 5 % en peso calculado sobre una base totalmente desgrasada. no expresadas ni comprendidas en otra parte.</t>
  </si>
  <si>
    <t>Leche modificada</t>
  </si>
  <si>
    <t>Preparaciones alimenticias registradas como alimentos para propositos medicos especificos de acuerdo con la Disposicion 7333/99 ANMAT (R.1946/93 (ANA))</t>
  </si>
  <si>
    <t>En envases inmediatos de contenido neto inferior o igual a 2 kg (R.257/00 ME)</t>
  </si>
  <si>
    <t>Maternizada</t>
  </si>
  <si>
    <t>En envases inmediatos de contenido neto inferior o igual a 2 kg.</t>
  </si>
  <si>
    <t>Harina lacteada</t>
  </si>
  <si>
    <t>A base de harina. grañones. semola o almidon</t>
  </si>
  <si>
    <t>- Mezclas y pastas para la preparacion de productos de panaderia. pasteleria o galleteria. de la partida 19.05</t>
  </si>
  <si>
    <t>A base de harina de trigo</t>
  </si>
  <si>
    <t>Pastas en formas solidas (Res. Conj. N° 27/2008 29/2008 MP y MEyFP)</t>
  </si>
  <si>
    <t>Preparaciones para la elaboracion de tortas. bizcochuelos y producctos de reposteria similares</t>
  </si>
  <si>
    <t>Extracto de malta</t>
  </si>
  <si>
    <t>Dulce de leche</t>
  </si>
  <si>
    <t>En envases inmediatos de contenido neto inferior o igual 5 kg (R.420/99 MEYOSP)</t>
  </si>
  <si>
    <t>En envases inmediatos de contenido neto inferior o igual a 1 Kg</t>
  </si>
  <si>
    <t>Leche modificada en polvo (Res. N° 240/07 MEyP)</t>
  </si>
  <si>
    <t>Preparaciones alimenticias a base de leche. a la que se le ha reemplazado parte de la grasa butirica por grasas o aceites vegetales parcial o totalmente hidrogenados. obtenidas por procesos de coagulado. lirado y moldeado. de los tipos utilizados como analogos de quesos</t>
  </si>
  <si>
    <t>Pastas alimenticias. incluso cocidas o rellenas (de carne u otras sustancias) o preparadas de otra forma. tales como espaguetis. fideos. macarrones. tallarines. lasañas. ñoquis. ravioles. canelones; cuscus. incluso preparado.</t>
  </si>
  <si>
    <t>- Pastas alimenticias sin cocer. rellenar ni preparar de otra forma:</t>
  </si>
  <si>
    <t>Ravioles</t>
  </si>
  <si>
    <t>Sin rellenar. precocida. acompañada de condimentos en el mismo envase</t>
  </si>
  <si>
    <t>TAPIOCA Y SUS SUCEDANEOS PREPARADOS CON FECULA. EN COPOS. GRUMOS. GRANOS PERLADOS. CERNIDURAS O FORMAS SIMILARES.</t>
  </si>
  <si>
    <t>Productos a base de cereales obtenidos por inflado o tostado (por ejemplo: hojuelas o copos de maiz); cereales (excepto el maiz) en grano o en forma de copos u otro grano trabajado (excepto la harina. grañones y semola). precocidos o preparados de otro modo. no expresados ni comprendidos en otra parte.</t>
  </si>
  <si>
    <t>A base de maiz</t>
  </si>
  <si>
    <t>A base de arroz</t>
  </si>
  <si>
    <t>A base de trigo</t>
  </si>
  <si>
    <t>Elaboradas exclusivamente con harina de trigo</t>
  </si>
  <si>
    <t>Arroz precocido. incluso preparado de otra forma</t>
  </si>
  <si>
    <t>Productos de panaderia. pasteleria o galleteria. incluso con adicion de cacao; hostias. sellos vacios de los tipos utilizados para medicamentos. obleas para sellar. pastas secas de harina. almidon o fecula. en hojas. y productos similares.</t>
  </si>
  <si>
    <t>-Pan crujiente llamado «knÃ¤ckebrot»</t>
  </si>
  <si>
    <t>Pan dulce</t>
  </si>
  <si>
    <t>- Galletas dulces (con adicion de edulcorante); barquillos y obleas. incluso rellenos («gaufrettes». «wafers») y «waffles» («gaufres»)*:</t>
  </si>
  <si>
    <t>Rellenas. incluso con cacao</t>
  </si>
  <si>
    <t>Total o parcialmente recubiertas o revestidas de chocolate o de otras preparaciones que contengan cacao. elaboradas exclusivamente con harina de trigo</t>
  </si>
  <si>
    <t>Total o parcialmente recubiertas o revestidas de chocolate o de otras preparaciones que contengan cacao. excepto elaboradas exclusivamente con harina de trigo</t>
  </si>
  <si>
    <t>Las demas. elaboradas exclusivamente con harina de trigo</t>
  </si>
  <si>
    <t>Sin envasar previamente para su comercializacion. elaborados exclusivamente con harina de trigo. comprendidos en Articulos 755. 757 o 760 del Codigo Alimentario Argentino (Ley 26.151)</t>
  </si>
  <si>
    <t>- - Barquillos y obleas. incluso rellenos («gaufrettes». «wafers») y «waffles» («gaufres»)*</t>
  </si>
  <si>
    <t>Golosinas total o parcialmente recubiertas o revestidas de chocolate o de otras preparaciones que contengan cacao. incluso rellenas</t>
  </si>
  <si>
    <t>Golosinas total o parcialmente recubiertas o revestidas de chocolate blanco. incluso rellenas</t>
  </si>
  <si>
    <t>Pan sandwich o de molde</t>
  </si>
  <si>
    <t>Galletas</t>
  </si>
  <si>
    <t>Sin sal</t>
  </si>
  <si>
    <t>Sin envasar previamente para su comercializacion. elaborados exclusivamente con harina de trigo. comprendidos en Articulos 755 del Codigo Alimentario Argentino (Ley 26.151)</t>
  </si>
  <si>
    <t>Productos panificados</t>
  </si>
  <si>
    <t>Pan de viena</t>
  </si>
  <si>
    <t>Pan rallado</t>
  </si>
  <si>
    <t>Sin envasar previamente para su comercializacion. elaborados exclusivamente con harina de trigo. comprendidos en Articulos 726 o 727 del Codigo Alimentario Argentino (Ley 26.151)</t>
  </si>
  <si>
    <t>Los demas. elaborados exclusivamente con harina de trigo</t>
  </si>
  <si>
    <t>Budines</t>
  </si>
  <si>
    <t>Con frutas u otros frutos</t>
  </si>
  <si>
    <t>Elaborados exclusivamente con harina de trigo</t>
  </si>
  <si>
    <t>Alfajores</t>
  </si>
  <si>
    <t>Tortas. tartas dulces y productos similares</t>
  </si>
  <si>
    <t>Tortas y tartas dulces</t>
  </si>
  <si>
    <t>«Tipo madalenas»</t>
  </si>
  <si>
    <t>Rellenas. elaboradas exclusivamente con harina de trigo</t>
  </si>
  <si>
    <t>Rellenas. excepto elaboradas exclusivamente con harina de trigo</t>
  </si>
  <si>
    <t>Productos salados. incluso aromatizados «tipo copetin»</t>
  </si>
  <si>
    <t>Productos extruidos o expandidos</t>
  </si>
  <si>
    <t>Prepizza y pizza</t>
  </si>
  <si>
    <t>Sin envasar previamente para su comercializacion. elaborados exclusivamente con harina de trigo. comprendidos en Articulos 757 o 760 del Codigo Alimentario Argentino (Ley 26.151)</t>
  </si>
  <si>
    <t>Hortalizas. frutas u otros frutos y demas partes comestibles de plantas. preparados o conservados en vinagre o en acido acetico.</t>
  </si>
  <si>
    <t>Aceitunas</t>
  </si>
  <si>
    <t>Tomates</t>
  </si>
  <si>
    <t>Frutos del genero Capsicum</t>
  </si>
  <si>
    <t>Tomates preparados o conservados (excepto en vinagre o en acido acetico).</t>
  </si>
  <si>
    <t>En envases inmediatos de contenido neto inferior o igual a 2.5 kg</t>
  </si>
  <si>
    <t>Jugos</t>
  </si>
  <si>
    <t>Pure (con un contenido de extracto seco. en peso. superior o igual al 8.37 % pero inferior al 12 %)</t>
  </si>
  <si>
    <t>Salsa (con un contenido de extracto seco. en peso. superior o igual al 12 % pero inferior al 16 %)</t>
  </si>
  <si>
    <t>Extracto</t>
  </si>
  <si>
    <t>Simple (con un contenido de extracto seco. en peso. superior o igual al 16 % pero inferior o igual al 28 %)</t>
  </si>
  <si>
    <t>Doble (con un contenido de extracto seco. en peso. superior al 28 % pero inferior o igual al 36 %)</t>
  </si>
  <si>
    <t>En envases inmediatos de contenido neto superior a 2.5 kg pero inferior o igual a 10 kg</t>
  </si>
  <si>
    <t>Hongos y trufas. preparados o conservados (excepto en vinagre o en acido acetico).</t>
  </si>
  <si>
    <t>Las demas hortalizas preparadas o conservadas (excepto en vinagre o en acido acetico). congeladas. excepto los productos de la partida 20.06.</t>
  </si>
  <si>
    <t>Arvejas (chicharos. guisantes)* (Pisum sativum)</t>
  </si>
  <si>
    <t>Esparragos</t>
  </si>
  <si>
    <t>Maiz dulce (Zea mays var.saccharata)</t>
  </si>
  <si>
    <t>Las demas hortalizas preparadas o conservadas (excepto en vinagre o en acido acetico). sin congelar. excepto los productos de la partida 20.06.</t>
  </si>
  <si>
    <t>En forma de copos</t>
  </si>
  <si>
    <t>Propios para su consumo inmediato</t>
  </si>
  <si>
    <t>En rodajas finas. fritas. incluso saladas o aromatizadas</t>
  </si>
  <si>
    <t>En envases inmediatos de contenido neto inferior o igual a 6 kg (R.420/99 MEYOSP)</t>
  </si>
  <si>
    <t>Verdes</t>
  </si>
  <si>
    <t>Sin rellenar. enteras verdes</t>
  </si>
  <si>
    <t>Sin rellenar. enteras negras</t>
  </si>
  <si>
    <t>Rellenas</t>
  </si>
  <si>
    <t>- Las demas hortalizas y las mezclas de hortalizas:</t>
  </si>
  <si>
    <t>Alcauciles (alcachofas)</t>
  </si>
  <si>
    <t>Hortalizas. frutas u otros frutos o sus cortezas y demas partes de plantas. confitados con azucar (almibarados. glaseados o escarchados).</t>
  </si>
  <si>
    <t>En envases inmediatos de contenido neto inferior o igual a 500 g</t>
  </si>
  <si>
    <t>Confituras. jaleas y mermeladas. pures y pastas de frutas u otros frutos. obtenidos por coccion. incluso con adicion de azucar u otro edulcorante.</t>
  </si>
  <si>
    <t>Jaleas y mermeladas</t>
  </si>
  <si>
    <t>Jaleas</t>
  </si>
  <si>
    <t>De membrillo</t>
  </si>
  <si>
    <t>Mermeladas</t>
  </si>
  <si>
    <t>Pures</t>
  </si>
  <si>
    <t>De acai (Euterpe oleracea)</t>
  </si>
  <si>
    <t>De acerola (Malpighia spp.)</t>
  </si>
  <si>
    <t>De banana (Musa spp.)</t>
  </si>
  <si>
    <t>De guayaba (Psidium guajava)</t>
  </si>
  <si>
    <t>De mango (Mangifera indica)</t>
  </si>
  <si>
    <t>De copoazu (Theobroma grandiflorum)</t>
  </si>
  <si>
    <t>De papaya (Carica papaya L.)</t>
  </si>
  <si>
    <t>Pure de peras</t>
  </si>
  <si>
    <t>Pure de manzanas</t>
  </si>
  <si>
    <t>Frutas u otros frutos y demas partes comestibles de plantas. preparados o conservados de otro modo. incluso con adicion de azucar u otro edulcorante o alcohol. no expresados ni comprendidos en otra parte.</t>
  </si>
  <si>
    <t>- Frutos de cascara. manies (cacahuates. cacahuetes)* ydemas semillas. incluso mezclados entre si:</t>
  </si>
  <si>
    <t>- - Manies (cacahuates. cacahuetes)*</t>
  </si>
  <si>
    <t>Manteca</t>
  </si>
  <si>
    <t>Nueces de &lt;&lt;caju&gt;&gt; (castañas de &lt;&lt;caju&gt;&gt;)</t>
  </si>
  <si>
    <t>Pistachos</t>
  </si>
  <si>
    <t>Soja</t>
  </si>
  <si>
    <t>En agua edulcorada. incluido el jarabe</t>
  </si>
  <si>
    <t>En rodajas</t>
  </si>
  <si>
    <t>Cremogenados</t>
  </si>
  <si>
    <t>De naranja</t>
  </si>
  <si>
    <t>Descarozadas</t>
  </si>
  <si>
    <t>Pulpa de valor Brix superior o igual a 20</t>
  </si>
  <si>
    <t>- Los demas. incluidas las mezclas. excepto las mezclas de la subpartida 2008.19:</t>
  </si>
  <si>
    <t>En trozos de forma cilindrica de longitud superior o igual a 8 cm</t>
  </si>
  <si>
    <t>- - Arandanos rojos (Vaccinium macrocarpon. Vaccinium oxycoccos. Vaccinium vitis-idaea)</t>
  </si>
  <si>
    <t>En envases inmediatos de contenido neto inferior o igual a 2.5 kg (R.967/99 MEyOSP)</t>
  </si>
  <si>
    <t>En envases inmediatos de contenido neto inferior o igual a 2.5 kg (R967/99 MEYOSP)</t>
  </si>
  <si>
    <t>De frutas u otros frutos</t>
  </si>
  <si>
    <t>Ciruelas en agua edulcorada. incluido el jarabe</t>
  </si>
  <si>
    <t>Jugos de frutas u otros frutos (incluido el mosto de uva) o de hortalizas. sin fermentar y sin adicion de alcohol. incluso con adicion de azucar u otro edulcorante.</t>
  </si>
  <si>
    <t>- Jugo de naranja:</t>
  </si>
  <si>
    <t>Concentrado de baja pulpa (low-pulp). contenido de pulpa maximo 2 % volumen sobre volumen</t>
  </si>
  <si>
    <t>--Sin congelar. de valor Brix inferior o igual a 20</t>
  </si>
  <si>
    <t>- Jugo de toronja o pomelo:</t>
  </si>
  <si>
    <t>--De valor Brix inferior o igual a 20</t>
  </si>
  <si>
    <t>Concentrado de baja pulpa (low-pulp) contenido de pulpa maxima 2% volumen sobre volumen</t>
  </si>
  <si>
    <t>- Jugo de cualquier otro agrio (citrico):</t>
  </si>
  <si>
    <t>De limon</t>
  </si>
  <si>
    <t>Concentrado congelado clarificado</t>
  </si>
  <si>
    <t>- Jugo de piña (anana):</t>
  </si>
  <si>
    <t>- - De valor Brix inferior o igual a 20</t>
  </si>
  <si>
    <t>En envases inmediatos de contenido neto inferior o igual a 1 l a(R.420/99 MEYOSP)</t>
  </si>
  <si>
    <t>- Jugo de uva (incluido el mosto):</t>
  </si>
  <si>
    <t>- - De valor Brix inferior o igual a 30</t>
  </si>
  <si>
    <t>Mosto sulfitado</t>
  </si>
  <si>
    <t>Mosto concentrado</t>
  </si>
  <si>
    <t>- Jugo de manzana:</t>
  </si>
  <si>
    <t>- Jugo de cualquier otra fruta o fruto u hortaliza:</t>
  </si>
  <si>
    <t>- - De arandanos rojos (Vaccinium macrocarpon. Vaccinium oxycoccos. Vaccinium vitis-idaea)</t>
  </si>
  <si>
    <t>En envases inmediatos de contenido neto inferior o igual a 1 l (R.420/99 MEyOSP)</t>
  </si>
  <si>
    <t>Jugo de durazno. de acerola (Malpighia spp.) y de maracuya (Passiflora edulis)</t>
  </si>
  <si>
    <t>De durazno. de valor Brix superior o igual a 60</t>
  </si>
  <si>
    <t>De maracuya (Passiflora edulis)</t>
  </si>
  <si>
    <t>En envases inmediatos de contenido neto inferior o igual a 1 l</t>
  </si>
  <si>
    <t>Agua de coco (Cocos nucifera)</t>
  </si>
  <si>
    <t>Con valor Brix inferior o igual a 7.4</t>
  </si>
  <si>
    <t>Con valor Brix superior a 7.4</t>
  </si>
  <si>
    <t>En envases inmediatos de contenido neto inferior o igual 1l</t>
  </si>
  <si>
    <t>De hortalizas</t>
  </si>
  <si>
    <t>Extractos. esencias y concentrados de cafe. te o yerba mate y preparaciones a base de estos productos o a base de cafe. te o yerba mate; achicoria tostada y demas sucedaneos del cafe tostados y sus extractos. esencias y concentrados.</t>
  </si>
  <si>
    <t>- Extractos. esencias y concentrados de cafe y preparaciones a base de estos extractos. esencias o concentrados o a base de cafe:</t>
  </si>
  <si>
    <t>Cafe soluble. incluso descafeinado</t>
  </si>
  <si>
    <t>Sin descafeinar</t>
  </si>
  <si>
    <t>En envases inmediatos de contenido inferior o igual a 1 kg</t>
  </si>
  <si>
    <t>Cafe torrado</t>
  </si>
  <si>
    <t>Molido</t>
  </si>
  <si>
    <t>En envases de contenido superior a 1 kg e inferior o igual a 2 kg</t>
  </si>
  <si>
    <t>De te</t>
  </si>
  <si>
    <t>Te soluble</t>
  </si>
  <si>
    <t>De yerba mate</t>
  </si>
  <si>
    <t>Achicoria tostada</t>
  </si>
  <si>
    <t>Extractos. esencias y concentrados de achicoria tostada y de otros sucedaneos del cafe. tostados</t>
  </si>
  <si>
    <t>Malta tostada soluble</t>
  </si>
  <si>
    <t>Levaduras (vivas o muertas); los demas microorganismos monocelulares muertos (excepto las vacunas de la partida 30.02); polvos preparados para esponjar masas.</t>
  </si>
  <si>
    <t>Saccharomyces boulardii</t>
  </si>
  <si>
    <t>Levaduras madres seleccionadas (levaduras de cultivo)</t>
  </si>
  <si>
    <t>Levaduras para panificacion</t>
  </si>
  <si>
    <t>En envases inmediatos de contenido inferior o igual a 100 g</t>
  </si>
  <si>
    <t>Levaduras muertas</t>
  </si>
  <si>
    <t>En envases inmediatos de contenido inferior o igual a 500 g</t>
  </si>
  <si>
    <t>Preparaciones para salsas y salsas preparadas; condimentos y sazonadores. compuestos; harina de mostaza y mostaza preparada.</t>
  </si>
  <si>
    <t>Ketchup</t>
  </si>
  <si>
    <t>En envases inmediatos de contenido inferior o igual a 20 g</t>
  </si>
  <si>
    <t>En envases inmediatos de contenido superior a 20 g pero inferior o igual a 500 g</t>
  </si>
  <si>
    <t>Pomarola</t>
  </si>
  <si>
    <t>Harina de mostaza</t>
  </si>
  <si>
    <t>Mostaza preparada</t>
  </si>
  <si>
    <t>Mayonesa</t>
  </si>
  <si>
    <t>Condimentos y sazonadores. compuestos</t>
  </si>
  <si>
    <t>Preparaciones para sopas. potajes o caldos; sopas. potajes o caldos. preparados; preparaciones alimenticias compuestas homogeneizadas.</t>
  </si>
  <si>
    <t>Preparaciones para sopas. potajes o caldos</t>
  </si>
  <si>
    <t>Secas o desecadas</t>
  </si>
  <si>
    <t>De gallina. unicamente</t>
  </si>
  <si>
    <t>De hortalizas. unicamente</t>
  </si>
  <si>
    <t>De carne. unicamente</t>
  </si>
  <si>
    <t>De gallina</t>
  </si>
  <si>
    <t>De carne</t>
  </si>
  <si>
    <t>Sopas. potajes o caldos. preparados</t>
  </si>
  <si>
    <t>Helados. incluso con cacao.</t>
  </si>
  <si>
    <t>Preparaciones alimenticias no expresadas ni comprendidas en otra parte.</t>
  </si>
  <si>
    <t>Preparaciones de los tipos utilizados para la elaboracion de bebidas</t>
  </si>
  <si>
    <t>Analcoholicas</t>
  </si>
  <si>
    <t>Elaboradas con un 20 % como minimo de jugos o zumos de fruta. sus equivalentes en jugos concentrados o adicionados en forma de polvo o cristales (R.2289/92 ex-ANA)</t>
  </si>
  <si>
    <t>Polvos. incluso con adicion de azucar u otro edulcorante. para la fabricacion de budines. cremas. helados. flanes. gelatinas o preparaciones similares</t>
  </si>
  <si>
    <t>Para la fabricacion de budines en envases inmediatos de contenido inferior o igual a 1 kg</t>
  </si>
  <si>
    <t>Para la preparacion de gelatina</t>
  </si>
  <si>
    <t>Complementos alimenticios</t>
  </si>
  <si>
    <t>Que contengan vitaminas o minerales</t>
  </si>
  <si>
    <t>Que contengan productos de las partidas 12.11 o 12.12 o 13.02 (excepto estupefacientes o sus precursores). sin vitaminas ni minerales</t>
  </si>
  <si>
    <t>Mezclas a base de ascorbato de sodio y glucosa aptas para chacinados</t>
  </si>
  <si>
    <t>Chicles y demas gomas de mascar. sin azucar</t>
  </si>
  <si>
    <t>Caramelos. confites. pastillas y productos similares. sin azucar</t>
  </si>
  <si>
    <t>Preparaciones alimenticias registradas como alimentos para propositos medicos especifi- cos de acuerdo con la Disposicion ANMAT 7333/99 (R.1946/93 (ANA))</t>
  </si>
  <si>
    <t>Extractos de levaduras. incluidos los autolizados de levaduras</t>
  </si>
  <si>
    <t>Preparaciones edulcorantes. acondicionadas para la venta al por menor</t>
  </si>
  <si>
    <t>Agua. incluidas el agua mineral natural o artificial y la gaseada. sin adicion de azucar u otro edulcorante ni aromatizada; hielo y nieve.</t>
  </si>
  <si>
    <t>Agua mineral. incluso gaseada (R.2289/92 ex-ANA)</t>
  </si>
  <si>
    <t>En envases inmediatos de contenido inferior o igual a 0.5 l</t>
  </si>
  <si>
    <t>En envases inmediatos de contenido superior a 0.5 l pero inferior o igual a 2 l</t>
  </si>
  <si>
    <t>Agua. incluidas el agua mineral y la gaseada. con adicion de azucar u otro edulcorante o aromatizada. y demas bebidas no alcoholicas. excepto los jugos de frutas u otros frutos o de hortalizas de la partida 20.09.</t>
  </si>
  <si>
    <t>Con un 10 % como minimo de jugos o zumos de frutas -filtrados o no- o su equivalente en jugos concentrados o con un 5 % como minimo cuando se trata de limon. proveniente del mismo genero botanico del sabor sobre cuya base se vende el producto a traves de su rotulado o publicidad (R.2289/92 ex-ANA)</t>
  </si>
  <si>
    <t>En latas de contenido inferior o igual a 0.5 l</t>
  </si>
  <si>
    <t>Agua mineral aromatizada o saborizada. incluso gaseada. en los terminos del art. 944 bis del C.A.A.(R.2289/92 ex-ANA)</t>
  </si>
  <si>
    <t>En latas. de contenido inferior o igual a 0.5 l</t>
  </si>
  <si>
    <t>En botellas</t>
  </si>
  <si>
    <t>De contenido inferior o igual a 0.5 l</t>
  </si>
  <si>
    <t>De contenido superior a 0.5 l pero inferior o igual a 0.75 l</t>
  </si>
  <si>
    <t>De contenido superior a 0.75 l</t>
  </si>
  <si>
    <t>- - Las demas:</t>
  </si>
  <si>
    <t>Suplementos dietarios en los terminos del Art.1381 C.A.A. (R.2289/92 ex-ANA)</t>
  </si>
  <si>
    <t>Que contengan en su composicion cafeina y taurina en los terminos del articulo 1388 bis del C.A.A.</t>
  </si>
  <si>
    <t>Bebidas analcoholicas con cafeina y taurina en los terminos del articulo 1388 y 1388 bis C.A.A.</t>
  </si>
  <si>
    <t>Cerveza de malta.</t>
  </si>
  <si>
    <t>Cerveza clara (blanca). de grado alcoholico volumetrico superior a 1.2 % vol</t>
  </si>
  <si>
    <t>En latas</t>
  </si>
  <si>
    <t>De contenido superior o igual a 350 cm3 pero inferior o igual a 360 cm3</t>
  </si>
  <si>
    <t>De contenido superior o igual a 470 cm3 pero inferior o igual a 480 cm3</t>
  </si>
  <si>
    <t>De contenido superior o igual a 600 cm3 pero inferior o igual a 650 cm3</t>
  </si>
  <si>
    <t>De contenido superior o igual a 950 cm3 pero inferior o igual a 1000 cm3</t>
  </si>
  <si>
    <t>En barriles</t>
  </si>
  <si>
    <t>De contenido inferior o igual a 5 l</t>
  </si>
  <si>
    <t>De contenido superior a 5 l pero inferior o igual a 20 l</t>
  </si>
  <si>
    <t>De contenido superior a 20 l pero inferior o igual a 30 l</t>
  </si>
  <si>
    <t>De contenido superior a 30 l pero inferior o igual a 50 l</t>
  </si>
  <si>
    <t>Los demas. de grado alcoholico volumetrico superior a 1.2 % vol</t>
  </si>
  <si>
    <t>Vino de uvas frescas. incluso encabezado; mosto de uva. excepto el de la partida 20.09.</t>
  </si>
  <si>
    <t>Tipo champaña (champagne)</t>
  </si>
  <si>
    <t>Gaseados (gasificados segun Res N° C.1-03 (INV)</t>
  </si>
  <si>
    <t>- Los demas vinos; mosto de uva en el que la fermentacion se ha impedido o cortado añadiendo alcohol:</t>
  </si>
  <si>
    <t>- - En recipientes con capacidad inferior o igual a 2 l</t>
  </si>
  <si>
    <t>Mistelas de grado alcoholico volumetrico igual a 16.7 % vol (18 % vol medidos a 15ro C) (R.192 AFIP)</t>
  </si>
  <si>
    <t>Vino varietal (vino fino) o vino calidad preferente (R.C19/04 INV)</t>
  </si>
  <si>
    <t>- - En recipientes con capacidad superior a 2 l pero inferior o igual a 10 l</t>
  </si>
  <si>
    <t>Vinos</t>
  </si>
  <si>
    <t>En recipientes con capacidad inferior o igual a 5 l</t>
  </si>
  <si>
    <t>Vino varietal (vino fino) o vino calidad preferente (R.C. 19/04 INV)</t>
  </si>
  <si>
    <t>Mostos</t>
  </si>
  <si>
    <t>Mistelas de grado alcoholico volumetrico igual a 16.7 % vol (18% vol medidos a 15ro C) (R. 192 AFIP)</t>
  </si>
  <si>
    <t>- - Los demas:</t>
  </si>
  <si>
    <t>Mistelas de grado alcoholico volumetrico igual a 16.7 % vol (18 % vol medidos a 15ro C) (R. 192 AFIP)</t>
  </si>
  <si>
    <t>Vermut y demas vinos de uvas frescas preparados con plantas o sustancias aromaticas.</t>
  </si>
  <si>
    <t>- En recipientes con capacidad inferior o igual a 2 l</t>
  </si>
  <si>
    <t>Espumoso frutado natural segun Res N° C.1-03 (INV)</t>
  </si>
  <si>
    <t>LAS DEMaS BEBIDAS FERMENTADAS (POR EJEMPLO: SIDRA. PERADA. AGUAMIEL. SAKE); MEZCLAS DE BEBIDAS FERMENTADAS Y MEZCLAS DE BEBIDAS FERMENTADAS Y BEBIDAS NO ALCOHOLICAS. NO EXPRESADAS NI COMPRENDIDAS EN OTRA PARTE.</t>
  </si>
  <si>
    <t>Sidra</t>
  </si>
  <si>
    <t>Bebidas de grado alcoholico volumetrico inferior a 9.3 % vol (10 % vol medidos a 15ro C) pero superior a 3.4 % vol (4 % vol medidos a 15ro C) (R.2289/92 EX-ANA)</t>
  </si>
  <si>
    <t>Bebidas de grado alcoholico volumetrico inferior o igual a 3.4 % vol (4 % vol medidos a 15ro C) pero superior o igual a 0.5 % vol (1 % vol medido a 15ro C) (R.2289/92 ex-ANA)</t>
  </si>
  <si>
    <t>Alcohol etilico sin desnaturalizar con grado alcoholico volumetrico superior o igual al 80 % vol.; alcohol etilico y aguardiente desnaturalizados. de cualquier graduacion.</t>
  </si>
  <si>
    <t>- Alcohol etilico sin desnaturalizar con grado alcoholico volumetrico superior o igual al 80 % vol.</t>
  </si>
  <si>
    <t>Con un contenido de agua inferior o igual a 1 % vol.</t>
  </si>
  <si>
    <t>Alcohol etilico</t>
  </si>
  <si>
    <t>Aguardiente</t>
  </si>
  <si>
    <t>Alcohol etilico sin desnaturalizar con grado alcoholico volumetrico inferior al 80 % vol.; aguardientes. licores y demas bebidas espirituosas.</t>
  </si>
  <si>
    <t>Brandi. cognac y pisco (R.2289/92 ex-ANA)</t>
  </si>
  <si>
    <t>Los demas (Segunda clase) (R.2289/92 ex-ANA)</t>
  </si>
  <si>
    <t>Con grado alcoholico volumetrico superior al 50 % vol. en recipientes con capacidad superior o igual a 50 l</t>
  </si>
  <si>
    <t>En recipientes con capacidad inferior o igual a 2 l</t>
  </si>
  <si>
    <t>Ron</t>
  </si>
  <si>
    <t>De grado alcoholico volumetrico superior a 54 % vol (aguardiente concentrado). en recipientes con capacidad superior o igual a 50 l (R. M.E. 300/01)</t>
  </si>
  <si>
    <t>Los demas aguardientes procedentes de la destilacion. previa fermentacion. de productos de la caña de azucar</t>
  </si>
  <si>
    <t>De grado alcoholico volumetrico superior o igual a 28 % vol (30 % vol medidos a 15° C). (Segunda clase). (R.2289/92 ex-ANA)</t>
  </si>
  <si>
    <t>De grado alcoholico volumetrico superior o igual a 9.3 % vol (10 % vol medidos a 15ro C) pero inferior a 28 % vol (30 % vol medidos a 15ro C) (R.2289/92 ex-ANA)</t>
  </si>
  <si>
    <t>Tequila (R.2289/92 ex-ANA)</t>
  </si>
  <si>
    <t>Las demas bebidas de grado alcoholico volumetrico superior o igual a 28 % vol (30 % vol medidos a 15ro C). (segunda clase) (R.2289/92 ex-ANA)</t>
  </si>
  <si>
    <t>Las demas bebidas de grado alcoholico volumetrico superior o igual a 9.3 % vol (10 % vol medidos 15° C) pero inferior a 28 % vol (30 % vol medidos a 15° C) (R.2289/92 ex-ANA)</t>
  </si>
  <si>
    <t>Las demas bebidas de grado alcoholico volumetrico inferior o igual a 3.4 % vol (4 % vol medidos a 15° C) (R.2289/92 ex-ANA)</t>
  </si>
  <si>
    <t>Alcohol etilico sin desnaturalizar con grado alcoholico volumetrico inferior a 80 % vol</t>
  </si>
  <si>
    <t>Soluciones acuosas de alcohol etilico de cualquier origen. que no presenten cantidades detectables de extractos de plantas. flores o arboles. del tipo de las denominadas &lt;&lt;remedios a base de flores&gt;&gt;</t>
  </si>
  <si>
    <t>VINAGRE Y SUCEDANEOS DEL VINAGRE OBTENIDOS A PARTIR DEL ACIDO ACETICO.</t>
  </si>
  <si>
    <t>Harina. polvo y «pellets». de carne. despojos. pescado o de crustaceos. moluscos o demas invertebrados acuaticos. impropios para la alimentacion humana; chicharrones.</t>
  </si>
  <si>
    <t>- Harina. polvo y «pellets». de carne o despojos; chicharrones</t>
  </si>
  <si>
    <t>Harina</t>
  </si>
  <si>
    <t>- Harina. polvo y «pellets». de pescado o de crustaceos. moluscos o demas invertebrados acuaticos</t>
  </si>
  <si>
    <t>De pescado</t>
  </si>
  <si>
    <t>Harina (R.420/99 MEYOSP)</t>
  </si>
  <si>
    <t>En envases de contenido neto inferior o igual a 1 kg (R.420/99 MEYOSP)</t>
  </si>
  <si>
    <t>Salvados. moyuelos y demas residuos del cernido. de la molienda o de otros tratamientos de los cereales o de las leguminosas. incluso en «pellets».</t>
  </si>
  <si>
    <t>Moyuelo</t>
  </si>
  <si>
    <t>Pellets (Ley 21.453)</t>
  </si>
  <si>
    <t>A granel. con hasta un 10 % embolsado</t>
  </si>
  <si>
    <t>A granel. con hasta un 10 % embolsado (Ley 21.453)</t>
  </si>
  <si>
    <t>Pellets de cascara de soja</t>
  </si>
  <si>
    <t>De soja</t>
  </si>
  <si>
    <t>Residuos de la industria del almidon y residuos similares. pulpa de remolacha. bagazo de caña de azucar y demas desperdicios de la industria azucarera. heces y desperdicios de cerveceria o de destileria. incluso en «pellets».</t>
  </si>
  <si>
    <t>Tortas y demas residuos solidos de la extraccion del aceite de soja (soya). incluso molidos o en «pellets».</t>
  </si>
  <si>
    <t>Harina y «pellets»</t>
  </si>
  <si>
    <t>Harina de tortas (Ley 21.453)</t>
  </si>
  <si>
    <t>Tortas (Ley 21.453)</t>
  </si>
  <si>
    <t>Expellers</t>
  </si>
  <si>
    <t>Tortas y demas residuos solidos de la extraccion del aceite de mani (cacahuate. cacahuete)*. incluso molidos o en «pellets».</t>
  </si>
  <si>
    <t>Expellers (Ley 21.453)</t>
  </si>
  <si>
    <t>Tortas y demas residuos solidos de la extraccion de grasas o aceites vegetales. incluso molidos o en «pellets». excepto los de las partidas 23.04 o 23.05.</t>
  </si>
  <si>
    <t>Tortas</t>
  </si>
  <si>
    <t>Pellets</t>
  </si>
  <si>
    <t>Harina de tortas</t>
  </si>
  <si>
    <t>Tortas. harinas y «pellets»</t>
  </si>
  <si>
    <t>De harina de tortas (Ley 21.453)</t>
  </si>
  <si>
    <t>Integral (Ley 21.453)</t>
  </si>
  <si>
    <t>- De semillas de nabo (nabina) o de colza:</t>
  </si>
  <si>
    <t>De germen de maiz</t>
  </si>
  <si>
    <t>LÃAS O HECES DE VINO; TaRTARO BRUTO.</t>
  </si>
  <si>
    <t>Materias vegetales y desperdicios vegetales. residuos y subproductos vegetales. incluso en «pellets». de los tipos utilizados para la alimentacion de los animales. no expresados ni comprendidos en otra parte.</t>
  </si>
  <si>
    <t>Productos que contengan soja en su composicion</t>
  </si>
  <si>
    <t>Preparaciones de los tipos utilizados para la alimentacion de los animales.</t>
  </si>
  <si>
    <t>Que contengan cloranfenicol (R.2507/93 ex-ANA)</t>
  </si>
  <si>
    <t>Los demas (R.2012/93 ex-ANA)</t>
  </si>
  <si>
    <t>Preparaciones destinadas a proporcionar al animal la totalidad de los elementos nutritivos necesarios para una alimentacion diaria. racional y balanceada (piensos compuestos «completos»)</t>
  </si>
  <si>
    <t>Que contengan carbadox (R.57/16 SENASA)</t>
  </si>
  <si>
    <t>Las demas preparaciones que contengan soja. sus subproductos o residuos</t>
  </si>
  <si>
    <t>En bolsas rotuladas de peso neto inferior o igual a 50kg</t>
  </si>
  <si>
    <t>Con una granulometria que permita su retencion en un tamiz IRAM Nro 30 en una proporcion superior o igual al 80% y contengan una proporcion inferior o igual al 30% de soja. sus subproductos o residuos</t>
  </si>
  <si>
    <t>En bolsas rotuladas de peso neto superior a 50 kg. pero inferior o igual a 1500kg.</t>
  </si>
  <si>
    <t>En una proporcion inferior o igual al 30%. presentadas con una granulometria que permita su retencion en un tamiz IRAM N° 30 en una proporcion superior o igual al 80%</t>
  </si>
  <si>
    <t>En bolsas rotuladas de peso neto inferior o igual a 50 kg.</t>
  </si>
  <si>
    <t>Preparados a base de sal iodada. harina de hueso. harina de concha. cobre y cobalto</t>
  </si>
  <si>
    <t>Las demas que contengan soja. sus subproductos o residuos. en su composicion.</t>
  </si>
  <si>
    <t>Las demas que contengan soja. sus subproductos o residuos en su composicion.</t>
  </si>
  <si>
    <t>Preparaciones que contengan diclazuril</t>
  </si>
  <si>
    <t>Que contengan soja. sus subproductos o residuos. en su composicion.</t>
  </si>
  <si>
    <t>Preparaciones con un contenido de clorhidrato de ractopamina superior o igual al 2 % en peso. con soporte de salvado de soja</t>
  </si>
  <si>
    <t>Preparaciones que contengan xilanasa y betaglucanasa con soporte de harina de trigo</t>
  </si>
  <si>
    <t>En bolsas rotuladas de peso neto inferior o igual a 50 kg</t>
  </si>
  <si>
    <t>Preparaciones que contengan soja. sus subproductos o residuos en su composicion</t>
  </si>
  <si>
    <t>Presentados en bolsas rotuladas. de peso neto inferior o igual a 50 Kg..</t>
  </si>
  <si>
    <t>Tabaco en rama o sin elaborar; desperdicios de tabaco.</t>
  </si>
  <si>
    <t>En hojas. sin secar ni fermentar</t>
  </si>
  <si>
    <t>En hojas secas o fermentadas tipo capa</t>
  </si>
  <si>
    <t>En hojas secas en secadero de aire caliente (&lt;&lt;Flue cured&gt;&gt;). del tipo Virginia</t>
  </si>
  <si>
    <t>En hojas secas. del tipo turco. con un contenido de aceites volatiles superior al 0.2 % en peso</t>
  </si>
  <si>
    <t>En hojas secas (&lt;&lt;light air cured&gt;&gt;). del tipo Burley</t>
  </si>
  <si>
    <t>Cigarros (puros) (incluso despuntados). cigarritos (puritos) y cigarrillos. de tabaco o de sucedaneos del tabaco.</t>
  </si>
  <si>
    <t>- Cigarros (puros) (incluso despuntados) y cigarritos (puritos). que contengan tabaco</t>
  </si>
  <si>
    <t>Cigarros (puros) (incluso despuntados)</t>
  </si>
  <si>
    <t>Cigarritos (puritos)</t>
  </si>
  <si>
    <t>Negros</t>
  </si>
  <si>
    <t>Rubios</t>
  </si>
  <si>
    <t>Cigarrillos de picadura de lechuga. sin tabaco ni nicotina (R.2013/93 ex-ANA)</t>
  </si>
  <si>
    <t>Los demas tabacos y sucedaneos del tabaco. elaborados; tabaco «homogeneizado» o «reconstituido»; extractos y jugos de tabaco.</t>
  </si>
  <si>
    <t>- Tabaco para fumar. incluso con sucedaneos de tabaco en cualquier proporcion:</t>
  </si>
  <si>
    <t>--Tabaco para pipa de agua mencionado en la Nota 1 de subpartida de este Capitulo</t>
  </si>
  <si>
    <t>Tabaco picado o en hebras</t>
  </si>
  <si>
    <t>--Tabaco &lt;&lt;homogeneizado&gt;&gt; o &lt;&lt;reconstituido&gt;&gt;</t>
  </si>
  <si>
    <t>Extractos y jugos</t>
  </si>
  <si>
    <t>Sal (incluidas la de mesa y la desnaturalizada) y cloruro de sodio puro. incluso en disolucion acuosa o con adicion de antiaglomerantes o de agentes que garanticen una buena fluidez; agua de mar.</t>
  </si>
  <si>
    <t>Sal a granel. sin agregados</t>
  </si>
  <si>
    <t>Sal marina</t>
  </si>
  <si>
    <t>Sal de mesa</t>
  </si>
  <si>
    <t>Cloruro de sodio puro (R.2808/80 ex-ANA)</t>
  </si>
  <si>
    <t>PIRITAS DE HIERRO SIN TOSTAR.</t>
  </si>
  <si>
    <t>Azufre de cualquier clase. excepto el sublimado. el precipitado y el coloidal.</t>
  </si>
  <si>
    <t>Grafito natural.</t>
  </si>
  <si>
    <t>En polvo</t>
  </si>
  <si>
    <t>En escamas</t>
  </si>
  <si>
    <t>Arenas naturales de cualquier clase. incluso coloreadas. excepto las arenas metaliferas del Capitulo 26.</t>
  </si>
  <si>
    <t>Arenas siliceas</t>
  </si>
  <si>
    <t>Arenas cuarzosas</t>
  </si>
  <si>
    <t>Arenas arcillosas</t>
  </si>
  <si>
    <t>Arenas caolinicas</t>
  </si>
  <si>
    <t>Arenas feldespaticas</t>
  </si>
  <si>
    <t>Cuarzo (excepto las arenas naturales); cuarcita. incluso desbastada o simplemente troceada. por aserrado o de otro modo. en bloques o en placas cuadradas o rectangulares.</t>
  </si>
  <si>
    <t>Caolin y demas arcillas caolinicas. incluso calcinados.</t>
  </si>
  <si>
    <t>Caolin</t>
  </si>
  <si>
    <t>Las demas arcillas (excepto las arcillas dilatadas de la partida 68.06). andalucita. cianita y silimanita. incluso calcinadas; mullita; tierras de chamota o de dinas.</t>
  </si>
  <si>
    <t>Plasticas. con un contenido de Fe2O3 inferior al 1.5 % en peso y con perdida por calcinacion superior al 12 % en peso</t>
  </si>
  <si>
    <t>Andalucita</t>
  </si>
  <si>
    <t>Cianita</t>
  </si>
  <si>
    <t>Silimanita</t>
  </si>
  <si>
    <t>Tierras de chamota</t>
  </si>
  <si>
    <t>Tierras de dinas</t>
  </si>
  <si>
    <t>CRETA.</t>
  </si>
  <si>
    <t>Fosfatos de calcio naturales. fosfatos aluminocalcicos naturales y cretas fosfatadas.</t>
  </si>
  <si>
    <t>Fosfatos de calcio naturales</t>
  </si>
  <si>
    <t>Fosfatos aluminocalcicos naturales</t>
  </si>
  <si>
    <t>Cretas fosfatadas</t>
  </si>
  <si>
    <t>Sulfato de bario natural (baritina); carbonato de bario natural (witherita). incluso calcinado. excepto el oxido de bario de la partida 28.16.</t>
  </si>
  <si>
    <t>Harinas siliceas fosiles (por ejemplo: «kieselguhr». tripolita. diatomita) y demas tierras siliceas analogas. de densidad aparente inferior o igual a 1. incluso calcinadas.</t>
  </si>
  <si>
    <t>Kieselguhr</t>
  </si>
  <si>
    <t>Tripolita</t>
  </si>
  <si>
    <t>Diatomita</t>
  </si>
  <si>
    <t>Piedra pomez; esmeril; corindon natural. granate natural y demas abrasivos naturales. incluso tratados termicamente.</t>
  </si>
  <si>
    <t>Esmeril</t>
  </si>
  <si>
    <t>Corindon natural</t>
  </si>
  <si>
    <t>Granate natural</t>
  </si>
  <si>
    <t>Los demas abrasivos naturales</t>
  </si>
  <si>
    <t>Pizarra. incluso desbastada o simplemente troceada. por aserrado o de otro modo. en bloques o en placas cuadradas o rectangulares.</t>
  </si>
  <si>
    <t>Desbastada o en bruto</t>
  </si>
  <si>
    <t>En bloques o placas</t>
  </si>
  <si>
    <t>Polvo o desperdicios</t>
  </si>
  <si>
    <t>Marmol. travertinos. «ecaussines» y demas piedras calizas de talla o de construccion de densidad aparente superior o igual a 2.5. y alabastro. incluso desbastados o simplemente troceados. por aserrado o de otro modo. en bloques o en placas cuadradas o rectangulares.</t>
  </si>
  <si>
    <t>- Marmol y travertinos:</t>
  </si>
  <si>
    <t>Marmol en bruto</t>
  </si>
  <si>
    <t>Marmol</t>
  </si>
  <si>
    <t>Travertinos</t>
  </si>
  <si>
    <t>-"Ecaussines" y demas piedras calizas de talla o de construccion; alabastro</t>
  </si>
  <si>
    <t>Granito. porfido. basalto. arenisca y demas piedras de talla o de construccion. incluso desbastados o simplemente troceados. por aserrado o de otro modo. en bloques o en placas cuadradas o rectangulares.</t>
  </si>
  <si>
    <t>- Granito:</t>
  </si>
  <si>
    <t>En bruto o desbastada</t>
  </si>
  <si>
    <t>Porfido</t>
  </si>
  <si>
    <t>En bruto o desbastado</t>
  </si>
  <si>
    <t>Basalto</t>
  </si>
  <si>
    <t>Sienita</t>
  </si>
  <si>
    <t>Gneis</t>
  </si>
  <si>
    <t>Cantos. grava. piedras machacadas. de los tipos generalmente utilizados para hacer hormigon. o para firmes de carreteras. vias ferreas u otros balastos. guijarros y pedernal. incluso tratados termicamente; macadan de escorias o de desechos industriales similares. incluso con materiales comprendidos en la primera parte de la partida; macadan alquitranado; granulos. tasquiles (fragmentos) y polvo de piedras de las partidas 25.15 o 25.16. incluso tratados termicamente.</t>
  </si>
  <si>
    <t>-Macadan de escorias o de desechos industriales similares. incluso con materiales citados en la subpartida 2517.10</t>
  </si>
  <si>
    <t>- Granulos. tasquiles (fragmentos) y polvo de piedras de las partidas 25.15 o 25.16. incluso tratados termicamente:</t>
  </si>
  <si>
    <t>Dolomita. incluso sinterizada o calcinada. incluida la dolomita desbastada o simplemente troceada. por aserrado o de otro modo. en bloques o en placas cuadradas o rectangulares; aglomerado de dolomita.</t>
  </si>
  <si>
    <t>-Dolomita sin calcinar ni sinterizar. llamada "cruda"</t>
  </si>
  <si>
    <t>Carbonato de magnesio natural (magnesita); magnesia electrofundida; magnesia calcinada a muerte (sinterizada). incluso con pequeñas cantidades de otros oxidos añadidos antes de la sinterizacion; otro oxido de magnesio. incluso puro.</t>
  </si>
  <si>
    <t>Magnesia electrofundida</t>
  </si>
  <si>
    <t>Magnesia sinterizada. incluso con pequeñas cantidades de otros oxidos añadidos antes de la sinterizacion</t>
  </si>
  <si>
    <t>Magnesia caustica</t>
  </si>
  <si>
    <t>Oxido de magnesio</t>
  </si>
  <si>
    <t>Puro (R.2808/80 ANA)</t>
  </si>
  <si>
    <t>Yeso natural; anhidrita; yeso fraguable (consistente en yeso natural calcinado o en sulfato de calcio). incluso coloreado o con pequeñas cantidades de aceleradores o retardadores.</t>
  </si>
  <si>
    <t>Yeso natural</t>
  </si>
  <si>
    <t>En trozos irregulares (piedras)</t>
  </si>
  <si>
    <t>Anhidrita</t>
  </si>
  <si>
    <t>Molidos. aptos para uso odontologico</t>
  </si>
  <si>
    <t>CASTINAS; PIEDRAS PARA LA FABRICACION DE CAL O DE CEMENTO.</t>
  </si>
  <si>
    <t>Cal viva. cal apagada y cal hidraulica. excepto el oxido y el hidroxido de calcio de la partida 28.25.</t>
  </si>
  <si>
    <t>Cementos hidraulicos (comprendidos los cementos sin pulverizar o clinker). incluso coloreados.</t>
  </si>
  <si>
    <t>- Cemento Portland:</t>
  </si>
  <si>
    <t>Cemento normal</t>
  </si>
  <si>
    <t>Cemento para pozos petroleros segun Norma API. STD 10A y SPEC 10A. clases A a H</t>
  </si>
  <si>
    <t>Cemento de albañileria segun Norma IRAM 1685</t>
  </si>
  <si>
    <t>Cemento de alto horno (CAH) segun Norma IRAM 5000</t>
  </si>
  <si>
    <t>Amianto (asbesto).</t>
  </si>
  <si>
    <t>En fibras</t>
  </si>
  <si>
    <t>Mica. incluida la exfoliada en laminillas irregulares («splittings»); desperdicios de mica.</t>
  </si>
  <si>
    <t>-Mica en bruto o exfoliada en hojas o en laminillas irregulares ("splittings")</t>
  </si>
  <si>
    <t>Esteatita natural. incluso desbastada o simplemente troceada. por aserrado o de otro modo. en bloques o en placas cuadradas o rectangulares; talco.</t>
  </si>
  <si>
    <t>Esteatita natural</t>
  </si>
  <si>
    <t>Desbastada</t>
  </si>
  <si>
    <t>Simplemente troceada</t>
  </si>
  <si>
    <t>Talco</t>
  </si>
  <si>
    <t>Boratos naturales y sus concentrados (incluso calcinados). excepto los boratos extraidos de las salmueras naturales; acido borico natural con un contenido de H3BO3 inferior o igual al 85 %. calculado sobre producto seco.</t>
  </si>
  <si>
    <t>Boratos de sodio naturales y sus concentrados (incluso calcinados)</t>
  </si>
  <si>
    <t>Boratos de sodio naturales</t>
  </si>
  <si>
    <t>Concentrados de boratos de sodio naturales</t>
  </si>
  <si>
    <t>acido borico natural con un contenido de H3BO3 inferior o igual a 85% en peso</t>
  </si>
  <si>
    <t>Boratos de calcio y sus concentrados</t>
  </si>
  <si>
    <t>Calcinados</t>
  </si>
  <si>
    <t>Feldespato; leucita; nefelina y nefelina sienita; espato fluor.</t>
  </si>
  <si>
    <t>- Espato fluor:</t>
  </si>
  <si>
    <t>--Con un contenido de fluoruro de calcio inferior o igual al 97 % en peso</t>
  </si>
  <si>
    <t>--Con un contenido de fluoruro de calcio superior al 97 % en peso</t>
  </si>
  <si>
    <t>Leucita</t>
  </si>
  <si>
    <t>Nefelina y nefelina sienita</t>
  </si>
  <si>
    <t>Materias minerales no expresadas ni comprendidas en otra parte.</t>
  </si>
  <si>
    <t>Perlita</t>
  </si>
  <si>
    <t>Vermiculita</t>
  </si>
  <si>
    <t>Cloritas</t>
  </si>
  <si>
    <t>Espodumeno</t>
  </si>
  <si>
    <t>Arena de circonio micronizada. apta para la preparacion de esmaltes ceramicos</t>
  </si>
  <si>
    <t>Minerales de metales de las tierras raras</t>
  </si>
  <si>
    <t>Tierras colorantes</t>
  </si>
  <si>
    <t>Tierra de siena</t>
  </si>
  <si>
    <t>Mezclas entre si de tierras colorantes</t>
  </si>
  <si>
    <t>Minerales de estroncio. incluso calcinados</t>
  </si>
  <si>
    <t>Molibdenita enriquecida para uso con fines no metalurgicos</t>
  </si>
  <si>
    <t>Nsutita. para uso con fines no metalurgicos</t>
  </si>
  <si>
    <t>Sulfuros de arsenico naturales</t>
  </si>
  <si>
    <t>Criolita natural</t>
  </si>
  <si>
    <t>Quiolita natural</t>
  </si>
  <si>
    <t>Oxidos de hierro micaceos naturales</t>
  </si>
  <si>
    <t>Zeolitas</t>
  </si>
  <si>
    <t>Minerales de hierro y sus concentrados. incluidas las piritas de hierro tostadas (cenizas de piritas).</t>
  </si>
  <si>
    <t>- Minerales de hierro y sus concentrados. excepto las piritas de hierro tostadas (cenizas de piritas):</t>
  </si>
  <si>
    <t>Minerales</t>
  </si>
  <si>
    <t>Hematites</t>
  </si>
  <si>
    <t>Limonita</t>
  </si>
  <si>
    <t>Magnetita</t>
  </si>
  <si>
    <t>Siderita</t>
  </si>
  <si>
    <t>Concentrados</t>
  </si>
  <si>
    <t>Aglomerados por proceso de «pelletizacion». de diametro superior o igual a 8 mm pero inferior o igual a 18 mm</t>
  </si>
  <si>
    <t>Aglomeradas</t>
  </si>
  <si>
    <t>Sin aglomerar</t>
  </si>
  <si>
    <t>Minerales de manganeso y sus concentrados. incluidos los minerales de manganeso ferruginosos y sus concentrados con un contenido de manganeso superior o igual al 20 % en peso. sobre producto seco.</t>
  </si>
  <si>
    <t>Aglomerados</t>
  </si>
  <si>
    <t>Rodocrosita</t>
  </si>
  <si>
    <t>Pirolusita</t>
  </si>
  <si>
    <t>Braunita</t>
  </si>
  <si>
    <t>Minerales de cobre y sus concentrados.</t>
  </si>
  <si>
    <t>Sulfuros</t>
  </si>
  <si>
    <t>Minerales de niquel y sus concentrados.</t>
  </si>
  <si>
    <t>Minerales de cobalto y sus concentrados.</t>
  </si>
  <si>
    <t>Minerales de aluminio y sus concentrados.</t>
  </si>
  <si>
    <t>Bauxita</t>
  </si>
  <si>
    <t>Sin calcinar</t>
  </si>
  <si>
    <t>Calcinada</t>
  </si>
  <si>
    <t>Minerales de plomo y sus concentrados.</t>
  </si>
  <si>
    <t>Minerales de cinc y sus concentrados.</t>
  </si>
  <si>
    <t>Minerales de estaño y sus concentrados.</t>
  </si>
  <si>
    <t>Minerales de cromo y sus concentrados.</t>
  </si>
  <si>
    <t>Cromita</t>
  </si>
  <si>
    <t>Minerales de volframio (tungsteno) y sus concentrados.</t>
  </si>
  <si>
    <t>Minerales de uranio o torio. y sus concentrados.</t>
  </si>
  <si>
    <t>Minerales de molibdeno y sus concentrados.</t>
  </si>
  <si>
    <t>Molibdenita</t>
  </si>
  <si>
    <t>Minerales de titanio y sus concentrados.</t>
  </si>
  <si>
    <t>Ilmenita</t>
  </si>
  <si>
    <t>Minerales de niobio. tantalio. vanadio o circonio. y sus concentrados.</t>
  </si>
  <si>
    <t>Badeleyita</t>
  </si>
  <si>
    <t>Circon</t>
  </si>
  <si>
    <t>De niobio</t>
  </si>
  <si>
    <t>De tantalio</t>
  </si>
  <si>
    <t>De vanadio</t>
  </si>
  <si>
    <t>Minerales de los metales preciosos y sus concentrados.</t>
  </si>
  <si>
    <t>De oro</t>
  </si>
  <si>
    <t>Los demas minerales y sus concentrados.</t>
  </si>
  <si>
    <t>De mercurio</t>
  </si>
  <si>
    <t>De berilio</t>
  </si>
  <si>
    <t>De bismuto</t>
  </si>
  <si>
    <t>ESCORIAS GRANULADAS (ARENA DE ESCORIAS) DE LA SIDERURGIA.</t>
  </si>
  <si>
    <t>ESCORIAS (EXCEPTO LAS GRANULADAS). BATIDURAS Y DEMaS DESPERDICIOS DE LA SIDERURGIA.</t>
  </si>
  <si>
    <t>Escorias. cenizas y residuos (excepto los de la siderurgia) que contengan metal. arsenico. o sus compuestos.</t>
  </si>
  <si>
    <t>- Que contengan principalmente cinc:</t>
  </si>
  <si>
    <t>- Que contengan principalmente plomo:</t>
  </si>
  <si>
    <t>Que contengan principalmente titanio</t>
  </si>
  <si>
    <t>Las demas escorias y cenizas. incluidas las cenizas de algas; cenizas y residuos procedentes de la incineracion de desechos y desperdicios municipales.</t>
  </si>
  <si>
    <t>Cenizas de origen vegetal</t>
  </si>
  <si>
    <t>Hullas; briquetas. ovoides y combustibles solidos similares. obtenidos de la hulla.</t>
  </si>
  <si>
    <t>- Hullas. incluso pulverizadas. pero sin aglomerar:</t>
  </si>
  <si>
    <t>Lignitos. incluso aglomerados. excepto el azabache.</t>
  </si>
  <si>
    <t>TURBA (COMPRENDIDA LA UTILIZADA PARA CAMA DE ANIMALES). INCLUSO AGLOMERADA.</t>
  </si>
  <si>
    <t>Coques y semicoques de hulla. lignito o turba. incluso aglomerados; carbon de retorta.</t>
  </si>
  <si>
    <t>Coques</t>
  </si>
  <si>
    <t>Con granulometria superior o igual a 80 mm</t>
  </si>
  <si>
    <t>Con granulometria inferior a 80 mm</t>
  </si>
  <si>
    <t>Carbon de retorta</t>
  </si>
  <si>
    <t>Semi-coques</t>
  </si>
  <si>
    <t>GAS DE HULLA. GAS DE AGUA. GAS POBRE Y GASES SIMILARES. EXCEPTO EL GAS DE PETROLEO Y DEMaS HIDROCARBUROS GASEOSOS.</t>
  </si>
  <si>
    <t>Alquitranes de hulla. lignito o turba y demas alquitranes minerales. aunque esten deshidratados o descabezados. incluidos los alquitranes reconstituidos.</t>
  </si>
  <si>
    <t>Alquitran de hulla</t>
  </si>
  <si>
    <t>Alquitran de lignito</t>
  </si>
  <si>
    <t>Alquitran de turba</t>
  </si>
  <si>
    <t>Los demas alquitranes minerales</t>
  </si>
  <si>
    <t>Aceites y demas productos de la destilacion de los alquitranes de hulla de alta temperatura; productos analogos en los que los constituyentes aromaticos predominen en peso sobre los no aromaticos.</t>
  </si>
  <si>
    <t>- Las demas mezclas de hidrocarburos aromaticos que destilen. incluidas las perdidas. una proporcion superior o igual al 65 % en volumen a 250 °C. segun el metodo ISO 3405 (equivalente al metodo ASTM D 86)</t>
  </si>
  <si>
    <t>Mezclas que contengan trimetilbencenos y etiltoluenos. como componentes mayoritarios</t>
  </si>
  <si>
    <t>Mezcla de alquil-bencenos de formula C10 H14 y C11 H16 como componentes mayoritarios</t>
  </si>
  <si>
    <t>Cresoles</t>
  </si>
  <si>
    <t>Antracenos</t>
  </si>
  <si>
    <t>Fenoles</t>
  </si>
  <si>
    <t>Productos que se correspondan con las definiciones de la Ley Nro 23.966. Titulo III. sus normas modificatorias y complementarias</t>
  </si>
  <si>
    <t>Brea y coque de brea de alquitran de hulla o de otros alquitranes minerales.</t>
  </si>
  <si>
    <t>Aceites crudos de petroleo o de mineral bituminoso.</t>
  </si>
  <si>
    <t>De petroleo</t>
  </si>
  <si>
    <t>En envases con capacidad inferior o igual a 205 l</t>
  </si>
  <si>
    <t>Aceites de petroleo o de mineral bituminoso. excepto los aceites crudos; preparaciones no expresadas ni comprendidas en otra parte. con un contenido de aceites de petroleo o de mineral bituminoso superior o igual al 70 % en peso. en las que estos aceites constituyan el elemento base; desechos de aceites.</t>
  </si>
  <si>
    <t>- Aceites de petroleo o de mineral bituminoso (excepto los aceites crudos) y preparaciones no expresadas ni comprendidas en otra parte. con un contenido de aceites de petroleo o de mineral bituminoso superior o igual al 70 % en peso. en las que estos aceites constituyan el elemento base. excepto las que contengan biodiesel y los desechos de aceites:</t>
  </si>
  <si>
    <t>Hexano comercial</t>
  </si>
  <si>
    <t>Mezclas de alquilidenos</t>
  </si>
  <si>
    <t>Diisobutileno</t>
  </si>
  <si>
    <t>Aguarras mineral («white spirit»)</t>
  </si>
  <si>
    <t>En envases con capacidad inferior o igual a 205 l.</t>
  </si>
  <si>
    <t>Naftas</t>
  </si>
  <si>
    <t>Para petroquimica</t>
  </si>
  <si>
    <t>Solventes (cuya curva de destilacion. metodo ASTM D 86 (equivalente al metodo ISO 3405) o IRAM A 6600. tenga un punto inicial minimo de 40°C y un punto seco maximo de 150°C)(Decreto 1129/01)</t>
  </si>
  <si>
    <t>Gasolina natural (hidrocarburo liquido a condiciones estandar: 1atm y 60ro F (15ro C)) (Decreto 1129/01)</t>
  </si>
  <si>
    <t>Mezcla de hidrocarburos de octanaje superior a 98 Ron ("Unblended reformate")</t>
  </si>
  <si>
    <t>Gasolinas</t>
  </si>
  <si>
    <t>De aviacion</t>
  </si>
  <si>
    <t>Sin plomo</t>
  </si>
  <si>
    <t>De RON inferior o igual a 92</t>
  </si>
  <si>
    <t>De RON superior a 92</t>
  </si>
  <si>
    <t>Grado 2 o grado 3. especificadas por la Res. SE N° 1283/2006 y sus modificatorias</t>
  </si>
  <si>
    <t>Con plomo</t>
  </si>
  <si>
    <t>Mezcla de hidrocarburos aciclicos y ciclicos. saturados. derivados de fracciones del petroleo. con un contenido de hidrocarburos aromaticos inferior al 2% en peso. cuya curva de destilacion. segun el metodo ISO 3405 (equivalente al metodo ASTM D 86) presenta un punto inicial minimo de 70°C y una proporcion de destilado superior o igual al 90% en volumen a 210°C</t>
  </si>
  <si>
    <t>Eter de petroleo</t>
  </si>
  <si>
    <t>Ãšnicamente aceites minerales destinados a aplicaciones agroquimicas (R.2013/93 ex-ANA)</t>
  </si>
  <si>
    <t>Mezclas de isoparafinas de C8 a C10 o de C10 a C12</t>
  </si>
  <si>
    <t>Mezclas de diciclopentadieno (aproximadamente 75 a 85 % en peso) con hidrocarburos de C9 a C11 (codimeros) y. en menor proporcion. de hasta C5</t>
  </si>
  <si>
    <t>Mezclas de parafinas ramificadas que contienen isooctano. en proporcion superior o igual a 60 % en peso. cuyo rango de destilacion es de 90°C-115°C segun el metodo ISO 3405 (equivalente al metodo ASTM D 86)</t>
  </si>
  <si>
    <t>Querosenos</t>
  </si>
  <si>
    <t>Otros aceites combustibles</t>
  </si>
  <si>
    <t>Gasoleo ("gas oil")</t>
  </si>
  <si>
    <t>Fuel ("fuel oil")</t>
  </si>
  <si>
    <t>Diesel oil</t>
  </si>
  <si>
    <t>Aceites lubricantes</t>
  </si>
  <si>
    <t>Sin aditivos</t>
  </si>
  <si>
    <t>Con aditivos</t>
  </si>
  <si>
    <t>De los tipos utilizados en los vehiculos del Capitulo 87</t>
  </si>
  <si>
    <t>Aceites minerales blancos (aceites de vaselina o de parafina)</t>
  </si>
  <si>
    <t>Liquidos para transmisiones hidraulicas</t>
  </si>
  <si>
    <t>Para frenos hidraulicos</t>
  </si>
  <si>
    <t>Aceites para aislacion electrica</t>
  </si>
  <si>
    <t>Mezcla de hidrocarburos aciclicos y ciclicos. saturados. derivados de fracciones del petroleo. con un contenido de hidrocarburos aromaticos inferior al 2% en peso. que destila segun el metodo ISO 3405 (equivalente al metodo ASTM D 86) una proporcion inferior al 90% en volumen a 210°C con un punto final maximo de 360°C</t>
  </si>
  <si>
    <t>Preparaciones para desmoldeo</t>
  </si>
  <si>
    <t>Preparaciones antioxidantes</t>
  </si>
  <si>
    <t>Mezclas de parafinas lineales y ramificadas de C12 a C14</t>
  </si>
  <si>
    <t>- Aceites de petroleo o de mineral bituminoso (excepto los aceites crudos) y preparaciones no expresadas ni comprendidas en otra parte. con un contenido de aceites de petroleo o de mineral bituminoso superior o igual al 70 % en peso. en las que estos aceites constituyan el elemento base. que contengan biodiesel. excepto los desechos de aceites</t>
  </si>
  <si>
    <t>Biodiesel con gas oil u otros productos gravados como componentes</t>
  </si>
  <si>
    <t>Mezcla B-20</t>
  </si>
  <si>
    <t>Las demas mezclas con gas oil</t>
  </si>
  <si>
    <t>- Desechos de aceites:</t>
  </si>
  <si>
    <t>--Que contengan difenilos policlorados (PCB). terfenilos policlorados (PCT) o difenilos polibromados (PBB)</t>
  </si>
  <si>
    <t>Que contengan monometiltetraclorodifenilmetano. monometildiclorodifenilmetano o monometildibromodifenilmetano</t>
  </si>
  <si>
    <t>Gas de petroleo y demas hidrocarburos gaseosos.</t>
  </si>
  <si>
    <t>- Licuados:</t>
  </si>
  <si>
    <t>Gas licuado de petroleo (GLP)</t>
  </si>
  <si>
    <t>De uso automotor (Dto.1396/01)</t>
  </si>
  <si>
    <t>- En estado gaseoso:</t>
  </si>
  <si>
    <t>Butanos</t>
  </si>
  <si>
    <t>Vaselina; parafina. cera de petroleo microcristalina. «slack wax». ozoquerita. cera de lignito. cera de turba. demas ceras minerales y productos similares obtenidos por sintesis o por otros procedimientos. incluso coloreados.</t>
  </si>
  <si>
    <t>-Parafina con un contenido de aceite inferior al 0.75 % en peso</t>
  </si>
  <si>
    <t>Cera de petroleo microcristalina</t>
  </si>
  <si>
    <t>Ozoquerita</t>
  </si>
  <si>
    <t>"Slack Wax"</t>
  </si>
  <si>
    <t>Parafina</t>
  </si>
  <si>
    <t>Sintetica</t>
  </si>
  <si>
    <t>Coque de petroleo. betun de petroleo y demas residuos de los aceites de petroleo o de mineral bituminoso.</t>
  </si>
  <si>
    <t>- Coque de petroleo:</t>
  </si>
  <si>
    <t>Con un contenido mayor a 98.5 % de carbono destinado a la fabricacion de anodos para la produccion de aluminio primario y otros usos no combustibles</t>
  </si>
  <si>
    <t>Betunes y asfaltos naturales; pizarras y arenas bituminosas; asfaltitas y rocas asfalticas.</t>
  </si>
  <si>
    <t>Betunes y asfaltos naturales</t>
  </si>
  <si>
    <t>Asfaltitas</t>
  </si>
  <si>
    <t>MEZCLAS BITUMINOSAS A BASE DE ASFALTO O DE BETÃšN NATURALES. DE BETÃšN DE PETROLEO. DE ALQUITRaN MINERAL O DE BREA DE ALQUITRaN MINERAL (POR EJEMPLO: MaSTIQUES BITUMINOSOS. "CUT BACKS").</t>
  </si>
  <si>
    <t>ENERGÃA ELECTRICA.</t>
  </si>
  <si>
    <t>Fluor. cloro. bromo y yodo.</t>
  </si>
  <si>
    <t>Sublimado</t>
  </si>
  <si>
    <t>Fluor</t>
  </si>
  <si>
    <t>Bromo</t>
  </si>
  <si>
    <t>Azufre sublimado o precipitado; azufre coloidal.</t>
  </si>
  <si>
    <t>Azufre sublimado o precipitado</t>
  </si>
  <si>
    <t>Azufre coloidal</t>
  </si>
  <si>
    <t>Carbono (negros de humo y otras formas de carbono no expresadas ni comprendidas en otra parte).</t>
  </si>
  <si>
    <t>Negros de humo</t>
  </si>
  <si>
    <t>Negro de acetileno</t>
  </si>
  <si>
    <t>Hidrogeno. gases nobles y demas elementos no metalicos.</t>
  </si>
  <si>
    <t>- Gases nobles:</t>
  </si>
  <si>
    <t>Helio liquido</t>
  </si>
  <si>
    <t>De uso medicinal</t>
  </si>
  <si>
    <t>Boro</t>
  </si>
  <si>
    <t>Telurio</t>
  </si>
  <si>
    <t>- Silicio:</t>
  </si>
  <si>
    <t>--Con un contenido de silicio superior o igual al 99.99 % en peso</t>
  </si>
  <si>
    <t>Rojo o amorfo</t>
  </si>
  <si>
    <t>Destinado a uso agricola (R.G. 2146/06 AFIP)</t>
  </si>
  <si>
    <t>Metales alcalinos o alcalinoterreos; metales de las tierras raras. escandio e itrio. incluso mezclados o aleados entre si; mercurio.</t>
  </si>
  <si>
    <t>- Metales alcalinos o alcalinoterreos:</t>
  </si>
  <si>
    <t>Estroncio</t>
  </si>
  <si>
    <t>Bario</t>
  </si>
  <si>
    <t>Litio (R.479/98 MEOSP)</t>
  </si>
  <si>
    <t>Aleacion de cerio. con un contenido de hierro inferior o igual al 5 % en peso ("Mischmetal")</t>
  </si>
  <si>
    <t>Cloruro de hidrogeno (acido clorhidrico); acido clorosulfurico.</t>
  </si>
  <si>
    <t>En estado gaseoso o licuado</t>
  </si>
  <si>
    <t>En disolucion acuosa</t>
  </si>
  <si>
    <t>Con una concentracion superior al 20 % P/V</t>
  </si>
  <si>
    <t>acido sulfurico; oleum.</t>
  </si>
  <si>
    <t>acido sulfurico</t>
  </si>
  <si>
    <t>Oleum (acido sulfurico fumante)</t>
  </si>
  <si>
    <t>acido nitrico; acidos sulfonitricos.</t>
  </si>
  <si>
    <t>acido nitrico</t>
  </si>
  <si>
    <t>Fumante</t>
  </si>
  <si>
    <t>Rojo (Dto.603/92)</t>
  </si>
  <si>
    <t>acidos sulfonitricos</t>
  </si>
  <si>
    <t>Pentoxido de difosforo; acido fosforico; acidos polifosforicos. aunque no sean de constitucion quimica definida.</t>
  </si>
  <si>
    <t>acido fosforico</t>
  </si>
  <si>
    <t>Con un contenido de hierro inferior a 750 ppm</t>
  </si>
  <si>
    <t>acidos metafosforicos</t>
  </si>
  <si>
    <t>acido pirofosforico</t>
  </si>
  <si>
    <t>Oxidos de boro; acidos boricos.</t>
  </si>
  <si>
    <t>acido ortoborico</t>
  </si>
  <si>
    <t>Los demas acidos inorganicos y los demas compuestos oxigenados inorganicos de los elementos no metalicos.</t>
  </si>
  <si>
    <t>- Los demas acidos inorganicos:</t>
  </si>
  <si>
    <t>acido aminosulfonico (acido sulfamico)</t>
  </si>
  <si>
    <t>acido fosfonico (acido fosforoso)</t>
  </si>
  <si>
    <t>acido perclorico</t>
  </si>
  <si>
    <t>Fluoroacidos y demas compuestos de fluor</t>
  </si>
  <si>
    <t>Acido fosfinico (acido hipofosforoso)</t>
  </si>
  <si>
    <t>Yoduro de hidrogeno (acido yodhidrico)</t>
  </si>
  <si>
    <t>- Los demas compuestos oxigenados inorganicos de los elementos no metalicos:</t>
  </si>
  <si>
    <t>Obtenido por precipitacion quimica (R.359/99 MEOSP)</t>
  </si>
  <si>
    <t>Tipo aerogel</t>
  </si>
  <si>
    <t>Gel de silice</t>
  </si>
  <si>
    <t>Dioxido de azufre</t>
  </si>
  <si>
    <t>Anhidrido sulfurico (R.2020/93 ex-ANA)</t>
  </si>
  <si>
    <t>Compuestos oxigenados del fosforo</t>
  </si>
  <si>
    <t>Compuestos oxigenados del arsenico</t>
  </si>
  <si>
    <t>Compuestos oxigenados del nitrogeno</t>
  </si>
  <si>
    <t>Los demas compuestos oxigenados del azufre</t>
  </si>
  <si>
    <t>Halogenuros y oxihalogenuros de los elementos no metalicos.</t>
  </si>
  <si>
    <t>- Cloruros y oxicloruros:</t>
  </si>
  <si>
    <t>Cloruros</t>
  </si>
  <si>
    <t>Tricloruro de arsenico</t>
  </si>
  <si>
    <t>Oxicloruros</t>
  </si>
  <si>
    <t>Sulfuros de los elementos no metalicos; trisulfuro de fosforo comercial.</t>
  </si>
  <si>
    <t>Pentasulfuro de difosforo</t>
  </si>
  <si>
    <t>Trisulfuro de fosforo comercial</t>
  </si>
  <si>
    <t>Sulfuros de arsenico</t>
  </si>
  <si>
    <t>Nitruro de azufre (sulfuro de nitrogeno)</t>
  </si>
  <si>
    <t>Amoniaco anhidro o en disolucion acuosa.</t>
  </si>
  <si>
    <t>Hidroxido de sodio (sosa o soda caustica); hidroxido de potasio (potasa caustica); peroxidos de sodio o de potasio.</t>
  </si>
  <si>
    <t>- Hidroxido de sodio (sosa o soda caustica):</t>
  </si>
  <si>
    <t>Con una concentracion inferior o igual al 30 % P/V</t>
  </si>
  <si>
    <t>De sodio</t>
  </si>
  <si>
    <t>De potasio</t>
  </si>
  <si>
    <t>Hidroxido y peroxido de magnesio; oxidos. hidroxidos y peroxidos. de estroncio o de bario.</t>
  </si>
  <si>
    <t>Hidroxido</t>
  </si>
  <si>
    <t>Peroxido</t>
  </si>
  <si>
    <t>Hidroxido de bario</t>
  </si>
  <si>
    <t>Oxido de estroncio</t>
  </si>
  <si>
    <t>Hidroxido de estroncio</t>
  </si>
  <si>
    <t>Peroxido de estroncio</t>
  </si>
  <si>
    <t>Oxido de bario</t>
  </si>
  <si>
    <t>Peroxido de bario</t>
  </si>
  <si>
    <t>Oxido de cinc; peroxido de cinc.</t>
  </si>
  <si>
    <t>Oxido de cinc (blanco de cinc)</t>
  </si>
  <si>
    <t>Peroxido de cinc</t>
  </si>
  <si>
    <t>Corindon artificial. aunque no sea de constitucion quimica definida; oxido de aluminio; hidroxido de aluminio.</t>
  </si>
  <si>
    <t>Blanco. que pase a traves de un tamiz con abertura de malla de 63 micrometros en una proporcion superior al 90 % en peso</t>
  </si>
  <si>
    <t>Alumina calcinada</t>
  </si>
  <si>
    <t>Alumina tabular</t>
  </si>
  <si>
    <t>Oxidos e hidroxidos de cromo.</t>
  </si>
  <si>
    <t>Oxidos</t>
  </si>
  <si>
    <t>Hidroxidos</t>
  </si>
  <si>
    <t>Oxidos de manganeso.</t>
  </si>
  <si>
    <t>Oxido manganoso</t>
  </si>
  <si>
    <t>Trioxido de dimanganeso (sesquioxido de manganeso)</t>
  </si>
  <si>
    <t>Tetraoxido de trimanganeso (oxido salino de manganeso)</t>
  </si>
  <si>
    <t>Heptaoxido de dimanganeso (anhidrido permanganico)</t>
  </si>
  <si>
    <t>Oxidos e hidroxidos de hierro; tierras colorantes con un contenido de hierro combinado. expresado en Fe2O3. superior o igual al 70 % en peso.</t>
  </si>
  <si>
    <t>Oxido ferrico</t>
  </si>
  <si>
    <t>Con un contenido de Fe2O3 superior o igual al 85 % en peso (R.942/98 MEOSP)</t>
  </si>
  <si>
    <t>Oxido ferrosoferrico (oxido magnetico de hierro) con un contenido de Fe3O4 superior o igual al 93 % en peso</t>
  </si>
  <si>
    <t>Hidroxidos de hierro</t>
  </si>
  <si>
    <t>Oxidos e hidroxidos de cobalto; oxidos de cobalto comerciales.</t>
  </si>
  <si>
    <t>Tetraoxido de tricobalto (oxido salino de cobalto)</t>
  </si>
  <si>
    <t>Los demas oxidos de cobalto</t>
  </si>
  <si>
    <t>Hidroxidos de cobalto</t>
  </si>
  <si>
    <t>Oxidos de titanio.</t>
  </si>
  <si>
    <t>Tipo anatasa</t>
  </si>
  <si>
    <t>Oxidos de plomo; minio y minio anaranjado.</t>
  </si>
  <si>
    <t>Minio y minio anaranjado</t>
  </si>
  <si>
    <t>Hidrazina e hidroxilamina y sus sales inorganicas; las demas bases inorganicas; los demas oxidos. hidroxidos y peroxidos de metales.</t>
  </si>
  <si>
    <t>Hidrazina y sus sales inorganicas</t>
  </si>
  <si>
    <t>Hidrazina e hidrato de hidrazina</t>
  </si>
  <si>
    <t>Con una concentracion de hidrazina superior al 70 % en peso (Dto. 603/92)</t>
  </si>
  <si>
    <t>Hidrato de hidrazina</t>
  </si>
  <si>
    <t>Sales</t>
  </si>
  <si>
    <t>Hidroxilamina y sus sales inorganicas</t>
  </si>
  <si>
    <t>Oxido</t>
  </si>
  <si>
    <t>Pentoxido de divanadio</t>
  </si>
  <si>
    <t>Oxido niqueloso</t>
  </si>
  <si>
    <t>Oxido niquelico</t>
  </si>
  <si>
    <t>Oxido cuprico. con un contenido de CuO superior o igual al 98 % en peso</t>
  </si>
  <si>
    <t>Oxidos de germanio</t>
  </si>
  <si>
    <t>Dioxido de circonio</t>
  </si>
  <si>
    <t>Trioxido de molibdeno</t>
  </si>
  <si>
    <t>Trioxido de antimonio</t>
  </si>
  <si>
    <t>Oxido de cadmio</t>
  </si>
  <si>
    <t>Trioxido de volframio (tungsteno)</t>
  </si>
  <si>
    <t>Oxido e hidroxido de calcio</t>
  </si>
  <si>
    <t>Fluoruros; fluorosilicatos. fluoroaluminatos y demas sales complejas de fluor.</t>
  </si>
  <si>
    <t>- Fluoruros:</t>
  </si>
  <si>
    <t>Trifluoruro de cromo</t>
  </si>
  <si>
    <t>Fluoruro acido de amonio</t>
  </si>
  <si>
    <t>Fluoruro (Dto.603/92)</t>
  </si>
  <si>
    <t>Bifluoruro (Dto.603/92)</t>
  </si>
  <si>
    <t>Bifluoruro de sodio (Dto.603/92)</t>
  </si>
  <si>
    <t>Fluoruro de sodio (Dto.603/92)</t>
  </si>
  <si>
    <t>Fluoroaluminato de potasio</t>
  </si>
  <si>
    <t>Fluorosilicatos de sodio o potasio</t>
  </si>
  <si>
    <t>Hexafluorosilicato de sodio</t>
  </si>
  <si>
    <t>Cloruros. oxicloruros e hidroxicloruros; bromuros y oxibromuros; yoduros y oxiyoduros.</t>
  </si>
  <si>
    <t>Con un contenido de CaCl2 superior o igual al 98 % en peso. en base seca</t>
  </si>
  <si>
    <t>Proanalisis (R.2013/93 EX-ANA)</t>
  </si>
  <si>
    <t>- Los demas cloruros:</t>
  </si>
  <si>
    <t>Con un contenido de MgCl2 inferior al 98 % en peso y de calcio (Ca) inferior o igual al 0.5 % en peso</t>
  </si>
  <si>
    <t>De cobre I (cloruro cuproso o monocloruro de cobre)</t>
  </si>
  <si>
    <t>De titanio</t>
  </si>
  <si>
    <t>De circonio</t>
  </si>
  <si>
    <t>De antimonio</t>
  </si>
  <si>
    <t>De litio</t>
  </si>
  <si>
    <t>De cadmio</t>
  </si>
  <si>
    <t>De cesio</t>
  </si>
  <si>
    <t>De cromo</t>
  </si>
  <si>
    <t>De estroncio</t>
  </si>
  <si>
    <t>De manganeso</t>
  </si>
  <si>
    <t>De hierro</t>
  </si>
  <si>
    <t>De cobalto</t>
  </si>
  <si>
    <t>De cinc</t>
  </si>
  <si>
    <t>- Oxicloruros e hidroxicloruros:</t>
  </si>
  <si>
    <t>Hidroxicloruros</t>
  </si>
  <si>
    <t>De aluminio</t>
  </si>
  <si>
    <t>- Bromuros y oxibromuros:</t>
  </si>
  <si>
    <t>Bromuros</t>
  </si>
  <si>
    <t>Oxibromuros</t>
  </si>
  <si>
    <t>Yoduros</t>
  </si>
  <si>
    <t>Oxiyoduros</t>
  </si>
  <si>
    <t>Hipocloritos; hipoclorito de calcio comercial; cloritos; hipobromitos.</t>
  </si>
  <si>
    <t>Hipocloritos</t>
  </si>
  <si>
    <t>Clorito de sodio</t>
  </si>
  <si>
    <t>Cloratos y percloratos; bromatos y perbromatos; yodatos y peryodatos.</t>
  </si>
  <si>
    <t>- Cloratos:</t>
  </si>
  <si>
    <t>De calcio</t>
  </si>
  <si>
    <t>Bromatos</t>
  </si>
  <si>
    <t>Perbromatos</t>
  </si>
  <si>
    <t>Yodatos</t>
  </si>
  <si>
    <t>Peryodatos</t>
  </si>
  <si>
    <t>Percloratos</t>
  </si>
  <si>
    <t>Sulfuros; polisulfuros. aunque no sean de constitucion quimica definida.</t>
  </si>
  <si>
    <t>De disodio</t>
  </si>
  <si>
    <t>De monosodio (hidrogenosulfuro de sodio)</t>
  </si>
  <si>
    <t>De molibdeno IV (disulfuro de molibdeno)</t>
  </si>
  <si>
    <t>De bario</t>
  </si>
  <si>
    <t>De plomo</t>
  </si>
  <si>
    <t>Polisulfuros</t>
  </si>
  <si>
    <t>Ditionitos y sulfoxilatos.</t>
  </si>
  <si>
    <t>Ditionitos (hidrosulfitos)</t>
  </si>
  <si>
    <t>Estabilizados</t>
  </si>
  <si>
    <t>Sulfoxilatos</t>
  </si>
  <si>
    <t>Estabilizados con formaldehido</t>
  </si>
  <si>
    <t>Ditionito de cinc</t>
  </si>
  <si>
    <t>Sulfitos; tiosulfatos.</t>
  </si>
  <si>
    <t>Metabisulfito</t>
  </si>
  <si>
    <t>De amonio</t>
  </si>
  <si>
    <t>Sulfatos; alumbres; peroxosulfatos (persulfatos).</t>
  </si>
  <si>
    <t>- Sulfatos de sodio:</t>
  </si>
  <si>
    <t>Anhidro</t>
  </si>
  <si>
    <t>- Los demas sulfatos:</t>
  </si>
  <si>
    <t>Cuproso</t>
  </si>
  <si>
    <t>Cuprico</t>
  </si>
  <si>
    <t>Con un contenido de BaSO4 superior o igual al 97.5 % en peso</t>
  </si>
  <si>
    <t>Sulfato ferroso</t>
  </si>
  <si>
    <t>Monohidratado</t>
  </si>
  <si>
    <t>Heptahidratado</t>
  </si>
  <si>
    <t>Neutro de plomo</t>
  </si>
  <si>
    <t>De hierro III (sulfato ferrico)</t>
  </si>
  <si>
    <t>De talio (R.G. 2146/06 AFIP)</t>
  </si>
  <si>
    <t>Nitritos; nitratos.</t>
  </si>
  <si>
    <t>En disolucion acuosa con una concentracion inferior o igual al 30% P/V</t>
  </si>
  <si>
    <t>- Nitratos:</t>
  </si>
  <si>
    <t>Con un contenido de KNO3 inferior o igual al 98 % en peso</t>
  </si>
  <si>
    <t>De calcio. con un contenido de nitrogeno inferior o igual al 16 % en peso</t>
  </si>
  <si>
    <t>Fertilizantes quimicos para uso agricola (Ley 26.050)</t>
  </si>
  <si>
    <t>Fosfinatos (hipofosfitos). fosfonatos (fosfitos) y fosfatos; polifosfatos. aunque no sean de constitucion quimica definida.</t>
  </si>
  <si>
    <t>Fosfinatos (hipofosfitos)</t>
  </si>
  <si>
    <t>Fosfonatos (fosfitos)</t>
  </si>
  <si>
    <t>Dibasico de plomo</t>
  </si>
  <si>
    <t>- Fosfatos:</t>
  </si>
  <si>
    <t>--Hidrogenoortofosfato de calcio ("fosfato dicalcico")</t>
  </si>
  <si>
    <t>De cobre</t>
  </si>
  <si>
    <t>De triamonio</t>
  </si>
  <si>
    <t>De trisodio</t>
  </si>
  <si>
    <t>- Polifosfatos:</t>
  </si>
  <si>
    <t>Grado alimenticio de acuerdo con lo establecido por la "Food and Agriculture Organization"- Organizacion Mundial de la Salud (FAO-OMS) o por el "Food Chemical Codex" (FCC)</t>
  </si>
  <si>
    <t>Metafosfatos de sodio</t>
  </si>
  <si>
    <t>Pirofosfatos de sodio</t>
  </si>
  <si>
    <t>Pirofosfato de cinc</t>
  </si>
  <si>
    <t>Carbonatos; peroxocarbonatos (percarbonatos); carbonato de amonio comercial que contenga carbamato de amonio.</t>
  </si>
  <si>
    <t>Calidad pro-analisis (segun Res. Gral. AFIP 2201/07)</t>
  </si>
  <si>
    <t>Calidad farmacopea</t>
  </si>
  <si>
    <t>Carbonato neutro de potasio (R.2020/93 ex-ANA)</t>
  </si>
  <si>
    <t>Con un contenido de BaCO3 superior o igual al 98 % en peso</t>
  </si>
  <si>
    <t>Carbonatos</t>
  </si>
  <si>
    <t>De magnesio. de densidad aparente inferior a 200 kg/m3</t>
  </si>
  <si>
    <t>De amonio comercial y demas carbonatos de amonio</t>
  </si>
  <si>
    <t>Bicarbonato de amonio</t>
  </si>
  <si>
    <t>Carbonato de amonio comercial</t>
  </si>
  <si>
    <t>Peroxocarbonatos (percarbonatos)</t>
  </si>
  <si>
    <t>Cianuros. oxicianuros y cianuros complejos.</t>
  </si>
  <si>
    <t>- Cianuros y oxicianuros:</t>
  </si>
  <si>
    <t>Cianuro (Dto.603/92)</t>
  </si>
  <si>
    <t>Cianuros</t>
  </si>
  <si>
    <t>De cobre I (cianuro cuproso)</t>
  </si>
  <si>
    <t>De cobre II (cianuro cuprico)</t>
  </si>
  <si>
    <t>Cianuro de calcio</t>
  </si>
  <si>
    <t>Oxicianuros</t>
  </si>
  <si>
    <t>Ferrocianuros</t>
  </si>
  <si>
    <t>De hierro II (ferrocianuro ferroso)</t>
  </si>
  <si>
    <t>Ferricianuros</t>
  </si>
  <si>
    <t>De hierro II (ferricianuro ferroso)</t>
  </si>
  <si>
    <t>De hierro III (ferricianuro ferrico)</t>
  </si>
  <si>
    <t>Silicatos; silicatos comerciales de los metales alcalinos.</t>
  </si>
  <si>
    <t>- De sodio:</t>
  </si>
  <si>
    <t>De magnesio</t>
  </si>
  <si>
    <t>Boratos; peroxoboratos (perboratos).</t>
  </si>
  <si>
    <t>- Tetraborato de disodio (borax refinado):</t>
  </si>
  <si>
    <t>Pentaborato de disodio decahidratado; octoborato de disodio tetrahidratado</t>
  </si>
  <si>
    <t>Pentaborato de disodio decahidratado</t>
  </si>
  <si>
    <t>Octoborato de disodio tetrahidratado</t>
  </si>
  <si>
    <t>Sales de los acidos oxometalicos o peroxometalicos.</t>
  </si>
  <si>
    <t>Cromatos y dicromatos</t>
  </si>
  <si>
    <t>Cromato de amonio; dicromato de amonio</t>
  </si>
  <si>
    <t>Cromato de potasio</t>
  </si>
  <si>
    <t>Cromato de sodio</t>
  </si>
  <si>
    <t>Dicromato de potasio</t>
  </si>
  <si>
    <t>Cromato de cinc</t>
  </si>
  <si>
    <t>Cromato de plomo</t>
  </si>
  <si>
    <t>Peroxocromatos</t>
  </si>
  <si>
    <t>- Manganitos. manganatos y permanganatos:</t>
  </si>
  <si>
    <t>Manganitos</t>
  </si>
  <si>
    <t>Manganatos</t>
  </si>
  <si>
    <t>Permanganatos</t>
  </si>
  <si>
    <t>Titanatos</t>
  </si>
  <si>
    <t>De bario o bismuto</t>
  </si>
  <si>
    <t>De calcio o estroncio</t>
  </si>
  <si>
    <t>De lantano o neodimio</t>
  </si>
  <si>
    <t>Ferritos y ferratos</t>
  </si>
  <si>
    <t>Ferrito de bario</t>
  </si>
  <si>
    <t>Ferrito de estroncio</t>
  </si>
  <si>
    <t>Vanadatos</t>
  </si>
  <si>
    <t>Estannatos</t>
  </si>
  <si>
    <t>Plumbatos</t>
  </si>
  <si>
    <t>Antimoniatos</t>
  </si>
  <si>
    <t>Cincatos</t>
  </si>
  <si>
    <t>Aluminatos</t>
  </si>
  <si>
    <t>Las demas sales de los acidos o peroxoacidos inorganicos (incluidos los aluminosilicatos. aunque no sean de constitucion quimica definida). excepto los aziduros (azidas).</t>
  </si>
  <si>
    <t>Zeolitas de los tipos utilizados como intercambiadores de iones para el tratamiento de aguas</t>
  </si>
  <si>
    <t>Arsenitos y arseniatos</t>
  </si>
  <si>
    <t>Arseniatos</t>
  </si>
  <si>
    <t>De plomo (R.G. 2146/06 AFIP)</t>
  </si>
  <si>
    <t>Arsenitos</t>
  </si>
  <si>
    <t>Cloruros dobles o complejos</t>
  </si>
  <si>
    <t>Yoduros dobles o complejos</t>
  </si>
  <si>
    <t>Fosfatos dobles o complejos</t>
  </si>
  <si>
    <t>Fulminatos. cianatos y tiocianatos</t>
  </si>
  <si>
    <t>Metal precioso en estado coloidal; compuestos inorganicos u organicos de metal precioso. aunque no sean de constitucion quimica definida; amalgamas de metal precioso.</t>
  </si>
  <si>
    <t>Oro coloidal. de los tipos utilizados para la fabricacion de tiras para diagnostico de COVID-19</t>
  </si>
  <si>
    <t>- Compuestos de plata:</t>
  </si>
  <si>
    <t>Vitelinato de plata</t>
  </si>
  <si>
    <t>Azida de plata</t>
  </si>
  <si>
    <t>Fulminato de plata</t>
  </si>
  <si>
    <t>Sulfuro de oro en dispersion de gelatina</t>
  </si>
  <si>
    <t>Dexormaplatino; enloplatino; iproplatino; lobaplatino; miboplatino; ormaplatino; sebriplatino y zeniplatino</t>
  </si>
  <si>
    <t>Presentados como medicamentos</t>
  </si>
  <si>
    <t>Tricloruro de rutenio en disolucion acuosa. con una concentracion superior o igual al 17 % pero inferior o igual al 27 %. en peso</t>
  </si>
  <si>
    <t>acido hexacloroiridico en disolucion acuosa. con una concentracion superior o igual al 17 % pero inferior o igual al 27 %. en peso</t>
  </si>
  <si>
    <t>Amalgamas</t>
  </si>
  <si>
    <t>Elementos quimicos radiactivos e isotopos radiactivos (incluidos los elementos quimicos e isotopos fisionables o fertiles) y sus compuestos; mezclas y residuos que contengan estos productos.</t>
  </si>
  <si>
    <t>- Uranio natural y sus compuestos; aleaciones. dispersiones (incluido el cermet). productos ceramicos y mezclas. que contengan uranio natural o compuestos de uranio natural</t>
  </si>
  <si>
    <t>Con una radiactividad especifica superior o igual a 74 Bq/g pero inferior a 1.000.000 Bq/g</t>
  </si>
  <si>
    <t>Con una radiactividad especifica superior o igual a 1 MBq/g pero inferior a 1.000.000 MBq/g</t>
  </si>
  <si>
    <t>Con una radiactividad especifica superior o igual a 1 TBq/g pero inferior a 1.000.000 TBq/g</t>
  </si>
  <si>
    <t>- Uranio enriquecido en U 235 y sus compuestos; plutonio y sus compuestos; aleaciones. dispersiones (incluido el cermet). productos ceramicos y mezclas. que contengan uranio enriquecido en U 235. plutonio o compuestos de estos productos</t>
  </si>
  <si>
    <t>- Uranio empobrecido en U 235 y sus compuestos; torio y sus compuestos; aleaciones. dispersiones (incluido el cermet). productos ceramicos y mezclas. que contengan uranio empobrecido en U 235. torio o compuestos de estos productos</t>
  </si>
  <si>
    <t>- Elementos e isotopos y compuestos. radiactivos. excepto los de las subpartidas 2844.10. 2844.20 o 2844.30; aleaciones. dispersiones (incluido el cermet). productos ceramicos y mezclas. que contengan estos elementos. isotopos o compuestos; residuos radiactivos</t>
  </si>
  <si>
    <t>Molibdeno 99 absorbido en alumina. apto para la obtencion de Tecnecio 99 (reactivo de diagnostico para medicina nuclear)</t>
  </si>
  <si>
    <t>Cobalto 60</t>
  </si>
  <si>
    <t>Yodo 131</t>
  </si>
  <si>
    <t>Comprendido en la Ley 25.590. sus normas modificatorias y complementarias</t>
  </si>
  <si>
    <t>Reactivos de diagnostico</t>
  </si>
  <si>
    <t>Comprendidos en la Ley 25.590. sus normas modificatorias y complementarias</t>
  </si>
  <si>
    <t>Yodo 125 adsorbido sobre esferas de plata contenidas en una capsula soldada de titanio. de los tipos utilizados en medicina para efectuar aplicaciones instersticiales. superficiales e intracavitarias en radiologia (terapia radiante) (R.2014/93 ex-ANA)</t>
  </si>
  <si>
    <t>Otros elementos e isotopos</t>
  </si>
  <si>
    <t>Itrio</t>
  </si>
  <si>
    <t>Cesio 137</t>
  </si>
  <si>
    <t>Con una radiactividad especifica superior o igual a 74 Bq/g pero inferior a 1.000.000 Bq/g7</t>
  </si>
  <si>
    <t>Compuestos radiactivos inorganicos</t>
  </si>
  <si>
    <t>Compuestos radiactivos organicos</t>
  </si>
  <si>
    <t>Isotopos. excepto los de la partida 28.44; sus compuestos inorganicos u organicos. aunque no sean de constitucion quimica definida.</t>
  </si>
  <si>
    <t>Compuestos inorganicos u organicos. de metales de las tierras raras. del itrio. del escandio o de las mezclas de estos metales.</t>
  </si>
  <si>
    <t>Oxido cerico</t>
  </si>
  <si>
    <t>Oxido de praseodimio</t>
  </si>
  <si>
    <t>Cloruros de los demas metales de las tierras raras</t>
  </si>
  <si>
    <t>Gadopentetato de dimeglumina</t>
  </si>
  <si>
    <t>Reactivos de diagnostico concebidos para usar en el paciente</t>
  </si>
  <si>
    <t>Gadoterato de meglumina</t>
  </si>
  <si>
    <t>Gadodiamida</t>
  </si>
  <si>
    <t>PEROXIDO DE HIDROGENO (AGUA OXIGENADA). INCLUSO SOLIDIFICADO CON UREA.</t>
  </si>
  <si>
    <t>Carburos. aunque no sean de constitucion quimica definida.</t>
  </si>
  <si>
    <t>De boro</t>
  </si>
  <si>
    <t>De volframio (tungsteno)</t>
  </si>
  <si>
    <t>Hidruros. nitruros. aziduros (azidas). siliciuros y boruros. aunque no sean de constitucion quimica definida. excepto los compuestos que consistan igualmente en carburos de la partida 28.49.</t>
  </si>
  <si>
    <t>Nitruro de boro</t>
  </si>
  <si>
    <t>Siliciuro de calcio</t>
  </si>
  <si>
    <t>Azida de plomo</t>
  </si>
  <si>
    <t>Compuestos inorganicos u organicos de mercurio. aunque no sean de constitucion quimica definida. excepto las amalgamas.</t>
  </si>
  <si>
    <t>Compuestos inorganicos</t>
  </si>
  <si>
    <t>Cloruro de mercurio I (cloruro mercurioso)</t>
  </si>
  <si>
    <t>Cloruro de mercurio II (cloruro mercurico) para uso fotografico. dosificado o acondicionado para la venta al por menor. listo para su empleo</t>
  </si>
  <si>
    <t>Cloruro de mercurio II (cloruro mercurico) presentado de otro modo</t>
  </si>
  <si>
    <t>Reactivos para diagnostico o laboratorio sobre cualquier soporte y reactivos para diagnostico o laboratorio preparados. incluso sobre soporte; materiales de referencia certificados</t>
  </si>
  <si>
    <t>Reactivos para laboratorio</t>
  </si>
  <si>
    <t>Azida mercurica; azida mercuriosa; fulminato de mercurio</t>
  </si>
  <si>
    <t>Azida mercurica</t>
  </si>
  <si>
    <t>Azida mercuriosa</t>
  </si>
  <si>
    <t>Fulminato de mercurio</t>
  </si>
  <si>
    <t>Compuestos organicos</t>
  </si>
  <si>
    <t>Acetato de mercurio</t>
  </si>
  <si>
    <t>Timerosal</t>
  </si>
  <si>
    <t>Estearato de mercurio</t>
  </si>
  <si>
    <t>Lactato de mercurio</t>
  </si>
  <si>
    <t>Salicilato de mercurio</t>
  </si>
  <si>
    <t>Principios activos de plaquicidas agroquimicos (R2013/93 ANA)</t>
  </si>
  <si>
    <t>Acetato de fenilmercurio (R. 2146/06 AFIP)</t>
  </si>
  <si>
    <t>FOSFUROS. AUNQUE NO SEAN DE CONSTITUCION QUÃMICA DEFINIDA. EXCEPTO LOS FERROFOSFOROS; LOS DEMaS COMPUESTOS INORGaNICOS (INCLUIDA EL AGUA DESTILADA. DE CONDUCTIVIDAD O DEL MISMO GRADO DE PUREZA); AIRE LÃQUIDO. AUNQUE SE LE HAYAN ELIMINADO LOS GASES NOBLES; AIRE COMPRIMIDO; AMALGAMAS. EXCEPTO LAS DE METAL PRECIOSO.</t>
  </si>
  <si>
    <t>-Cloruro de cianogeno («chlorcyan»)</t>
  </si>
  <si>
    <t>Fosfuros. aunque no sean de constitucion quimica definida</t>
  </si>
  <si>
    <t>De cobre (cuprofosforos). con un contenido de fosforo superior al 15 % en peso</t>
  </si>
  <si>
    <t>Principios activos de plaguicidas (R. 2013/93 ANA).</t>
  </si>
  <si>
    <t>Fosfuro de cinc</t>
  </si>
  <si>
    <t>Cianamida y sus derivados metalicos</t>
  </si>
  <si>
    <t>Principios activos de plaguicidas agroquimicos (R. 2013/93 ANA)</t>
  </si>
  <si>
    <t>Cianamida hidrogenada</t>
  </si>
  <si>
    <t>Sulfocloruros de fosforo</t>
  </si>
  <si>
    <t>Cloruro de tiofosforilo (Dto. 603/92)</t>
  </si>
  <si>
    <t>Hidrocarburos aciclicos.</t>
  </si>
  <si>
    <t>Escualano</t>
  </si>
  <si>
    <t>n-Hexano</t>
  </si>
  <si>
    <t>Etano; n-butano e isobutano; n-pentano. isopentano y neopentano</t>
  </si>
  <si>
    <t>n-Pentano</t>
  </si>
  <si>
    <t>Isobutano</t>
  </si>
  <si>
    <t>Etano</t>
  </si>
  <si>
    <t>n-Butano</t>
  </si>
  <si>
    <t>Isopentano; neopentano</t>
  </si>
  <si>
    <t>Isopentano</t>
  </si>
  <si>
    <t>Neopentano</t>
  </si>
  <si>
    <t>Los demas hexanos</t>
  </si>
  <si>
    <t>n-Heptano</t>
  </si>
  <si>
    <t>- No saturados:</t>
  </si>
  <si>
    <t>- - Buta-1.3-dieno e isopreno</t>
  </si>
  <si>
    <t>Buta-1.3-dieno</t>
  </si>
  <si>
    <t>Isopreno</t>
  </si>
  <si>
    <t>Pentenos</t>
  </si>
  <si>
    <t>Hexenos</t>
  </si>
  <si>
    <t>Heptenos</t>
  </si>
  <si>
    <t>Octenos</t>
  </si>
  <si>
    <t>Acetileno</t>
  </si>
  <si>
    <t>Disuelto en acetona</t>
  </si>
  <si>
    <t>Farneseno. mirceno. muscalure. ocimeno y 1.3.5-undecatrieno</t>
  </si>
  <si>
    <t>Farneseno</t>
  </si>
  <si>
    <t>Mirceno</t>
  </si>
  <si>
    <t>Muscalure</t>
  </si>
  <si>
    <t>Ocimeno</t>
  </si>
  <si>
    <t>1.3.5-Undecatrieno</t>
  </si>
  <si>
    <t>Escualeno</t>
  </si>
  <si>
    <t>Hidrocarburos ciclicos.</t>
  </si>
  <si>
    <t>- Ciclanicos. ciclenicos o cicloterpenicos:</t>
  </si>
  <si>
    <t>Limoneno</t>
  </si>
  <si>
    <t>Ciclanicos y ciclenicos</t>
  </si>
  <si>
    <t>Cicloterpenicos</t>
  </si>
  <si>
    <t>- Xilenos:</t>
  </si>
  <si>
    <t>En disolucion acuosa con una concentracion inferior o igual al 30 % P/V.</t>
  </si>
  <si>
    <t>Difenilo (1.1'-bifenilo).</t>
  </si>
  <si>
    <t>Naftaleno</t>
  </si>
  <si>
    <t>Antraceno</t>
  </si>
  <si>
    <t>alfa-Metilestireno</t>
  </si>
  <si>
    <t>Difenilmetano. 4-bencilbifenilo y p-cimeno</t>
  </si>
  <si>
    <t>Difenilmetano</t>
  </si>
  <si>
    <t>4-Bencilbifenilo. p-cimeno</t>
  </si>
  <si>
    <t>4-Bencilbifenilo</t>
  </si>
  <si>
    <t>Cimeno</t>
  </si>
  <si>
    <t>Trifenilmetano</t>
  </si>
  <si>
    <t>Derivados halogenados de los hidrocarburos.</t>
  </si>
  <si>
    <t>- Derivados clorados de los hidrocarburos aciclicos saturados:</t>
  </si>
  <si>
    <t>Clorometano (cloruro de metilo)</t>
  </si>
  <si>
    <t>Cloroetano (cloruro de etilo)</t>
  </si>
  <si>
    <t>--Dicloruro de etileno (ISO) (1.2-dicloroetano)</t>
  </si>
  <si>
    <t>1.1.1-Tricloroetano (metilcloroformo)</t>
  </si>
  <si>
    <t>1.1.2-Tricloroetano</t>
  </si>
  <si>
    <t>- Derivados clorados de los hidrocarburos aciclicos no saturados:</t>
  </si>
  <si>
    <t>- Derivados fluorados. derivados bromados y derivados yodados. de los hidrocarburos aciclicos:</t>
  </si>
  <si>
    <t>--Dibromuro de etileno (ISO) (1.2-dibromoetano)</t>
  </si>
  <si>
    <t>Derivados fluorados</t>
  </si>
  <si>
    <t>1.1.1.2-Tetrafluoroetano</t>
  </si>
  <si>
    <t>1.1.3.3.3-Pentafluoro-2-(trifluorometil)prop -1-eno</t>
  </si>
  <si>
    <t>Sustancias comprendidas en el Dto. 1.609/2004 y modificatorios.</t>
  </si>
  <si>
    <t>Derivados bromados</t>
  </si>
  <si>
    <t>Bromometano</t>
  </si>
  <si>
    <t>Derivados yodados</t>
  </si>
  <si>
    <t>Yodoetano</t>
  </si>
  <si>
    <t>Yodoformo</t>
  </si>
  <si>
    <t>- Derivados halogenados de los hidrocarburos aciclicos con dos halogenos diferentes. por lo menos:</t>
  </si>
  <si>
    <t>1.1.-Dicloro--2.2.2-trifluoroetano</t>
  </si>
  <si>
    <t>1.1-Dicloro-1-fluoroetano (HCFC-141b)</t>
  </si>
  <si>
    <t>Cloro-1.1-difluoroetano (HCFC-142b)</t>
  </si>
  <si>
    <t>1.1-Dicloro-2.2.3.3.3-pentafluoropropano (HCFC-225ca)</t>
  </si>
  <si>
    <t>1.3-Dicloro-1.1.2.2.3-pentafluoropropano (HCFC-225cb)</t>
  </si>
  <si>
    <t>Bromoclorodifluorometano (halon-1211)</t>
  </si>
  <si>
    <t>Bromotrifluorometano (halon-1301)</t>
  </si>
  <si>
    <t>Dibromotetrafluoroetanos (halon-2402)</t>
  </si>
  <si>
    <t>Derivados perhalogenados del metano. unicamente con fluor y cloro</t>
  </si>
  <si>
    <t>Triclorofluorometano</t>
  </si>
  <si>
    <t>Diclorodifluorometano</t>
  </si>
  <si>
    <t>Clorotrifluorometano</t>
  </si>
  <si>
    <t>Derivados perhalogenados del etano. unicamente con fluor y cloro</t>
  </si>
  <si>
    <t>Triclorotrifluoroetanos</t>
  </si>
  <si>
    <t>Diclorotetrafluoroetanos y cloropentafluoroetano</t>
  </si>
  <si>
    <t>Diclorotetrafluoroetanos</t>
  </si>
  <si>
    <t>Cloropentafluoroetano</t>
  </si>
  <si>
    <t>Pentaclorofluoroetano</t>
  </si>
  <si>
    <t>Tetraclorodifluoroetanos</t>
  </si>
  <si>
    <t>Derivados perhalogenados del propano. unicamente con fluor y cloro</t>
  </si>
  <si>
    <t>Heptaclorofluoropropanos</t>
  </si>
  <si>
    <t>Hexaclorodifluoropropanos</t>
  </si>
  <si>
    <t>Pentaclorotrifluoropropanos</t>
  </si>
  <si>
    <t>Tetraclorotetrafluoropropanos</t>
  </si>
  <si>
    <t>Tricloropentafluoropropanos</t>
  </si>
  <si>
    <t>Diclorohexafluoropropanos</t>
  </si>
  <si>
    <t>Cloroheptafluoropropanos</t>
  </si>
  <si>
    <t>Derivados del metano. etano o propano. halogenados unicamente con fluor y cloro</t>
  </si>
  <si>
    <t>Clorofluoroetanos</t>
  </si>
  <si>
    <t>Clorotetrafluoroetanos</t>
  </si>
  <si>
    <t>Cloro-1-fluoro-2.2.2-trifluoroetano</t>
  </si>
  <si>
    <t>Derivados del metano</t>
  </si>
  <si>
    <t>Diclorofluorometano (HCFC-21)</t>
  </si>
  <si>
    <t>Clorofluorometano (HCFC-31)</t>
  </si>
  <si>
    <t>Derivados del etano</t>
  </si>
  <si>
    <t>Tetraclorofluoroetanos (HCFC-121)</t>
  </si>
  <si>
    <t>Triclorodifluoroetanos (HCFC-122)</t>
  </si>
  <si>
    <t>Triclorofluoroetanos (HCFC-131)</t>
  </si>
  <si>
    <t>Diclorodifluoroetanos (HCFC-132)</t>
  </si>
  <si>
    <t>Clorotrifluoroetanos (HCFC-133)</t>
  </si>
  <si>
    <t>Derivados del propano</t>
  </si>
  <si>
    <t>Que contengan un atomo de cloro</t>
  </si>
  <si>
    <t>Clorohexafluoropropanos (HCFC-226)</t>
  </si>
  <si>
    <t>Cloropentafluoropropanos (HCFC-235)</t>
  </si>
  <si>
    <t>Clorotetrafluoropropanos (HCFC-244)</t>
  </si>
  <si>
    <t>Clorotrifluoropropanos (HCFC-253)</t>
  </si>
  <si>
    <t>Clorodifluoropropanos (HCFC-262)</t>
  </si>
  <si>
    <t>Clorofluoropropanos (HCFC-271)</t>
  </si>
  <si>
    <t>Que contengan dos atomos de cloro</t>
  </si>
  <si>
    <t>Diclorotetrafluoropropanos (HCFC-234)</t>
  </si>
  <si>
    <t>Diclorotrifluoropropanos (HCFC-243)</t>
  </si>
  <si>
    <t>Diclorodifluoropropanos (HCFC-252)</t>
  </si>
  <si>
    <t>Diclorofluoropropanos (HCFC-261)</t>
  </si>
  <si>
    <t>Que contengan tres atomos de cloro</t>
  </si>
  <si>
    <t>Triclorotetrafluoropropanos (HCFC-224)</t>
  </si>
  <si>
    <t>Triclorotrifluoropropanos (HCFC-233)</t>
  </si>
  <si>
    <t>Triclorodifluoropropanos (HCFC-242)</t>
  </si>
  <si>
    <t>Triclorofluoropropanos (HCFC-251)</t>
  </si>
  <si>
    <t>Que contengan cuatro atomos de cloro</t>
  </si>
  <si>
    <t>Tetraclorotrifluoropropanos (HCFC-223)</t>
  </si>
  <si>
    <t>Tetraclorodifluoropropanos (HCFC-232)</t>
  </si>
  <si>
    <t>Tetraclorofluoropropanos (HCFC-241)</t>
  </si>
  <si>
    <t>Pentaclorodifluoropropanos (HCFC-222)</t>
  </si>
  <si>
    <t>Pentaclorofluoropropanos (HCFC-231)</t>
  </si>
  <si>
    <t>Hexaclorofluoropropanos (HCFC-221)</t>
  </si>
  <si>
    <t>Derivados del metano. etano o propano. halogenados unicamente con fluor y bromo</t>
  </si>
  <si>
    <t>Dibromofluorometano</t>
  </si>
  <si>
    <t>Bromodifluorometano (HBFC-22B1)</t>
  </si>
  <si>
    <t>Bromofluorometano</t>
  </si>
  <si>
    <t>Que contengan un atomo de bromo</t>
  </si>
  <si>
    <t>Bromofluoroetanos</t>
  </si>
  <si>
    <t>Bromodifluoroetanos</t>
  </si>
  <si>
    <t>Bromotrifluoroetanos</t>
  </si>
  <si>
    <t>Bromotetrafluoroetanos</t>
  </si>
  <si>
    <t>Dibromofluoroetanos</t>
  </si>
  <si>
    <t>Dibromodifluoroetanos</t>
  </si>
  <si>
    <t>Dibromotrifluoroetanos</t>
  </si>
  <si>
    <t>Tribromofluoroetanos</t>
  </si>
  <si>
    <t>Tribromodifluoroetanos</t>
  </si>
  <si>
    <t>Tetrabromofluoroetanos</t>
  </si>
  <si>
    <t>Bromohexafluoropropanos</t>
  </si>
  <si>
    <t>Bromopentafluoropropanos</t>
  </si>
  <si>
    <t>Bromotetrafluoropropanos</t>
  </si>
  <si>
    <t>Bromotrifluoropropanos</t>
  </si>
  <si>
    <t>Bromodifluoropropanos</t>
  </si>
  <si>
    <t>Bromofluoropropanos</t>
  </si>
  <si>
    <t>Que contengan dos atomos de bromo</t>
  </si>
  <si>
    <t>Dibromopentafluoropropanos</t>
  </si>
  <si>
    <t>Dibromotetrafluoropropanos</t>
  </si>
  <si>
    <t>Dibromotrifluoropropanos</t>
  </si>
  <si>
    <t>Dibromodifluoropropanos</t>
  </si>
  <si>
    <t>Dibromofluoropropanos</t>
  </si>
  <si>
    <t>Que contengan tres atomos de bromo</t>
  </si>
  <si>
    <t>Tribromotetrafluoropropanos</t>
  </si>
  <si>
    <t>Tribromotrifluoropropanos</t>
  </si>
  <si>
    <t>Tribromodifluoropropanos</t>
  </si>
  <si>
    <t>Tribromofluoropropanos</t>
  </si>
  <si>
    <t>Que contengan cuatro atomos de bromo</t>
  </si>
  <si>
    <t>Tetrabromotrifluoropropanos</t>
  </si>
  <si>
    <t>Tetrabromodifluoropropanos</t>
  </si>
  <si>
    <t>Tetrabromofluoropropanos</t>
  </si>
  <si>
    <t>Pentabromodifluoropropanos</t>
  </si>
  <si>
    <t>Pentabromofluoropropanos</t>
  </si>
  <si>
    <t>Hexabromofluoropropanos</t>
  </si>
  <si>
    <t>Bromoclorotrifluoroetanos</t>
  </si>
  <si>
    <t>Halotano</t>
  </si>
  <si>
    <t>Bromoclorometano</t>
  </si>
  <si>
    <t>1.2-Dibromo-3-cloropropano (DBCP)</t>
  </si>
  <si>
    <t>- Derivados halogenados de los hidrocarburos ciclanicos. ciclenicos o cicloterpenicos:</t>
  </si>
  <si>
    <t>- - 1.2.3.4.5.6-Hexaclorociclohexano (HCH (ISO)). incluido el lindano (ISO. DCI)</t>
  </si>
  <si>
    <t>Lindano</t>
  </si>
  <si>
    <t>Destinado a uso veterinario (R.G. 2146/06 AFIP)</t>
  </si>
  <si>
    <t>Destinado a la fabricacion de lindano con el 99.5 % de pureza; y el utilizado en campañas de sanidad humana adquirido por la Secretaria de Politica. Regulacion y Relaciones Sanitarias (R.G.2146/06 AFIP)</t>
  </si>
  <si>
    <t>- - Aldrina (ISO). clordano (ISO) y heptacloro (ISO)</t>
  </si>
  <si>
    <t>Aldrina</t>
  </si>
  <si>
    <t>Clordano</t>
  </si>
  <si>
    <t>Heptacloro</t>
  </si>
  <si>
    <t>Principios activos de plaguicidas agroquimicos (R. 2013/93 ex ANA)</t>
  </si>
  <si>
    <t>- Derivados halogenados de los hidrocarburos aromaticos:</t>
  </si>
  <si>
    <t>Clorobenceno</t>
  </si>
  <si>
    <t>o-Diclorobenceno</t>
  </si>
  <si>
    <t>p-Diclorobenceno</t>
  </si>
  <si>
    <t>- - Hexaclorobenceno (ISO) y DDT (ISO) (clofenotano (DCI). 1.1.1-tricloro-2.2-bis(p- clorofenil)etano)</t>
  </si>
  <si>
    <t>Hexaclorobenceno</t>
  </si>
  <si>
    <t>DDT</t>
  </si>
  <si>
    <t>Derivados halogenados. unicamente con cloro</t>
  </si>
  <si>
    <t>Cloruro de bencilo</t>
  </si>
  <si>
    <t>p-Clorotolueno</t>
  </si>
  <si>
    <t>Cloruro de neofilo</t>
  </si>
  <si>
    <t>Triclorobencenos</t>
  </si>
  <si>
    <t>Cloronaftalenos</t>
  </si>
  <si>
    <t>Cloruro de bencilideno</t>
  </si>
  <si>
    <t>Cloruro de xililo</t>
  </si>
  <si>
    <t>Difenilos policlorados (PCB); terfenilos policlorados (PCT)</t>
  </si>
  <si>
    <t>Monometildiclorodifenilmetano; monometiltetraclorodifenilmetano (R.G. 2146/06 AFIP)</t>
  </si>
  <si>
    <t>Derivados halogenados. unicamente con bromo</t>
  </si>
  <si>
    <t>Bromobenceno</t>
  </si>
  <si>
    <t>Bromuros de xililo</t>
  </si>
  <si>
    <t>Bromodifenilmetano</t>
  </si>
  <si>
    <t>Difenilos polibromados (PBB)</t>
  </si>
  <si>
    <t>Monometildibromodifenilmetano (RG. 2146/06 AFIP)</t>
  </si>
  <si>
    <t>Derivados halogenados. unicamente con fluor y cloro</t>
  </si>
  <si>
    <t>4-Cloro-alfa.alfa.alfa-trifluorotolueno</t>
  </si>
  <si>
    <t>Derivados sulfonados. nitrados o nitrosados de los hidrocarburos. incluso halogenados.</t>
  </si>
  <si>
    <t>acido metanosulfonico y sus sales</t>
  </si>
  <si>
    <t>Acido metanosulfonico</t>
  </si>
  <si>
    <t>Metanosulfonato de plomo</t>
  </si>
  <si>
    <t>Metanosulfonato de estaño</t>
  </si>
  <si>
    <t>Acido dodecilbencenosulfonico y sus sales</t>
  </si>
  <si>
    <t>Acidos toluenosulfonicos; acidos xilenosulfonicos; sales de estos acidos</t>
  </si>
  <si>
    <t>Acido etanosulfonico; acido etilenosulfonico</t>
  </si>
  <si>
    <t>acidos naftalenosulfonicos. sus sales y sus esteres</t>
  </si>
  <si>
    <t>Naftalenosulfonatos de sodio</t>
  </si>
  <si>
    <t>Acido beta-naftalenosulfonico</t>
  </si>
  <si>
    <t>Acidos alquil- y dialquil- naftalenosulfonicos; sales de estos acidos</t>
  </si>
  <si>
    <t>Acido bencenosulfonico y sus sales</t>
  </si>
  <si>
    <t>Mononitrotoluenos (MNT)</t>
  </si>
  <si>
    <t>Nitropropanos</t>
  </si>
  <si>
    <t>Dinitrotoluenos</t>
  </si>
  <si>
    <t>Trinitrotoluenos</t>
  </si>
  <si>
    <t>2.4.6-Trinitrotolueno (TNT)</t>
  </si>
  <si>
    <t>Derivados nitrados del benceno</t>
  </si>
  <si>
    <t>Nitrobenceno</t>
  </si>
  <si>
    <t>1.3.5-Trinitrobenceno</t>
  </si>
  <si>
    <t>m-Dinitrobenceno</t>
  </si>
  <si>
    <t>Derivados nitrados del xileno</t>
  </si>
  <si>
    <t>Mononitroetano; nitrometanos</t>
  </si>
  <si>
    <t>Tetranitrometano (Tetan)</t>
  </si>
  <si>
    <t>Mononitroetano (nitroetano)</t>
  </si>
  <si>
    <t>Mononitrometano (nitrometano)</t>
  </si>
  <si>
    <t>4-Nitrodifenilo (PNB)</t>
  </si>
  <si>
    <t>- acido perfluorooctano sulfonico. sus sales y fluoruro de perfluorooctano sulfonilo:</t>
  </si>
  <si>
    <t>Derivados nitrohalogenados</t>
  </si>
  <si>
    <t>1-Cloro-4-nitrobenceno</t>
  </si>
  <si>
    <t>1-Cloro-2.4-dinitrobenceno</t>
  </si>
  <si>
    <t>2-Cloro-1.3-dinitrobenceno</t>
  </si>
  <si>
    <t>4-Cloro-alfa.alfa.alfa-trifluoro-3.5- dinitrotolueno</t>
  </si>
  <si>
    <t>o-Nitroclorobenceno; m-nitroclorobenceno</t>
  </si>
  <si>
    <t>1.2-Dicloro-4-nitrobenceno</t>
  </si>
  <si>
    <t>Pentacloronitrobenceno (PCNB)</t>
  </si>
  <si>
    <t>Derivados nitrosulfonados</t>
  </si>
  <si>
    <t>acidos dinitroestilbenodisulfonicos</t>
  </si>
  <si>
    <t>Cloruro de p-toluensulfonilo (cloruro de tosilo)</t>
  </si>
  <si>
    <t>Cloruro de o-toluensulfonilo</t>
  </si>
  <si>
    <t>Principios activos de plaguicidas agroquimicos (R. 2013/93 ex ANA).</t>
  </si>
  <si>
    <t>Clorfenson</t>
  </si>
  <si>
    <t>Alcoholes aciclicos y sus derivados halogenados. sulfonados. nitrados o nitrosados.</t>
  </si>
  <si>
    <t>- Monoalcoholes saturados:</t>
  </si>
  <si>
    <t>Alcohol propilico</t>
  </si>
  <si>
    <t>Alcohol isopropilico</t>
  </si>
  <si>
    <t>--Butan-1-ol (alcohol n-butilico)</t>
  </si>
  <si>
    <t>Alcohol isobutilico (2-metil-1-propanol)</t>
  </si>
  <si>
    <t>Alcohol sec-butilico (2-butanol)</t>
  </si>
  <si>
    <t>Alcohol ter-butilico (2-metil-2-propanol)</t>
  </si>
  <si>
    <t>- - Dodecan-1-ol (alcohol laurilico). hexadecan-1-ol (alcohol cetilico) y octadecan-1-ol (alcohol estearilico)</t>
  </si>
  <si>
    <t>Alcohol laurilico</t>
  </si>
  <si>
    <t>Alcohol cetilico</t>
  </si>
  <si>
    <t>Alcohol estearilico</t>
  </si>
  <si>
    <t>Decanoles</t>
  </si>
  <si>
    <t>n-Decanol</t>
  </si>
  <si>
    <t>Isodecanol</t>
  </si>
  <si>
    <t>Alcoholatos metalicos</t>
  </si>
  <si>
    <t>Etilato de magnesio</t>
  </si>
  <si>
    <t>Metilato de sodio</t>
  </si>
  <si>
    <t>Etilato de sodio</t>
  </si>
  <si>
    <t>4-Metilpentan-2-ol</t>
  </si>
  <si>
    <t>Isononanol</t>
  </si>
  <si>
    <t>Isotridecanol</t>
  </si>
  <si>
    <t>Tetrahidrolinalol (3.7-dimetiloctan-3-ol)</t>
  </si>
  <si>
    <t>3.3-Dimetilbutan-2-ol (alcohol pinacolilico)</t>
  </si>
  <si>
    <t>Pentanol (alcohol amilico) y sus isomeros</t>
  </si>
  <si>
    <t>Hexanoles</t>
  </si>
  <si>
    <t>Heptanoles</t>
  </si>
  <si>
    <t>- Monoalcoholes no saturados:</t>
  </si>
  <si>
    <t>Linalol</t>
  </si>
  <si>
    <t>Geraniol</t>
  </si>
  <si>
    <t>Dihidromircenol (2.6-dimetil-7-octen-2-ol)</t>
  </si>
  <si>
    <t>Alcohol alilico</t>
  </si>
  <si>
    <t>Dodecadienol</t>
  </si>
  <si>
    <t>Sicotropos (R.2017/93 ex-ANA)</t>
  </si>
  <si>
    <t>- Dioles:</t>
  </si>
  <si>
    <t>--Propilenglicol (propano-1.2-diol)</t>
  </si>
  <si>
    <t>2-Metil-2.4-pentanodiol (hexilenglicol)</t>
  </si>
  <si>
    <t>Trimetilenglicol (1.3-propanodiol)</t>
  </si>
  <si>
    <t>1.3-Butilenglicol (1.3-butanodiol)</t>
  </si>
  <si>
    <t>Butano-1.4-diol</t>
  </si>
  <si>
    <t>- Los demas polialcoholes:</t>
  </si>
  <si>
    <t>--Etil-2-(hidroximetil) propano-1.3-diol (trimetilolpropano)</t>
  </si>
  <si>
    <t>Xilitol(xilopentan 1.2.3.4.5.-ol)</t>
  </si>
  <si>
    <t>- Derivados halogenados. sulfonados. nitrados o nitrosados de los alcoholes aciclicos:</t>
  </si>
  <si>
    <t>Hidrato de cloral</t>
  </si>
  <si>
    <t>2-Cloroetanol (Dto.603/92)</t>
  </si>
  <si>
    <t>Alcoholes ciclicos y sus derivados halogenados. sulfonados. nitrados o nitrosados.</t>
  </si>
  <si>
    <t>Derivados del mentol</t>
  </si>
  <si>
    <t>Borneol; isoborneol</t>
  </si>
  <si>
    <t>Terpina y su hidrato</t>
  </si>
  <si>
    <t>Alcohol fenchilico (1.3.3-trimetil-2- norbornanol)</t>
  </si>
  <si>
    <t>Terpineoles</t>
  </si>
  <si>
    <t>Santalol</t>
  </si>
  <si>
    <t>- Aromaticos:</t>
  </si>
  <si>
    <t>2-Feniletanol</t>
  </si>
  <si>
    <t>Dicofol</t>
  </si>
  <si>
    <t>Acido 1-fenil-2-hidroxipropano-2-sulfonico y sus sales</t>
  </si>
  <si>
    <t>Fenoles; fenoles-alcoholes.</t>
  </si>
  <si>
    <t>- Monofenoles:</t>
  </si>
  <si>
    <t>Fenol</t>
  </si>
  <si>
    <t>beta-Naftol y sus sales</t>
  </si>
  <si>
    <t>2.6-Di-ter-butil-p-cresol y sus sales</t>
  </si>
  <si>
    <t>o-Fenilfenol y sus sales</t>
  </si>
  <si>
    <t>p-ter-Butilfenol y sus sales</t>
  </si>
  <si>
    <t>Xilenoles y sus sales</t>
  </si>
  <si>
    <t>- Polifenoles; fenoles-alcoholes:</t>
  </si>
  <si>
    <t>--4.4'-Isopropilidendifenol (bisfenol A. difenilolpropano) y sus sales.</t>
  </si>
  <si>
    <t>Dietilestilbestrol. dienoestrol y hexestrol; sales de estos productos</t>
  </si>
  <si>
    <t>Destinado a medicina veterinaria (R.G. 2146/06 AFIP)</t>
  </si>
  <si>
    <t>Los demas (R.2014/93 ex-ANA)</t>
  </si>
  <si>
    <t>Fenoles alcoholes</t>
  </si>
  <si>
    <t>Comprendidos en el Anexo I del Decreto Nro 722/1991 y modificatorios</t>
  </si>
  <si>
    <t>Derivados halogenados. sulfonados. nitrados o nitrosados. de los fenoles o de los fenoles-alcoholes.</t>
  </si>
  <si>
    <t>- Derivados solamente halogenados y sus sales:</t>
  </si>
  <si>
    <t>Derivados halogenados unicamente con cloro</t>
  </si>
  <si>
    <t>4-Cloro-m-cresol y sus sales</t>
  </si>
  <si>
    <t>Diclorofenoles y sus sales</t>
  </si>
  <si>
    <t>Diclorofenoles</t>
  </si>
  <si>
    <t>p-Clorofenol</t>
  </si>
  <si>
    <t>Triclorofenoles y sus sales</t>
  </si>
  <si>
    <t>Triclorofenoles</t>
  </si>
  <si>
    <t>Tetraclorofenoles y sus sales</t>
  </si>
  <si>
    <t>Tetraclorofenoles</t>
  </si>
  <si>
    <t>Sales del pentaclorofenol</t>
  </si>
  <si>
    <t>Comprendidos en el Decreto Nro 560/2019</t>
  </si>
  <si>
    <t>Derivados halogenados unicamente con bromo</t>
  </si>
  <si>
    <t>2.4.6-Tribromofenol</t>
  </si>
  <si>
    <t>--4.6-Dinitro-o-cresol (DNOC) (ISO)) y sus sales</t>
  </si>
  <si>
    <t>Derivados solamente nitrados y sus sales</t>
  </si>
  <si>
    <t>p-Nitrofenol y sus sales</t>
  </si>
  <si>
    <t>acido picrico</t>
  </si>
  <si>
    <t>Dinitrofenolato de plomo; Dinitro-resorcinato de plomo; 2.4.6-Trinitro-resorcinato de plomo (Estifnato de plomo); Picrato de amonio (Explosivo D. trinitrofenolato de amonio); Picrato de plomo; Dinitroso-resorcinato de plomo</t>
  </si>
  <si>
    <t>Dinitrofenolato de plomo</t>
  </si>
  <si>
    <t>Dinitro-resorcinato de plomo</t>
  </si>
  <si>
    <t>2.4.6-Trinitro-resorcinato de plomo (Estifnato de plomo)</t>
  </si>
  <si>
    <t>Picrato de amonio (Explosivo D. trinitrofenolato de amonio)</t>
  </si>
  <si>
    <t>Picrato de plomo</t>
  </si>
  <si>
    <t>Dinitroso-resorcinato de plomo</t>
  </si>
  <si>
    <t>Disofenol</t>
  </si>
  <si>
    <t>Niclofolan (R. 2012/93 ex-ANA)</t>
  </si>
  <si>
    <t>Derivados sulfonados del fenol. sus sales y sus esteres</t>
  </si>
  <si>
    <t>Eteres. eteres-alcoholes. eteres-fenoles. eteres-alcoholes-fenoles. peroxidos de alcoholes. peroxidos de eteres. peroxidos de cetonas (aunque no sean de constitucion quimica definida). y sus derivados halogenados. sulfonados. nitrados o nitrosados.</t>
  </si>
  <si>
    <t>- Ã‰teres aciclicos y sus derivados halogenados. sulfonados. nitrados o nitrosados:</t>
  </si>
  <si>
    <t>Eter metil-ter-butilico (MTBE)</t>
  </si>
  <si>
    <t>En envases con capacidad inferior o igual a 10 l y calidad pro-analisis</t>
  </si>
  <si>
    <t>Sevoflurano</t>
  </si>
  <si>
    <t>Eter diclorodietilico</t>
  </si>
  <si>
    <t>Eter diisopropilico</t>
  </si>
  <si>
    <t>Eter dibutilico</t>
  </si>
  <si>
    <t>Eter dipentilico</t>
  </si>
  <si>
    <t>Eter etil-ter-butilico (ETBE). eter metil- teramilico (TAME) y eter dimetilico (DME)</t>
  </si>
  <si>
    <t>Eteres aromaticos</t>
  </si>
  <si>
    <t>Anetol</t>
  </si>
  <si>
    <t>Eter difenilico (eter fenilico)</t>
  </si>
  <si>
    <t>Eter dibencilico (eter bencilico)</t>
  </si>
  <si>
    <t>Eter feniletil-isoamilico</t>
  </si>
  <si>
    <t>Eteres metilicos y etilicos del beta-naftol (esencia artificial de neroli o nerolina)</t>
  </si>
  <si>
    <t>Derivados halogenados. sulfonados. nitrados o nitrosados</t>
  </si>
  <si>
    <t>Oxifluorfeno</t>
  </si>
  <si>
    <t>Metoxicloro (R.G. 2146/06 AFIP)</t>
  </si>
  <si>
    <t>- Ã‰teres-alcoholes y sus derivados halogenados. sulfonados. nitrados o nitrosados:</t>
  </si>
  <si>
    <t>--2.2'-Oxidietanol (dietilenglicol).</t>
  </si>
  <si>
    <t>Del etilenglicol</t>
  </si>
  <si>
    <t>Del dietilenglicol</t>
  </si>
  <si>
    <t>Eter etilico</t>
  </si>
  <si>
    <t>Eter isobutilico</t>
  </si>
  <si>
    <t>Eter hexilico</t>
  </si>
  <si>
    <t>Guaifenesina</t>
  </si>
  <si>
    <t>Etilenglicoles y sus eteres</t>
  </si>
  <si>
    <t>Trietilenglicol</t>
  </si>
  <si>
    <t>Tetraetilenglicol</t>
  </si>
  <si>
    <t>Pentaetilenglicol y sus eteres</t>
  </si>
  <si>
    <t>Eter fenilico del etilenglicol</t>
  </si>
  <si>
    <t>Propilenglicol y sus eteres</t>
  </si>
  <si>
    <t>Dipropilenglicol</t>
  </si>
  <si>
    <t>Eteres del mono-. di- y tripropilenglicol</t>
  </si>
  <si>
    <t>Eteres del monopropilenglicol</t>
  </si>
  <si>
    <t>Metoxipropan-2-ol</t>
  </si>
  <si>
    <t>Eteres del dipropilenglicol</t>
  </si>
  <si>
    <t>Eteres del tripropilenglicol</t>
  </si>
  <si>
    <t>Butilenglicoles y sus eteres</t>
  </si>
  <si>
    <t>Eter etilico del butilenglicol</t>
  </si>
  <si>
    <t>Alcoholes fenoxibencilicos</t>
  </si>
  <si>
    <t>Eteres-fenoles</t>
  </si>
  <si>
    <t>Triclosan</t>
  </si>
  <si>
    <t>Eugenol</t>
  </si>
  <si>
    <t>Isoeugenol</t>
  </si>
  <si>
    <t>Guayacol</t>
  </si>
  <si>
    <t>Hidroperoxidos</t>
  </si>
  <si>
    <t>De diisopropilbenceno</t>
  </si>
  <si>
    <t>De ter-butilo</t>
  </si>
  <si>
    <t>De p-mentano</t>
  </si>
  <si>
    <t>Peroxidos</t>
  </si>
  <si>
    <t>Epoxidos. epoxialcoholes. epoxifenoles y epoxieteres. con tres atomos en el ciclo. y sus derivados halogenados. sulfonados. nitrados o nitrosados.</t>
  </si>
  <si>
    <t>-1-Cloro-2.3-epoxipropano (epiclorhidrina)</t>
  </si>
  <si>
    <t>Oxido de estireno</t>
  </si>
  <si>
    <t>Acetales y semiacetales. incluso con otras funciones oxigenadas. y sus derivados halogenados. sulfonados. nitrados o nitrosados.</t>
  </si>
  <si>
    <t>Dimetilacetal del 2-nitrobenzaldehido</t>
  </si>
  <si>
    <t>Acetales y semiacetales</t>
  </si>
  <si>
    <t>Aldehidos. incluso con otras funciones oxigenadas; polimeros ciclicos de los aldehidos; paraformaldehido.</t>
  </si>
  <si>
    <t>- Aldehidos aciclicos sin otras funciones oxigenadas:</t>
  </si>
  <si>
    <t>Dialdehidos</t>
  </si>
  <si>
    <t>Glioxal</t>
  </si>
  <si>
    <t>Glutaraldehido</t>
  </si>
  <si>
    <t>Monoaldehidos no saturados</t>
  </si>
  <si>
    <t>Citral</t>
  </si>
  <si>
    <t>Citronelal (3.7-dimetil-6-octenal)</t>
  </si>
  <si>
    <t>Bergamal (3.7-dimetil-2-metilen-6-octenal)</t>
  </si>
  <si>
    <t>Heptanal</t>
  </si>
  <si>
    <t>- Aldehidos ciclicos sin otras funciones oxigenadas:</t>
  </si>
  <si>
    <t>Aldehido alfa-amilcinamico</t>
  </si>
  <si>
    <t>Aldehido alfa-hexilcinamico</t>
  </si>
  <si>
    <t>- Aldehidos-alcoholes. aldehidos-eteres. aldehidos-fenoles y aldehidos con otras funciones oxigenadas:</t>
  </si>
  <si>
    <t>3-Fenoxibenzaldehido</t>
  </si>
  <si>
    <t>3-Hidroxibenzaldehido</t>
  </si>
  <si>
    <t>3.4.5-Trimetoxibenzaldehido</t>
  </si>
  <si>
    <t>Aldehidos-alcoholes</t>
  </si>
  <si>
    <t>4-(4-Hidroxi-4-metilpentil)-3-ciclohexen-1- carboxialdehido</t>
  </si>
  <si>
    <t>Meta acetaldehido</t>
  </si>
  <si>
    <t>Derivados halogenados. sulfonados. nitrados o nitrosados de los productos de la partida 29.12.</t>
  </si>
  <si>
    <t>Tricloroacetaldehido</t>
  </si>
  <si>
    <t>Cetonas y quinonas. incluso con otras funciones oxigenadas. y sus derivados halogenados. sulfonados. nitrados o nitrosados.</t>
  </si>
  <si>
    <t>- Cetonas aciclicas sin otras funciones oxigenadas:</t>
  </si>
  <si>
    <t>Forona</t>
  </si>
  <si>
    <t>Dicetonas</t>
  </si>
  <si>
    <t>Acetilacetona</t>
  </si>
  <si>
    <t>Acetonilacetona</t>
  </si>
  <si>
    <t>Diacetilo</t>
  </si>
  <si>
    <t>Metilhexilcetona</t>
  </si>
  <si>
    <t>Pseudoiononas</t>
  </si>
  <si>
    <t>Metilisopropilcetona</t>
  </si>
  <si>
    <t>Pinacolona (Dto.603/92)</t>
  </si>
  <si>
    <t>- Cetonas ciclanicas. ciclenicas o cicloterpenicas. sin otras funciones oxigenadas:</t>
  </si>
  <si>
    <t>Ciclohexanona</t>
  </si>
  <si>
    <t>Metilciclohexanonas</t>
  </si>
  <si>
    <t>Iononas</t>
  </si>
  <si>
    <t>Metiliononas</t>
  </si>
  <si>
    <t>Carvona</t>
  </si>
  <si>
    <t>l-Mentona</t>
  </si>
  <si>
    <t>- Cetonas aromaticas sin otras funciones oxigenadas:</t>
  </si>
  <si>
    <t>- - Fenilacetona (fenilpropan-2-ona)</t>
  </si>
  <si>
    <t>Acetofenona</t>
  </si>
  <si>
    <t>4-Hidroxi-4-metilpentan-2-ona (diacetona alcohol)</t>
  </si>
  <si>
    <t>Benzoina</t>
  </si>
  <si>
    <t>Nabumetona</t>
  </si>
  <si>
    <t>1.8-Dihidroxi-3-metil-9-antrona y su forma enolica (crisarobina o "chrysarobin")</t>
  </si>
  <si>
    <t>- Quinonas:</t>
  </si>
  <si>
    <t>Lapachol</t>
  </si>
  <si>
    <t>Menadiona</t>
  </si>
  <si>
    <t>- Derivados halogenados. sulfonados. nitrados o nitrosados:</t>
  </si>
  <si>
    <t>Derivados halogenados</t>
  </si>
  <si>
    <t>1-Cloro-5-hexanona</t>
  </si>
  <si>
    <t>Cloruro de fenilacilo (R. 3115/94 ex ANA)</t>
  </si>
  <si>
    <t>Diclona</t>
  </si>
  <si>
    <t>2-Cloroacetofenona</t>
  </si>
  <si>
    <t>3-Cloroacetofenona</t>
  </si>
  <si>
    <t>Derivados sulfonados</t>
  </si>
  <si>
    <t>Bisulfito sodico de menadiona</t>
  </si>
  <si>
    <t>acido 2-hidroxi-4-metoxibenzofenona-5- sulfonico (sulisobenzona)</t>
  </si>
  <si>
    <t>acidos monocarboxilicos aciclicos saturados y sus anhidridos. halogenuros. peroxidos y peroxiacidos; sus derivados halogenados. sulfonados. nitrados o nitrosados.</t>
  </si>
  <si>
    <t>- acido formico. sus sales y sus esteres:</t>
  </si>
  <si>
    <t>De geranilo</t>
  </si>
  <si>
    <t>- acido acetico y sus sales; anhidrido acetico:</t>
  </si>
  <si>
    <t>Acetato de sodio</t>
  </si>
  <si>
    <t>Acetato de cobalto</t>
  </si>
  <si>
    <t>Acetato de plomo</t>
  </si>
  <si>
    <t>- Ã‰steres del acido acetico:</t>
  </si>
  <si>
    <t>Acetato de linalilo</t>
  </si>
  <si>
    <t>Acetatos de glicerilo</t>
  </si>
  <si>
    <t>Triacetina</t>
  </si>
  <si>
    <t>Acetatos de monoalcoholes aciclicos saturados de hasta 8 atomos de carbono. inclusive</t>
  </si>
  <si>
    <t>De n-propilo</t>
  </si>
  <si>
    <t>Acetato de 2-etoxietilo</t>
  </si>
  <si>
    <t>Acetato de 2-etil-hexilo</t>
  </si>
  <si>
    <t>Acetato de isopropilo</t>
  </si>
  <si>
    <t>Acetatos de decilo o hexenilo</t>
  </si>
  <si>
    <t>De decilo</t>
  </si>
  <si>
    <t>De hexenilo</t>
  </si>
  <si>
    <t>Acetatos de bencestrol. dienoestrol. hexestrol. mestilbol o estilbestrol</t>
  </si>
  <si>
    <t>De bencestrol</t>
  </si>
  <si>
    <t>De dienoestrol</t>
  </si>
  <si>
    <t>De hexestrol</t>
  </si>
  <si>
    <t>De mestilbol</t>
  </si>
  <si>
    <t>De estilbestrol</t>
  </si>
  <si>
    <t>Acetatos de tricloro-alfa-feniletilo. triclorometilfenilcarbinol o diacetato de etilenglicol (diacetato de etileno)</t>
  </si>
  <si>
    <t>De tricloro-alfa-feniletilo</t>
  </si>
  <si>
    <t>De triclorometilfenilcarbinol</t>
  </si>
  <si>
    <t>Diacetato de etilenglicol (diacetato de etileno)</t>
  </si>
  <si>
    <t>De 2-ter-butilciclohexilo</t>
  </si>
  <si>
    <t>De bornilo</t>
  </si>
  <si>
    <t>De dimetilbencilcarbinilo</t>
  </si>
  <si>
    <t>Bis(p-acetoxifenil) ciclohexilidenmetano (ciclofenil)</t>
  </si>
  <si>
    <t>Acetato de etinodiol</t>
  </si>
  <si>
    <t>Acetato de bencilo</t>
  </si>
  <si>
    <t>- acidos mono-. di- o tricloroaceticos. sus sales y sus esteres</t>
  </si>
  <si>
    <t>Acido monocloroacetico</t>
  </si>
  <si>
    <t>Monocloroacetato de sodio</t>
  </si>
  <si>
    <t>Tricloroacetato de sodio</t>
  </si>
  <si>
    <t>acido propionico</t>
  </si>
  <si>
    <t>Esteres</t>
  </si>
  <si>
    <t>Dipropionato de dietilestilbestrol y de hexestrol</t>
  </si>
  <si>
    <t>acidos butanoicos. sus sales y sus esteres</t>
  </si>
  <si>
    <t>acidos butanoicos y sus sales</t>
  </si>
  <si>
    <t>Butanoato de etilo</t>
  </si>
  <si>
    <t>acidos pentanoicos. sus sales y sus esteres</t>
  </si>
  <si>
    <t>acido pivalico</t>
  </si>
  <si>
    <t>acido palmitico. sus sales y sus esteres</t>
  </si>
  <si>
    <t>Acido palmitico</t>
  </si>
  <si>
    <t>Dipalmitato de dietilestilbestrol</t>
  </si>
  <si>
    <t>Destinado a medicina veterinaria (R.G.2146/06 AFIP)</t>
  </si>
  <si>
    <t>acido estearico</t>
  </si>
  <si>
    <t>Sales del acido estearico</t>
  </si>
  <si>
    <t>Esteres del acido estearico</t>
  </si>
  <si>
    <t>Cloruro de cloroacetilo</t>
  </si>
  <si>
    <t>acido 2-etilhexanoico. sus sales y sus esteres</t>
  </si>
  <si>
    <t>acido 2-etilhexanoico (acido 2-etilhexoico)</t>
  </si>
  <si>
    <t>2-Etilhexanoato de estaño II</t>
  </si>
  <si>
    <t>Di (2-etilhexanoato) de trietilenglicol</t>
  </si>
  <si>
    <t>Cloruro de 2-etilhexanoilo</t>
  </si>
  <si>
    <t>acido miristico; acido caprilico; sus sales y sus esteres</t>
  </si>
  <si>
    <t>acido miristico</t>
  </si>
  <si>
    <t>acido caprilico</t>
  </si>
  <si>
    <t>Miristato de isopropilo</t>
  </si>
  <si>
    <t>acido laurico. sus sales y sus esteres</t>
  </si>
  <si>
    <t>acido laurico</t>
  </si>
  <si>
    <t>Sales y esteres</t>
  </si>
  <si>
    <t>Peroxidos de acidos</t>
  </si>
  <si>
    <t>Peroxiacidos</t>
  </si>
  <si>
    <t>Peroxiacetico</t>
  </si>
  <si>
    <t>acido 2.2-dicloro propionico y sus sales</t>
  </si>
  <si>
    <t>Cloruro de acetilo (R.2020/93 ex-ANA)</t>
  </si>
  <si>
    <t>Cloroformiato de etilo</t>
  </si>
  <si>
    <t>Los demas derivados del acido formico</t>
  </si>
  <si>
    <t>acidos monocarboxilicos aciclicos no saturados y acidos monocarboxilicos ciclicos. sus anhidridos. halogenuros. peroxidos y peroxiacidos; sus derivados halogenados. sulfonados. nitrados o nitrosados.</t>
  </si>
  <si>
    <t>- acidos monocarboxilicos aciclicos no saturados. sus anhidridos. halogenuros. peroxidos. peroxiacidos y sus derivados:</t>
  </si>
  <si>
    <t>Acido acrilico</t>
  </si>
  <si>
    <t>De metilo</t>
  </si>
  <si>
    <t>De etilo</t>
  </si>
  <si>
    <t>De butilo</t>
  </si>
  <si>
    <t>De 2-etilhexilo</t>
  </si>
  <si>
    <t>acido metacrilico</t>
  </si>
  <si>
    <t>De n-butilo</t>
  </si>
  <si>
    <t>acido oleico. sus sales y sus esteres</t>
  </si>
  <si>
    <t>Oleato de manitol</t>
  </si>
  <si>
    <t>acido oleico</t>
  </si>
  <si>
    <t>Acido linoleico; acido linolenico; sus sales y sus esteres</t>
  </si>
  <si>
    <t>acido sorbico. sus sales y sus esteres</t>
  </si>
  <si>
    <t>Sorbato de potasio</t>
  </si>
  <si>
    <t>acido sorbico</t>
  </si>
  <si>
    <t>acido undecilenico. sus sales y sus esteres</t>
  </si>
  <si>
    <t>acido undecilenico</t>
  </si>
  <si>
    <t>Undecilenato de metilo</t>
  </si>
  <si>
    <t>Undecilenato de cinc</t>
  </si>
  <si>
    <t>Dinocap (R.G. 2146/06 AFIP)</t>
  </si>
  <si>
    <t>Derivados del acido ciclopropanocarboxilico</t>
  </si>
  <si>
    <t>acido 3-(2.2-dibromovinil)-2.2- dimetilciclopropanocarboxilico</t>
  </si>
  <si>
    <t>Cloruro del acido 3-(2.2-diclorovinil)- 2.2-dimetilciclopropanocarboxilico (DVO)</t>
  </si>
  <si>
    <t>Aletrinas</t>
  </si>
  <si>
    <t>Permetrina</t>
  </si>
  <si>
    <t>Bifentrin</t>
  </si>
  <si>
    <t>Teflutrina</t>
  </si>
  <si>
    <t>Acido ciclohexanocarboxilico</t>
  </si>
  <si>
    <t>- acidos monocarboxilicos aromaticos. sus anhidridos. halogenuros. peroxidos. peroxiacidos y sus derivados:</t>
  </si>
  <si>
    <t>acido benzoico</t>
  </si>
  <si>
    <t>De bencilo</t>
  </si>
  <si>
    <t>Peroxido de benzoilo</t>
  </si>
  <si>
    <t>Cloruro de benzoilo</t>
  </si>
  <si>
    <t>Cloruro de 4-cloro-alfa-(1-metiletil) bencenoacetilo</t>
  </si>
  <si>
    <t>Ibuprofeno</t>
  </si>
  <si>
    <t>acido 4-cloro-3-nitrobenzoico</t>
  </si>
  <si>
    <t>Perbenzoato de ter-butilo</t>
  </si>
  <si>
    <t>NAA sodico</t>
  </si>
  <si>
    <t>Acido cinamico</t>
  </si>
  <si>
    <t>Esteres del acido fenilacetico</t>
  </si>
  <si>
    <t>acidos policarboxilicos. sus anhidridos. halogenuros. peroxidos y peroxiacidos; sus derivados halogenados. sulfonados. nitrados o nitrosados.</t>
  </si>
  <si>
    <t>- acidos policarboxilicos aciclicos. sus anhidridos. halogenuros. peroxidos. peroxiacidos y sus derivados:</t>
  </si>
  <si>
    <t>acido oxalico y sus sales</t>
  </si>
  <si>
    <t>acido oxalico</t>
  </si>
  <si>
    <t>acido adipico</t>
  </si>
  <si>
    <t>acido azelaico. sus sales y sus esteres</t>
  </si>
  <si>
    <t>acido azelaico</t>
  </si>
  <si>
    <t>acido sebacico. sus sales y sus esteres</t>
  </si>
  <si>
    <t>acido sebacico</t>
  </si>
  <si>
    <t>Sebacato de dibutilo</t>
  </si>
  <si>
    <t>Sebacato de dioctilo</t>
  </si>
  <si>
    <t>Dioctilsulfosuccinato de sodio</t>
  </si>
  <si>
    <t>acido maleico. sus sales y sus esteres</t>
  </si>
  <si>
    <t>acido maleico</t>
  </si>
  <si>
    <t>Maleato de dibutilo</t>
  </si>
  <si>
    <t>acido fumarico. sus sales y sus esteres</t>
  </si>
  <si>
    <t>acido fumarico</t>
  </si>
  <si>
    <t>Cloruro de oxalilo (Dto.603/92)</t>
  </si>
  <si>
    <t>Acido malonico. sus sales y sus esteres</t>
  </si>
  <si>
    <t>- acidos policarboxilicos aromaticos. sus anhidridos. halogenuros. peroxidos. peroxiacidos y sus derivados:</t>
  </si>
  <si>
    <t>De di-2-etilhexilo</t>
  </si>
  <si>
    <t>De dinonilo</t>
  </si>
  <si>
    <t>De didecilo</t>
  </si>
  <si>
    <t>acido m-ftalico. sus sales y sus esteres</t>
  </si>
  <si>
    <t>acido ortoftalico y sus sales</t>
  </si>
  <si>
    <t>Otros esteres del acido tereftalico</t>
  </si>
  <si>
    <t>De dioctilo</t>
  </si>
  <si>
    <t>Sales y esteres del acido trimelitico (sales y esteres del acido 1.2.4-bencenotricarboxilico)</t>
  </si>
  <si>
    <t>Anhidrido trimelitico (acido 1.3-dioxo-5- isobenzofurancarboxilico)</t>
  </si>
  <si>
    <t>DCPA</t>
  </si>
  <si>
    <t>Derivados clorados de los acidos o-ftalico. m-ftalico y p-ftalico</t>
  </si>
  <si>
    <t>acidos carboxilicos con funciones oxigenadas suplementarias y sus anhidridos. halogenuros. peroxidos y peroxiacidos; sus derivados halogenados. sulfonados. nitrados o nitrosados.</t>
  </si>
  <si>
    <t>- acidos carboxilicos con funcion alcohol. pero sin otra funcion oxigenada. sus anhidridos. halogenuros. peroxidos. peroxiacidos y sus derivados:</t>
  </si>
  <si>
    <t>Acido lactico</t>
  </si>
  <si>
    <t>Gluconato de calcio</t>
  </si>
  <si>
    <t>acido gluconico</t>
  </si>
  <si>
    <t>--acido 2.2-difenil-2-hidroxiacetico (acido bencilico)</t>
  </si>
  <si>
    <t>Bromopropilato</t>
  </si>
  <si>
    <t>acidos biliares. sus sales y sus esteres; derivados de estos productos</t>
  </si>
  <si>
    <t>Ursodiol (acido ursodeoxicolico)</t>
  </si>
  <si>
    <t>Acido quenodeoxicolico</t>
  </si>
  <si>
    <t>acido 12-hidroxiestearico</t>
  </si>
  <si>
    <t>Sales y esteres del acido 2.2-difenil-2-hidroxiacetico (acido bencilico)</t>
  </si>
  <si>
    <t>Benzilato de metilo (Dto. 603/92)</t>
  </si>
  <si>
    <t>Acido gamma-hidroxibutirico (Disp. ANMAT N° 11276/2016)</t>
  </si>
  <si>
    <t>Estupefacientes (R. 2017/93 ex ANA)</t>
  </si>
  <si>
    <t>Sicotropos (R. 2017 ex ANA)</t>
  </si>
  <si>
    <t>Los demas. comprendidos en el Anexo I del Decreto Nro 722/1991 y modificatorios</t>
  </si>
  <si>
    <t>- acidos carboxilicos con funcion fenol. pero sin otra funcion oxigenada. sus anhidridos. halogenuros. peroxidos. peroxiacidos y sus derivados:</t>
  </si>
  <si>
    <t>acido salicilico</t>
  </si>
  <si>
    <t>acido o-acetilsalicilico y sus sales</t>
  </si>
  <si>
    <t>acido O-acetilsalicilico</t>
  </si>
  <si>
    <t>O-Acetilsalicilato de aluminio</t>
  </si>
  <si>
    <t>Salicilato de metilo</t>
  </si>
  <si>
    <t>acidos hidroxinaftoicos</t>
  </si>
  <si>
    <t>acido p-hidroxibenzoico. sus sales y sus esteres</t>
  </si>
  <si>
    <t>acido p-hidroxibenzoico</t>
  </si>
  <si>
    <t>Metilparabeno</t>
  </si>
  <si>
    <t>Propilparabeno</t>
  </si>
  <si>
    <t>acido galico. sus sales y sus esteres</t>
  </si>
  <si>
    <t>Tetrakis(3-(3.5-di-ter-butil-4- hidroxifenil)propionato) de pentaeritritilo</t>
  </si>
  <si>
    <t>3-(3.5-Di-ter-butil-4-hidroxifenil)propionato de octadecilo</t>
  </si>
  <si>
    <t>Acido diyodosalicilico</t>
  </si>
  <si>
    <t>Ketoprofeno</t>
  </si>
  <si>
    <t>Butirilacetato de metilo</t>
  </si>
  <si>
    <t>acido dehidrocolico y sus sales</t>
  </si>
  <si>
    <t>Acido dehidrocolico</t>
  </si>
  <si>
    <t>Dehidrocolato de sodio</t>
  </si>
  <si>
    <t>Dehidrocolato de magnesio</t>
  </si>
  <si>
    <t>Acetilacetato de 2-nitrometilbencilideno</t>
  </si>
  <si>
    <t>alfa-Fenilacetoacetato de metilo (MAPA)</t>
  </si>
  <si>
    <t>En disolucion acuosa con una concetracion inferior o igual al 30% P/V</t>
  </si>
  <si>
    <t>- - 2.4.5-T (ISO) (acido 2.4.5-triclorofenoxiacetico). sus sales y sus esteres</t>
  </si>
  <si>
    <t>Ester butilico del 2.4.5-T (R.G. 2146/06 AFIP)</t>
  </si>
  <si>
    <t>acido fenoxiacetico. sus sales y sus esteres; derivados de estos productos</t>
  </si>
  <si>
    <t>acido fenoxiacetico. sus sales y sus esteres</t>
  </si>
  <si>
    <t>acido 2.4-diclorofenoxiacetico (2.4-D). sus sales y sus esteres</t>
  </si>
  <si>
    <t>Ester isobutilico del acido 2.4-diclorofenoxiacetico</t>
  </si>
  <si>
    <t>Acido 2.4-diclorofenoxiacetico (2.4-D)</t>
  </si>
  <si>
    <t>Sales. excepto las incluidas en el desarrollo SIM 2918.99.12.1</t>
  </si>
  <si>
    <t>acidos fenoxibutanoicos. sus sales y sus esteres; derivados de estos productos</t>
  </si>
  <si>
    <t>acidos diclorofenoxibutanoicos. sus sales y sus esteres</t>
  </si>
  <si>
    <t>Principios acivos de plaguicidas agroquimicos (R. 2013/93 ANA)</t>
  </si>
  <si>
    <t>Acifluorfen sodico</t>
  </si>
  <si>
    <t>Naproxeno</t>
  </si>
  <si>
    <t>Acido 3-(2-cloro-alfa.alfa.alfa-trifluoro-p- toliloxi)benzoico</t>
  </si>
  <si>
    <t>Diclofop-Metilo</t>
  </si>
  <si>
    <t>Fenofibrato</t>
  </si>
  <si>
    <t>acidos metilclorofenoxiaceticos. sus sales y sus esteres</t>
  </si>
  <si>
    <t>5-(2-cloro-4-trifluorometilfenoxi)- 2-nitrobenzoato de 1'-(carboetoxi)etilo (lactofen).</t>
  </si>
  <si>
    <t>acido 4-(4-hidroxifenoxi)-3.5-diiodofenilacetico</t>
  </si>
  <si>
    <t>Acifluorfen</t>
  </si>
  <si>
    <t>Bifenox</t>
  </si>
  <si>
    <t>Dicamba</t>
  </si>
  <si>
    <t>Diclorprop</t>
  </si>
  <si>
    <t>Fluoroglicofen</t>
  </si>
  <si>
    <t>Metoprene (R. 2012/93 ex ANA)</t>
  </si>
  <si>
    <t>Esteres fosforicos y sus sales. incluidos los lactofosfatos; sus derivados halogenados. sulfonados. nitrados o nitrosados.</t>
  </si>
  <si>
    <t>-Fosfato de tris(2.3- dibromopropilo)</t>
  </si>
  <si>
    <t>De tributilo</t>
  </si>
  <si>
    <t>De tricresilo</t>
  </si>
  <si>
    <t>De trifenilo</t>
  </si>
  <si>
    <t>Diclorvos (DDVP)</t>
  </si>
  <si>
    <t>Lactofosfato de calcio</t>
  </si>
  <si>
    <t>Clorfenvinfos</t>
  </si>
  <si>
    <t>Naled</t>
  </si>
  <si>
    <t>Esteres de los demas acidos inorganicos de los no metales (excepto los esteres de halogenuros de hidrogeno) y sus sales; sus derivados halogenados. sulfonados. nitrados o nitrosados.</t>
  </si>
  <si>
    <t>- Ã‰steres tiofosforicos (fosforotioatos) y sus sales; sus derivados halogenados. sulfonados. nitrados o nitrosados:</t>
  </si>
  <si>
    <t>Paration (etil paration)</t>
  </si>
  <si>
    <t>Paration-metilo (metil paration)</t>
  </si>
  <si>
    <t>Fenitrotion</t>
  </si>
  <si>
    <t>Cloruro de fosforotioato de dimetilo</t>
  </si>
  <si>
    <t>Metacrifos</t>
  </si>
  <si>
    <t>Dicloruro de fosforotioato de metilo</t>
  </si>
  <si>
    <t>- Ã‰steres de fosfitos y sus sales; sus derivados halogenados. sulfonados. nitrados o nitrosados:</t>
  </si>
  <si>
    <t>Fosfito de alquilo de C3 a C13 o de alquil-arilo</t>
  </si>
  <si>
    <t>Fosfito de triisopropilo</t>
  </si>
  <si>
    <t>Fosfito de difenilo</t>
  </si>
  <si>
    <t>Otros fosfitos. de arilo</t>
  </si>
  <si>
    <t>Fosetil Al</t>
  </si>
  <si>
    <t>Fosfito de tris(2.4-di-ter-butilfenilo)</t>
  </si>
  <si>
    <t>Sulfitos</t>
  </si>
  <si>
    <t>Propargite</t>
  </si>
  <si>
    <t>Nitratos</t>
  </si>
  <si>
    <t>De propatilo</t>
  </si>
  <si>
    <t>Nitroglicerina</t>
  </si>
  <si>
    <t>Tetranitrato de pentaeritritol (PETN. nitropenta. pentrita)</t>
  </si>
  <si>
    <t>Dinitrodiglicol (DEGN. dinitrato de dietilenoglicol); Dinitrato de etilenoglicol; Nitroglicol (GDN. dinitrato de glicol etilenico); Hexanitrato de manitol; Hexanitrato de dipentaeritritol; Nitroeritrina; Tetranitrato de diglicerina</t>
  </si>
  <si>
    <t>Dinitrodiglicol (DEGN. dinitrato de dietilenoglicol)</t>
  </si>
  <si>
    <t>Dinitrato de etilenoglicol</t>
  </si>
  <si>
    <t>Nitroglicol (GDN. dinitrato de glicol etileno)</t>
  </si>
  <si>
    <t>Hexanitrato de manitol</t>
  </si>
  <si>
    <t>Hexanitrato de dipentaeritritol</t>
  </si>
  <si>
    <t>Nitroeritrita</t>
  </si>
  <si>
    <t>Tetranitrato de diglicerina</t>
  </si>
  <si>
    <t>Sulfatos</t>
  </si>
  <si>
    <t>De alquilo de C6 a C22</t>
  </si>
  <si>
    <t>De monoalquildietilenglicol o de monoalquiltrietilenglicol</t>
  </si>
  <si>
    <t>Disulfato de dietilestilbestrol</t>
  </si>
  <si>
    <t>Silicatos</t>
  </si>
  <si>
    <t>Difosfato de dietilestilbestrol y de hexestrol</t>
  </si>
  <si>
    <t>Compuestos con funcion amina.</t>
  </si>
  <si>
    <t>- Monoaminas aciclicas y sus derivados; sales de estos productos:</t>
  </si>
  <si>
    <t>- - Mono-. di- o trimetilamina y sus sales</t>
  </si>
  <si>
    <t>Monometilamina y sus sales</t>
  </si>
  <si>
    <t>Monometilamina</t>
  </si>
  <si>
    <t>Dimetilamina y sus sales</t>
  </si>
  <si>
    <t>Dimetilamina</t>
  </si>
  <si>
    <t>2.4-Diclorofenoxiacetato de dimetilamina</t>
  </si>
  <si>
    <t>Metilclorofenoxiacetato de dimetilamina</t>
  </si>
  <si>
    <t>Principios activos de plaguicidas agroquimicos (R.2013/93 ANA)</t>
  </si>
  <si>
    <t>Sal dimetilamina del acido 3.6-dicloro-o -anisico</t>
  </si>
  <si>
    <t>Clorhidrato de dimetilamina (Dto.603/92)</t>
  </si>
  <si>
    <t>Trimetilamina y sus sales</t>
  </si>
  <si>
    <t>Trimetilamina</t>
  </si>
  <si>
    <t>Clorhidrato de trimetilamina</t>
  </si>
  <si>
    <t>--Clorhidrato de 2-cloroetil (N.N-dimetilamina)</t>
  </si>
  <si>
    <t>--Clorhidrato de 2-cloroetil (N.N-dietilamina)</t>
  </si>
  <si>
    <t>--Clorhidrato de 2-cloroetil (N.N-diisopropilamina)</t>
  </si>
  <si>
    <t>Etilaminas y sus derivados; sales de estos productos</t>
  </si>
  <si>
    <t>Monoetilamina y sus sales</t>
  </si>
  <si>
    <t>Monoetilamina</t>
  </si>
  <si>
    <t>Trietilamina</t>
  </si>
  <si>
    <t>Bis(2-cloroetil)etilamina</t>
  </si>
  <si>
    <t>Triclormetina (DCI) (tris(2-cloroetil)amina)</t>
  </si>
  <si>
    <t>Dietilamina y sus sales. excepto etamsilato («ethamsylate»)</t>
  </si>
  <si>
    <t>Dietilamina</t>
  </si>
  <si>
    <t>n-Propilaminas e isopropilaminas; sales de estos productos</t>
  </si>
  <si>
    <t>Mono-n-propilamina y sus sales</t>
  </si>
  <si>
    <t>Di-n-propilamina y sus sales</t>
  </si>
  <si>
    <t>Monoisopropilamina y sus sales</t>
  </si>
  <si>
    <t>Sal diglicalamina o isopropilamina del acido 2-metoxi-3.6-diclorobenzoico</t>
  </si>
  <si>
    <t>Diisopropilamina y sus sales</t>
  </si>
  <si>
    <t>Diisopropilamina (Dto.603/92)</t>
  </si>
  <si>
    <t>Butilaminas y sus sales</t>
  </si>
  <si>
    <t>Diisobutilamina y sus sales</t>
  </si>
  <si>
    <t>Monoalquilaminas. metildialquilaminas y dialquilaminas. con grupos alquilo de C10 a C18</t>
  </si>
  <si>
    <t>Metildialquilaminas</t>
  </si>
  <si>
    <t>Monoaquilaminas</t>
  </si>
  <si>
    <t>Dialquilaminas</t>
  </si>
  <si>
    <t>Clormetina (DCI) (bis(2-cloroetil)metilamina)</t>
  </si>
  <si>
    <t>N.N-Dialquil-2-cloroetilamina. con grupos alquilo de C1 a C3 y sus sales protonadas</t>
  </si>
  <si>
    <t>N.N-Diisopropil-2-cloroetilamina</t>
  </si>
  <si>
    <t>Mucato de Isomethepteno</t>
  </si>
  <si>
    <t>N.N-Dimetilcetilamina</t>
  </si>
  <si>
    <t>- Poliaminas aciclicas y sus derivados; sales de estos productos:</t>
  </si>
  <si>
    <t>Dietilentriamina y sus sales</t>
  </si>
  <si>
    <t>Trietilentetramina y sus sales</t>
  </si>
  <si>
    <t>N.N'-Dinitroetilenodiamina.</t>
  </si>
  <si>
    <t>Ciclohexilaminas y sus sales</t>
  </si>
  <si>
    <t>Monociclohexilamina y sus sales</t>
  </si>
  <si>
    <t>Diciclohexilamina</t>
  </si>
  <si>
    <t>Propilhexedrina</t>
  </si>
  <si>
    <t>- Monoaminas aromaticas y sus derivados; sales de estos productos:</t>
  </si>
  <si>
    <t>Anilina</t>
  </si>
  <si>
    <t>acidos aminobencenosulfonicos y sus sales</t>
  </si>
  <si>
    <t>acido sulfanilico y sus sales</t>
  </si>
  <si>
    <t>Cloroanilinas y sus sales</t>
  </si>
  <si>
    <t>3.4-Dicloroanilina y sus sales</t>
  </si>
  <si>
    <t>Nitroanilinas y sus sales</t>
  </si>
  <si>
    <t>4-Nitroanilina</t>
  </si>
  <si>
    <t>2.4.6-Trinitrofenilmetilnitramina (CE. tetrilo)</t>
  </si>
  <si>
    <t>Cloronitroanilinas y sus sales</t>
  </si>
  <si>
    <t>5-Cloro-2-nitroanilina</t>
  </si>
  <si>
    <t>Dicloran</t>
  </si>
  <si>
    <t>Toluidinas y sus sales</t>
  </si>
  <si>
    <t>o-Toluidina</t>
  </si>
  <si>
    <t>Derivados de las toluidinas; sales de estos productos</t>
  </si>
  <si>
    <t>3-Nitro-4-toluidina y sus sales</t>
  </si>
  <si>
    <t>Trifluralina</t>
  </si>
  <si>
    <t>4-Cloro-2-toluidina</t>
  </si>
  <si>
    <t>Flumetralin</t>
  </si>
  <si>
    <t>Difenilamina y sus sales</t>
  </si>
  <si>
    <t>Difenilamina</t>
  </si>
  <si>
    <t>Derivados de la difenilamina; sales de estos productos</t>
  </si>
  <si>
    <t>n-Octildifenilamina</t>
  </si>
  <si>
    <t>n-Nonildifenilamina</t>
  </si>
  <si>
    <t>Hexanitrodifenilamina</t>
  </si>
  <si>
    <t>- - 1-Naftilamina (alfa-naftilamina). 2-naftilamina (beta-naftilamina). y sus derivados; sales de estos productos</t>
  </si>
  <si>
    <t>1-Naftilamina y sus derivados. sales de estos productos</t>
  </si>
  <si>
    <t>2-Naftilamina y sus derivados. sales de estos productos</t>
  </si>
  <si>
    <t>- - Anfetamina (DCI). benzfetamina (DCI). dexanfetamina (DCI). etilanfetamina (DCI). fencanfamina (DCI). fentermina (DCI). lefetamina (DCI). levanfetamina (DCI) y mefenorex (DCI); sales de estos productos</t>
  </si>
  <si>
    <t>Anfetamina y sus sales</t>
  </si>
  <si>
    <t>Benzfetamina y sus sales</t>
  </si>
  <si>
    <t>Dexanfetamina y sus sales</t>
  </si>
  <si>
    <t>Etilanfetamina y sus sales</t>
  </si>
  <si>
    <t>Fencanfamina y sus sales</t>
  </si>
  <si>
    <t>Fentermina y sus sales</t>
  </si>
  <si>
    <t>Lefetamina y sus sales</t>
  </si>
  <si>
    <t>Levanfetamina y sus sales</t>
  </si>
  <si>
    <t>Mefenorex y sus sales</t>
  </si>
  <si>
    <t>Clorhidrato de fenfluramina</t>
  </si>
  <si>
    <t>Xilidinas y sus derivados; sales de estos productos</t>
  </si>
  <si>
    <t>2.4-Xilidina y sus sales</t>
  </si>
  <si>
    <t>Pendimetalina</t>
  </si>
  <si>
    <t>Tranilcipromina y sus sales</t>
  </si>
  <si>
    <t>Sulfato de tranilcipromina</t>
  </si>
  <si>
    <t>Sicotropos</t>
  </si>
  <si>
    <t>Sicotropos Lista I (R.2017/93 ex-ANA)</t>
  </si>
  <si>
    <t>Otros sicotropos (R.2017/93 ex-ANA)</t>
  </si>
  <si>
    <t>Clorhidrato de sertralina</t>
  </si>
  <si>
    <t>Sibutramina</t>
  </si>
  <si>
    <t>Los demas. comprendidos en el Decreto Nro 560/2019</t>
  </si>
  <si>
    <t>- Poliaminas aromaticas y sus derivados; sales de estos productos:</t>
  </si>
  <si>
    <t>- - o-. m- y p-Fenilendiamina. diaminotoluenos. y sus derivados; sales de estos productos</t>
  </si>
  <si>
    <t>o-. m- y p-Fenilendiamina; diaminotoluenos; sales de estos productos</t>
  </si>
  <si>
    <t>m-Fenilendiamina y sus sales</t>
  </si>
  <si>
    <t>Diaminotoluenos (toluilendiaminas)</t>
  </si>
  <si>
    <t>Metatoluen diamina</t>
  </si>
  <si>
    <t>o-Fenilendiamina y sus sales</t>
  </si>
  <si>
    <t>p-Fenilendiamina y sus sales</t>
  </si>
  <si>
    <t>Derivados sulfonados de las fenilendiaminas y de sus derivados; sales de estos productos</t>
  </si>
  <si>
    <t>Otros derivados de las fenilendiaminas; sales de estos productos</t>
  </si>
  <si>
    <t>N.N'-Di-sec-butil-p-fenilendiamina.</t>
  </si>
  <si>
    <t>N-Isopropil-N'-fenil-p-fenilendiamina.</t>
  </si>
  <si>
    <t>N-(1.3-Dimetilbutil)-N'-fenil-p -fenilendiamina.</t>
  </si>
  <si>
    <t>N-(1.4-Dimetilpentil)-N'-fenil-p -fenilendiamina.</t>
  </si>
  <si>
    <t>N-Fenil-p-fenilendiamina (4- aminodifenilamina) y sus sales</t>
  </si>
  <si>
    <t>Dinitramina</t>
  </si>
  <si>
    <t>Bencidina y sus derivados; sales de estos productos</t>
  </si>
  <si>
    <t>3.3'-Diclorobencidina.</t>
  </si>
  <si>
    <t>Bencidina</t>
  </si>
  <si>
    <t>Diaminodifenilmetanos</t>
  </si>
  <si>
    <t>4.4'-Diaminodifenilmetano.</t>
  </si>
  <si>
    <t>Diaminodifenilaminas y sus derivados; sales de estos productos</t>
  </si>
  <si>
    <t>4.4'-Diaminodifenilamina y sus sales.</t>
  </si>
  <si>
    <t>acido 4.4'-diaminodifenilamino-2-sulfonico y sus sales.</t>
  </si>
  <si>
    <t>Compuestos aminados con funciones oxigenadas.</t>
  </si>
  <si>
    <t>- Amino-alcoholes. excepto los que contengan funciones oxigenadas diferentes. sus eteres y sus esteres; sales de estos productos:</t>
  </si>
  <si>
    <t>Dietanolamina</t>
  </si>
  <si>
    <t>Metildietanolamina</t>
  </si>
  <si>
    <t>Etildietanolamina</t>
  </si>
  <si>
    <t>--2-(N.N-Diisopropilamino)etanol</t>
  </si>
  <si>
    <t>Propanolaminas y sus sales; derivados de estos productos</t>
  </si>
  <si>
    <t>Monoisopropanolamina</t>
  </si>
  <si>
    <t>2.4-Diclorofenoxiacetato de triisopropanolamina</t>
  </si>
  <si>
    <t>2.4-Diclorofenoxiacetato de dimetilpropanolamina</t>
  </si>
  <si>
    <t>Orfenadrina y sus sales</t>
  </si>
  <si>
    <t>Citrato</t>
  </si>
  <si>
    <t>Ambroxol y sus sales</t>
  </si>
  <si>
    <t>Clorhidrato</t>
  </si>
  <si>
    <t>Clobutinol y sus sales</t>
  </si>
  <si>
    <t>Clobutinol (Disp. 5136/07 ANMAT)</t>
  </si>
  <si>
    <t>N.N-Dialquil-2-aminoetanol. con grupos alquilo de C1 a C3 y sus sales protonadas</t>
  </si>
  <si>
    <t>N.N-Dimetil-2-aminoetanol y sus sales protonadas</t>
  </si>
  <si>
    <t>N.N-Dietil-2-aminoetanol y sus sales protonadas</t>
  </si>
  <si>
    <t>Propafenona y sus sales</t>
  </si>
  <si>
    <t>Metoprolol y sus sales</t>
  </si>
  <si>
    <t>Tartrato</t>
  </si>
  <si>
    <t>1-p-Nitrofenil-2-amino-1.3-propanodiol</t>
  </si>
  <si>
    <t>Fumarato de benciclano</t>
  </si>
  <si>
    <t>Clembuterol ("clenbuterol") y su clorhidrato</t>
  </si>
  <si>
    <t>Mirtecaina</t>
  </si>
  <si>
    <t>Tamoxifeno y su citrato</t>
  </si>
  <si>
    <t>Propranolol y sus sales</t>
  </si>
  <si>
    <t>Sicotropos Lista I</t>
  </si>
  <si>
    <t>Otros sicotropos</t>
  </si>
  <si>
    <t>Sales de trietanolamina</t>
  </si>
  <si>
    <t>Clorhidrato (Dto. 603/92)</t>
  </si>
  <si>
    <t>N-Alquil-dietanolamina. con grupos alquilo de C1 a C3 y sus sales protonadas</t>
  </si>
  <si>
    <t>Sales de metildietanolamina</t>
  </si>
  <si>
    <t>Sales de etildietanolamina</t>
  </si>
  <si>
    <t>- Amino-naftoles y demas amino-fenoles. excepto los que contengan funciones oxigenadas diferentes. sus eteres y sus esteres; sales de estos productos:</t>
  </si>
  <si>
    <t>acido 7-amino-1-naftol-3-sulfonico (acido gamma)</t>
  </si>
  <si>
    <t>acido 8-amino-1-naftol-3.6-disulfonico (acido H)</t>
  </si>
  <si>
    <t>acido 2-amino-8-naftol-3.6-disulfonico</t>
  </si>
  <si>
    <t>o-. m- y p-Aminofenoles. y sus sales</t>
  </si>
  <si>
    <t>p-Aminofenol</t>
  </si>
  <si>
    <t>o-Aminofenol y sus sales</t>
  </si>
  <si>
    <t>m-Aminofenol y sus sales</t>
  </si>
  <si>
    <t>Sales de p-aminofenol</t>
  </si>
  <si>
    <t>Nitroanisidinas y sus sales</t>
  </si>
  <si>
    <t>Aclonifen</t>
  </si>
  <si>
    <t>- - Anfepramona (DCI). metadona (DCI) y normetadona (DCI); sales de estos productos</t>
  </si>
  <si>
    <t>Anfepramona y sus sales</t>
  </si>
  <si>
    <t>Anfepramona</t>
  </si>
  <si>
    <t>Metadona y sus sales</t>
  </si>
  <si>
    <t>Normetadona y sus sales</t>
  </si>
  <si>
    <t>Aminotraquinonas y sus sales</t>
  </si>
  <si>
    <t>Ketamina y sus sales</t>
  </si>
  <si>
    <t>Estupefacientes (R.2017/93 ex ANA)</t>
  </si>
  <si>
    <t>- Aminoacidos. excepto los que contengan funciones oxigenadas diferentes. y sus esteres; sales de estos productos:</t>
  </si>
  <si>
    <t>Lisina</t>
  </si>
  <si>
    <t>acido glutamico</t>
  </si>
  <si>
    <t>Glutamato monosodico</t>
  </si>
  <si>
    <t>acido antranilico</t>
  </si>
  <si>
    <t>Tilidina</t>
  </si>
  <si>
    <t>Glicina y sus sales</t>
  </si>
  <si>
    <t>acido etilendiaminotetracetico (EDTA) y sus sales</t>
  </si>
  <si>
    <t>acido etilendiaminotetraacetico</t>
  </si>
  <si>
    <t>Etilendiaminotetraacetato tetrasodico de pureza superior o igual a 81 % pero inferior o igual a 90 %. en polvo</t>
  </si>
  <si>
    <t>Etilendiaminotetraacetato tetrasodico. en solucion. con una concentracion superior o igual a 33 % pero inferior o igual a 40 %</t>
  </si>
  <si>
    <t>Etilendiaminotetraacetato disodico</t>
  </si>
  <si>
    <t>EDTA calcico disodico</t>
  </si>
  <si>
    <t>Etilendiaminotetraacetato ferrico amonico. en solucion. con una concentracion superior o igual a 49 % pero inferior o igual a 51 %</t>
  </si>
  <si>
    <t>acido iminodiacetico y sus sales</t>
  </si>
  <si>
    <t>acido iminodiacetico</t>
  </si>
  <si>
    <t>acido dietilentriaminopentacetico y sus sales</t>
  </si>
  <si>
    <t>acido dietilentriaminopentaacetico (PDTA)</t>
  </si>
  <si>
    <t>Dietilentriaminopentaacetato pentasodico. en solucion. de concentracion superior o igual a 35 % pero inferior o igual a 45 %</t>
  </si>
  <si>
    <t>alfa-Fenilglicina y sus sales; derivados de estos productos</t>
  </si>
  <si>
    <t>alfa-Fenilglicina</t>
  </si>
  <si>
    <t>Clorhidrato del cloruro de D(-)alfa- aminobencenoacetilo</t>
  </si>
  <si>
    <t>Diclofenac y sus sales; derivados de estos productos</t>
  </si>
  <si>
    <t>Diclofenac sodico</t>
  </si>
  <si>
    <t>Diclofenac potasico</t>
  </si>
  <si>
    <t>Diclofenac dietilamina</t>
  </si>
  <si>
    <t>Diclofenac</t>
  </si>
  <si>
    <t>Amineptina</t>
  </si>
  <si>
    <t>Benzocaina y sus sales</t>
  </si>
  <si>
    <t>Fenilefrina y sus sales</t>
  </si>
  <si>
    <t>Tirosina y sus derivados; sales de estos productos</t>
  </si>
  <si>
    <t>Levodopa</t>
  </si>
  <si>
    <t>Metildopa</t>
  </si>
  <si>
    <t>N-(1-(Metoxicarbonil)propen-2-il)-alfa-amino- p-hidroxifenilacetato de sodio (NAPOH)</t>
  </si>
  <si>
    <t>Albuterol (Salbutamol) (R.2012/93 ex-ANA)</t>
  </si>
  <si>
    <t>Sales e hidroxidos de amonio cuaternario; lecitinas y demas fosfoaminolipidos. aunque no sean de constitucion quimica definida.</t>
  </si>
  <si>
    <t>De origen animal</t>
  </si>
  <si>
    <t>2.4D colina</t>
  </si>
  <si>
    <t>Betaina y sus sales</t>
  </si>
  <si>
    <t>Derivados de la colina</t>
  </si>
  <si>
    <t>Cloromecuato</t>
  </si>
  <si>
    <t>Cloruro de 3-cloro-2- hidroxipropiltrimetilamonio</t>
  </si>
  <si>
    <t>Halogenuros de alquil-trimetilamonio. con grupo alquilo de C6 a C22</t>
  </si>
  <si>
    <t>Halogenuros de dialquil-dimetilamonio o de alquil-bencil-dimetilamonio. con grupo alquilo de C6 a C22</t>
  </si>
  <si>
    <t>Halogenuros de pentametil- alquil- propilenodiamonio. con grupo de alquilo de C6 a C22</t>
  </si>
  <si>
    <t>Compuestos con funcion carboxiamida; compuestos con funcion amida del acido carbonico.</t>
  </si>
  <si>
    <t>- Amidas aciclicas (incluidos los carbamatos) y sus derivados; sales de estos productos:</t>
  </si>
  <si>
    <t>- - Fluoroacetamida (ISO). fosfamidon (ISO) y monocrotofos (ISO)</t>
  </si>
  <si>
    <t>Fluoroacetamida</t>
  </si>
  <si>
    <t>Fosfamidon</t>
  </si>
  <si>
    <t>Monocrotofos</t>
  </si>
  <si>
    <t>Acetoacetamida y sus derivados; sales de estos productos</t>
  </si>
  <si>
    <t>2-Cloro-N-metilacetoacetamida</t>
  </si>
  <si>
    <t>Acetoacetamida</t>
  </si>
  <si>
    <t>Formamidas; acetamidas</t>
  </si>
  <si>
    <t>N-Metilformamida</t>
  </si>
  <si>
    <t>N.N-Dimetilformamida</t>
  </si>
  <si>
    <t>Formamida</t>
  </si>
  <si>
    <t>Acrilamidas y sus derivados</t>
  </si>
  <si>
    <t>Acrilamida</t>
  </si>
  <si>
    <t>Metacrilamidas</t>
  </si>
  <si>
    <t>Crotonamidas y sus derivados</t>
  </si>
  <si>
    <t>Dicrotofos</t>
  </si>
  <si>
    <t>N.N'-Dimetilurea.</t>
  </si>
  <si>
    <t>Carisoprodol</t>
  </si>
  <si>
    <t>N.N'-(Diestearoil)etilendiamina (N.N'-etilen-bis-estearamida).</t>
  </si>
  <si>
    <t>Dietanolamidas de acidos grasos de C12 a C18</t>
  </si>
  <si>
    <t>Propanocarb</t>
  </si>
  <si>
    <t>- Amidas ciclicas (incluidos los carbamatos) y sus derivados; sales de estos productos:</t>
  </si>
  <si>
    <t>Carbanilida y sus derivados; sales de estos productos</t>
  </si>
  <si>
    <t>Hexanitrocarbanilidas</t>
  </si>
  <si>
    <t>Diuron</t>
  </si>
  <si>
    <t>Linuron</t>
  </si>
  <si>
    <t>Lufenuron (R.2012/93 ex-ANA)</t>
  </si>
  <si>
    <t>- - acido 2-acetamidobenzoico (acido N-acetilantranilico) y sus sales</t>
  </si>
  <si>
    <t>acido 2-acetamidobenzoico</t>
  </si>
  <si>
    <t>Acetanilida y sus derivados; sales de estos productos</t>
  </si>
  <si>
    <t>Acetanilida</t>
  </si>
  <si>
    <t>4-Aminoacetanilida</t>
  </si>
  <si>
    <t>Acetaminofeno (Paracetamol)</t>
  </si>
  <si>
    <t>Lidocaina y su clorhidrato</t>
  </si>
  <si>
    <t>2.5-Dimetoxiacetoanilida</t>
  </si>
  <si>
    <t>Anilidas de los acidos hidroxinaftoicos y sus derivados; sales de estos productos</t>
  </si>
  <si>
    <t>Carbamatos</t>
  </si>
  <si>
    <t>Carbaril</t>
  </si>
  <si>
    <t>Propoxur</t>
  </si>
  <si>
    <t>Fenmedifan</t>
  </si>
  <si>
    <t>Acetamidas y sus derivados</t>
  </si>
  <si>
    <t>Teclozan</t>
  </si>
  <si>
    <t>Atenolol; metolaclor</t>
  </si>
  <si>
    <t>Atenolol</t>
  </si>
  <si>
    <t>Metolaclor (R. 2013/93 ANA)</t>
  </si>
  <si>
    <t>Acido ioxaglico</t>
  </si>
  <si>
    <t>Iodamida</t>
  </si>
  <si>
    <t>Cloruro del acido p-acetamidobencenosulfonico</t>
  </si>
  <si>
    <t>acido ioxitalamico</t>
  </si>
  <si>
    <t>Acetoclor</t>
  </si>
  <si>
    <t>Butaclor</t>
  </si>
  <si>
    <t>Benalaxil</t>
  </si>
  <si>
    <t>Etopabato; diamfenetida (R.2012/93 ex-ANA)</t>
  </si>
  <si>
    <t>cis-4-Acetilaminodiciclohexilmetano</t>
  </si>
  <si>
    <t>Metoxibenzamidas y sus derivados; sales de estos productos</t>
  </si>
  <si>
    <t>Bromoprida</t>
  </si>
  <si>
    <t>Metoclopramida y su clorhidrato</t>
  </si>
  <si>
    <t>Propanamidas y sus derivados; sales de estos productos</t>
  </si>
  <si>
    <t>Propanil</t>
  </si>
  <si>
    <t>Flutamida</t>
  </si>
  <si>
    <t>Prilocaina y su clorhidrato</t>
  </si>
  <si>
    <t>Iobitridol</t>
  </si>
  <si>
    <t>Napropamida</t>
  </si>
  <si>
    <t>Aspartamo</t>
  </si>
  <si>
    <t>Diflubenzuron</t>
  </si>
  <si>
    <t>Metalaxil</t>
  </si>
  <si>
    <t>Triflumuron</t>
  </si>
  <si>
    <t>Buclosamida</t>
  </si>
  <si>
    <t>Benzoato de denatonio</t>
  </si>
  <si>
    <t>Naptalam</t>
  </si>
  <si>
    <t>Teflubenzurom</t>
  </si>
  <si>
    <t>Propizamida</t>
  </si>
  <si>
    <t>Dinitolmida; nitromida; clioxanida; rafoxanida; niclosamida (R.2012/93 ex-ANA)</t>
  </si>
  <si>
    <t>alfa-Fenilacetoacetamida (APAA) y sus isomeros opticos</t>
  </si>
  <si>
    <t>N-Vainillilnonanamida (pseudocapsaicina. PAVA)</t>
  </si>
  <si>
    <t>Los demÃ s</t>
  </si>
  <si>
    <t>Compuestos con funcion carboxiimida (incluida la sacarina y sus sales) o con funcion imina.</t>
  </si>
  <si>
    <t>- Imidas y sus derivados; sales de estos productos:</t>
  </si>
  <si>
    <t>Talidomida</t>
  </si>
  <si>
    <t>Procimidone</t>
  </si>
  <si>
    <t>- Iminas y sus derivados; sales de estos productos:</t>
  </si>
  <si>
    <t>Arginina y sus sales</t>
  </si>
  <si>
    <t>Aspartato de L-arginina</t>
  </si>
  <si>
    <t>Guanidina y sus derivados; sales de estos productos</t>
  </si>
  <si>
    <t>Guanidina</t>
  </si>
  <si>
    <t>N.N'-Difenilguanidina.</t>
  </si>
  <si>
    <t>Clorhexidina y sus sales</t>
  </si>
  <si>
    <t>Dodine</t>
  </si>
  <si>
    <t>Cloruro de guanidinio</t>
  </si>
  <si>
    <t>Tiocianato de guanidinio</t>
  </si>
  <si>
    <t>Amitraz</t>
  </si>
  <si>
    <t>Isetionato de pentamidina</t>
  </si>
  <si>
    <t>N-(3.7-Dimetil-7-hidroxioctiliden)antranilato de metilo</t>
  </si>
  <si>
    <t>Formetanato</t>
  </si>
  <si>
    <t>N.N'-Bis(isopropil)etilendiimina.</t>
  </si>
  <si>
    <t>N.N'-Bis(ter-butil)etilendiimina.</t>
  </si>
  <si>
    <t>Compuestos con funcion nitrilo.</t>
  </si>
  <si>
    <t>- Fenproporex (DCI) y sus sales; intermedio de la metadona (DCI) (4-ciano-2-dimetilamino- 4.4-difenilbutano)</t>
  </si>
  <si>
    <t>Fenproporex y sus sales</t>
  </si>
  <si>
    <t>Fenproporex</t>
  </si>
  <si>
    <t>Intermedio de la metadona</t>
  </si>
  <si>
    <t>Verapamilo y sus sales</t>
  </si>
  <si>
    <t>Verapamilo</t>
  </si>
  <si>
    <t>Alcohol alfa-ciano-3-fenoxibencilico y sus derivados; esteres de estos productos</t>
  </si>
  <si>
    <t>Alcohol alfa-ciano-3-fenoxibencilico</t>
  </si>
  <si>
    <t>Ciflutrin</t>
  </si>
  <si>
    <t>Cipermetrina</t>
  </si>
  <si>
    <t>Deltametrina</t>
  </si>
  <si>
    <t>Fenvalerato</t>
  </si>
  <si>
    <t>Cialotrin ("cyhalothrin")</t>
  </si>
  <si>
    <t>Alfametrina</t>
  </si>
  <si>
    <t>Betaciflutrina</t>
  </si>
  <si>
    <t>Esfenvalerato</t>
  </si>
  <si>
    <t>Taufluvalinato</t>
  </si>
  <si>
    <t>Sales del intermedio de la metadona</t>
  </si>
  <si>
    <t>Adiponitrilo (1.4-dicianobutano)</t>
  </si>
  <si>
    <t>Cianhidrina de acetona (acetona cianhidrina)</t>
  </si>
  <si>
    <t>Closantel</t>
  </si>
  <si>
    <t>Clorotalonil</t>
  </si>
  <si>
    <t>Cianoacrilatos de etilo</t>
  </si>
  <si>
    <t>Cianuro de Bromobencilo (R.2020/93 y R. 3115/94 ex-ANA)</t>
  </si>
  <si>
    <t>o-Clorobencilidenemalononitrilo (R. 3115/94 ex-ANA)</t>
  </si>
  <si>
    <t>Bromoxinil</t>
  </si>
  <si>
    <t>Ioxinil</t>
  </si>
  <si>
    <t>Cianuro de bencilo (R.2020/93 ex-ANA)</t>
  </si>
  <si>
    <t>alfa-Fenilacetoacetonitrilo y sus isomeros opticos</t>
  </si>
  <si>
    <t>En disolucion acuosa con una concentracion inferior o igual al 30% P/V.</t>
  </si>
  <si>
    <t>Cianuro de 4-cloro bencilo</t>
  </si>
  <si>
    <t>alfa-Clorobencilidenmalononitrilo</t>
  </si>
  <si>
    <t>Compuestos diazoicos. azoicos o azoxi.</t>
  </si>
  <si>
    <t>Compuestos diazoicos</t>
  </si>
  <si>
    <t>Diazodinitrofenol (DDNP.4.6-dinitrobenceno-2-diazo-1-oxido)</t>
  </si>
  <si>
    <t>Compuestos azoicos</t>
  </si>
  <si>
    <t>Azodicarbonamida</t>
  </si>
  <si>
    <t>Compuestos azoxi</t>
  </si>
  <si>
    <t>Derivados organicos de la hidrazina o de la hidroxilamina.</t>
  </si>
  <si>
    <t>Acetoxima y sus derivados; sales de estos productos</t>
  </si>
  <si>
    <t>Metiletilacetoxima</t>
  </si>
  <si>
    <t>Carbidopa</t>
  </si>
  <si>
    <t>2-Hidrazinoetanol</t>
  </si>
  <si>
    <t>Fenilhidrazina y sus derivados</t>
  </si>
  <si>
    <t>Fenilhidrazina</t>
  </si>
  <si>
    <t>Derivados</t>
  </si>
  <si>
    <t>Daminozide</t>
  </si>
  <si>
    <t>Robenidina (R.2012/93 ex-ANA)</t>
  </si>
  <si>
    <t>Metilhidrazina (monometilhidrazina. MMH); N.N-dimetilhidrazina (1.1-Dimetilhidrazina; dimetilhidrazina asimetrica; UDMH)</t>
  </si>
  <si>
    <t>Metilhidrazina (monometilhidrazina. MMH) (Dto. 603/92)</t>
  </si>
  <si>
    <t>N.N-Dimetilhidrazina (1.1-dimetilhidrazina; dimetilhidrazina asimetrica; UDMH) (Dto. 603/92)</t>
  </si>
  <si>
    <t>Compuestos con otras funciones nitrogenadas.</t>
  </si>
  <si>
    <t>Diisocianato de difenilmetano</t>
  </si>
  <si>
    <t>Diisocianatos de tolueno</t>
  </si>
  <si>
    <t>Mezcla de isomeros</t>
  </si>
  <si>
    <t>Diisocianato de Tolueno 80:20. con tolerancias entre 82-78 y entre 18-22 de sus isomeros constitutivos</t>
  </si>
  <si>
    <t>Isocianato de 3.4-diclorofenilo</t>
  </si>
  <si>
    <t>acido ciclamico y sus sales</t>
  </si>
  <si>
    <t>N.N-Dialquilfosforoamidatos y sus derivados</t>
  </si>
  <si>
    <t>Dihalogenuros de N.N-dialquilfosforoamidatos. con grupos alquilo de C1 a C3</t>
  </si>
  <si>
    <t>Dicloruro N.N-dimetilaminofosforilo (Dto. 603/92)</t>
  </si>
  <si>
    <t>N.N-Dialquilfosforoamidatos de dialquilo. con grupos alquilo de C1 a C3</t>
  </si>
  <si>
    <t>N.N-Dimetilfosforoamidato de dietilo</t>
  </si>
  <si>
    <t>Nitroguanidina; 4-Guanil-1-(nitrosoaminoguanil)-1-tetraceno; 1.3.5-Triazido-2.4.6-trinitrobenceno</t>
  </si>
  <si>
    <t>Nitroguanidina</t>
  </si>
  <si>
    <t>4-Guanil-1-(nitrosoaminoguanil)-1-tetraceno</t>
  </si>
  <si>
    <t>1.3.5-Triazido-2.4.6-trinitrobenceno</t>
  </si>
  <si>
    <t>Los demas. comprendidos en el Anexo de la Ley 24.534 (Armas Quimicas) y modificatorias.</t>
  </si>
  <si>
    <t>Tiocompuestos organicos.</t>
  </si>
  <si>
    <t>Tiocarbamatos</t>
  </si>
  <si>
    <t>EPTC</t>
  </si>
  <si>
    <t>Cartap</t>
  </si>
  <si>
    <t>Tiobencarb (dietiltiocarbamato de S-4- clorobencilo)</t>
  </si>
  <si>
    <t>Butilato</t>
  </si>
  <si>
    <t>Pebulate</t>
  </si>
  <si>
    <t>Vernolate</t>
  </si>
  <si>
    <t>Ditiocarbamatos</t>
  </si>
  <si>
    <t>Ziram; dimetilditiocarbamato de sodio</t>
  </si>
  <si>
    <t>Ziram (R. 2013/93 ANA)</t>
  </si>
  <si>
    <t>Dimetilditiocarbamato de sodio</t>
  </si>
  <si>
    <t>Dietilditiocarbamato de cinc</t>
  </si>
  <si>
    <t>Dibutilditiocarbamato de cinc</t>
  </si>
  <si>
    <t>Metam Sodio</t>
  </si>
  <si>
    <t>Ferbam</t>
  </si>
  <si>
    <t>- Mono-. di- o tetrasulfuros de tiourama</t>
  </si>
  <si>
    <t>Monosulfuros</t>
  </si>
  <si>
    <t>De tetrametiltiourama</t>
  </si>
  <si>
    <t>Sulfiram</t>
  </si>
  <si>
    <t>Disulfuros</t>
  </si>
  <si>
    <t>Thiram</t>
  </si>
  <si>
    <t>Disulfiram</t>
  </si>
  <si>
    <t>DL-Metionina. con un contenido de cenizas sulfatadas superior al 0.1 % en peso</t>
  </si>
  <si>
    <t>-2-(N.N-Dietilamino)etanotiol</t>
  </si>
  <si>
    <t>- Aldicarb (ISO). captafol (ISO) y metamidofos (ISO)</t>
  </si>
  <si>
    <t>Aldicarb</t>
  </si>
  <si>
    <t>Captafol</t>
  </si>
  <si>
    <t>Metamidofos</t>
  </si>
  <si>
    <t>Tioles y sus derivados; sales de estos productos</t>
  </si>
  <si>
    <t>acido tioglicolico y sus sales</t>
  </si>
  <si>
    <t>Cisteina</t>
  </si>
  <si>
    <t>N.N-Dialquil-2-aminoetanotiol. con grupos alquilo de C1 a C3 y sus sales protonadas</t>
  </si>
  <si>
    <t>N.N-Diisopropil-2-aminoetanotiol</t>
  </si>
  <si>
    <t>Clorhidrato de N.N-Diisopropil- 2-aminoetanotiol</t>
  </si>
  <si>
    <t>Tioamidas y sus derivados; sales de estos productos</t>
  </si>
  <si>
    <t>Tiourea</t>
  </si>
  <si>
    <t>Tiofanato-Metilo</t>
  </si>
  <si>
    <t>4-Metil-3-tiosemicarbazida</t>
  </si>
  <si>
    <t>Tiofanato (R.2012 ex-ANA)</t>
  </si>
  <si>
    <t>Tioeteres. tioesteres y sus derivados. excepto los productos de la subpartida regional 2930.90.8; sales de estos productos</t>
  </si>
  <si>
    <t>2-(Etiltio)etanol. con una concentracion superior o igual al 98 % en peso</t>
  </si>
  <si>
    <t>3-(Metiltio)propanal</t>
  </si>
  <si>
    <t>Clorotioformiato de S-etilo</t>
  </si>
  <si>
    <t>acido 2-hidroxi-4-(metiltio)butanoico y su sal calcica</t>
  </si>
  <si>
    <t>acido 2-hidroxi-4-(metiltio)butanoico (metionina hidroxianaloga) (R.2012/93 ex-ANA)</t>
  </si>
  <si>
    <t>Sal calcica</t>
  </si>
  <si>
    <t>Metomil</t>
  </si>
  <si>
    <t>Carbocisteina</t>
  </si>
  <si>
    <t>4-Sulfatoetilsulfonil-2.5-dimetoxianilina; 4-sulfatoetilsulfonil-2-metoxi-5- metilanilina; 4-sulfatoetilsulfonil-2- metoxianilina</t>
  </si>
  <si>
    <t>Cletodim</t>
  </si>
  <si>
    <t>Etiofencarb</t>
  </si>
  <si>
    <t>Fenamifos</t>
  </si>
  <si>
    <t>Fention</t>
  </si>
  <si>
    <t>Metiocarb</t>
  </si>
  <si>
    <t>Tiodicarb</t>
  </si>
  <si>
    <t>Setoxidim</t>
  </si>
  <si>
    <t>Febantel; netobimina (R.2012/93 ex-ANA)</t>
  </si>
  <si>
    <t>Fosforotioatos y sus derivados; sales de estos productos</t>
  </si>
  <si>
    <t>Fosforotioato de O.O-dietilo y de S-[2-(dietilamino)etilo] y sus sales alquiladas o protonadas</t>
  </si>
  <si>
    <t>Fosforotioato de O.O-dimetilo y de S-[2-(1-metilcarbamoiletiltio)etilo] (vamidotion)</t>
  </si>
  <si>
    <t>Fosforotioato de O-(4-bromo-2-clorofenilo). O-etilo y de S-propilo (profenofos)</t>
  </si>
  <si>
    <t>Ometoato</t>
  </si>
  <si>
    <t>Fosforotioato de O.O-dietilo</t>
  </si>
  <si>
    <t>Fosforoditioatos y sus derivados; sales de estos productos</t>
  </si>
  <si>
    <t>Forato</t>
  </si>
  <si>
    <t>Disulfoton</t>
  </si>
  <si>
    <t>Etion</t>
  </si>
  <si>
    <t>Dimetoato</t>
  </si>
  <si>
    <t>Fosforoditioato de O.O-dimetilo y de S-[2-(etiltio)etilo] (tiometon)</t>
  </si>
  <si>
    <t>Etoprop</t>
  </si>
  <si>
    <t>Fentoato</t>
  </si>
  <si>
    <t>Fosmet</t>
  </si>
  <si>
    <t>Mercaptotion</t>
  </si>
  <si>
    <t>Fosforoditioato de O.O-dietilo</t>
  </si>
  <si>
    <t>Fosforoamidotioatos y sus derivados; sales de estos productos</t>
  </si>
  <si>
    <t>Acefato</t>
  </si>
  <si>
    <t>Sulfonas</t>
  </si>
  <si>
    <t>Tiaprida</t>
  </si>
  <si>
    <t>Bicalutamida</t>
  </si>
  <si>
    <t>Tetradifon</t>
  </si>
  <si>
    <t>Sulfuro de 2-cloroetilo y clorometilo; sulfuro de bis(2-cloroetilo); bis(2-cloroetiltio)metano; 1.2-bis(2-cloroetiltio)etano; 1.3-bis(2-cloroetiltio)-n-propano; 1.4-bis(2-cloroetiltio)-n- butano; 1.5-bis(2-cloroetiltio)-n-pentano; oxido de bis(2-cloroetiltiometilo); oxido de bis(2- cloroetiltioetilo)</t>
  </si>
  <si>
    <t>Sulfuro de 2-cloroetilo y clorometilo</t>
  </si>
  <si>
    <t>Sulfuro de bis(2-cloroetilo)</t>
  </si>
  <si>
    <t>Bis(2-cloroetiltio)metano</t>
  </si>
  <si>
    <t>1.2-Bis(2-cloroetiltio)etano</t>
  </si>
  <si>
    <t>1.3-Bis(2-cloroetiltio)-n-propano</t>
  </si>
  <si>
    <t>1.4-Bis(2-cloroetiltio)-n-butano</t>
  </si>
  <si>
    <t>1.5-Bis(2-cloroetiltio)-n-pentano</t>
  </si>
  <si>
    <t>Oxido de bis(2-cloroetiltiometilo)</t>
  </si>
  <si>
    <t>Oxido de bis(2-cloroetiltioetilo)</t>
  </si>
  <si>
    <t>Captan</t>
  </si>
  <si>
    <t>Metilen-bis-(tiocianato)</t>
  </si>
  <si>
    <t>Dimetiltiofosforoamida</t>
  </si>
  <si>
    <t>Etilditiofosfonato de O-etilo y de S-fenilo(fonofos)</t>
  </si>
  <si>
    <t>Hidrogenoalquil(de C1 a C3) fosfonotioatos de [S-2-(dialquil(de C1 a C3)amino)etilo]; sus esteres de O-alquilo (de hasta C10. incluidos los cicloalquilos); sus sales alquiladas o protonadas</t>
  </si>
  <si>
    <t>S-(2-(Diisopropilamino)etil) metilfosfonotioato de O-etilo(VX) (R. 3115/94 ex-ANA)</t>
  </si>
  <si>
    <t>Otros compuestos que contengan un atomo de fosforo unido a un grupo alquilo (de C1 a C3). sin otros atomos de carbono</t>
  </si>
  <si>
    <t>Ditiocarbonatos (xantatos y xantogenatos)</t>
  </si>
  <si>
    <t>Folpet</t>
  </si>
  <si>
    <t>Merfos</t>
  </si>
  <si>
    <t>Tritiodef</t>
  </si>
  <si>
    <t>Los demas compuestos organo-inorganicos.</t>
  </si>
  <si>
    <t>- Los demas derivados organo-fosforicos:</t>
  </si>
  <si>
    <t>--3-(Trihidroxisilil)propil metilfosfonato de sodio</t>
  </si>
  <si>
    <t>--2.4.6-Trioxido de 2.4.6-tripropil-1.3.5.2.4.6-trioxatrifosfinano</t>
  </si>
  <si>
    <t>--Metilfosfonato de bis[(5-etil-2-metil-2-oxido-1.3.2- dioxafosfinan- 5-il)metilo</t>
  </si>
  <si>
    <t>--Metilfosfonato de bis[(5-etil-2-metil-2-oxido-1.3.2- dioxafosfinan-5-il)metilo]</t>
  </si>
  <si>
    <t>--Sal del acido metilfosfonico y de (aminoiminometil)urea (1 : 1)</t>
  </si>
  <si>
    <t>Compuestos mencionados a continuacion: acido clodronico y su sal disodica; acido fosfonometiliminodiacetico; acido trimetilfosfonico; difenilfosfonato (4.4'-bis[(dimetoxifosfinil)metil]difenilo); etefon; etidronato disodico; glifosato y su sal de monoisopropilamina; fotemustina; glufosinato de amonio; hidrogenofosfonato de bis (2-etilhexilo); triclorfon</t>
  </si>
  <si>
    <t>Etefon; difenilfosfonato(4.4'-bis[(dimetoxifosfinil)metil]difenilo)</t>
  </si>
  <si>
    <t>Etefon</t>
  </si>
  <si>
    <t>Difenilfosfonato (4.4- bis[(dimetoxifosfinil)metil]difenilo).</t>
  </si>
  <si>
    <t>Glifosato y su sal de monoisopropilamina</t>
  </si>
  <si>
    <t>Glifosato</t>
  </si>
  <si>
    <t>Sal de monoisopropilamina</t>
  </si>
  <si>
    <t>Etidronato disodico</t>
  </si>
  <si>
    <t>Triclorfon</t>
  </si>
  <si>
    <t>Glufosinato de amonio</t>
  </si>
  <si>
    <t>Hidrogenofosfonato de bis(2-etilhexilo)</t>
  </si>
  <si>
    <t>acido fosfonometiliminodiacetico; acido trimetilfosfonico</t>
  </si>
  <si>
    <t>acido fosfonometiliminodiacetico</t>
  </si>
  <si>
    <t>acido trimetilfosfonico</t>
  </si>
  <si>
    <t>acido clodronico y su sal disodica; a fotemustina</t>
  </si>
  <si>
    <t>Alquil(de C1 a C3) fosfonofluoridatos de O-alquilo (de hasta C10. incluidos los cicloalquilos)</t>
  </si>
  <si>
    <t>Metilfosfonofluoridato de O-isopropilo(SARIN) (R. 3115/94 ex ANA)</t>
  </si>
  <si>
    <t>Metilfosfonofluoridato de O-pinacolilo (SOMAN) (R. 3115/94 ex ANA)</t>
  </si>
  <si>
    <t>Metilfosfonocloridato de O-isopropilo</t>
  </si>
  <si>
    <t>Metilfosfonocloridato de O-pinacolilo</t>
  </si>
  <si>
    <t>Difluoruros de alquilfosfonilo. con grupo alquilo de C1 a C3</t>
  </si>
  <si>
    <t>Difluoruro de metilfosfonilo</t>
  </si>
  <si>
    <t>Difluoruro de etilfosfonilo</t>
  </si>
  <si>
    <t>Hidrogenoalquil(de C1 a C3) fosfonitos de [O-2-(dialquil(de C1 a C3)amino)etilo]; sus esteres de O-alquilo (de hasta C10. incluidos los cicloalquilos); sus sales alquiladas o protonadas</t>
  </si>
  <si>
    <t>Metilfosfonito de O-etil-2-diisopropilaminoetilo (Dto. 603/92)</t>
  </si>
  <si>
    <t>Dicloruro de metilfosfonilo</t>
  </si>
  <si>
    <t>Dicloruro de etilfosfinilo</t>
  </si>
  <si>
    <t>Dicloruro de etilfosfonilo</t>
  </si>
  <si>
    <t>Dicloruro de metilfosfinilo</t>
  </si>
  <si>
    <t>Difluoruro de etilfosfinilo</t>
  </si>
  <si>
    <t>Difluoruro de metilfosfinilo</t>
  </si>
  <si>
    <t>acido metilfosfonico</t>
  </si>
  <si>
    <t>N.N-Dialquil(de C1 a C3) fosforoamidocianidatos de O-alquilo (de hasta C10. incluidos los cicloalquilos)</t>
  </si>
  <si>
    <t>N.N-Dimetilfosforamidocianidato de O-etilo (TABUN) (R. 3115/94 ex ANA)</t>
  </si>
  <si>
    <t>Derivados del glifosato</t>
  </si>
  <si>
    <t>acido alendronico y su sal disodica</t>
  </si>
  <si>
    <t>acido alendronico</t>
  </si>
  <si>
    <t>Sal disodica</t>
  </si>
  <si>
    <t>Sustancias quimicas sujetas a control por Dto. 603/92 o R. 3115/94 ex ANA y modificatorias.</t>
  </si>
  <si>
    <t>Etil-metilfosfonito de O-etil-2-isopropilamino</t>
  </si>
  <si>
    <t>acido metilfosfinico; metilfosfinato de butilo</t>
  </si>
  <si>
    <t>acido metilfosfinico</t>
  </si>
  <si>
    <t>Metilfosfinato de butilo</t>
  </si>
  <si>
    <t>Etilfosfonato de dimetilo</t>
  </si>
  <si>
    <t>Metilfosfonito de dietilo; metilfosfonato de dietilo</t>
  </si>
  <si>
    <t>Metilfosfonito de dietilo</t>
  </si>
  <si>
    <t>Metilfosfonato de dietilo</t>
  </si>
  <si>
    <t>Pamidronato disodico</t>
  </si>
  <si>
    <t>Compuestos organo-silicicos</t>
  </si>
  <si>
    <t>Bis(trimetilsilil)urea</t>
  </si>
  <si>
    <t>Hexametildisiloxano</t>
  </si>
  <si>
    <t>Octametiltrisiloxano</t>
  </si>
  <si>
    <t>Octametilciclotetrasiloxano</t>
  </si>
  <si>
    <t>Decametilciclopentasiloxano</t>
  </si>
  <si>
    <t>Compuestos organo-estannicos</t>
  </si>
  <si>
    <t>Acetato de trifenilestaño</t>
  </si>
  <si>
    <t>Tetraoctilestaño</t>
  </si>
  <si>
    <t>Cihexatin</t>
  </si>
  <si>
    <t>Hidroxido de trifenilestaño</t>
  </si>
  <si>
    <t>Oxido de fembutatin (oxido de "fenbutatin")</t>
  </si>
  <si>
    <t>Sales de dimetilestaño. dibutilestaño y dioctilestaño. de los acidos carboxilicos o tioglicolicos y sus esteres</t>
  </si>
  <si>
    <t>Sales de acidos carboxilicos</t>
  </si>
  <si>
    <t>De dimetilestaño</t>
  </si>
  <si>
    <t>De dibutilestaño</t>
  </si>
  <si>
    <t>De dioctilestaño</t>
  </si>
  <si>
    <t>Sales de acidos tioglicolicos</t>
  </si>
  <si>
    <t>Compuestos organo-arseniados</t>
  </si>
  <si>
    <t>acido metilarsinico y sus sales</t>
  </si>
  <si>
    <t>2-Clorovinil-dicloroarsina</t>
  </si>
  <si>
    <t>Bis(2-clorovinil)cloroarsina</t>
  </si>
  <si>
    <t>Tris(2-clorovinil)arsina</t>
  </si>
  <si>
    <t>acido arsanilico. sus sales y derivados y acido 4-hidroxi-3-nitro-bencenarsonico. sus sales y derivados ambos utilizados en formulaciones de medicina veterinaria (R.2012/93 ex-ANA)</t>
  </si>
  <si>
    <t>Compuestos organo-aluminicos</t>
  </si>
  <si>
    <t>Tricloruro de etilaluminio (sesquicloruro de etilaluminio)</t>
  </si>
  <si>
    <t>Cloruro de dietilaluminio</t>
  </si>
  <si>
    <t>Hierro carbonilo</t>
  </si>
  <si>
    <t>Compuestos heterociclicos con heteroatomo(s) de oxigeno exclusivamente.</t>
  </si>
  <si>
    <t>- Compuestos cuya estructura contenga un ciclo furano (incluso hidrogenado). sin condensar:</t>
  </si>
  <si>
    <t>Alcohol furfurilico</t>
  </si>
  <si>
    <t>Alcohol tetrahidrofurfurilico</t>
  </si>
  <si>
    <t>Ranitidina y sus sales</t>
  </si>
  <si>
    <t>Ranitidina</t>
  </si>
  <si>
    <t>Nafronil</t>
  </si>
  <si>
    <t>Nitrovin</t>
  </si>
  <si>
    <t>Bioresmetrina</t>
  </si>
  <si>
    <t>Diacetato de 5-nitrofurfurilideno (NFDA)</t>
  </si>
  <si>
    <t>Nitrofurazona utilizada en formulaciones de medicina veterinaria (R.2012/93 ex-ANA)</t>
  </si>
  <si>
    <t>Furoato de dietilestilbestrol</t>
  </si>
  <si>
    <t>Cumarina. metilcumarinas y etilcumarinas</t>
  </si>
  <si>
    <t>Cumarina</t>
  </si>
  <si>
    <t>Metilcumarinas</t>
  </si>
  <si>
    <t>Etilcumarinas</t>
  </si>
  <si>
    <t>Cumafos ("Coumaphos"); fenolftaleina</t>
  </si>
  <si>
    <t>Cumafos ("coumaphos")</t>
  </si>
  <si>
    <t>Fenolftaleina</t>
  </si>
  <si>
    <t>Abamectina; ivermectina; moxidectina</t>
  </si>
  <si>
    <t>Abamectina</t>
  </si>
  <si>
    <t>Ivermectina</t>
  </si>
  <si>
    <t>Moxidectina</t>
  </si>
  <si>
    <t>Principios activos de plaguicidas agroquimicos (R 2013/93 ANA)</t>
  </si>
  <si>
    <t>Brodifacoum</t>
  </si>
  <si>
    <t>Difenacoum</t>
  </si>
  <si>
    <t>Giberelina</t>
  </si>
  <si>
    <t>Warfarina</t>
  </si>
  <si>
    <t>Doramectina; eprinomectina; gamabutirolactona; rofecoxib; undecalactona; zeranol</t>
  </si>
  <si>
    <t>Gamabutirolactona</t>
  </si>
  <si>
    <t>Undecalactona</t>
  </si>
  <si>
    <t>Zeranol; eprinomectina; doramectina (R.2012/93 ex-ANA)</t>
  </si>
  <si>
    <t>Rofecoxib</t>
  </si>
  <si>
    <t>- - 1-(1.3-Benzodioxol-5-il)propan-2-ona</t>
  </si>
  <si>
    <t>Sicotropos Lista I (R. 2017/93 ex-ANA)</t>
  </si>
  <si>
    <t>Otros sicotropos (R. 2017/93 ex-ANA)</t>
  </si>
  <si>
    <t>Eucaliptol; quercetina; dinitrato de isosorbide; carbofurano</t>
  </si>
  <si>
    <t>Eucaliptol</t>
  </si>
  <si>
    <t>Quercetina</t>
  </si>
  <si>
    <t>Dinitrato de isosorbide</t>
  </si>
  <si>
    <t>Carbofurano</t>
  </si>
  <si>
    <t>Clorhidrato de amiodarona</t>
  </si>
  <si>
    <t>1.3.4.6.7.8-Hexahidro-4.6.6.7.8.8- hexametilciclopenta-gamma-2-benzopirano</t>
  </si>
  <si>
    <t>Dibencilideno-sorbitol</t>
  </si>
  <si>
    <t>Carbosulfan ((dibutilaminotio)metilcarbamato de 2.3-dihidro-2.2-dimetilbenzofuran-7-ilo)</t>
  </si>
  <si>
    <t>Oxobetrinil</t>
  </si>
  <si>
    <t>Metil 3- (1.3-benzodioxol-5-il) -2-metil-2- oxiranocarboxilato (PMK glicidato) y sus sales</t>
  </si>
  <si>
    <t>Isomeros geometricos del isosafrol (R.2020/93 exANA)</t>
  </si>
  <si>
    <t>Benzofurano</t>
  </si>
  <si>
    <t>Acido 3-(1.3-benzodioxol-5-il)-2-metil-2-oxiranocarboxil ico y su sal sodica</t>
  </si>
  <si>
    <t>Compuestos heterociclicos con heteroatomo(s) de nitrogeno exclusivamente.</t>
  </si>
  <si>
    <t>- Compuestos cuya estructura contenga un ciclo pirazol (incluso hidrogenado). sin condensar:</t>
  </si>
  <si>
    <t>acido 1-fenil-2.3-dimetil-5-pirazolona-4-metilaminometanosulfonico y sus sales</t>
  </si>
  <si>
    <t>Dipirona</t>
  </si>
  <si>
    <t>Magnopirol ("dipirona magnesica")</t>
  </si>
  <si>
    <t>Metileno-bis (4-metilamino-1-fenil-2.3- dimetil)pirazolona</t>
  </si>
  <si>
    <t>Fenilbutazona y sus sales</t>
  </si>
  <si>
    <t>Fenilbutazona calcica</t>
  </si>
  <si>
    <t>Fenilbutazona</t>
  </si>
  <si>
    <t>Principios activos de plaguicidas agroquimicos (R. 2013/93 ANA</t>
  </si>
  <si>
    <t>Difenzoquat</t>
  </si>
  <si>
    <t>- Compuestos cuya estructura contenga un ciclo imidazol (incluso hidrogenado). sin condensar:</t>
  </si>
  <si>
    <t>Iprodiona</t>
  </si>
  <si>
    <t>Fenitoina y sus sales</t>
  </si>
  <si>
    <t>Fenitoina y su sal sodica</t>
  </si>
  <si>
    <t>Hidantoina</t>
  </si>
  <si>
    <t>Cuya estructura contenga un ciclo nitroimidazol</t>
  </si>
  <si>
    <t>2-Metil-5-nitroimidazol</t>
  </si>
  <si>
    <t>Metronidazol y sus sales</t>
  </si>
  <si>
    <t>Tinidazol</t>
  </si>
  <si>
    <t>Cuya estructura contenga un ciclo benceno clorado pero que no contenga un ciclo nitroimidazol</t>
  </si>
  <si>
    <t>Econazol y su nitrato</t>
  </si>
  <si>
    <t>Nitrato de miconazol</t>
  </si>
  <si>
    <t>Clorhidrato de clonidina</t>
  </si>
  <si>
    <t>Nitrato de isoconazol</t>
  </si>
  <si>
    <t>Clotrimazol</t>
  </si>
  <si>
    <t>Imazalil</t>
  </si>
  <si>
    <t>Cimetidina y sus sales</t>
  </si>
  <si>
    <t>Cimetidina</t>
  </si>
  <si>
    <t>4-Metil-5-hidroximetilimidazol y sus sales</t>
  </si>
  <si>
    <t>Imidazol</t>
  </si>
  <si>
    <t>Histidina y sus sales</t>
  </si>
  <si>
    <t>Ondansetron y sus sales</t>
  </si>
  <si>
    <t>1-Hidroxietil-2-undecanoilimidazolina</t>
  </si>
  <si>
    <t>1-Hidroxietil-2-(8-heptadecenoil) imidazolina</t>
  </si>
  <si>
    <t>acido zoledronico</t>
  </si>
  <si>
    <t>- Compuestos cuya estructura contenga un ciclo piridina (incluso hidrogenado). sin condensar:</t>
  </si>
  <si>
    <t>Piridina</t>
  </si>
  <si>
    <t>Piperidina (R.2020/93 ex-ANA)</t>
  </si>
  <si>
    <t>- - Alfentanilo (DCI). anileridina (DCI). bezitramida (DCI). bromazepam (DCI). cetobemidona (DCI). difenoxilato (DCI). difenoxina (DCI). dipipanona (DCI). fenciclidina (DCI) (PCP). fenoperidina (DCI). fentanilo (DCI). metilfenidato (DCI). pentazocina (DCI). petidina (DCI). intermedio A de la petidina (DCI). pipradrol (DCI). piritramida (DCI). propiram (DCI) y trimeperidina (DCI); sales de estos productos</t>
  </si>
  <si>
    <t>Alfentanilo y anileridina; sales de estos productos</t>
  </si>
  <si>
    <t>Alfentanilo</t>
  </si>
  <si>
    <t>Anileridina</t>
  </si>
  <si>
    <t>Bezitramida y bromazepam; sales de estos productos</t>
  </si>
  <si>
    <t>Bezitramida</t>
  </si>
  <si>
    <t>Bromazepam</t>
  </si>
  <si>
    <t>Sales de bezitramida</t>
  </si>
  <si>
    <t>Sales de bromazepan</t>
  </si>
  <si>
    <t>Cetobemidona y sus sales</t>
  </si>
  <si>
    <t>Difenoxilato y sus sales</t>
  </si>
  <si>
    <t>Difenoxilato</t>
  </si>
  <si>
    <t>Clorhidrato de difenoxilato</t>
  </si>
  <si>
    <t>Difenoxina y dipipanona; sales de estos productos</t>
  </si>
  <si>
    <t>Difenoxina</t>
  </si>
  <si>
    <t>Dipipanona</t>
  </si>
  <si>
    <t>Fenciclidina. fenoperidina y fentanilo; sales de estos productos</t>
  </si>
  <si>
    <t>Fenciclidina</t>
  </si>
  <si>
    <t>Fenoperidina</t>
  </si>
  <si>
    <t>Fentanilo</t>
  </si>
  <si>
    <t>Sales de fenciclidina</t>
  </si>
  <si>
    <t>Sales de fentanilo</t>
  </si>
  <si>
    <t>Sales de fenoperidina</t>
  </si>
  <si>
    <t>Metilfenidato y pentazocina; sales de estos productos</t>
  </si>
  <si>
    <t>Metilfenidato</t>
  </si>
  <si>
    <t>Pentazocina</t>
  </si>
  <si>
    <t>Petidina. intermedio A de la petidina y pipradrol; sales de estos productos</t>
  </si>
  <si>
    <t>Petidina</t>
  </si>
  <si>
    <t>Intermedio A de la petidina</t>
  </si>
  <si>
    <t>Pipradrol</t>
  </si>
  <si>
    <t>Clorhidrato de petidina</t>
  </si>
  <si>
    <t>Piritramida. propiram y trimeperidina; sales de estos productos</t>
  </si>
  <si>
    <t>Piritramida</t>
  </si>
  <si>
    <t>Propiram</t>
  </si>
  <si>
    <t>Trimeperidina</t>
  </si>
  <si>
    <t>Cuya estructura contenga fluor. bromo o ambos. en union covalente</t>
  </si>
  <si>
    <t>Droperidol</t>
  </si>
  <si>
    <t>acido niflumico</t>
  </si>
  <si>
    <t>Haloxifop (acido (RS)-2-[4-(3-cloro-5- trifluorometil-2-piridiloxi)fenoxi] propionico)</t>
  </si>
  <si>
    <t>Haloperidol</t>
  </si>
  <si>
    <t>Clorfuazuron</t>
  </si>
  <si>
    <t>Fluazipop p-butil</t>
  </si>
  <si>
    <t>Fluroxipir</t>
  </si>
  <si>
    <t>Haloxifop r metil</t>
  </si>
  <si>
    <t>Estupefacientes Lista IV (R.2017/93 ex-ANA)</t>
  </si>
  <si>
    <t>Los demas. comprendidos en el Anexo I del Decreto N°722.1991 y modificatorios</t>
  </si>
  <si>
    <t>Cuya estructura contenga cloro pero sin fluor ni bromo. en union covalente</t>
  </si>
  <si>
    <t>Picloram</t>
  </si>
  <si>
    <t>Clorpirifos</t>
  </si>
  <si>
    <t>Malato acido de cleboprida (malato de cleboprida)</t>
  </si>
  <si>
    <t>Clorhidrato de loperamida</t>
  </si>
  <si>
    <t>acido 2-(2-metil-3-cloroanilino)nicotinico y su sal de lisina</t>
  </si>
  <si>
    <t>Clorpirifos metil</t>
  </si>
  <si>
    <t>Pirifenop</t>
  </si>
  <si>
    <t>Imidacloprid</t>
  </si>
  <si>
    <t>Clopidol (R.2012/93 ex-ANA)</t>
  </si>
  <si>
    <t>Comprendidos en el Anexo I del Decreto N°722/1991 y modificatorios</t>
  </si>
  <si>
    <t>Cuya estructura contenga funciones alcohol. acido carboxilico o ambas. sin halogenos en union covalente</t>
  </si>
  <si>
    <t>Terfenadina</t>
  </si>
  <si>
    <t>Biperideno y sus sales</t>
  </si>
  <si>
    <t>Acido isonicotinico</t>
  </si>
  <si>
    <t>5-Etil-2.3-dicarboxipiridina (5-EPDC)</t>
  </si>
  <si>
    <t>Imazetapir (acido (RS)-5-etil-2-(4-isopropil- 4-metil-5-oxo-2-imidazolin-2-il)nicotinico)</t>
  </si>
  <si>
    <t>Quinuclidin-3-ol</t>
  </si>
  <si>
    <t>Imazapir</t>
  </si>
  <si>
    <t>Estupefacientes Lista IV</t>
  </si>
  <si>
    <t>Otros estupefacientes</t>
  </si>
  <si>
    <t>3-hidroxi-1-metilpiperidina (Dto.603/92)</t>
  </si>
  <si>
    <t>Acido risedronico y su sal sodica</t>
  </si>
  <si>
    <t>Acido risedronico</t>
  </si>
  <si>
    <t>Sal sodica</t>
  </si>
  <si>
    <t>Cuya estructura contenga funciones eter. ester o ambas. sin funciones alcohol o acido carboxilico ni halogenos en union covalente</t>
  </si>
  <si>
    <t>Nifedipina</t>
  </si>
  <si>
    <t>Nitrendipina</t>
  </si>
  <si>
    <t>Maleato de pirilamina</t>
  </si>
  <si>
    <t>Omeprazol</t>
  </si>
  <si>
    <t>Bencilato de 3-quinuclidinilo</t>
  </si>
  <si>
    <t>Nimodipina</t>
  </si>
  <si>
    <t>Los demas. cuya estructura contenga un ciclo piridina (incluso hidrogenado) N-sustituido con radicales alquilo o arilo</t>
  </si>
  <si>
    <t>Clorhidrato de bencetimida</t>
  </si>
  <si>
    <t>Clorhidrato de mepivacaina</t>
  </si>
  <si>
    <t>Clorhidrato de bupivacaina</t>
  </si>
  <si>
    <t>Dicloruro de paraquat</t>
  </si>
  <si>
    <t>Mepiquat cloruro</t>
  </si>
  <si>
    <t>Paraquat</t>
  </si>
  <si>
    <t>4-Anilino-N-fenetilpiperidina (ANPP)</t>
  </si>
  <si>
    <t>N-Fenetil-4-piperidona (NPP)</t>
  </si>
  <si>
    <t>Los demas. comprendidos en el Anexo I del Decreto N°722/1991 y modificatorios</t>
  </si>
  <si>
    <t>Clorhidrato de fenazopiridina</t>
  </si>
  <si>
    <t>Isoniazida</t>
  </si>
  <si>
    <t>3-Cianopiridina</t>
  </si>
  <si>
    <t>4.4'-Bipiridina.</t>
  </si>
  <si>
    <t>3-Quinuclidinona (Dto.603/92)</t>
  </si>
  <si>
    <t>4-Anilinopiperidina. su diclorhidrato y demas sales</t>
  </si>
  <si>
    <t>- Compuestos cuya estructura contenga un ciclo quinoleina o isoquinoleina (incluso hidrogenados). sin otras condensaciones:</t>
  </si>
  <si>
    <t>Levorfanol</t>
  </si>
  <si>
    <t>Derivados del acido quinolincarboxilico</t>
  </si>
  <si>
    <t>acido 2.3-quinolindicarboxilico</t>
  </si>
  <si>
    <t>Rosoxacin</t>
  </si>
  <si>
    <t>Imazaquin</t>
  </si>
  <si>
    <t>Quinclorac</t>
  </si>
  <si>
    <t>Nequinato; decoquinato (R.2012/93 ex-ANA)</t>
  </si>
  <si>
    <t>Oxamniquina</t>
  </si>
  <si>
    <t>Broxiquinolina</t>
  </si>
  <si>
    <t>Esteres del levorfanol</t>
  </si>
  <si>
    <t>Oxinato cuprico</t>
  </si>
  <si>
    <t>Oxiquinoleina</t>
  </si>
  <si>
    <t>Dextrometorfano</t>
  </si>
  <si>
    <t>- Compuestos cuya estructura contenga un ciclo pirimidina (incluso hidrogenado) o piperazina:</t>
  </si>
  <si>
    <t>- - Alobarbital (DCI). amobarbital (DCI). barbital (DCI). butalbital (DCI). butobarbital. ciclobarbital (DCI). fenobarbital (DCI). metilfenobarbital (DCI). pentobarbital (DCI). secbutabarbital (DCI). secobarbital (DCI) y vinilbital (DCI); sales de estos productos</t>
  </si>
  <si>
    <t>Alobarbital y amobarbital; sales de estos productos</t>
  </si>
  <si>
    <t>Alobarbital y sus sales</t>
  </si>
  <si>
    <t>Amobarbital y sus sales</t>
  </si>
  <si>
    <t>Barbital. butalbital y butobarbital; sales de estos productos</t>
  </si>
  <si>
    <t>Barbital y sus sales</t>
  </si>
  <si>
    <t>Butalbital y sus sales</t>
  </si>
  <si>
    <t>Butobarbital y sus sales</t>
  </si>
  <si>
    <t>Ciclobarbital y sus sales</t>
  </si>
  <si>
    <t>Fenobarbital y sus sales</t>
  </si>
  <si>
    <t>Metilfenobarbital y sus sales</t>
  </si>
  <si>
    <t>Pentobarbital y sus sales</t>
  </si>
  <si>
    <t>Secbutabarbital y secobarbital; sales de estos productos</t>
  </si>
  <si>
    <t>Secbutabarbital y sus sales</t>
  </si>
  <si>
    <t>Secobarbital y sus sales</t>
  </si>
  <si>
    <t>Vinilbital y sus sales</t>
  </si>
  <si>
    <t>- - Loprazolam (DCI). meclocualona (DCI). metacualona (DCI) y zipeprol (DCI); sales de estos productos</t>
  </si>
  <si>
    <t>Loprazolam y sus sales</t>
  </si>
  <si>
    <t>Meclocualona y sus sales</t>
  </si>
  <si>
    <t>Metacualona y sus sales</t>
  </si>
  <si>
    <t>Zipeprol y sus sales</t>
  </si>
  <si>
    <t>Cuya estructura contenga un ciclo piperazina</t>
  </si>
  <si>
    <t>Oxatomida</t>
  </si>
  <si>
    <t>Praziquantel</t>
  </si>
  <si>
    <t>Norfloxacina y su nicotinato</t>
  </si>
  <si>
    <t>Norfloxacina</t>
  </si>
  <si>
    <t>Nicotinato de norfloxacina</t>
  </si>
  <si>
    <t>Flunaricina y su diclorhidrato</t>
  </si>
  <si>
    <t>Enrofloxacina; sales de piperazina</t>
  </si>
  <si>
    <t>Clorhidrato de buspirona</t>
  </si>
  <si>
    <t>Triforine</t>
  </si>
  <si>
    <t>Sicotropos (R2017/93 ex-ANA); estupefacientes (R2017/93 ex-ANA)</t>
  </si>
  <si>
    <t>Sicotropos (R2017/93 ex-ANA)</t>
  </si>
  <si>
    <t>Otros Sicotropos</t>
  </si>
  <si>
    <t>Estupefacientes (R2017/93 ex-ANA)</t>
  </si>
  <si>
    <t>Piperazina</t>
  </si>
  <si>
    <t>Dietilcarbamacina (R.2012/93 ex-ANA)</t>
  </si>
  <si>
    <t>Cuya estructura contenga un ciclo pirimidina (incluso hidrogenado) y halogenos en union covalente</t>
  </si>
  <si>
    <t>Bromacil</t>
  </si>
  <si>
    <t>Terbacil</t>
  </si>
  <si>
    <t>Fluorouracilo</t>
  </si>
  <si>
    <t>Fenarimol</t>
  </si>
  <si>
    <t>Halofuginona (R.2012/93 ex-ANA)</t>
  </si>
  <si>
    <t>Amino-4-cloro-6-metoxipirimidina (R.2013/93 ex ANA)</t>
  </si>
  <si>
    <t>Cuya estructura contenga un ciclo pirimidina (incluso hidrogenado) y azufre. sin halogenos en union covalente</t>
  </si>
  <si>
    <t>Propiltiouracilo</t>
  </si>
  <si>
    <t>Diazinon</t>
  </si>
  <si>
    <t>Para uso veterinario (R.2012/93 ex-ANA)</t>
  </si>
  <si>
    <t>Pirazofos</t>
  </si>
  <si>
    <t>Azatioprina</t>
  </si>
  <si>
    <t>6-Mercaptopurina</t>
  </si>
  <si>
    <t>Bupirimato</t>
  </si>
  <si>
    <t>Pirimifos metil</t>
  </si>
  <si>
    <t>Cuya estructura contenga un ciclo pirimidina (incluso hidrogenado) y funciones alcohol. eter o ambas. sin halogenos en union covalente ni azufre</t>
  </si>
  <si>
    <t>Trimetoprim</t>
  </si>
  <si>
    <t>Aciclovir</t>
  </si>
  <si>
    <t>Tosilatos de dipiridamol</t>
  </si>
  <si>
    <t>Nicarbazina</t>
  </si>
  <si>
    <t>Bisulfito de menadiona dimetilpirimidinol</t>
  </si>
  <si>
    <t>Ganciclovir</t>
  </si>
  <si>
    <t>Byspiribac sodico</t>
  </si>
  <si>
    <t>Minoxidil</t>
  </si>
  <si>
    <t>2-Aminopirimidina</t>
  </si>
  <si>
    <t>Lenacil</t>
  </si>
  <si>
    <t>Pirimicarb</t>
  </si>
  <si>
    <t>Pirimidina</t>
  </si>
  <si>
    <t>Amprolio (R.2012/93 ex-ANA)</t>
  </si>
  <si>
    <t>- Compuestos cuya estructura contenga un ciclo triazina (incluso hidrogenado). sin condensar:</t>
  </si>
  <si>
    <t>Cuya estructura contenga cloro en union covalente</t>
  </si>
  <si>
    <t>2.4.6-Triclorotriazina (cloruro cianurico)</t>
  </si>
  <si>
    <t>Mercaptodicloratriazina</t>
  </si>
  <si>
    <t>Atrazina</t>
  </si>
  <si>
    <t>Simazina</t>
  </si>
  <si>
    <t>Cianazina</t>
  </si>
  <si>
    <t>Anilazina</t>
  </si>
  <si>
    <t>Diclazuril (R.2012/93 ex-ANA)</t>
  </si>
  <si>
    <t>Cuya estructura contenga funciones oxigenadas pero sin cloro en union covalente</t>
  </si>
  <si>
    <t>N.N.N-Trihidroxietilhexahidrotriazina</t>
  </si>
  <si>
    <t>Hexazinona</t>
  </si>
  <si>
    <t>Metribuzin</t>
  </si>
  <si>
    <t>Toltrazuril (R.2012/93 ex-ANA)</t>
  </si>
  <si>
    <t>Amino-4-metoxi-6-metil-1.3.5-triazina (R.2013/93 ex ANA)</t>
  </si>
  <si>
    <t>Ametrina</t>
  </si>
  <si>
    <t>Metenamina y sus sales(R.1497/98 MEOSP)</t>
  </si>
  <si>
    <t>Prometrina</t>
  </si>
  <si>
    <t>Terbutrina</t>
  </si>
  <si>
    <t>Ciromazina (R.2012/93 ex-ANA)</t>
  </si>
  <si>
    <t>Trimetilentrinitramina (Ciclonita. hexogeno)</t>
  </si>
  <si>
    <t>Triazida cianurica</t>
  </si>
  <si>
    <t>- Lactamas:</t>
  </si>
  <si>
    <t>Clobazam</t>
  </si>
  <si>
    <t>Metiprilona</t>
  </si>
  <si>
    <t>Piracetam</t>
  </si>
  <si>
    <t>Zopiclona</t>
  </si>
  <si>
    <t>Cilostazol</t>
  </si>
  <si>
    <t>Flurocloridona</t>
  </si>
  <si>
    <t>- - Alprazolam (DCI). camazepam (DCI). clonazepam (DCI). clorazepato. clordiazepoxido (DCI). delorazepam (DCI). diazepam (DCI). estazolam (DCI). fludiazepam (DCI). flunitrazepam (DCI). flurazepam (DCI). halazepam (DCI). loflazepato de etilo (DCI). lorazepam (DCI). lormetazepam (DCI). mazindol (DCI). medazepam (DCI). midazolam (DCI). nimetazepam (DCI). nitrazepam (DCI). nordazepam (DCI). oxazepam (DCI). pinazepam (DCI). pirovalerona (DCI). prazepam (DCI). temazepam (DCI). tetrazepam (DCI) y triazolam (DCI); sales de estos productos</t>
  </si>
  <si>
    <t>Alprazolam. camazepam. clonazepam. clorazepato y clordiazepoxido; sales de estos productos</t>
  </si>
  <si>
    <t>Alprazolam</t>
  </si>
  <si>
    <t>Camazepam</t>
  </si>
  <si>
    <t>Clonazepam</t>
  </si>
  <si>
    <t>Clorazepato</t>
  </si>
  <si>
    <t>Clordiazepoxido</t>
  </si>
  <si>
    <t>Delorazepam. diazepam y estazolam; sales de estos productos</t>
  </si>
  <si>
    <t>Delorazepam</t>
  </si>
  <si>
    <t>Diazepam</t>
  </si>
  <si>
    <t>Estazolam</t>
  </si>
  <si>
    <t>Fludiazepam. flunitrazepam. flurazepam y halazepam; sales de estos productos</t>
  </si>
  <si>
    <t>Fludiazepam</t>
  </si>
  <si>
    <t>Flunitrazepam</t>
  </si>
  <si>
    <t>Flurazepam</t>
  </si>
  <si>
    <t>Halazepam</t>
  </si>
  <si>
    <t>Loflazepato de etilo. lorazepam y lormetazepam; sales de estos productos</t>
  </si>
  <si>
    <t>Loflazepato de etilo</t>
  </si>
  <si>
    <t>Lorazepam</t>
  </si>
  <si>
    <t>Lormetazepam</t>
  </si>
  <si>
    <t>Mazindol. medazepam y midazolam; sales de estos productos</t>
  </si>
  <si>
    <t>Mazindol</t>
  </si>
  <si>
    <t>Medazepam</t>
  </si>
  <si>
    <t>Midazolam y sus sales</t>
  </si>
  <si>
    <t>Nimetazepam. nitrazepam. nordazepam y oxazepam; sales de estos productos</t>
  </si>
  <si>
    <t>Nimetazepam</t>
  </si>
  <si>
    <t>Nitrazepam</t>
  </si>
  <si>
    <t>Nordazepam</t>
  </si>
  <si>
    <t>Oxazepam</t>
  </si>
  <si>
    <t>Pinazepam. pirovalerona y prazepam; sales de estos productos</t>
  </si>
  <si>
    <t>Pinazepam</t>
  </si>
  <si>
    <t>Pirovalerona</t>
  </si>
  <si>
    <t>Prazepam</t>
  </si>
  <si>
    <t>Temazepam. tetrazepam y triazolam; sales de estos productos</t>
  </si>
  <si>
    <t>Temazepam</t>
  </si>
  <si>
    <t>Tetrazepam</t>
  </si>
  <si>
    <t>Triazolam</t>
  </si>
  <si>
    <t>Cuya estructura contenga un ciclo pirazina sin condensar o ciclos indol (incluso hidrogenados) sin otras condensaciones</t>
  </si>
  <si>
    <t>Pirazinamida</t>
  </si>
  <si>
    <t>Clorhidrato de amilorida</t>
  </si>
  <si>
    <t>Pindolol</t>
  </si>
  <si>
    <t>Cuya estructura contenga un ciclo diazepina (incluso hidrogenado)</t>
  </si>
  <si>
    <t>Cuya estructura contenga un ciclo azepina (incluso hidrogenado)</t>
  </si>
  <si>
    <t>Dibenzoazepina (iminoestilbeno)</t>
  </si>
  <si>
    <t>Carbamazepina</t>
  </si>
  <si>
    <t>Clorhidrato de clomipramina</t>
  </si>
  <si>
    <t>Molinate (hexahidroazepin-1-carbotioato de S-etilo)</t>
  </si>
  <si>
    <t>Hexametilenimina</t>
  </si>
  <si>
    <t>Cuya estructura contenga un ciclo pirrol (incluso hidrogenado)</t>
  </si>
  <si>
    <t>Clemastina y sus derivados; sales de estos productos</t>
  </si>
  <si>
    <t>Amisulprida</t>
  </si>
  <si>
    <t>Sultoprida</t>
  </si>
  <si>
    <t>Alizaprida</t>
  </si>
  <si>
    <t>Buflomedil y sus derivados; sales de estos productos</t>
  </si>
  <si>
    <t>Maleato de enalapril</t>
  </si>
  <si>
    <t>Ketorolac trometamina</t>
  </si>
  <si>
    <t>Cuya estructura contenga un ciclo imidazol (incluso hidrogenado)</t>
  </si>
  <si>
    <t>Benomil</t>
  </si>
  <si>
    <t>Oxfendazol</t>
  </si>
  <si>
    <t>Albendazol y su sulfoxido</t>
  </si>
  <si>
    <t>Albendazol</t>
  </si>
  <si>
    <t>Sulfoxido de albendazol</t>
  </si>
  <si>
    <t>Mebendazol</t>
  </si>
  <si>
    <t>Flubendazol</t>
  </si>
  <si>
    <t>Fembendazol</t>
  </si>
  <si>
    <t>Benciladenina</t>
  </si>
  <si>
    <t>Carbendazim</t>
  </si>
  <si>
    <t>Hemitartrato de zolpidem</t>
  </si>
  <si>
    <t>Oxibendazol; parbendazol (R.2012 ex-ANA)</t>
  </si>
  <si>
    <t>Cuya estructura contenga un ciclo triazol (incluso hidrogenado). sin condensar</t>
  </si>
  <si>
    <t>Triadimenol</t>
  </si>
  <si>
    <t>Triadimefon</t>
  </si>
  <si>
    <t>Triazofos (fosforotioato de O.O-dietilo O-(1-fenil-1H-1.2.4-triazol-3-ilo))</t>
  </si>
  <si>
    <t>Aminotriazol</t>
  </si>
  <si>
    <t>Azociclotin</t>
  </si>
  <si>
    <t>Bitertanol</t>
  </si>
  <si>
    <t>Flusilazol</t>
  </si>
  <si>
    <t>Flutriafol</t>
  </si>
  <si>
    <t>Hexaconazol</t>
  </si>
  <si>
    <t>Miclobutanil</t>
  </si>
  <si>
    <t>Paclobutrazol</t>
  </si>
  <si>
    <t>Penconazol</t>
  </si>
  <si>
    <t>Quinometionato</t>
  </si>
  <si>
    <t>Tebuconazol</t>
  </si>
  <si>
    <t>Fluconazol</t>
  </si>
  <si>
    <t>Azinfos etilico</t>
  </si>
  <si>
    <t>acido nalidixico</t>
  </si>
  <si>
    <t>Clofazimina</t>
  </si>
  <si>
    <t>Metilsulfato de amezinio</t>
  </si>
  <si>
    <t>Hidrazida maleica y sus sales</t>
  </si>
  <si>
    <t>Hidrazida maleica</t>
  </si>
  <si>
    <t>Diquat</t>
  </si>
  <si>
    <t>Propaquizafop</t>
  </si>
  <si>
    <t>Quizalofop-P-etil</t>
  </si>
  <si>
    <t>Clofentezina</t>
  </si>
  <si>
    <t>Cloridazon</t>
  </si>
  <si>
    <t>Piridafention</t>
  </si>
  <si>
    <t>Olaquindox. sus sales y sus esteres</t>
  </si>
  <si>
    <t>Ciclotetrametilenotetranitramina</t>
  </si>
  <si>
    <t>Carbadox (R.57/16 SENASA)</t>
  </si>
  <si>
    <t>acidos nucleicos y sus sales. aunque no sean de constitucion quimica definida; los demas compuestos heterociclicos.</t>
  </si>
  <si>
    <t>- Compuestos cuya estructura contenga un ciclo tiazol (incluso hidrogenado). sin condensar</t>
  </si>
  <si>
    <t>Fentiazac</t>
  </si>
  <si>
    <t>Clorhidrato de tiazolidina</t>
  </si>
  <si>
    <t>Tiabendazol</t>
  </si>
  <si>
    <t>Flubenzimina</t>
  </si>
  <si>
    <t>Hexitiazox</t>
  </si>
  <si>
    <t>Cambendazol (R.2012/93 ex-ANA)</t>
  </si>
  <si>
    <t>- Compuestos cuya estructura contenga ciclos benzotiazol (incluso hidrogenados). sin otras condensaciones</t>
  </si>
  <si>
    <t>2-Mercaptobenzotiazol y sus sales</t>
  </si>
  <si>
    <t>2.2'-Ditio-bis(benzotiazol)(disulfuro de benzotiazilo).</t>
  </si>
  <si>
    <t>Benzotiazol sulfenamidas</t>
  </si>
  <si>
    <t>2-(Terbutilaminotio)benzotiazol (N-terbutil- benzotiazol-sulfenamida)</t>
  </si>
  <si>
    <t>2-(Ciclohexilaminotio)benzotiazol (N-ciclohexil-benzotiazol-sulfenamida)</t>
  </si>
  <si>
    <t>2-(Diciclohexilaminotio)benzotiazol (N.N-diciclohexil-benzotiazol-sulfenamida)</t>
  </si>
  <si>
    <t>2-(4-Morfoliniltio)benzotiazol (N-oxidietilen-benzotiazol-sulfenamida)</t>
  </si>
  <si>
    <t>2-(Tiocianometiltio)benzotiazol (TCMTB)</t>
  </si>
  <si>
    <t>Benazolin</t>
  </si>
  <si>
    <t>- Compuestos cuya estructura contenga ciclos fenotiazina (incluso hidrogenados). sin otras condensaciones</t>
  </si>
  <si>
    <t>Maleato de metotrimeprazina (maleato de levomepromazina)</t>
  </si>
  <si>
    <t>Enantato de flufenazina</t>
  </si>
  <si>
    <t>Prometazina</t>
  </si>
  <si>
    <t>Fenotiazina (R.2012/93 ex-ANA)</t>
  </si>
  <si>
    <t>- - Aminorex (DCI). brotizolam (DCI). clotiazepam (DCI). cloxazolam (DCI). dextromoramida (DCI). fendimetrazina (DCI). fenmetrazina (DCI). haloxazolam (DCI). ketazolam (DCI). mesocarb (DCI). oxazolam (DCI). pemolina (DCI) y sufentanil (DCI); sales de estos productos</t>
  </si>
  <si>
    <t>Aminorex y brotizolam; sales de estos productos</t>
  </si>
  <si>
    <t>Aminorex y sus sales</t>
  </si>
  <si>
    <t>Brotizolam y sus sales</t>
  </si>
  <si>
    <t>Clotiazepam. cloxazolam y dextromoramida; sales de estos productos</t>
  </si>
  <si>
    <t>Clotiazepam</t>
  </si>
  <si>
    <t>Cloxazolam</t>
  </si>
  <si>
    <t>Dextromoramida</t>
  </si>
  <si>
    <t>Sales de clotiazepam</t>
  </si>
  <si>
    <t>Sales de cloxazolam</t>
  </si>
  <si>
    <t>Sales de dextromoramida</t>
  </si>
  <si>
    <t>Fendimetrazina. fenmetrazina y haloxazolam; sales de estos productos</t>
  </si>
  <si>
    <t>Fendimetrazina y sus sales</t>
  </si>
  <si>
    <t>Fenmetrazina y sus sales</t>
  </si>
  <si>
    <t>Haloxazolam y sus sales</t>
  </si>
  <si>
    <t>Ketazolam y mesocarb; sales de estos productos</t>
  </si>
  <si>
    <t>Ketazolam</t>
  </si>
  <si>
    <t>Mesocarb</t>
  </si>
  <si>
    <t>Oxazolam y sus sales</t>
  </si>
  <si>
    <t>Pemolina y sus sales</t>
  </si>
  <si>
    <t>Sufentanil y sus sales</t>
  </si>
  <si>
    <t>Cuya estructura contenga un ciclo oxazina (incluso hidrogenado) pero sin heteroatomo(s) de azufre</t>
  </si>
  <si>
    <t>Morfolina y sus sales</t>
  </si>
  <si>
    <t>Pirenoxina sodica (catalin sodico)</t>
  </si>
  <si>
    <t>Nimorazol</t>
  </si>
  <si>
    <t>Anhidrido isatoico (2H-3.1-benzoxazina-2.4-(1H)-diona)</t>
  </si>
  <si>
    <t>4.4'-Ditiodimorfolina.</t>
  </si>
  <si>
    <t>Tridemorf</t>
  </si>
  <si>
    <t>Sicotropos (R.2017/93 ex ANA)</t>
  </si>
  <si>
    <t>Intermediarios (R.2017/93 ex ANA)</t>
  </si>
  <si>
    <t>4-Nonanoilmorfolina (MPA)</t>
  </si>
  <si>
    <t>Cuya estructura contenga exclusivamente 3 heteroatomos de nitrogeno y oxigeno en conjunto. excepto los acidos nucleicos y sus sales y los productos comprendidos en la subpartida regional 2934.99.1</t>
  </si>
  <si>
    <t>Zidovudina (AZT)</t>
  </si>
  <si>
    <t>Timidina</t>
  </si>
  <si>
    <t>Furazolidona</t>
  </si>
  <si>
    <t>Ãšnicamente para uso en formulaciones de medicina veterinaria (R.2012/93 ex ANA)</t>
  </si>
  <si>
    <t>Citarabina</t>
  </si>
  <si>
    <t>Oxadiazon</t>
  </si>
  <si>
    <t>Estavudina</t>
  </si>
  <si>
    <t>Quizalofop tefuril (R.2013/93 ex ANA)</t>
  </si>
  <si>
    <t>Gemcitabina y su clorhidrato</t>
  </si>
  <si>
    <t>Los demas. cuya estructura contenga exclusivamente heteroatomos de nitrogeno y oxigeno</t>
  </si>
  <si>
    <t>Ketoconazol</t>
  </si>
  <si>
    <t>Clorhidrato de prazosina</t>
  </si>
  <si>
    <t>Talniflumato</t>
  </si>
  <si>
    <t>acidos nucleicos y sus sales</t>
  </si>
  <si>
    <t>Propiconazol</t>
  </si>
  <si>
    <t>Clomazone</t>
  </si>
  <si>
    <t>Fenoxaprop etil</t>
  </si>
  <si>
    <t>Vinclozolin</t>
  </si>
  <si>
    <t>Leflunomida</t>
  </si>
  <si>
    <t>Hexametilenotriperoxido-diamina</t>
  </si>
  <si>
    <t>Dibenzo[b.f][1.4]oxazepina (CR)</t>
  </si>
  <si>
    <t>Cuya estructura contenga exclusivamente hasta 2 heteroatomos de azufre o 1 de azufre y 1 de nitrogeno</t>
  </si>
  <si>
    <t>Tiofeno</t>
  </si>
  <si>
    <t>acido 6-aminopenicilanico</t>
  </si>
  <si>
    <t>acido 7-aminocefalosporanico</t>
  </si>
  <si>
    <t>acido 7-aminodesacetoxicefalosporanico</t>
  </si>
  <si>
    <t>Clormezanona</t>
  </si>
  <si>
    <t>9-(N-Metil-4-piperidiniliden)tioxanteno</t>
  </si>
  <si>
    <t>Cicloxidim</t>
  </si>
  <si>
    <t>Dimetifin</t>
  </si>
  <si>
    <t>Ditianon</t>
  </si>
  <si>
    <t>Cuya estructura contenga exclusivamente 3 heteroatomos de azufre y nitrogeno en conjunto</t>
  </si>
  <si>
    <t>Tebutiuron</t>
  </si>
  <si>
    <t>Tetramisol</t>
  </si>
  <si>
    <t>Levamisol y sus sales</t>
  </si>
  <si>
    <t>Levamisol</t>
  </si>
  <si>
    <t>Tioconazol</t>
  </si>
  <si>
    <t>Bentazon</t>
  </si>
  <si>
    <t>Etidimuron</t>
  </si>
  <si>
    <t>Dazomet</t>
  </si>
  <si>
    <t>Metidation</t>
  </si>
  <si>
    <t>Tidiazuron</t>
  </si>
  <si>
    <t>Los demas cuya estructura contenga exclusivamente heteroatomos de azufre o de azufre y nitrogeno</t>
  </si>
  <si>
    <t>Clorhidrato de tizanidina</t>
  </si>
  <si>
    <t>Tiociclam hidrogenoxalato</t>
  </si>
  <si>
    <t>Timolol</t>
  </si>
  <si>
    <t>Maleato acido de timolol</t>
  </si>
  <si>
    <t>Lamivudina</t>
  </si>
  <si>
    <t>Oxicarboxin</t>
  </si>
  <si>
    <t>Carboxin</t>
  </si>
  <si>
    <t>Sulfonamidas.</t>
  </si>
  <si>
    <t>-N-Etil-N-(2-hidroxietil) perfluorooctano sulfonamida</t>
  </si>
  <si>
    <t>Cuya estructura contenga heterociclo(s) con heteroatomo(s) de nitrogeno exclusivamente</t>
  </si>
  <si>
    <t>Sulfadiazina y su sal sodica</t>
  </si>
  <si>
    <t>Clortalidona</t>
  </si>
  <si>
    <t>Sulpirida</t>
  </si>
  <si>
    <t>Veraliprida</t>
  </si>
  <si>
    <t>Sulfametazina (4.6-dimetil-2- sulfanilamidopirimidina) y su sal sodica</t>
  </si>
  <si>
    <t>Clorimuron etil</t>
  </si>
  <si>
    <t>Flumetsulam</t>
  </si>
  <si>
    <t>Metsulfuron metil</t>
  </si>
  <si>
    <t>Nicosulfuron</t>
  </si>
  <si>
    <t>Primisulfuron</t>
  </si>
  <si>
    <t>Sildenafil y su citrato.</t>
  </si>
  <si>
    <t>Sildenafil</t>
  </si>
  <si>
    <t>Cuya estructura contenga otro(s) heterociclo(s)</t>
  </si>
  <si>
    <t>Furosemida</t>
  </si>
  <si>
    <t>Ftalilsulfatiazol</t>
  </si>
  <si>
    <t>Piroxicam</t>
  </si>
  <si>
    <t>Tenoxicam</t>
  </si>
  <si>
    <t>Sulfametoxazol</t>
  </si>
  <si>
    <t>Cloramina-B y cloramina-T</t>
  </si>
  <si>
    <t>Cloramina-B</t>
  </si>
  <si>
    <t>Cloramina-T</t>
  </si>
  <si>
    <t>Gliburida</t>
  </si>
  <si>
    <t>Toluensulfonamidas</t>
  </si>
  <si>
    <t>Nimesulida</t>
  </si>
  <si>
    <t>Bumetanida</t>
  </si>
  <si>
    <t>Sulfaguanidina</t>
  </si>
  <si>
    <t>Sulfluramida</t>
  </si>
  <si>
    <t>Asulam</t>
  </si>
  <si>
    <t>Bensulide</t>
  </si>
  <si>
    <t>Diclofluanid</t>
  </si>
  <si>
    <t>Fomesafen</t>
  </si>
  <si>
    <t>Provitaminas y vitaminas. naturales o reproducidas por sintesis (incluidos los concentrados naturales) y sus derivados utilizados principalmente como vitaminas. mezclados o no entre si o en disoluciones de cualquier clase.</t>
  </si>
  <si>
    <t>- Vitaminas y sus derivados. sin mezclar:</t>
  </si>
  <si>
    <t>Vitamina A1 alcohol (retinol). y sus derivados</t>
  </si>
  <si>
    <t>Vitamina A1 alcohol (retinol)</t>
  </si>
  <si>
    <t>Acetato</t>
  </si>
  <si>
    <t>Palmitato</t>
  </si>
  <si>
    <t>Vitamina A1 aldehido (retinal)</t>
  </si>
  <si>
    <t>Vitamina A1 acido (retinoico)</t>
  </si>
  <si>
    <t>Clorhidrato de vitamina B1 (clorhidrato de tiamina)</t>
  </si>
  <si>
    <t>Mononitrato de vitamina B1 (mononitrato de tiamina)</t>
  </si>
  <si>
    <t>Vitamina B1 (tiamina)</t>
  </si>
  <si>
    <t>Vitamina B2 (riboflavina)</t>
  </si>
  <si>
    <t>5'-Fosfato sodico de vitamina B2 (5'-fosfato sodico de riboflavina).</t>
  </si>
  <si>
    <t>D-pantotenato de calcio</t>
  </si>
  <si>
    <t>DL-pantotenato de calcio</t>
  </si>
  <si>
    <t>Acido pantotenico</t>
  </si>
  <si>
    <t>Vitamina B6</t>
  </si>
  <si>
    <t>Clorhidrato de piridoxina</t>
  </si>
  <si>
    <t>Vitamina B12 (cianocobalamina)</t>
  </si>
  <si>
    <t>Cobamamida</t>
  </si>
  <si>
    <t>Hidroxocobalamina y sus sales</t>
  </si>
  <si>
    <t>- - Vitamina C y sus derivados</t>
  </si>
  <si>
    <t>Vitamina C (acido L- o DL-ascorbico)</t>
  </si>
  <si>
    <t>Ascorbato de sodio</t>
  </si>
  <si>
    <t>D- o DL-alfa-Tocoferol y sus derivados</t>
  </si>
  <si>
    <t>D- o DL-alfa-Tocoferol</t>
  </si>
  <si>
    <t>Acetato de D- o de DL-alfa-tocoferol</t>
  </si>
  <si>
    <t>Vitamina B9 (acido folico). y sus derivados</t>
  </si>
  <si>
    <t>Vitamina B9 (acido folico) y sus sales</t>
  </si>
  <si>
    <t>Vitaminas D y sus derivados</t>
  </si>
  <si>
    <t>Vitamina D3 (colecalciferol)</t>
  </si>
  <si>
    <t>Vitamina H (biotina) y sus derivados</t>
  </si>
  <si>
    <t>Vitamina H (biotina)</t>
  </si>
  <si>
    <t>Vitaminas K y sus derivados</t>
  </si>
  <si>
    <t>Acido nicotinico y sus derivados</t>
  </si>
  <si>
    <t>Acido nicotinico</t>
  </si>
  <si>
    <t>Nicotinamida</t>
  </si>
  <si>
    <t>Nicotinato de sodio</t>
  </si>
  <si>
    <t>Mezclas de vitaminas A y D</t>
  </si>
  <si>
    <t>Las demas mezclas de vitaminas</t>
  </si>
  <si>
    <t>Hormonas. prostaglandinas. tromboxanos y leucotrienos. naturales o reproducidos por sintesis; sus derivados y analogos estructurales. incluidos los polipeptidos de cadena modificada. utilizados principalmente como hormonas.</t>
  </si>
  <si>
    <t>- Hormonas polipeptidicas. hormonas proteicas y hormonas glucoproteicas. sus derivados y analogos estructurales:</t>
  </si>
  <si>
    <t>ACTH (corticotropina)</t>
  </si>
  <si>
    <t>HCG (gonadotropina corionica)</t>
  </si>
  <si>
    <t>PMSG (gonadotropina serica)</t>
  </si>
  <si>
    <t>Menotropinas</t>
  </si>
  <si>
    <t>Oxitocina</t>
  </si>
  <si>
    <t>- Hormonas esteroideas. sus derivados y analogos estructurales:</t>
  </si>
  <si>
    <t>Cortisona</t>
  </si>
  <si>
    <t>Hidrocortisona</t>
  </si>
  <si>
    <t>Prednisona (dehidrocortisona)</t>
  </si>
  <si>
    <t>Prednisolona (dehidrohidrocortisona)</t>
  </si>
  <si>
    <t>Dexametasona y sus acetatos</t>
  </si>
  <si>
    <t>21 - Acetato de dexametasona</t>
  </si>
  <si>
    <t>Triamcinolona y sus derivados</t>
  </si>
  <si>
    <t>Acetonido de triamcinolona</t>
  </si>
  <si>
    <t>Fluocortolona y sus derivados</t>
  </si>
  <si>
    <t>Valerato de diflucortolona</t>
  </si>
  <si>
    <t>21 - Fosfato de dexametasona disodico</t>
  </si>
  <si>
    <t>Medroxiprogesterona y sus derivados</t>
  </si>
  <si>
    <t>Norgestrel y sus derivados</t>
  </si>
  <si>
    <t>L-Norgestrel(levonorgestrel)</t>
  </si>
  <si>
    <t>DL-Norgestrel</t>
  </si>
  <si>
    <t>Estriol. sus esteres y sus sales</t>
  </si>
  <si>
    <t>Estriol y su succinato</t>
  </si>
  <si>
    <t>Estradiol. sus esteres y sus sales; derivados de estos productos</t>
  </si>
  <si>
    <t>Hemisuccinato de estradiol</t>
  </si>
  <si>
    <t>Fempropionato de estradiol(17-(3-fenilpropionato) de estradiol)</t>
  </si>
  <si>
    <t>Alilestrenol. sus esteres y sus sales</t>
  </si>
  <si>
    <t>Alilestrenol</t>
  </si>
  <si>
    <t>Desogestrel</t>
  </si>
  <si>
    <t>Linestrenol</t>
  </si>
  <si>
    <t>Gestodene</t>
  </si>
  <si>
    <t>Estrogenos</t>
  </si>
  <si>
    <t>Progestogenos</t>
  </si>
  <si>
    <t>Acetato de melengestrol (R.2012/93 ex-ANA)</t>
  </si>
  <si>
    <t>Metilprednisolona y sus derivados</t>
  </si>
  <si>
    <t>21-Succinato sodico de hidrocortisona</t>
  </si>
  <si>
    <t>Ciproterona y sus derivados</t>
  </si>
  <si>
    <t>Acetato de ciproterona</t>
  </si>
  <si>
    <t>Mesterolona y sus derivados</t>
  </si>
  <si>
    <t>Espironolactona</t>
  </si>
  <si>
    <t>Deflazacorte</t>
  </si>
  <si>
    <t>Undecilenato de boldenona; nandrolona; trenbolona</t>
  </si>
  <si>
    <t>Tiratricol(triac) y su sal sodica</t>
  </si>
  <si>
    <t>Levotiroxina sodica</t>
  </si>
  <si>
    <t>Liotironina sodica</t>
  </si>
  <si>
    <t>Heterosidos. naturales o reproducidos por sintesis. sus sales. eteres. esteres y demas derivados.</t>
  </si>
  <si>
    <t>Deslanosido</t>
  </si>
  <si>
    <t>Esteviosido</t>
  </si>
  <si>
    <t>Saponinas</t>
  </si>
  <si>
    <t>Bioflavonoides</t>
  </si>
  <si>
    <t>Etoposido</t>
  </si>
  <si>
    <t>Alcaloides. naturales o reproducidos por sintesis. sus sales. eteres. esteres y demas derivados.</t>
  </si>
  <si>
    <t>- Alcaloides del opio y sus derivados; sales de estos productos:</t>
  </si>
  <si>
    <t>- - Concentrados de paja de adormidera; buprenorfina (DCI). codeina. dihidrocodeina (DCI). etilmorfina. etorfina (DCI). folcodina (DCI). heroina. hidrocodona (DCI). hidromorfona (DCI). morfina. nicomorfina (DCI). oxicodona (DCI). oximorfona (DCI). tebacona (DCI) y tebaina; sales de estos productos</t>
  </si>
  <si>
    <t>Buprenorfina. codeina y dihidrocodeina; sales de estos productos</t>
  </si>
  <si>
    <t>Buprenorfina y sus sales</t>
  </si>
  <si>
    <t>Codeina y sus sales</t>
  </si>
  <si>
    <t>Dihidrocodeina y sus sales</t>
  </si>
  <si>
    <t>Etilmorfina y etorfina; sales de estos productos</t>
  </si>
  <si>
    <t>Etilmorfina y sus sales</t>
  </si>
  <si>
    <t>Etorfina y sus sales</t>
  </si>
  <si>
    <t>Folcodina y sus sales</t>
  </si>
  <si>
    <t>Heroina. hidrocodona e hidromorfona; sales de estos productos</t>
  </si>
  <si>
    <t>Heroina y sus sales</t>
  </si>
  <si>
    <t>Hidrocodona y sus sales</t>
  </si>
  <si>
    <t>Hidromorfona y sus sales</t>
  </si>
  <si>
    <t>Morfina y sus sales</t>
  </si>
  <si>
    <t>Morfina</t>
  </si>
  <si>
    <t>Clorhidrato y sulfato de morfina</t>
  </si>
  <si>
    <t>Nicomorfina y sus sales</t>
  </si>
  <si>
    <t>Oxicodona y oximorfona; sales de estos productos</t>
  </si>
  <si>
    <t>Oxicodona y sus sales</t>
  </si>
  <si>
    <t>Oximorfona y sus sales</t>
  </si>
  <si>
    <t>Tebacona y tebaina; sales de estos productos</t>
  </si>
  <si>
    <t>Tebacona y sus sales</t>
  </si>
  <si>
    <t>Tebaina y sus sales</t>
  </si>
  <si>
    <t>Oripavina</t>
  </si>
  <si>
    <t>Quinina y sus sales</t>
  </si>
  <si>
    <t>Cafeina</t>
  </si>
  <si>
    <t>- Efedrinas y sus sales:</t>
  </si>
  <si>
    <t>Isomeros opticos y sales de los isomeros opticos de la efedrina y de la seudoefedrina (R.2020/93 ex ANA)</t>
  </si>
  <si>
    <t>Isomeros opticos y sales de los isomeros opticos de la fenilpropanolamina</t>
  </si>
  <si>
    <t>- Teofilina y aminofilina (teofilina-etilendiamina) y sus derivados; sales de estos productos:</t>
  </si>
  <si>
    <t>Teofilina</t>
  </si>
  <si>
    <t>Aminofilina</t>
  </si>
  <si>
    <t>- Alcaloides del cornezuelo del centeno y sus derivados; sales de estos productos:</t>
  </si>
  <si>
    <t>Derivados de la ergometrina y sus sales</t>
  </si>
  <si>
    <t>Maleato de metilergometrina</t>
  </si>
  <si>
    <t>Derivados de la ergotamina y sus sales</t>
  </si>
  <si>
    <t>Mesilato de dihidroergotamina</t>
  </si>
  <si>
    <t>Ergocornina y sus derivados; sales de estos productos</t>
  </si>
  <si>
    <t>Mesilato de dihidroergocornina</t>
  </si>
  <si>
    <t>Ergocriptina y sus derivados; sales de estos productos</t>
  </si>
  <si>
    <t>Mesilato de alfa-dihidroergocriptina</t>
  </si>
  <si>
    <t>Mesilato de beta-dihidroergocriptina</t>
  </si>
  <si>
    <t>Ergocristina y sus derivados; sales de estos productos</t>
  </si>
  <si>
    <t>Ergocristina</t>
  </si>
  <si>
    <t>Metansulfonato de dihidroergocristina</t>
  </si>
  <si>
    <t>Sicotropos (R.2017/93 ANA)</t>
  </si>
  <si>
    <t>- Los demas. de origen vegetal:</t>
  </si>
  <si>
    <t>- - Cocaina. ecgonina. levometanfetamina. metanfetamina (DCI). racemato de metanfetamina; sales. esteres y demas derivados de estos productos</t>
  </si>
  <si>
    <t>Cocaina y ecgonina; sales. esteres y demas derivados de estos productos</t>
  </si>
  <si>
    <t>Cocaina y sus sales</t>
  </si>
  <si>
    <t>Ecgonina y sus sales</t>
  </si>
  <si>
    <t>Levometanfetamina. sus sales. esteres y demas derivados</t>
  </si>
  <si>
    <t>Metanfetamina. sus sales. esteres y demas derivados</t>
  </si>
  <si>
    <t>Racemato de metanfetamina. sus sales. esteres y demas derivados</t>
  </si>
  <si>
    <t>Escopolamina y sus derivados; sales de estos productos</t>
  </si>
  <si>
    <t>Bromuro de N-butilescopolamonio</t>
  </si>
  <si>
    <t>Teobromina y sus derivados; sales de estos productos</t>
  </si>
  <si>
    <t>Pilocarpina y sus sales</t>
  </si>
  <si>
    <t>Pilocarpina. su nitrato y su clorhidrato</t>
  </si>
  <si>
    <t>Tiocolchicosido</t>
  </si>
  <si>
    <t>Nicotina y sus sales</t>
  </si>
  <si>
    <t>Sulfato de estricnina (R.G. 2146/06 AFIP)</t>
  </si>
  <si>
    <t>Acetato de seudoefedrina y N.O-diacetilefedrina; clorefedrina. sus sales. isomeros opticos y sales de sus isomeros opticos; cloroseudoefedrina. sus sales. isomeros opticos y sales de sus isomeros</t>
  </si>
  <si>
    <t>Acetato de seudoefedrina</t>
  </si>
  <si>
    <t>N.O-diacetilefedrina</t>
  </si>
  <si>
    <t>Cloroefedrina. sus sales. isomeros opticos y sales de sus isomeros opticos</t>
  </si>
  <si>
    <t>Cloroseudoefedrina. sus sales. isomeros opticos y sales de los isomeros opticos</t>
  </si>
  <si>
    <t>Capsaicina. dihidrocapsaicina. homocapsaicina. homodihidrocapsaicina y nordihidrocapsaicina</t>
  </si>
  <si>
    <t>Capsaicina (8-Metil-N-vainillil-trans-6-nonenamida)</t>
  </si>
  <si>
    <t>Dihidrocapsaicina (8-Metil-N-vainillilnonanamida)</t>
  </si>
  <si>
    <t>Homocapsaicina (N-Vainillil-9-metildec-7-(E)-enamida)</t>
  </si>
  <si>
    <t>Homodihidrocapsaicina (N-Vainillil-9-metildecanamida)</t>
  </si>
  <si>
    <t>Nordihidrocapsaicina (N-Vainillil-7-metiloctanamida)</t>
  </si>
  <si>
    <t>Azucares quimicamente puros. excepto la sacarosa. lactosa. maltosa. glucosa y fructosa (levulosa); eteres. acetales y esteres de azucares y sus sales. excepto los productos de las partidas 29.37. 29.38 o 29.39.</t>
  </si>
  <si>
    <t>Azucares quimicamente puros</t>
  </si>
  <si>
    <t>Galactosa</t>
  </si>
  <si>
    <t>Arabinosa</t>
  </si>
  <si>
    <t>Ramnosa</t>
  </si>
  <si>
    <t>Xilosa</t>
  </si>
  <si>
    <t>Rafinosa</t>
  </si>
  <si>
    <t>Sorbosa</t>
  </si>
  <si>
    <t>Ribosa</t>
  </si>
  <si>
    <t>Pectinosa</t>
  </si>
  <si>
    <t>acido lactobionico. sus sales ysus esteres; derivados halogenados. sulfonados. nitrados o nitrosados de estos productos</t>
  </si>
  <si>
    <t>acido lactobionico</t>
  </si>
  <si>
    <t>Lactobionato de calcio</t>
  </si>
  <si>
    <t>Bromolactobionato de calcio</t>
  </si>
  <si>
    <t>Fructosa-1.6-difosfato de calcio o sodio</t>
  </si>
  <si>
    <t>Maltitol</t>
  </si>
  <si>
    <t>Lactogluconato de calcio</t>
  </si>
  <si>
    <t>Esteres fosforicos y sus sales</t>
  </si>
  <si>
    <t>Acetatos de sacarosa</t>
  </si>
  <si>
    <t>Acetoisobutirato de sacarosa</t>
  </si>
  <si>
    <t>Hidroxipropil sacarosa</t>
  </si>
  <si>
    <t>Lactitol monohidratado</t>
  </si>
  <si>
    <t>Antibioticos.</t>
  </si>
  <si>
    <t>Ampicilina y sus sales</t>
  </si>
  <si>
    <t>Amoxicilina y sus sales</t>
  </si>
  <si>
    <t>Penicilina V y sus derivados; sales de estos productos</t>
  </si>
  <si>
    <t>Penicilina V potasica</t>
  </si>
  <si>
    <t>Penicilina G y sus derivados; sales de estos productos</t>
  </si>
  <si>
    <t>Penicilina G potasica</t>
  </si>
  <si>
    <t>Penicilina G benzatinica</t>
  </si>
  <si>
    <t>Penicilina G procainica</t>
  </si>
  <si>
    <t>Estreptomicinas</t>
  </si>
  <si>
    <t>Dihidroestreptomicinas</t>
  </si>
  <si>
    <t>Clorhidrato de tetraciclina</t>
  </si>
  <si>
    <t>Oxitetraciclina</t>
  </si>
  <si>
    <t>Minociclina y sus sales</t>
  </si>
  <si>
    <t>Minociclina</t>
  </si>
  <si>
    <t>Tetraciclina</t>
  </si>
  <si>
    <t>Clorotetraciclina</t>
  </si>
  <si>
    <t>Cloranfenicol y sus esteres</t>
  </si>
  <si>
    <t>Cloranfenicol. su palmitato. su succinato y su hemisuccinato</t>
  </si>
  <si>
    <t>Cloranfenicol</t>
  </si>
  <si>
    <t>Succinato</t>
  </si>
  <si>
    <t>Hemisuccinato</t>
  </si>
  <si>
    <t>Tiamfenicol y sus esteres</t>
  </si>
  <si>
    <t>Claritromicina</t>
  </si>
  <si>
    <t>Eritromicina y sus sales</t>
  </si>
  <si>
    <t>Eritromicina</t>
  </si>
  <si>
    <t>Rifamicinas y sus derivados; sales de estos productos</t>
  </si>
  <si>
    <t>Rifamicina S</t>
  </si>
  <si>
    <t>Rifampicina (rifamicina AMP)</t>
  </si>
  <si>
    <t>Rifamicina SV sodica</t>
  </si>
  <si>
    <t>Lincomicina y sus derivados; sales de estos productos</t>
  </si>
  <si>
    <t>Clorhidrato de lincomicina</t>
  </si>
  <si>
    <t>Fosfato de clindamicina</t>
  </si>
  <si>
    <t>Cefalosporinas y cefamicinas. y sus derivados; sales de estos productos</t>
  </si>
  <si>
    <t>Ceftriaxona y sus sales</t>
  </si>
  <si>
    <t>Cefoperazona y sus sales. cefazolina sodica</t>
  </si>
  <si>
    <t>Cefoperazona y sus sales</t>
  </si>
  <si>
    <t>Cefazolina sodica</t>
  </si>
  <si>
    <t>Cefaclor y cefalexina monohidratados. cefalotina sodica</t>
  </si>
  <si>
    <t>Cefaclor monohidratado</t>
  </si>
  <si>
    <t>Cefalexina monohidratado</t>
  </si>
  <si>
    <t>Cefalotina sodica</t>
  </si>
  <si>
    <t>Cefadroxil y sus sales</t>
  </si>
  <si>
    <t>Cefotaxima sodica</t>
  </si>
  <si>
    <t>Cefoxitina y sus sales</t>
  </si>
  <si>
    <t>Cefalosporina C</t>
  </si>
  <si>
    <t>Cefalosporinas. sus derivados y sales de estos productos.</t>
  </si>
  <si>
    <t>Cefradin</t>
  </si>
  <si>
    <t>Cefamicinas. sus derivados y sales de estos productos</t>
  </si>
  <si>
    <t>Aminoglicosidos y sus sales</t>
  </si>
  <si>
    <t>Sulfato de neomicina</t>
  </si>
  <si>
    <t>Embonato de gentamicina (pamoato de gentamicina)</t>
  </si>
  <si>
    <t>Sulfato de gentamicina</t>
  </si>
  <si>
    <t>Framicetina</t>
  </si>
  <si>
    <t>Macrolidos y sus sales</t>
  </si>
  <si>
    <t>Embonato de espiramicina (pamoato de espiramicina)</t>
  </si>
  <si>
    <t>Azitromicina y sus sales</t>
  </si>
  <si>
    <t>Roxitromicina y sus sales</t>
  </si>
  <si>
    <t>Polienos y sus sales</t>
  </si>
  <si>
    <t>Nistatina y sus sales</t>
  </si>
  <si>
    <t>Anfotericina B y sus sales</t>
  </si>
  <si>
    <t>Polieteres y sus sales</t>
  </si>
  <si>
    <t>Monensina sodica</t>
  </si>
  <si>
    <t>Narasina</t>
  </si>
  <si>
    <t>Avilamicinas</t>
  </si>
  <si>
    <t>Polipeptidos y sus sales</t>
  </si>
  <si>
    <t>Polimixinas y sus sales</t>
  </si>
  <si>
    <t>Sulfato de colistina</t>
  </si>
  <si>
    <t>Virginiamicinas y sus sales</t>
  </si>
  <si>
    <t>Griseofulvina y sus sales</t>
  </si>
  <si>
    <t>Griseofulvina</t>
  </si>
  <si>
    <t>Fumarato de tiamulina</t>
  </si>
  <si>
    <t>Cicloserina. fumagilina. gabromicina. gramicidina. tirocidina. tirotricina. viomicina</t>
  </si>
  <si>
    <t>Cicloserina</t>
  </si>
  <si>
    <t>Fumagilina</t>
  </si>
  <si>
    <t>Gabromicina</t>
  </si>
  <si>
    <t>Gramicidina</t>
  </si>
  <si>
    <t>Tirocidina</t>
  </si>
  <si>
    <t>Tirotricina</t>
  </si>
  <si>
    <t>Viomicina</t>
  </si>
  <si>
    <t>LOS DEMAS COMPUESTOS ORGANICOS.</t>
  </si>
  <si>
    <t>Glandulas y demas organos para usos opoterapicos. desecados. incluso pulverizados; extractos de glandulas o de otros organos o de sus secreciones. para usos opoterapicos; heparina y sus sales; las demas sustancias humanas o animales preparadas para usos terapeuticos o profilacticos. no expresadas ni comprendidas en otra parte.</t>
  </si>
  <si>
    <t>De higado</t>
  </si>
  <si>
    <t>De bilis</t>
  </si>
  <si>
    <t>Heparina y sus sales</t>
  </si>
  <si>
    <t>Trozos de pericardio de origen bovino o porcino</t>
  </si>
  <si>
    <t>Glandulas y demas organos. desecados. incluso pulverizados</t>
  </si>
  <si>
    <t>Higados</t>
  </si>
  <si>
    <t>Medula roja</t>
  </si>
  <si>
    <t>Venenos provenientes de animales</t>
  </si>
  <si>
    <t>De serpientes</t>
  </si>
  <si>
    <t>Criptotoxinas no microbianas</t>
  </si>
  <si>
    <t>Los demas organos. huesos o tejidos. humanos o animales. vivos o conservados. presentados en envases esteriles</t>
  </si>
  <si>
    <t>Sangre humana; sangre animal preparada para usos terapeuticos. profilacticos o de diagnostico; antisueros (sueros con anticuerpos). demas fracciones de la sangre y productos inmunologicos. incluso modificados u obtenidos por procesos biotecnologicos; vacunas. toxinas. cultivos de microorganismos (excepto las levaduras) y productos similares.</t>
  </si>
  <si>
    <t>- Antisueros (sueros con anticuerpos). demas fracciones de la sangre y productos inmunologicos. incluso modificados u obtenidos por procesos biotecnologicos:</t>
  </si>
  <si>
    <t>Antisueros especificos de animales o de personas inmunizados</t>
  </si>
  <si>
    <t>Antiofidicos y otros antivenenosos</t>
  </si>
  <si>
    <t>Antitetanico</t>
  </si>
  <si>
    <t>Anticatarral</t>
  </si>
  <si>
    <t>Antipiogeno</t>
  </si>
  <si>
    <t>Antidifterico</t>
  </si>
  <si>
    <t>Polivalentes</t>
  </si>
  <si>
    <t>Suero antilinfocitario</t>
  </si>
  <si>
    <t>Gammaglobulina humana antihepatitis B</t>
  </si>
  <si>
    <t>Gammaglobulina humana antirrabica</t>
  </si>
  <si>
    <t>Gammaglobulina humana para varicela-zoster</t>
  </si>
  <si>
    <t>Demas fracciones de la sangre. excepto las preparadas como medicamentos</t>
  </si>
  <si>
    <t>Inmunoglobulina anti-Rh</t>
  </si>
  <si>
    <t>Otras inmunoglobulinas sericas</t>
  </si>
  <si>
    <t>Reactivos de diagnostico comprendidos en la Ley 25.590. sus normas modificatorias y complementarias</t>
  </si>
  <si>
    <t>Concentrado de factor VIII</t>
  </si>
  <si>
    <t>Seroalbumina. en forma de gel. para preparacion de reactivos de diagnostico</t>
  </si>
  <si>
    <t>Suero y plasma comprendidos en la Resolucion N° 1789/06 MS</t>
  </si>
  <si>
    <t>Plasma deshidratado bovino y hemoglobina deshidratada bovina</t>
  </si>
  <si>
    <t>Inmunoglobulinas. de los tipos utilizadas para la fabricacion de kits para diagnostico de COVID-19</t>
  </si>
  <si>
    <t>Demas fracciones de la sangre. preparadas como medicamentos</t>
  </si>
  <si>
    <t>Seroalbumina. excepto la humana</t>
  </si>
  <si>
    <t>Plasmina (fibrinolisina)</t>
  </si>
  <si>
    <t>Uroquinasa</t>
  </si>
  <si>
    <t>Inmunoglobulina y clorhidrato de histamina. asociados</t>
  </si>
  <si>
    <t>Inmunoglobulina G. liofilizada o en solucion</t>
  </si>
  <si>
    <t>Seroalbumina humana</t>
  </si>
  <si>
    <t>Activador tisular del plasminogeno; antiinhibidor factor VIII; alfa1-antitripsina; concentrado de antitrombina III; factor VII; factor IX; factores de coagulacion; inhibidor c1- esterasa.</t>
  </si>
  <si>
    <t>Productos inmunologicos definidos en la Nota 2 del Capitulo 30. de los tipos utilizados para la fabricacion de kits para diagnostico de COVID-19</t>
  </si>
  <si>
    <t>Anticuerpos monoclonales en solucion tampon. conteniendo albumina bovina</t>
  </si>
  <si>
    <t>Interferones</t>
  </si>
  <si>
    <t>Alfa</t>
  </si>
  <si>
    <t>Gamma</t>
  </si>
  <si>
    <t>Eritropoyetina humana recombinante (R.967/99 MEOSP)</t>
  </si>
  <si>
    <t>Interferon beta; peg interferon alfa-2-a</t>
  </si>
  <si>
    <t>Interferon beta</t>
  </si>
  <si>
    <t>Interferon beta 1-a</t>
  </si>
  <si>
    <t>Peg interferon alfa-2-a</t>
  </si>
  <si>
    <t>Basiliximab (DCI); bevacizumab (DCI); daclizumab (DCI); etanercept (DCI); gemtuzumab ozogamicin (DCI); oprelvekin (DCI); rituximab (DCI); trastuzumab (DCI)</t>
  </si>
  <si>
    <t>Basiliximab; etanercept; gemtuzumab ozogamicin; oprelvekin</t>
  </si>
  <si>
    <t>Etanercept</t>
  </si>
  <si>
    <t>Bevacizumab (DCI)</t>
  </si>
  <si>
    <t>Rituximab (DCI)</t>
  </si>
  <si>
    <t>Abciximab; infliximab; palivizumab</t>
  </si>
  <si>
    <t>Eritropoyetina humana recombinante</t>
  </si>
  <si>
    <t>Reactivos de origen inmunologico. para diagnostico</t>
  </si>
  <si>
    <t>Destinados a medicina humana (R.G. 30/97 AFIP)</t>
  </si>
  <si>
    <t>Para la deteccion de COVID-19.</t>
  </si>
  <si>
    <t>Destinados a medicina veterinaria (R. 2012/93 ex- ANA)</t>
  </si>
  <si>
    <t>Sin dosificar ni acondicionar para la venta al por menor</t>
  </si>
  <si>
    <t>Contra la gripe</t>
  </si>
  <si>
    <t>Contra la poliomielitis</t>
  </si>
  <si>
    <t>Contra la hepatitis B</t>
  </si>
  <si>
    <t>Contra el sarampion</t>
  </si>
  <si>
    <t>Contra la meningitis</t>
  </si>
  <si>
    <t>Contra la rubeola. sarampion y paperas</t>
  </si>
  <si>
    <t>Otras triples</t>
  </si>
  <si>
    <t>Anticatarral y antipiogena</t>
  </si>
  <si>
    <t>Contra la hepatitis A</t>
  </si>
  <si>
    <t>Contra tetanos-difteria-coqueluche y poliomielitis</t>
  </si>
  <si>
    <t>Contra el tetanos</t>
  </si>
  <si>
    <t>Contra el Covid-19</t>
  </si>
  <si>
    <t>Dosificadas o acondicionadas para la venta al por menor</t>
  </si>
  <si>
    <t>Contra la gripe tipo B (HIB)</t>
  </si>
  <si>
    <t>Vacuna inactivada contra la poliomielitis (IPV)</t>
  </si>
  <si>
    <t>Vacuna oral contra la poliomielitis (OPV)</t>
  </si>
  <si>
    <t>Vacuna polisacarida meningococica tetravalente (A. C. Y. W 135)</t>
  </si>
  <si>
    <t>Contra la difteria. tetanos y coqueluche (tosferina). incluso acelulares</t>
  </si>
  <si>
    <t>Contra: la neumonia. la fiebre amarilla a virus atenuados. contra la paperas a virus atenuados. contra la rubeola a virus atenuados o contra la varicela a virus atenuados</t>
  </si>
  <si>
    <t>Contra la neumonia</t>
  </si>
  <si>
    <t>Antineumococica conjugada 13 valente</t>
  </si>
  <si>
    <t>Neumococo 23 valente</t>
  </si>
  <si>
    <t>Contra la varicela a virus atenuados</t>
  </si>
  <si>
    <t>Contra la fiebre amarilla a virus atenuados</t>
  </si>
  <si>
    <t>DT; penta; sextuple; doble viral</t>
  </si>
  <si>
    <t>Contra la difteria y tetanos</t>
  </si>
  <si>
    <t>Contra la difteria. tetanos. coqueluche. hepatitis B y gripe B</t>
  </si>
  <si>
    <t>Contra la difteria. tetanos. coqueluche. hepatitis B. gripe B y poliomielitis (IPV)</t>
  </si>
  <si>
    <t>Doble viral</t>
  </si>
  <si>
    <t>BCG; contra rotavirus; contra HPV</t>
  </si>
  <si>
    <t>Contra la tuberculosis (BCG)</t>
  </si>
  <si>
    <t>Contra el rotavirus</t>
  </si>
  <si>
    <t>Contra el virus del Papiloma Humano (HPV)</t>
  </si>
  <si>
    <t>Contra la rabia</t>
  </si>
  <si>
    <t>Contra la fiebre tifoidea; contra el colera</t>
  </si>
  <si>
    <t>Contra la fiebre tifoidea</t>
  </si>
  <si>
    <t>Contra el colera</t>
  </si>
  <si>
    <t>Para bovinos o equinos</t>
  </si>
  <si>
    <t>Contra la coccidiosis</t>
  </si>
  <si>
    <t>Contra la queratoconjuntivitis</t>
  </si>
  <si>
    <t>Contra el distemper</t>
  </si>
  <si>
    <t>Para caninos</t>
  </si>
  <si>
    <t>Contra la leptospirosis</t>
  </si>
  <si>
    <t>Contra la fiebre aftosa</t>
  </si>
  <si>
    <t>Contra las siguientes enfermedades: de Newcastle. a virus vivo o virus inactivado; de Gumboro. a virus vivo o virus inactivado; bronquitis. a virus vivo o virus inactivado; difteroviruela. a virus vivo; sindrome de caida de puesta (EDS); salmonelosis aviar. elaboradas con cepa 9R; colera de las aves. inactivadas</t>
  </si>
  <si>
    <t>Contra Newcastle. a virus vivo o virus inactivado</t>
  </si>
  <si>
    <t>Contra Gumboro. a virus vivo o virus inactivado</t>
  </si>
  <si>
    <t>Contra la bronquitis. a virus vivo o virus inactivado</t>
  </si>
  <si>
    <t>Contra la difteroviruela. a virus vivo</t>
  </si>
  <si>
    <t>Contra el sindrome de caida de puesta (EDS)</t>
  </si>
  <si>
    <t>Contra la salmonelosis aviar. elaboradas con cepa 9R</t>
  </si>
  <si>
    <t>Contra el Colera de las aves. inactivadas</t>
  </si>
  <si>
    <t>Vacunas combinadas contra las enfermedades citadas en el item 3002.30.70</t>
  </si>
  <si>
    <t>Las demas vacunas monovalentes o polivalentes. para caninos</t>
  </si>
  <si>
    <t>Reactivos de origen microbiano para diagnostico</t>
  </si>
  <si>
    <t>Destinados a sanidad humana (R.G.30/97 AFIP)</t>
  </si>
  <si>
    <t>Destinados a medicina veterinaria (R.2012/93 ex-ANA)</t>
  </si>
  <si>
    <t>Antitoxinas de origen microbiano</t>
  </si>
  <si>
    <t>Tuberculinas</t>
  </si>
  <si>
    <t>Para sanidad animal</t>
  </si>
  <si>
    <t>Sangre animal (R.2012/93 ex-ANA)</t>
  </si>
  <si>
    <t>Toxinas (R.2012/93 ex-ANA)</t>
  </si>
  <si>
    <t>Microorganismos (R.2012/93 ex-ANA)</t>
  </si>
  <si>
    <t>Para sanidad humana</t>
  </si>
  <si>
    <t>Sangre animal (R.2014/93 ex-ANA)</t>
  </si>
  <si>
    <t>Microorganismos</t>
  </si>
  <si>
    <t>Sangre humana (R.2014/93 ex-ANA)</t>
  </si>
  <si>
    <t>Comprendida en la Resolucion N° 1789/06 MS</t>
  </si>
  <si>
    <t>Toxinas (R.2014/93 ex-ANA)</t>
  </si>
  <si>
    <t>Saxitoxina</t>
  </si>
  <si>
    <t>Ricina</t>
  </si>
  <si>
    <t>Cultivos de microorganismos</t>
  </si>
  <si>
    <t>Aptos para la fabricacion de alimentos (R.1946/93 ex-ANA)</t>
  </si>
  <si>
    <t>Aptos para la humidificacion del suelo (R.2013 ex-ANA)</t>
  </si>
  <si>
    <t>Bacilos thuringiensis (R.2013/93 ex-ANA)</t>
  </si>
  <si>
    <t>Aptos para limpieza de cañerias. de uso domestico</t>
  </si>
  <si>
    <t>Aptos para uso en la industria del petroleo</t>
  </si>
  <si>
    <t>Aptos para el tratamiento de efluentes industriales</t>
  </si>
  <si>
    <t>Medicamentos (excepto los productos de las partidas 30.02. 30.05 o 30.06) constituidos por productos mezclados entre si. preparados para usos terapeuticos o profilacticos. sin dosificar ni acondicionar para la venta al por menor.</t>
  </si>
  <si>
    <t>Que contengan penicilinas o derivados de estos productos con la estructura del acido penicilanico</t>
  </si>
  <si>
    <t>Ampicilina o sus sales</t>
  </si>
  <si>
    <t>Amoxicilina o sus sales</t>
  </si>
  <si>
    <t>Que contengan estreptomicinas o derivados de estos productos</t>
  </si>
  <si>
    <t>Que contengan anfenicoles o sus derivados</t>
  </si>
  <si>
    <t>Cloranfenicol. su palmitato. su succinato o su hemisuccinato</t>
  </si>
  <si>
    <t>Para medicina veterinaria (R.G. 2146/06 AFIP)</t>
  </si>
  <si>
    <t>Que contengan macrolidos o sus derivados</t>
  </si>
  <si>
    <t>Eritromicina o sus sales</t>
  </si>
  <si>
    <t>Azitromicina o sus sales</t>
  </si>
  <si>
    <t>Roxitromicina o sus sales</t>
  </si>
  <si>
    <t>Que contengan ansamicinas o sus derivados</t>
  </si>
  <si>
    <t>Rifampicina</t>
  </si>
  <si>
    <t>Que contengan lincosamidas o sus derivados</t>
  </si>
  <si>
    <t>Que contengan cefalosporinas. cefamicinas o derivados de estos productos</t>
  </si>
  <si>
    <t>Cefaclor o cefalexina monohidratados</t>
  </si>
  <si>
    <t>Cefalexina monohidratada</t>
  </si>
  <si>
    <t>Cefalotina o sus sales. excepto la sal sodica</t>
  </si>
  <si>
    <t>Cefazolina o sus sales</t>
  </si>
  <si>
    <t>Que contengan aminoglicosidos o sus derivados</t>
  </si>
  <si>
    <t>Daunorubicina</t>
  </si>
  <si>
    <t>Idarubicina; pirarubicina</t>
  </si>
  <si>
    <t>Que contengan polipeptidos o sus derivados</t>
  </si>
  <si>
    <t>Vancomicina</t>
  </si>
  <si>
    <t>Actinomicinas</t>
  </si>
  <si>
    <t>Ciclosporina A</t>
  </si>
  <si>
    <t>Mitomicina</t>
  </si>
  <si>
    <t>Bleomicinas o sus sales</t>
  </si>
  <si>
    <t>Imipenem</t>
  </si>
  <si>
    <t>Anfotericina B en liposomas</t>
  </si>
  <si>
    <t>- Los demas. que contengan hormonas u otros productos de la partida 29.37:</t>
  </si>
  <si>
    <t>Que contengan las siguientes hormonas polipeptidicas o proteicas: buserelina o su acetato; corticotropina (ACTH); gonadotropina corionica (hCG); gonadotropina serica (PMSG); leuprolide o su acetato; menotropinas; somatostatina o sus sales; somatotropina; triptorelina o sus sales</t>
  </si>
  <si>
    <t>Somatotropina</t>
  </si>
  <si>
    <t>Gonadotropina corionica (hCG)</t>
  </si>
  <si>
    <t>Corticotropina (ACTH)</t>
  </si>
  <si>
    <t>Gonadotropina serica (PMSG)</t>
  </si>
  <si>
    <t>Somatostatina o sus sales</t>
  </si>
  <si>
    <t>Buserelina o su acetato</t>
  </si>
  <si>
    <t>Triptorelina o sus sales</t>
  </si>
  <si>
    <t>Leuprolide o su acetato</t>
  </si>
  <si>
    <t>Que contengan las demas hormonas polipeptidicas o proteicas. sus derivados o analogos estructurales. sin productos de la subpartida 3003.39.1</t>
  </si>
  <si>
    <t>LH-RH (gonadorelina)</t>
  </si>
  <si>
    <t>Sales de insulina</t>
  </si>
  <si>
    <t>Timosinas</t>
  </si>
  <si>
    <t>Octreotida</t>
  </si>
  <si>
    <t>Goserelina o su acetato</t>
  </si>
  <si>
    <t>Nafarelina o su acetato</t>
  </si>
  <si>
    <t>Que contengan estrogenos o progestogenos. sus derivados o analogos estructurales</t>
  </si>
  <si>
    <t>Fempropionato de estradiol</t>
  </si>
  <si>
    <t>Estriol o su succinato</t>
  </si>
  <si>
    <t>Acetato de megestrol; formestano; fulvestrant</t>
  </si>
  <si>
    <t>Acetato de megestrol</t>
  </si>
  <si>
    <t>Formestano</t>
  </si>
  <si>
    <t>Fulvestrant</t>
  </si>
  <si>
    <t>Levotiroxina sodica; liotironina sodica</t>
  </si>
  <si>
    <t>Sal sodica o ester metilico del acido 9.11.15-trihidroxi-16-(3-clorofenoxi) prosta-5.13-dien-1-oico (derivado de la prostaglandina F2-alfa)</t>
  </si>
  <si>
    <t>Tiratricol(triac) o su sal sodica</t>
  </si>
  <si>
    <t>Exemestano</t>
  </si>
  <si>
    <t>- Los demas. que contengan alcaloides o sus derivados:</t>
  </si>
  <si>
    <t>Vimblastina; vincristina; derivados de estos productos; topotecan o su clorhidrato</t>
  </si>
  <si>
    <t>Pilocarpina. su nitrato o su clorhidrato</t>
  </si>
  <si>
    <t>Codeina o sus sales</t>
  </si>
  <si>
    <t>Granisetron; tropisetron o su clorhidrato</t>
  </si>
  <si>
    <t>Que contengan sicotropos Lista I (R.2017/93 ex-ANA)</t>
  </si>
  <si>
    <t>Lisergida; DET; DMT; ibogaina; mescalina; psilocibina; psilocina; marmalina; marmina.</t>
  </si>
  <si>
    <t>Lisergida</t>
  </si>
  <si>
    <t>DET</t>
  </si>
  <si>
    <t>DMT</t>
  </si>
  <si>
    <t>Ibogaina</t>
  </si>
  <si>
    <t>Mescalina</t>
  </si>
  <si>
    <t>Psilocibina</t>
  </si>
  <si>
    <t>Psilocina</t>
  </si>
  <si>
    <t>Marmalina</t>
  </si>
  <si>
    <t>Marmina</t>
  </si>
  <si>
    <t>Que contengan otros sicotropos (R.2017/93 ex-ANA)</t>
  </si>
  <si>
    <t>Metanfetamina</t>
  </si>
  <si>
    <t>Buprenorfina</t>
  </si>
  <si>
    <t>Catina</t>
  </si>
  <si>
    <t>Fenetilina</t>
  </si>
  <si>
    <t>Que contengan estupefacientes Lista IV (R.2017/93 ex-ANA)</t>
  </si>
  <si>
    <t>Heroina</t>
  </si>
  <si>
    <t>Desomorfina</t>
  </si>
  <si>
    <t>Acetorfina</t>
  </si>
  <si>
    <t>Etorfina</t>
  </si>
  <si>
    <t>Nalline o nalorfina</t>
  </si>
  <si>
    <t>Que contengan otros estupefacientes (R.2017/93 ex-ANA)</t>
  </si>
  <si>
    <t>Hidrocodona y sus esteres; oxicodona; bencilmorfina; codoxima; dihidromorfina y sus esteres;hidromorfinol; hidromorfona y su esteres</t>
  </si>
  <si>
    <t>Hidrocodona</t>
  </si>
  <si>
    <t>Oxicodona</t>
  </si>
  <si>
    <t>Bencilmorfina</t>
  </si>
  <si>
    <t>Codoxima</t>
  </si>
  <si>
    <t>Esteres de dihidromorfina</t>
  </si>
  <si>
    <t>Dihidromorfina</t>
  </si>
  <si>
    <t>Esteres de la hidrocodona</t>
  </si>
  <si>
    <t>Hidromorfinol</t>
  </si>
  <si>
    <t>Hidromorfona y sus esteres</t>
  </si>
  <si>
    <t>Metildesorfina; metildihidromorfina; metopon; mirofina; morfina y sus sales; bromometilato de morfina y otros derivados de la morfina; N-oximorfina incluida la N-oxicodeina</t>
  </si>
  <si>
    <t>Metildesorfina</t>
  </si>
  <si>
    <t>Metildihidromorfina</t>
  </si>
  <si>
    <t>Metopon</t>
  </si>
  <si>
    <t>Mirofina</t>
  </si>
  <si>
    <t>Sales de la morfina</t>
  </si>
  <si>
    <t>Bromometilato de morfina y otros derivados de la morfina</t>
  </si>
  <si>
    <t>N-Oximorfina incluida la N-oxicodeina</t>
  </si>
  <si>
    <t>Derivados de la N-oximorfina; nicomorfina; normorfina; esteres de la oxicodona; oximorfona; tebacon; tebaina; cocaina.</t>
  </si>
  <si>
    <t>Derivados de la N-oximorfina</t>
  </si>
  <si>
    <t>Nicomorfina</t>
  </si>
  <si>
    <t>Normorfina</t>
  </si>
  <si>
    <t>Esteres de la oxicodona</t>
  </si>
  <si>
    <t>Oximorfona</t>
  </si>
  <si>
    <t>Tebacon</t>
  </si>
  <si>
    <t>Tebaina</t>
  </si>
  <si>
    <t>Cocaina</t>
  </si>
  <si>
    <t>Ecgonina y sus esteres; etilmorfina; folcodina; acetildihidrocodeina; dihidrocodeina; nicocodina; nicodicodina.</t>
  </si>
  <si>
    <t>Ecgonina</t>
  </si>
  <si>
    <t>Esteres de la ecgonina</t>
  </si>
  <si>
    <t>Etilmorfina</t>
  </si>
  <si>
    <t>Folcodina</t>
  </si>
  <si>
    <t>Acetildihidrocodeina</t>
  </si>
  <si>
    <t>Dihidrocodeina</t>
  </si>
  <si>
    <t>Nicocodina</t>
  </si>
  <si>
    <t>Nicodicodina</t>
  </si>
  <si>
    <t>Norcodeina; dehidroetorfina</t>
  </si>
  <si>
    <t>Norcodeina</t>
  </si>
  <si>
    <t>Dehidroetorfina</t>
  </si>
  <si>
    <t>Isomeros opticos o sales de los isomeros opticos de la efedrina</t>
  </si>
  <si>
    <t>Isomeros opticos o sales de los isomeros opticos de la seudoefedrina</t>
  </si>
  <si>
    <t>Isomeros opticos o sales de los isomeros opticos de la norefedrina</t>
  </si>
  <si>
    <t>-Los demas. que contengan los principios activos contra la malaria (paludismo)descritos en la Nota 2 de subpartida del presente Capitulo</t>
  </si>
  <si>
    <t>Que contengan vitaminas u otros productos de la partida 29.36</t>
  </si>
  <si>
    <t>Folinato de calcio (leucovorina)</t>
  </si>
  <si>
    <t>Hidroxocobalamina o sus sales; cianocobalamina</t>
  </si>
  <si>
    <t>Hidroxocobalamina o sus sales</t>
  </si>
  <si>
    <t>Cianocobalamina</t>
  </si>
  <si>
    <t>Vitamina A1 (retinol) o sus derivados. excepto el acido retinoico</t>
  </si>
  <si>
    <t>D-Pantotenato de calcio; vitamina D3 (colecalciferol)</t>
  </si>
  <si>
    <t>D-Pantotenato de calcio</t>
  </si>
  <si>
    <t>Esteres de las vitaminas A y D3. en concentracion superior o igual a 1.500.000 UI/g de vitamina A y superior o igual a 50.000 UI/g de vitamina D3</t>
  </si>
  <si>
    <t>acido retinoico (tretinoina)</t>
  </si>
  <si>
    <t>Que contengan enzimas. sin vitaminas ni otros productos de la partida 29.36</t>
  </si>
  <si>
    <t>Estreptoquinasa</t>
  </si>
  <si>
    <t>L-Asparaginasa</t>
  </si>
  <si>
    <t>Deoxirribonucleasa</t>
  </si>
  <si>
    <t>Idursulfasa</t>
  </si>
  <si>
    <t>Que contengan productos de las partidas 29.16 a 29.20. sin productos de las subpartidas 3003.90.1 y 3003.90.2</t>
  </si>
  <si>
    <t>Permetrina; nitrato de propatilo; benzoato de bencilo; dioctilsulfosuccinato de sodio</t>
  </si>
  <si>
    <t>Nitrato de propatilo</t>
  </si>
  <si>
    <t>Benzoato de bencilo</t>
  </si>
  <si>
    <t>acido colico; acido deoxicolico; sal magnesica del acido dehidrocolico</t>
  </si>
  <si>
    <t>acido colico</t>
  </si>
  <si>
    <t>acido deoxicolico</t>
  </si>
  <si>
    <t>Sal magnesica del acido dehidrocolico</t>
  </si>
  <si>
    <t>acido gluconico. sus sales o sus esteres</t>
  </si>
  <si>
    <t>acido o-acetilsalicilico; o-acetilsalicilato de aluminio; salicilato de metilo; diclorvos</t>
  </si>
  <si>
    <t>Acido O-acetilsalicilico</t>
  </si>
  <si>
    <t>Diclorvos</t>
  </si>
  <si>
    <t>acido lactico. sus sales o sus esteres; acido 4-(4-hidroxifenoxi)-3.5-diiodofenilacetico</t>
  </si>
  <si>
    <t>Acido lactico. sus sales o sus esteres</t>
  </si>
  <si>
    <t>Acido 4-(4-hidroxifenoxi)-3.5- diiodofenilacetico</t>
  </si>
  <si>
    <t>acido fumarico. sus sales o sus esteres</t>
  </si>
  <si>
    <t>Etretinato; fosfestrol o sus sales de di o tetrasodio</t>
  </si>
  <si>
    <t>Etretinato</t>
  </si>
  <si>
    <t>Fosfestrol o sus sales de di o tetrasodio</t>
  </si>
  <si>
    <t>Que contengan difosfato o disulfato de dietilestilbestrol. o difosfato de hexestrol</t>
  </si>
  <si>
    <t>Destinado a medicina veterinaria (R.2507/93 ex-ANA)</t>
  </si>
  <si>
    <t>Que contengan estupefacientes (R. 2017 ex-ANA)</t>
  </si>
  <si>
    <t>Que contengan sicotropos (R. 2017 ex-ANA)</t>
  </si>
  <si>
    <t>Que contengan productos de las partidas 29.21 y 29.22. sin productos de las subpartidas 3003.90.1 a 3003.90.3</t>
  </si>
  <si>
    <t>Sulfato de tranilcipromina; dietilpropion</t>
  </si>
  <si>
    <t>Dietilpropion</t>
  </si>
  <si>
    <t>Clorhidrato de ketamina</t>
  </si>
  <si>
    <t>Clembuterol o su clorhidrato</t>
  </si>
  <si>
    <t>Tamoxifeno o su citrato</t>
  </si>
  <si>
    <t>Levodopa; alfa-metildopa</t>
  </si>
  <si>
    <t>alfa-Metildopa</t>
  </si>
  <si>
    <t>Clorhidrato de fenilefrina; mirtecaina; propranolol o sus sales</t>
  </si>
  <si>
    <t>Clorhidrato de fenilefrina</t>
  </si>
  <si>
    <t>Propanolol o sus sales</t>
  </si>
  <si>
    <t>Diclofenac sodico; diclofenac potasico; diclofenac dietilamina</t>
  </si>
  <si>
    <t>Clorambucil; clormetina (DCI) o su clorhidrato; melfalano; toremifene o su citrato</t>
  </si>
  <si>
    <t>Melfalano</t>
  </si>
  <si>
    <t>Clorambucil</t>
  </si>
  <si>
    <t>Toremifene o su citrato</t>
  </si>
  <si>
    <t>Clormetina (DCI) o su clorhidrato</t>
  </si>
  <si>
    <t>PCE</t>
  </si>
  <si>
    <t>PMA</t>
  </si>
  <si>
    <t>DMA</t>
  </si>
  <si>
    <t>DOB</t>
  </si>
  <si>
    <t>DOET</t>
  </si>
  <si>
    <t>STP o DOM</t>
  </si>
  <si>
    <t>TMA</t>
  </si>
  <si>
    <t>Que contengan otros sicotropos (R. 2017/93 ex-ANA)</t>
  </si>
  <si>
    <t>Anfetamina; bencedrina; benzfetamina; clobenzorex; clorfentermina; dexanfetamina; fencanfamina; fentermina; levanfetamina</t>
  </si>
  <si>
    <t>Anfetamina</t>
  </si>
  <si>
    <t>Bencedrina</t>
  </si>
  <si>
    <t>Benzfetamina</t>
  </si>
  <si>
    <t>Clobenzorex</t>
  </si>
  <si>
    <t>Clorfentermina</t>
  </si>
  <si>
    <t>Dexanfetamina</t>
  </si>
  <si>
    <t>Fencanfamina</t>
  </si>
  <si>
    <t>Fentermina</t>
  </si>
  <si>
    <t>Levanfetamina</t>
  </si>
  <si>
    <t>Mefenorex; N-etilanfetamina; anfepramona; metanfepramona; propilhexedrina; amitriptilina; clorhidrato de amitriptilina; benzoctamina; butiltriptilina</t>
  </si>
  <si>
    <t>Mefenorex</t>
  </si>
  <si>
    <t>N-Etilanfetamina</t>
  </si>
  <si>
    <t>Metanfepramona</t>
  </si>
  <si>
    <t>Amitriptilina</t>
  </si>
  <si>
    <t>Clorhidrato de amitriptilina</t>
  </si>
  <si>
    <t>Benzoctamina</t>
  </si>
  <si>
    <t>Butiltriptilina</t>
  </si>
  <si>
    <t>Maprotilina; nortriptilina; pargilina; protriptilina; SPA; fenfluramina; tranilcipromina; ciprodenato; demanyl fosfato</t>
  </si>
  <si>
    <t>Maprotilina</t>
  </si>
  <si>
    <t>Nortriptilina</t>
  </si>
  <si>
    <t>Pargilina</t>
  </si>
  <si>
    <t>Protriptilina</t>
  </si>
  <si>
    <t>SPA</t>
  </si>
  <si>
    <t>Fenfluramina</t>
  </si>
  <si>
    <t>Tranilcipromina</t>
  </si>
  <si>
    <t>Ciprodenato</t>
  </si>
  <si>
    <t>Demanyl fosfato</t>
  </si>
  <si>
    <t>Dimetilaminoetanol</t>
  </si>
  <si>
    <t>Clorhidrato de benactizina</t>
  </si>
  <si>
    <t>Centrofenoxina</t>
  </si>
  <si>
    <t>Que contengan estupefacientes (R.2017/93 ex-ANA)</t>
  </si>
  <si>
    <t>Acetilmetadol; alfa-acetilmetadol; alfa-metadol; beta-acetilmetadol; beta-metadol; dimetileptanol; dimenoxadol; noracimetadol; isometadona</t>
  </si>
  <si>
    <t>Acetilmetadol</t>
  </si>
  <si>
    <t>alfa-Acetilmetadol</t>
  </si>
  <si>
    <t>alfa-Metadol</t>
  </si>
  <si>
    <t>beta-Acetilmetadol</t>
  </si>
  <si>
    <t>beta-Metadol</t>
  </si>
  <si>
    <t>Dimetileptanol</t>
  </si>
  <si>
    <t>Dimenoxadol</t>
  </si>
  <si>
    <t>Noracimetadol</t>
  </si>
  <si>
    <t>Isometadona</t>
  </si>
  <si>
    <t>Metadona</t>
  </si>
  <si>
    <t>Normetadona</t>
  </si>
  <si>
    <t>Clorhidrato de propoxifeno</t>
  </si>
  <si>
    <t>Dextropropoxifeno</t>
  </si>
  <si>
    <t>Que contengan productos de las partidas 29.24 a 29.26. sin productos de las subpartidas 3003.90.1 a 3003.90.4</t>
  </si>
  <si>
    <t>Metoclopramida o su clorhidrato; closantel</t>
  </si>
  <si>
    <t>Metoclopramida o su clorhidrato</t>
  </si>
  <si>
    <t>Atenolol; prilocaina o su clorhidrato; talidomida</t>
  </si>
  <si>
    <t>Prilocaina o su clorhidrato</t>
  </si>
  <si>
    <t>Lidocaina o su clorhidrato; flutamida</t>
  </si>
  <si>
    <t>Lidocaina o su clorhidrato</t>
  </si>
  <si>
    <t>Femproporex</t>
  </si>
  <si>
    <t>Sicotropos (R. 2017/93 ex-ANA)</t>
  </si>
  <si>
    <t>Paracetamol; bromoprida</t>
  </si>
  <si>
    <t>Paracetamol</t>
  </si>
  <si>
    <t>Amitraz; cipermetrina</t>
  </si>
  <si>
    <t>Clorhexidina o sus sales; isetionato de pentamidina</t>
  </si>
  <si>
    <t>Clorhexidina o sus sales</t>
  </si>
  <si>
    <t>Aminoglutetimida; carmustina; deferoxamina (desferrioxamina B) o sus sales. derivados de estos productos; lomustina</t>
  </si>
  <si>
    <t>Carmustina</t>
  </si>
  <si>
    <t>Lomustina</t>
  </si>
  <si>
    <t>Deferoxamina (desferrioxamina B) o sus sales. derivados de estos productos</t>
  </si>
  <si>
    <t>Aminoglutetimida</t>
  </si>
  <si>
    <t>Que contengan sicotropos (R.2017/93 ex-ANA)</t>
  </si>
  <si>
    <t>Glutetimida</t>
  </si>
  <si>
    <t>Sales o esteres de femproporex</t>
  </si>
  <si>
    <t>Isoaminilo</t>
  </si>
  <si>
    <t>Meprobamato</t>
  </si>
  <si>
    <t>Etinamato</t>
  </si>
  <si>
    <t>Hexapropimato</t>
  </si>
  <si>
    <t>Mefexamida</t>
  </si>
  <si>
    <t>Diampromida</t>
  </si>
  <si>
    <t>1-Ciano-1.1-difenil-3-dimetilamino-butano (intermediario de la metadona)</t>
  </si>
  <si>
    <t>Que contengan productos de las partidas 29.30 a 29.32. sin productos de las subpartidas 3003.90.1 a 3003.90.5</t>
  </si>
  <si>
    <t>Nitrovin; moxidectina</t>
  </si>
  <si>
    <t>acido clodronico o su sal disodica; estreptozocina; fotemustina</t>
  </si>
  <si>
    <t>Carbocisteina; sulfiram</t>
  </si>
  <si>
    <t>Que contenga furoato de dietilestilbestrol</t>
  </si>
  <si>
    <t>DMHP</t>
  </si>
  <si>
    <t>MDA</t>
  </si>
  <si>
    <t>MDMA</t>
  </si>
  <si>
    <t>MMDA</t>
  </si>
  <si>
    <t>N-Etil MDA</t>
  </si>
  <si>
    <t>N-Hidroxi MDA</t>
  </si>
  <si>
    <t>Parahexilo</t>
  </si>
  <si>
    <t>Tetrahidrocanabinoles</t>
  </si>
  <si>
    <t>Captodiamina</t>
  </si>
  <si>
    <t>Furfenorex</t>
  </si>
  <si>
    <t>Doxepina</t>
  </si>
  <si>
    <t>Que contengan productos de la partida 29.33. sin productos de las subpartidas 3003.90.1 a 3003.90.6</t>
  </si>
  <si>
    <t>Terfenadina; talniflumato; malato acido de cleboprida; econazol o su nitrato; nitrato de isoconazol; flubendazol; clorhidrato de mepivacaina; trimetoprim; clorhidrato de bupivacaina</t>
  </si>
  <si>
    <t>Malato acido de cleboprida</t>
  </si>
  <si>
    <t>Econazol o su nitrato</t>
  </si>
  <si>
    <t>Clorhidrato de loperamida; fembendazol; ketorolac trometamina; nifedipina; nimodipina; nitrendipina</t>
  </si>
  <si>
    <t>Albendazol o su sulfoxido; mebendazol; 6-mercaptopurina; metilsulfato de amezinio; oxfendazol; praziquantel</t>
  </si>
  <si>
    <t>Albendazol o su sulfoxido</t>
  </si>
  <si>
    <t>Alprazolam; bromazepam; clordiazepoxido; clorhidrato de petidina; diazepam; droperidol; mazindol; triazolam</t>
  </si>
  <si>
    <t>Clorodiazepoxido</t>
  </si>
  <si>
    <t>Benzetimida o su clorhidrato; fenitoina o su sal sodica; isoniazida; pirazinamida</t>
  </si>
  <si>
    <t>Fenitoina o su sal sodica</t>
  </si>
  <si>
    <t>Benzetimida o su clorhidrato</t>
  </si>
  <si>
    <t>acido 2-(2-metil-3-cloroanilino)nicotinico o su sal de lisina; metronidazol o sus sales; nitrato de miconazol</t>
  </si>
  <si>
    <t>Acido 2-(2-metil-3-cloroanilino)nicotinico o su sal de lisina</t>
  </si>
  <si>
    <t>Metronidazol o sus sales</t>
  </si>
  <si>
    <t>Enrofloxacina; maleato de enalapril; maleato de pirilamina; nicarbazina; norfloxacina; sales de piperazina</t>
  </si>
  <si>
    <t>Sales de piperazina</t>
  </si>
  <si>
    <t>Enrofloxacina</t>
  </si>
  <si>
    <t>Altretamina; bortezomib; clorhidrato de erlotinib; dacarbacina; disoproxilfumarato de tenofovir; enfuvirtida; fluspirileno; letrozol; lopinavir; mesilato de imatinib; nelfinavir o su mesilato; nevirapine; pemetrexed; saquinavir; sulfato de abacavir; sulfato de atazanavir; sulfato de indinavir; temozolomida; tioguanina; tiopental sodico; trietilentiofosforamida; trimetrexato; uracil y tegafur; verteporfin</t>
  </si>
  <si>
    <t>Fluspirileno</t>
  </si>
  <si>
    <t>Tiopental sodico</t>
  </si>
  <si>
    <t>Clorhidrato de erlotinib</t>
  </si>
  <si>
    <t>Trietilentiofosforamida</t>
  </si>
  <si>
    <t>Tioguanina</t>
  </si>
  <si>
    <t>Dacarbazina</t>
  </si>
  <si>
    <t>Trimetrexato; nelfinavir o su mesilato; nevirapine; saquinavir; sulfato de indinavir; letrozol; sulfato de abacavir; lopinavir</t>
  </si>
  <si>
    <t>Trimetrexato</t>
  </si>
  <si>
    <t>Nelfinavir o su mesilato</t>
  </si>
  <si>
    <t>Nevirapine</t>
  </si>
  <si>
    <t>Saquinavir</t>
  </si>
  <si>
    <t>Sulfato de indinavir</t>
  </si>
  <si>
    <t>Letrozol</t>
  </si>
  <si>
    <t>Sulfato de abacavir</t>
  </si>
  <si>
    <t>Lopinavir</t>
  </si>
  <si>
    <t>Altretamina; bortezomib; disoproxilfumarato de tenofovir; enfuvirtida; mesilato de imatinib; pemetrexed; sulfato de atazanavir; temozolomida; uracil y tegafur; verteporfin</t>
  </si>
  <si>
    <t>Altretamina; bortezomib; disoproxilfumarato de tenofovir; enfuvirtida; mesilato de imatinib; pemetrexed; sulfato de atazanavir; temozolomida; uracil y tegafur</t>
  </si>
  <si>
    <t>Altretamina</t>
  </si>
  <si>
    <t>Bortezomib</t>
  </si>
  <si>
    <t>Disoproxilfumarato de tenofovir</t>
  </si>
  <si>
    <t>Enfuvirtida</t>
  </si>
  <si>
    <t>Mesilato de imatinib</t>
  </si>
  <si>
    <t>Pemetrexed</t>
  </si>
  <si>
    <t>Sulfato de atazanavir</t>
  </si>
  <si>
    <t>Temozolomida</t>
  </si>
  <si>
    <t>Uracil y tegafur</t>
  </si>
  <si>
    <t>Verteporfin</t>
  </si>
  <si>
    <t>Meclocualona</t>
  </si>
  <si>
    <t>Metacualona</t>
  </si>
  <si>
    <t>Etriptamina</t>
  </si>
  <si>
    <t>Bufotenina</t>
  </si>
  <si>
    <t>PHP o PCPY</t>
  </si>
  <si>
    <t>Que contengan otros sicotropos. excepto los incluidos en el desarrollo SIM 3003.90.79.5 (R.2017/93 ex-ANA)</t>
  </si>
  <si>
    <t>Metilfenidato; fenciclidina; secobarbital; zipeprol; pentazocina; alobarbital; amobarbital; aprobarbital; barbital</t>
  </si>
  <si>
    <t>Secobarbital</t>
  </si>
  <si>
    <t>Zipeprol</t>
  </si>
  <si>
    <t>Alobarbital</t>
  </si>
  <si>
    <t>Amobarbital</t>
  </si>
  <si>
    <t>Aprobarbital</t>
  </si>
  <si>
    <t>Barbital</t>
  </si>
  <si>
    <t>Brallobarbital calcico; butabarbital sodico; butalbital; butetal; ciclobarbital; fenobarbital; hexobarbital sodico; metarbital; metilfenobarbital</t>
  </si>
  <si>
    <t>Brallobarbital calcico</t>
  </si>
  <si>
    <t>Butabarbital sodico</t>
  </si>
  <si>
    <t>Butalbital</t>
  </si>
  <si>
    <t>Butetal</t>
  </si>
  <si>
    <t>Ciclobarbital</t>
  </si>
  <si>
    <t>Fenobarbital</t>
  </si>
  <si>
    <t>Hexobarbital sodico</t>
  </si>
  <si>
    <t>Metarbital</t>
  </si>
  <si>
    <t>Metilfenobarbital</t>
  </si>
  <si>
    <t>Pentobarbital; proxibarbal; ipronal o axeen; secbutabarbital; tiamilal sodico; vinilbital; flunitrazepam; midazolam; penfluoridol</t>
  </si>
  <si>
    <t>Pentobarbital</t>
  </si>
  <si>
    <t>Proxibarbal. ipronal o axeen</t>
  </si>
  <si>
    <t>Secbutabarbital</t>
  </si>
  <si>
    <t>Tiamilal sodico</t>
  </si>
  <si>
    <t>Vinilvital</t>
  </si>
  <si>
    <t>Midazolam</t>
  </si>
  <si>
    <t>Penfluoridol</t>
  </si>
  <si>
    <t>Trifluperidol; haloperidol; nialamida; sales o esteres de droperidol; clorhidrato de azaclinolol; bemperidol; pimozida; pipradol; nomifensin</t>
  </si>
  <si>
    <t>Trifluperidol</t>
  </si>
  <si>
    <t>Nialamida</t>
  </si>
  <si>
    <t>Sales o esteres de droperidol</t>
  </si>
  <si>
    <t>Clorhidrato de azaclinolol</t>
  </si>
  <si>
    <t>Bemperidol</t>
  </si>
  <si>
    <t>Pimozida</t>
  </si>
  <si>
    <t>Pipradol</t>
  </si>
  <si>
    <t>Nomifensin</t>
  </si>
  <si>
    <t>Clozapina; etodroxicina; clorhidrato de hidroxicina; loprazolam; opipramol; trazodona; metiprilona; sales o esteres de bromazepam; clorhidrato de clordiazepoxido</t>
  </si>
  <si>
    <t>Clozapina</t>
  </si>
  <si>
    <t>Etodroxicina</t>
  </si>
  <si>
    <t>Clorhidrato de hidroxicina</t>
  </si>
  <si>
    <t>Loprazolam</t>
  </si>
  <si>
    <t>Opipramol</t>
  </si>
  <si>
    <t>Trazodona</t>
  </si>
  <si>
    <t>Sales o esteres de bromazepam</t>
  </si>
  <si>
    <t>Clorhidrato de clordiazepoxido</t>
  </si>
  <si>
    <t>Sales o esteres de diazepam; oxazepam. sus sales o sus esteres; camazepam; clobazam; clonazepam; clorazepato dipotasico; clorimipramina; delorazepam; desipramina</t>
  </si>
  <si>
    <t>Sales o esteres de Diazepam</t>
  </si>
  <si>
    <t>Oxazepam. sus sales o sus esteres</t>
  </si>
  <si>
    <t>Clorazepato dipotasico</t>
  </si>
  <si>
    <t>Clorimipramina</t>
  </si>
  <si>
    <t>Desipramina</t>
  </si>
  <si>
    <t>Dibenzepina; fludiazepam; flurazepam; halazepam; imipramina; loflazepato de etilo; lorazepam; lormetazepam; medazepam</t>
  </si>
  <si>
    <t>Dibenzepina</t>
  </si>
  <si>
    <t>Imipramina</t>
  </si>
  <si>
    <t>N-Desmetildiazepam o nordazepam; nimetazepam; nitrazepam; nitrazepato de potasio; pinazepam; prazepam; sulazepam; temazepam; tetrazepam</t>
  </si>
  <si>
    <t>N-Desmetildiazepam o nordazepam</t>
  </si>
  <si>
    <t>Nitrazepato de potasio</t>
  </si>
  <si>
    <t>Sulazepam</t>
  </si>
  <si>
    <t>Trimipramina</t>
  </si>
  <si>
    <t>Oxipertina</t>
  </si>
  <si>
    <t>Prolintano</t>
  </si>
  <si>
    <t>Quazepam</t>
  </si>
  <si>
    <t>MPPP</t>
  </si>
  <si>
    <t>PEPAP</t>
  </si>
  <si>
    <t>Metilfentanilo</t>
  </si>
  <si>
    <t>Acetil-alfa-metilfentanilo</t>
  </si>
  <si>
    <t>alfa-Metilfentanilo</t>
  </si>
  <si>
    <t>Cetobemidona</t>
  </si>
  <si>
    <t>beta-Hidroxifentanilo</t>
  </si>
  <si>
    <t>beta-Hidroxi-3-metilfentanilo</t>
  </si>
  <si>
    <t>para-Fluorofentanilo</t>
  </si>
  <si>
    <t>Difenoxina; etoxeridina; fenoperidina; intermediario C de la petidina; clorhidrato de difenoxilato; anileridina; benzetidina; beta-meprodina; beta-prodina</t>
  </si>
  <si>
    <t>Etoxeridina</t>
  </si>
  <si>
    <t>Intermediario C de la petidina</t>
  </si>
  <si>
    <t>Benzetidina</t>
  </si>
  <si>
    <t>beta-meprodina</t>
  </si>
  <si>
    <t>beta-prodina</t>
  </si>
  <si>
    <t>Difenoxilato; hidroxipetidina; petidina y sus sales. excepto el clorhidrato; piminodina; properidina; trimeperidina; dipipanona; intermediario B de la petidina; becitramida</t>
  </si>
  <si>
    <t>Hidroxipetidina</t>
  </si>
  <si>
    <t>Petidina y sus sales. excepto el clorhidrato</t>
  </si>
  <si>
    <t>Piminodina</t>
  </si>
  <si>
    <t>Properidina</t>
  </si>
  <si>
    <t>Intermediario B de la petidina</t>
  </si>
  <si>
    <t>Becitramida</t>
  </si>
  <si>
    <t>Fenampromida; piritramida; intermediario A de la petidina; alfa-meprodina; alfa-prodina; alfentanil; alil prodina; fentanil; norpipanona</t>
  </si>
  <si>
    <t>Fenampromida</t>
  </si>
  <si>
    <t>Intermediario A de la petidina</t>
  </si>
  <si>
    <t>alfa-Meprodina</t>
  </si>
  <si>
    <t>alfa-Prodina</t>
  </si>
  <si>
    <t>Alfentanil</t>
  </si>
  <si>
    <t>Alil prodina</t>
  </si>
  <si>
    <t>Fentanil</t>
  </si>
  <si>
    <t>Norpipanona</t>
  </si>
  <si>
    <t>Drotebanol; fenazocina; fenomorfan; levofenacilmorfan; levometorfan; levorfanol; metazocina; norlevorfanol; racemetorfan</t>
  </si>
  <si>
    <t>Drotebanol</t>
  </si>
  <si>
    <t>Fenazocina</t>
  </si>
  <si>
    <t>Fenomorfan</t>
  </si>
  <si>
    <t>Levofenacilmorfan</t>
  </si>
  <si>
    <t>Levometorfan</t>
  </si>
  <si>
    <t>Metazocina</t>
  </si>
  <si>
    <t>Norlevorfanol</t>
  </si>
  <si>
    <t>Racemetorfan</t>
  </si>
  <si>
    <t>Racemorfan; proheptazina; clonitaceno; etonitaceno; propiramo</t>
  </si>
  <si>
    <t>Racemorfan</t>
  </si>
  <si>
    <t>Proheptazina</t>
  </si>
  <si>
    <t>Clonitaceno</t>
  </si>
  <si>
    <t>Etonitaceno</t>
  </si>
  <si>
    <t>Propiramo</t>
  </si>
  <si>
    <t>Otros. que contengan otros sicotropos (R. 2017/93 ex-ANA)</t>
  </si>
  <si>
    <t>Sales o esteres de alprazolam</t>
  </si>
  <si>
    <t>Sales de esteres de triazolam</t>
  </si>
  <si>
    <t>Sales o esteres de mazindol</t>
  </si>
  <si>
    <t>Sales o esteres de fluspirileno</t>
  </si>
  <si>
    <t>Para medicina veterinaria</t>
  </si>
  <si>
    <t>Que contengan productos de las partidas 29.34. 29.35 y 29.38. sin productos de las subpartidas 3003.90.1 a 3003.90.7</t>
  </si>
  <si>
    <t>Levamisol o sus sales; tetramisol</t>
  </si>
  <si>
    <t>Levamisol o sus sales</t>
  </si>
  <si>
    <t>Sulfadiazina o su sal sodica; sulfametoxazol</t>
  </si>
  <si>
    <t>Sulfadiazina o su sal sodica</t>
  </si>
  <si>
    <t>Cloxazolam; ketazolam; piroxicam; tenoxicam</t>
  </si>
  <si>
    <t>Ftalilsulfatiazol; inosina</t>
  </si>
  <si>
    <t>Inosina</t>
  </si>
  <si>
    <t>Enantato de flufenazina; prometazina; gliburida; rutosido; deslanosido</t>
  </si>
  <si>
    <t>Enantato de Flufenazina</t>
  </si>
  <si>
    <t>Rutosido</t>
  </si>
  <si>
    <t>Clortalidona; furosemida</t>
  </si>
  <si>
    <t>Clorhidrato de tizanidina; furazolidona; ketoconazol</t>
  </si>
  <si>
    <t>Amprenavir; aprepitanto; delavirdina o su mesilato; efavirenz; emtricitabina; etoposido; everolimus; fosamprenavir calcico; fosfato de fludarabina; gemcitabina o su clorhidrato; raltitrexida; ritonavir; sirolimus; tacrolimus; temsirolimus; teniposido</t>
  </si>
  <si>
    <t>Temsirolimus</t>
  </si>
  <si>
    <t>Ritonavir</t>
  </si>
  <si>
    <t>Teniposido</t>
  </si>
  <si>
    <t>Fosfato de fludarabina</t>
  </si>
  <si>
    <t>Gemcitabina o su clorhidrato</t>
  </si>
  <si>
    <t>Efavirenz</t>
  </si>
  <si>
    <t>Amprenavir; aprepitanto; delavirdina o su mesilato; emtricitabina; etoposido; everolimus; fosamprenavir calcico; raltitrexida; sirolimus; tacrolimus</t>
  </si>
  <si>
    <t>Amprenavir</t>
  </si>
  <si>
    <t>Aprepitanto</t>
  </si>
  <si>
    <t>Delavirdina o su mesilato</t>
  </si>
  <si>
    <t>Emtricitabina</t>
  </si>
  <si>
    <t>Fosamprenavir calcico</t>
  </si>
  <si>
    <t>Raltitrexida</t>
  </si>
  <si>
    <t>Tacrolimus</t>
  </si>
  <si>
    <t>Everolimus; sirolimus</t>
  </si>
  <si>
    <t>Everolimus</t>
  </si>
  <si>
    <t>Sirolimus</t>
  </si>
  <si>
    <t>Que contengan sicotropos Lista I (R. 2017/93 ex-ANA)</t>
  </si>
  <si>
    <t>TCP</t>
  </si>
  <si>
    <t>Metilaminorex</t>
  </si>
  <si>
    <t>Fendimetrazina; fenmetrazina; clometiazol; acepromazina; aceprometazina; alimenazina; butirilperazina; clormezanona. sus sales o sus esteres; clorhidrato de clorpromazina</t>
  </si>
  <si>
    <t>Fendimetrazina</t>
  </si>
  <si>
    <t>Fenmetrazina</t>
  </si>
  <si>
    <t>Clometiazol</t>
  </si>
  <si>
    <t>Acepromazina</t>
  </si>
  <si>
    <t>Aceprometazina</t>
  </si>
  <si>
    <t>Alimenazina</t>
  </si>
  <si>
    <t>Butirilperazina</t>
  </si>
  <si>
    <t>Clormezanona sus sales o sus esteres</t>
  </si>
  <si>
    <t>Clorhidrato de clorpromazina</t>
  </si>
  <si>
    <t>Dixirazina; clorhidrato de flufenazina; homofenazina; maleato de levomepromazina; metopromazina; perfenazina; piperacetazina; edisilato de proclorperazina; maleato de proclorperazina</t>
  </si>
  <si>
    <t>Dixirazina</t>
  </si>
  <si>
    <t>Clorhidrato de flufenazina</t>
  </si>
  <si>
    <t>Homofenazina</t>
  </si>
  <si>
    <t>Maleato de levomepromazina</t>
  </si>
  <si>
    <t>Metopromazina</t>
  </si>
  <si>
    <t>Perfenazina</t>
  </si>
  <si>
    <t>Piperacetazina</t>
  </si>
  <si>
    <t>Edisilato de proclorperazina</t>
  </si>
  <si>
    <t>Maleato de proclorperazina</t>
  </si>
  <si>
    <t>Clorhidrato de promazina; clorhidrato de prometazina; propericiazina; clorhidrato de tioridazina; clorhidrato de trifluoperazina; clorhidrato de triflupromazina; clorhidrato de tripropazato; sales o esteres de ketazolam; mesocarbo</t>
  </si>
  <si>
    <t>Clorhidrato de promazina</t>
  </si>
  <si>
    <t>Clorhidrato de prometazina</t>
  </si>
  <si>
    <t>Propericiazina</t>
  </si>
  <si>
    <t>Clorhidrato de tioridazina</t>
  </si>
  <si>
    <t>Clorhidrato de trifluoperazina</t>
  </si>
  <si>
    <t>Clorhidrato de triflupromazina</t>
  </si>
  <si>
    <t>Clorhidrato de tripropazato</t>
  </si>
  <si>
    <t>Sales o esteres de ketazolam</t>
  </si>
  <si>
    <t>Mesocarbo</t>
  </si>
  <si>
    <t>Aminorex; isocarboxiazida; brotizolam; clotiapina; clotiazepam; clorprotixeno; etifoxina; haloxazolam</t>
  </si>
  <si>
    <t>Aminorex</t>
  </si>
  <si>
    <t>Isocarboxiazida</t>
  </si>
  <si>
    <t>Brotizolam</t>
  </si>
  <si>
    <t>Clotiapina</t>
  </si>
  <si>
    <t>Clorprotixeno</t>
  </si>
  <si>
    <t>Etifoxina</t>
  </si>
  <si>
    <t>Haloxazolam</t>
  </si>
  <si>
    <t>Loxapina; oxazolam; pemolina y sus sales; succinato de loxapina; acido 2-metil-3-morfolino-1.1- difenil-propano-carboxilico (Intermediario de la moramida); sulpirida. sus sales o sus esteres; pipotiazina; tioperazina; mesilato de tioproperazina</t>
  </si>
  <si>
    <t>Loxapina</t>
  </si>
  <si>
    <t>Oxazolam</t>
  </si>
  <si>
    <t>Succinato de loxapina</t>
  </si>
  <si>
    <t>acido 2-metil-3-morfolino-1.1-difenil- propano-carboxilico (intermediario de la moramida)</t>
  </si>
  <si>
    <t>Sulpirida. sus sales o sus esteres</t>
  </si>
  <si>
    <t>Pipotiazina</t>
  </si>
  <si>
    <t>Tioperazina</t>
  </si>
  <si>
    <t>Mesilato de tioproperazina</t>
  </si>
  <si>
    <t>Tiotixeno</t>
  </si>
  <si>
    <t>Que contengan estupefacientes Lista IV (R. 2017/93 ex-ANA)</t>
  </si>
  <si>
    <t>alfa-Metiltiofentanilo</t>
  </si>
  <si>
    <t>Metiltiofentanilo</t>
  </si>
  <si>
    <t>Tiofentanilo</t>
  </si>
  <si>
    <t>Que contengan otros estupefacientes (R. 2017/93 ex-ANA)</t>
  </si>
  <si>
    <t>Dietiltiambuteno; dimetiltiambuteno; etilmetiltiambuteno; sufentanil; butirato de dioxafetilo; dextromoramida; fenadoxona; levomoramida; morferidina</t>
  </si>
  <si>
    <t>Dietiltiambuteno</t>
  </si>
  <si>
    <t>Dimetiltiambuteno</t>
  </si>
  <si>
    <t>Etilmetiltiambuteno</t>
  </si>
  <si>
    <t>Sufentanil</t>
  </si>
  <si>
    <t>Butirato de dioxafetilo</t>
  </si>
  <si>
    <t>Fenadoxona</t>
  </si>
  <si>
    <t>Levomoramida</t>
  </si>
  <si>
    <t>Morferidina</t>
  </si>
  <si>
    <t>Racemoramida; furetidina</t>
  </si>
  <si>
    <t>Racemoramida</t>
  </si>
  <si>
    <t>Furetidina</t>
  </si>
  <si>
    <t>Zidovudina</t>
  </si>
  <si>
    <t>Stavudina</t>
  </si>
  <si>
    <t>Didanosina</t>
  </si>
  <si>
    <t>Dideoxiadenosina</t>
  </si>
  <si>
    <t>Zalcitavina</t>
  </si>
  <si>
    <t>Extracto de polen</t>
  </si>
  <si>
    <t>Crisarobina; disofenol</t>
  </si>
  <si>
    <t>Crisarobina</t>
  </si>
  <si>
    <t>Diclofenac resinato</t>
  </si>
  <si>
    <t>Busulfano; dexormaplatino; dietilestilbestrol o su dipropionato; enloplatino; iproplatino; lobaplatino; miboplatino; miltefosina; mitotano; ormaplatino; procarbazina o su clorhidrato; propofol; sebriplatino; zeniplatino</t>
  </si>
  <si>
    <t>Propofol</t>
  </si>
  <si>
    <t>Busulfano</t>
  </si>
  <si>
    <t>Mitotano</t>
  </si>
  <si>
    <t>Dexormaplatino; enloplatino; iproplatino; lobaplatino; miboplatino;ormaplatino; sebriplatino; zeniplatino</t>
  </si>
  <si>
    <t>Dietilestilbestrol o su dipropionato</t>
  </si>
  <si>
    <t>Los demas (R. 2014/93 ex ANA)</t>
  </si>
  <si>
    <t>Miltefosina; procarbazina o su clorhidrato</t>
  </si>
  <si>
    <t>Miltefosina</t>
  </si>
  <si>
    <t>Procarbazina o su clorhidrato</t>
  </si>
  <si>
    <t>Complejo hierro dextrano</t>
  </si>
  <si>
    <t>Metilpentinol; etclorvinol; alcohol tribromoetilico; pentaeritritol diclorhidrina; fenpentadiol; mefenesina; fenelzina; iproclozida; noxiptilina</t>
  </si>
  <si>
    <t>Metilpentinol</t>
  </si>
  <si>
    <t>Etclorvinol</t>
  </si>
  <si>
    <t>Alcohol tribromoetilico</t>
  </si>
  <si>
    <t>Pentaeritritol diclorhidrina</t>
  </si>
  <si>
    <t>Fenpentadiol</t>
  </si>
  <si>
    <t>Mefenesina</t>
  </si>
  <si>
    <t>Fenelzina</t>
  </si>
  <si>
    <t>Iproclozida</t>
  </si>
  <si>
    <t>Noxiptilina</t>
  </si>
  <si>
    <t>Que contengan estupefacientes (R. 2017/93 ex-ANA)</t>
  </si>
  <si>
    <t>Que contengan palmitato de dietilestilbestrol. o que contengan hexestrol. su dipropionato o su diacetato. o diacetato de dienoestrol</t>
  </si>
  <si>
    <t>Antiparasitarios usados en medicina veterinaria</t>
  </si>
  <si>
    <t>Que contengan lindano (R.G. 2146/06 AFIP)</t>
  </si>
  <si>
    <t>Medicamentos (excepto los productos de las partidas 30.02. 30.05 o 30.06) constituidos por productos mezclados o sin mezclar. preparados para usos terapeuticos o profilacticos. dosificados (incluidos los administrados por via transdermica) o acondicionados para la venta al por menor.</t>
  </si>
  <si>
    <t>Soluciones que contengan sulfato de gentamicina. sulfato de estreptomicina. sulfato de condroitina. polipeptidos. dextrana e indicador (ej.: rojo de fenol) de los tipos utilizados para la preservacion de tejido corneal</t>
  </si>
  <si>
    <t>Tobramicina para inhalar</t>
  </si>
  <si>
    <t>Dactinomicina</t>
  </si>
  <si>
    <t>Acetato de caspofungin</t>
  </si>
  <si>
    <t>Hormonas corticosteroides</t>
  </si>
  <si>
    <t>Acetato de buserelina</t>
  </si>
  <si>
    <t>De uso en medicina humana (R.2014/93 ex-ANA)</t>
  </si>
  <si>
    <t>De uso en medicina veterinaria (R.2012/93 ex-ANA)</t>
  </si>
  <si>
    <t>Buserelina</t>
  </si>
  <si>
    <t>Que contengan las demas hormonas polipeptidicas o proteicas. sus derivados o analogos estructurales. sin productos de la subpartida 3004.39.1</t>
  </si>
  <si>
    <t>Calcitonina</t>
  </si>
  <si>
    <t>Nafarelina</t>
  </si>
  <si>
    <t>Acetato de nafarelina</t>
  </si>
  <si>
    <t>Acetato de lanreotido; acetato de octeotrida; cetrolerix; clorhidrato de glucagon</t>
  </si>
  <si>
    <t>Teriparatida</t>
  </si>
  <si>
    <t>Nomenestrol</t>
  </si>
  <si>
    <t>Tiratricol (triac) o su sal sodica</t>
  </si>
  <si>
    <t>Vindesina</t>
  </si>
  <si>
    <t>Lisergida; DET; DMT; ibogaina; mescalina; psilocibina; psilocina; marmalina; marmina</t>
  </si>
  <si>
    <t>Psicolocibina</t>
  </si>
  <si>
    <t>Que contengan estupefacientes Lista IV (R.2017/93 ex-ANA).</t>
  </si>
  <si>
    <t>Que contengan otros estupefacientes (R.2017/93 ex-ANA).</t>
  </si>
  <si>
    <t>Hidrocodona y sus esteres; oxicodona; bencilmorfina; codoxima; dihidromorfina y sus esteres; hidromorfinol; hidromorfona y sus esteres</t>
  </si>
  <si>
    <t>Metildesorfina; metildihidromorfina; metopon; mirofina; morfina y sus sales; bromometilato de morfina y otros derivados de la morfina; N-oximorfina incluida la N-oxicodeina. Que contengan otros estupefacientes (R.2017/93 ex-ANA).</t>
  </si>
  <si>
    <t>N_Oximorfina incluida la N-oxicodeina</t>
  </si>
  <si>
    <t>Derivados de la N-oximorfina; nicomorfina; normorfina; esteres de la oxicodona; oximorfona; tebacon; tebaina; cocaina</t>
  </si>
  <si>
    <t>Norcodeina; dehidroetorfina.</t>
  </si>
  <si>
    <t>Colchicina</t>
  </si>
  <si>
    <t>- Los demas. que contengan vitaminas u otros productos de la partida 29.36</t>
  </si>
  <si>
    <t>Vitamina D 3 (colecalciferol)</t>
  </si>
  <si>
    <t>Mezclas que contengan vitaminas A1 alcohol (retinol) o su palmitato. D3 (colecalciferol). E o D-alfa-tocoferol y K1 (fitonadiona). con otras vitaminas y un compuesto de cinc</t>
  </si>
  <si>
    <t>- Los demas. que contengan los principios activos contra la malaria (paludismo) descriptos en la Nota 2 de subpartida del presente Capitulo</t>
  </si>
  <si>
    <t>Cloroquina</t>
  </si>
  <si>
    <t>Que contengan enzimas</t>
  </si>
  <si>
    <t>Agalsidasa alfa; agalsidasa beta; alglucerasa; imiglucerasa; laronidasa; pancreolipasa</t>
  </si>
  <si>
    <t>Que contengan productos de las partidas 29.16 a 29.20. sin productos de la subpartida 3004.90.1</t>
  </si>
  <si>
    <t>Acido colico</t>
  </si>
  <si>
    <t>Acido deoxicolico</t>
  </si>
  <si>
    <t>Acido gluconico. sus sales o sus esteres</t>
  </si>
  <si>
    <t>acido O-acetilsalicilico; O-acetilsalicilato de aluminio; salicilato de metilo; diclorvos</t>
  </si>
  <si>
    <t>acido lactico. sus sales o sus esteres; acido 4-(4-hidroxifenoxi)-3.5-diiodofenilacetico; acido fumarico. sus sales o sus esteres</t>
  </si>
  <si>
    <t>Bolsas para dialisis peritoneal ambulato- ria que contengan solucion acuosa de glucosa. electrolitos y acido lactico bajo la forma de lactato</t>
  </si>
  <si>
    <t>Acido 4-(4-hidroxifenoxi)- 3.5-diiodofenilacetico</t>
  </si>
  <si>
    <t>Nitroglicerina. de administracion por via transdermica</t>
  </si>
  <si>
    <t>Triflusal</t>
  </si>
  <si>
    <t>Que contengan productos de las partidas 29.21 y 29.22. sin productos de las subpartidas 3004.90.1 y 3004.90.2</t>
  </si>
  <si>
    <t>Clorhidrato de fenilefrina; mirtecaina; propanolol o sus sales</t>
  </si>
  <si>
    <t>Gabapentin; vigabatrin</t>
  </si>
  <si>
    <t>Que contengan productos de las partidas 29.24 a 29.26. sin productos de las subpartidas 3004.90.1 a 3004.90.3</t>
  </si>
  <si>
    <t>Prilocaina o sus clorhidrato</t>
  </si>
  <si>
    <t>Deferoxamina o sus sales. derivados de estos productos</t>
  </si>
  <si>
    <t>Mesilato de deferoxamina</t>
  </si>
  <si>
    <t>Rivastigmina</t>
  </si>
  <si>
    <t>Que contengan productos de las partidas 29.30 a 29.32. sin productos de las subpartidas 3004.90.1 a 3004.90.4</t>
  </si>
  <si>
    <t>Fotemustina</t>
  </si>
  <si>
    <t>Que contengan furoato de dietilestilbestrol</t>
  </si>
  <si>
    <t>Los demas (R.2014/93 ANA)</t>
  </si>
  <si>
    <t>acido tiludronico o su sal de di-ter-butilamina; soluciones que contengan glutationa. alopurinol.adenosina. rafinosa. acido lactobionico. almidon modificado. hidroxidos de sodio y potasio. sulfato de magnesio. fosfato de potasio y reguladores de pH de los tipos utilizados para la preservacion de organos; topiramato</t>
  </si>
  <si>
    <t>Que contengan productos de la partida 29.33. sin productos de las subpartidas 3004.90.1 a 3004.90.5</t>
  </si>
  <si>
    <t>Metilsulfato de Amezinio</t>
  </si>
  <si>
    <t>Clorhidrato de Petidina</t>
  </si>
  <si>
    <t>acido 2-(2-metil-3-cloroanilino)nicotinico o su sal de lisina; metronidazol o sus sales; azatioprina; nitrato de miconazol</t>
  </si>
  <si>
    <t>Altretamina; bortezomib; clorhidrato de erlotinib; dacarbazina; disoproxilfumarato de tenofovir; enfuvirtida; fluspirileno; letrozol; lopinavir; mesilato de imatinib; nelfinavir o su mesilato; nevirapine; pemetrexed; saquinavir; sulfato de abacavir; sulfato de atazanavir; sulfato de indinavir; temozolomida; tioguanina; tiopental sodico; trietilentiofosforamida; trimetrexato; uracil y tegafur; verteporfin</t>
  </si>
  <si>
    <t>Sulfato de Indinavir</t>
  </si>
  <si>
    <t>Que contengan otros sicotropos. excepto los incluidos en el desarrollo SIM 3004.90.69.5 (R.2017/93 ex-ANA)</t>
  </si>
  <si>
    <t>Brallobarbital Calcico</t>
  </si>
  <si>
    <t>Butabarbital Sodico</t>
  </si>
  <si>
    <t>Hexobarbital Sodico</t>
  </si>
  <si>
    <t>Pentobarbital; proxibarbal. ipronal o axeen; secbutabarbital; tiamilal sodico; vinilbital; flunitrazepam; midazolam; penfluoridol</t>
  </si>
  <si>
    <t>Vinilbital</t>
  </si>
  <si>
    <t>Trifluperidol; haloperidol; nialamida; sales o esteres de droperidol; cLorhidrato de azaclinolol; bemperidol; pimozida; pipradol; nomifensin</t>
  </si>
  <si>
    <t>Sales o esteres de diazepam; oxazepam sus sales o sus esteres; camazepam; clobazam; clonazepam; clorazepato dipotasico; clorimipramina; delorazepam; desipramina</t>
  </si>
  <si>
    <t>Sales o esteres de diazepam</t>
  </si>
  <si>
    <t>Oxazepam sus sales o sus esteres</t>
  </si>
  <si>
    <t>Debenzepina; fludiazepam; flurazepam; halazepam; imipramina; loflazepato de etilo; lorazepam; lormetazepam; medazepam</t>
  </si>
  <si>
    <t>N-desmetildiazepam o nordazepam</t>
  </si>
  <si>
    <t>beta-Meprodina</t>
  </si>
  <si>
    <t>beta-Prodina</t>
  </si>
  <si>
    <t>Intermadiario B de la petidina</t>
  </si>
  <si>
    <t>Alil Prodina</t>
  </si>
  <si>
    <t>Citrato de fentanilo</t>
  </si>
  <si>
    <t>Sales o esteres de triazolam</t>
  </si>
  <si>
    <t>acido zoledronico; bromuro de piridostigmina cisatracurium; clorhidrato de lercanidipina; cloruro de mivacurium; eptifibatide; lactato de milrinona; mesilato de saquinavir; nilutamida; pralidoxima; ropinirol</t>
  </si>
  <si>
    <t>Hidroxicloroquina</t>
  </si>
  <si>
    <t>Besilato de atracurio; bromuro de pancuronio</t>
  </si>
  <si>
    <t>Besilato de atracurio</t>
  </si>
  <si>
    <t>Bromuro de pancuronio</t>
  </si>
  <si>
    <t>Que contengan productos de las partidas 29.34. 29.35 y 29.38. sin productos de las subpartidas 3004.90.1 a 3004.90.6</t>
  </si>
  <si>
    <t>Amprenavir; aprepitanto; delavirdina o su mesilato; efavirenz; emtricitabina; etoposido; everolimus; fosamprenavir calcico; fosfato de fludarabina; gemcitabina o su clorhidrato; raltitrexida; ritonavir; sirolimus; tracrolimus; temsirolimus; teniposido</t>
  </si>
  <si>
    <t>clormezanona. sus sales o sus esteres</t>
  </si>
  <si>
    <t>Clorhidrato de Clorpromazina</t>
  </si>
  <si>
    <t>Maleato de Levomepromazina</t>
  </si>
  <si>
    <t>Loxapina; oxazolam; pemolina y sus sales; succinato de loxapina; acido 2-metil-3-morfolino-1.1- difenil-propano-carboxilico intermediario de la moramida); sulpirida. sus sales o sus esteres; pipotiazina; tioperazina; mesilato de tioproperazina</t>
  </si>
  <si>
    <t>Zalcitabina</t>
  </si>
  <si>
    <t>Clorhidrato de tirofiban; isradipina; micofenolato de mofetilo; pramipexol; riluzol</t>
  </si>
  <si>
    <t>Dexormaplatino; enloplatino; iproplatino; lobaplatino; miboplatino; ormaplatino; sebriplatino; zeniplatino</t>
  </si>
  <si>
    <t>Que contengan sicotropos (R.2017/93 ANA)</t>
  </si>
  <si>
    <t>Que contengan glucosa destinados al tratamiento de deficiencias de azucar en diabeticos (R.1946/93 ex-ANA)</t>
  </si>
  <si>
    <t>Disoluciones parenterales a base de cloruro de sodio o de dextrosa. esteriles. en envases con capacidad superior o igual a 0.1 l pero inferior o igual a 3 l</t>
  </si>
  <si>
    <t>En sistemas cerrados de infusion. para envases con capacidad superior o igual a 0.1 l pero inferior o igual a 1 l</t>
  </si>
  <si>
    <t>Que contengan mayoritariamente cloruro de sodio</t>
  </si>
  <si>
    <t>Que contengan mayoritariamente dextrosa</t>
  </si>
  <si>
    <t>En sistemas cerrados de infusion. para envases con capacidad superior a 0.5 l pero inferior o igual a 1 l</t>
  </si>
  <si>
    <t>COP 1 (copolimero 1); dalteparina; reviparina; tinzaparina; tolcapone</t>
  </si>
  <si>
    <t>Guatas. gasas. vendas y articulos analogos (por ejemplo: apositos. esparadrapos. sinapismos). impregnados o recubiertos de sustancias farmaceuticas o acondicionados para la venta al por menor con fines medicos. quirurgicos. odontologicos o veterinarios.</t>
  </si>
  <si>
    <t>Impregnados o recubiertos de sustancias farmaceuticas</t>
  </si>
  <si>
    <t>Apositos quirurgicos que permitan la observacion directa de heridas</t>
  </si>
  <si>
    <t>Apositos impermeables aplicables sobre mucosas</t>
  </si>
  <si>
    <t>Apositos con obturador. aptos para colostomia (conos obturadores)</t>
  </si>
  <si>
    <t>Apositos con dispositivo de cierre. aptos para cerrar heridas</t>
  </si>
  <si>
    <t>Apositos reabsorbibles</t>
  </si>
  <si>
    <t>De acido poliglicolico</t>
  </si>
  <si>
    <t>De copolimeros de acido glicolico y acido lactico</t>
  </si>
  <si>
    <t>Campos quirurgicos de telas sin tejer</t>
  </si>
  <si>
    <t>Articulos impregnados o recubiertos de sustancias farmaceuticas. de uso humano (R.2014/93 ex-ANA)</t>
  </si>
  <si>
    <t>Otros. de uso humano (R.G.30/97 AFIP)</t>
  </si>
  <si>
    <t>Gasas</t>
  </si>
  <si>
    <t>Esterilizadas</t>
  </si>
  <si>
    <t>Sin esterilizar</t>
  </si>
  <si>
    <t>Vendas</t>
  </si>
  <si>
    <t>Algodon hidrofilo</t>
  </si>
  <si>
    <t>Preparaciones y articulos farmaceuticos a que se refiere la Nota 4 de este Capitulo.</t>
  </si>
  <si>
    <t>Ligaduras de polidihexanona</t>
  </si>
  <si>
    <t>Ligaduras de acero inoxidable</t>
  </si>
  <si>
    <t>Las demas ligaduras</t>
  </si>
  <si>
    <t>De catgut</t>
  </si>
  <si>
    <t>De lino u otras fibras naturales</t>
  </si>
  <si>
    <t>De polipropileno</t>
  </si>
  <si>
    <t>De polietileno</t>
  </si>
  <si>
    <t>Adhesivos</t>
  </si>
  <si>
    <t>De fibrina</t>
  </si>
  <si>
    <t>Laminarias</t>
  </si>
  <si>
    <t>Hemostaticos reabsorbibles</t>
  </si>
  <si>
    <t>Barreras antiadherencias esteriles. para cirugia u odontologia. incluso reabsorbibles</t>
  </si>
  <si>
    <t>Preparaciones opacificantes para examenes radiologicos</t>
  </si>
  <si>
    <t>A base de iohexol</t>
  </si>
  <si>
    <t>A base de iocarmato de dimeglumina o de gadoterato de meglumina</t>
  </si>
  <si>
    <t>A base de iopamidol</t>
  </si>
  <si>
    <t>A base de dioxido de circonio y de sulfato de gentamicina</t>
  </si>
  <si>
    <t>A base de diatrizoato de sodio o de meglumina</t>
  </si>
  <si>
    <t>A base de ioversol o iopromida</t>
  </si>
  <si>
    <t>A base de iotalamato de sodio. de iotalamato de meglumina o de sus mezclas</t>
  </si>
  <si>
    <t>A base de sulfato de bario</t>
  </si>
  <si>
    <t>A base de somatoliberina</t>
  </si>
  <si>
    <t>Cementos y demas productos para obturacion dental</t>
  </si>
  <si>
    <t>Cementos</t>
  </si>
  <si>
    <t>Demas productos para obturacion dental</t>
  </si>
  <si>
    <t>Conos de gutapercha</t>
  </si>
  <si>
    <t>A base de aleaciones metalicas ("amalgamas")</t>
  </si>
  <si>
    <t>Cementos para la refeccion de los huesos</t>
  </si>
  <si>
    <t>Que presenten medicamentos (R.2014/93 ex-ANA)</t>
  </si>
  <si>
    <t>Que no presenten medicamentos (R.G. 30/97 AFIP)</t>
  </si>
  <si>
    <t>- Preparaciones quimicas anticonceptivas a base de hormonas. de otros productos de la partida 29.37 o de espermicidas</t>
  </si>
  <si>
    <t>De administracion oral. acondicionados para la venta al por menor</t>
  </si>
  <si>
    <t>De administracion parenteral. acondicionados para la venta al por menor</t>
  </si>
  <si>
    <t>Bolsas con forma para colostomia. ileostomia y urostomia</t>
  </si>
  <si>
    <t>Para colostomia</t>
  </si>
  <si>
    <t>Para ileostomia</t>
  </si>
  <si>
    <t>Para urostomia</t>
  </si>
  <si>
    <t>ABONOS DE ORIGEN ANIMAL O VEGETAL. INCLUSO MEZCLADOS ENTRE SÃ O TRATADOS QUÃMICAMENTE; ABONOS PROCEDENTES DE LA MEZCLA O DEL TRATAMIENTO QUÃMICO DE PRODUCTOS DE ORIGEN ANIMAL O VEGETAL.</t>
  </si>
  <si>
    <t>Abonos minerales o quimicos nitrogenados.</t>
  </si>
  <si>
    <t>Con un contenido de nitrogeno. calculado sobre producto anhidro seco. superior al 45 % en peso</t>
  </si>
  <si>
    <t>- Sulfato de amonio; sales dobles y mezclas entre si de sulfato de amonio y nitrato de amonio:</t>
  </si>
  <si>
    <t>Sulfonitrato de amonio</t>
  </si>
  <si>
    <t>Seco.con una cantidad inferior o igual a 0.2 % de sustancias organicas</t>
  </si>
  <si>
    <t>Mezclas fertilizantes que contengan nitrato de amonio</t>
  </si>
  <si>
    <t>Natural</t>
  </si>
  <si>
    <t>Con un contenido de nitrogeno inferior o igual al 16.3 % en peso</t>
  </si>
  <si>
    <t>Cianamida calcica</t>
  </si>
  <si>
    <t>Abonos minerales o quimicos fosfatados.</t>
  </si>
  <si>
    <t>- Superfosfatos:</t>
  </si>
  <si>
    <t>--Con contenido de pentoxido de difosforo (P2O5) superior o igual al 35% en peso</t>
  </si>
  <si>
    <t>Hidrogenoortofosfato de calcio</t>
  </si>
  <si>
    <t>Con un contenido de pentoxido de fosforo (P2O5) inferior o igual al 46 % en peso</t>
  </si>
  <si>
    <t>Abonos minerales o quimicos potasicos.</t>
  </si>
  <si>
    <t>Con un contenido de oxido de potasio (K20) inferior o igual al 60 % en peso</t>
  </si>
  <si>
    <t>Con un contenido de oxido de potasio (K20) inferior o igual al 52 % en peso</t>
  </si>
  <si>
    <t>Sulfato doble de potasio y magnesio. con un contenido de oxido de potasio (K20) superior al 30 % en peso</t>
  </si>
  <si>
    <t>Sulfato doble de potasio y magnesio</t>
  </si>
  <si>
    <t>Abonos minerales o quimicos. con dos o tres de los elementos fertilizantes: nitrogeno. fosforo y potasio; los demas abonos; productos de este Capitulo en tabletas o formas similares o en envases de un peso bruto inferior o igual a 10 kg.</t>
  </si>
  <si>
    <t>- Productos de este Capitulo en tabletas o formas similares o en envases de un peso bruto inferior o igual a 10 kg</t>
  </si>
  <si>
    <t>De abonos nitrogenados</t>
  </si>
  <si>
    <t>Que contengan nitrato de amonio</t>
  </si>
  <si>
    <t>De abonos fosfatados</t>
  </si>
  <si>
    <t>De abonos potasicos</t>
  </si>
  <si>
    <t>De abonos que contengan dos elementos fertilizantes</t>
  </si>
  <si>
    <t>- Dihidrogenoortofosfato de amonio (fosfato monoamonico). incluso mezclado con hidrogenoortofosfato de diamonio (fosfato diamonico)</t>
  </si>
  <si>
    <t>Fosfato monoamonico</t>
  </si>
  <si>
    <t>Puro (R.2808/80 ex-ANA)</t>
  </si>
  <si>
    <t>Fosfato monoamonico mezclado con fosfato diamonico</t>
  </si>
  <si>
    <t>- Los demas abonos minerales o quimicos con los dos elementos fertilizantes: nitrogeno y fosforo:</t>
  </si>
  <si>
    <t>Nitrato de sodio potasico</t>
  </si>
  <si>
    <t>Con un contenido de nitrogeno inferior o igual al 15 % en peso y de oxido de potasio (K2O) inferior o igual al 15 % en peso</t>
  </si>
  <si>
    <t>Extractos curtientes de origen vegetal; taninos y sus sales. eteres. esteres y demas derivados.</t>
  </si>
  <si>
    <t>De gambir</t>
  </si>
  <si>
    <t>De roble o castaño</t>
  </si>
  <si>
    <t>Taninos</t>
  </si>
  <si>
    <t>Sales. eteres y esteres de taninos</t>
  </si>
  <si>
    <t>Los demas derivados de taninos</t>
  </si>
  <si>
    <t>Productos curtientes organicos sinteticos; productos curtientes inorganicos; preparaciones curtientes. incluso con productos curtientes naturales; preparaciones enzimaticas para precurtido.</t>
  </si>
  <si>
    <t>Productos curtientes sinteticos aromaticos</t>
  </si>
  <si>
    <t>A base de bifenil sulfonato de amonio</t>
  </si>
  <si>
    <t>A base de alquilsulfocloruros</t>
  </si>
  <si>
    <t>Productos curtientes resinicos total o casi totalmente hidrosolubles</t>
  </si>
  <si>
    <t>Productos curtientes inorganicos</t>
  </si>
  <si>
    <t>A base de sales de cromo</t>
  </si>
  <si>
    <t>A base de sales de titanio</t>
  </si>
  <si>
    <t>A base de sales de circonio</t>
  </si>
  <si>
    <t>A base de sales de aluminio</t>
  </si>
  <si>
    <t>A base de sales de hierro</t>
  </si>
  <si>
    <t>Preparaciones curtientes</t>
  </si>
  <si>
    <t>A base de compuestos de cromo</t>
  </si>
  <si>
    <t>Rindentes artificiales para curticion</t>
  </si>
  <si>
    <t>Preparaciones enzimaticas para precurtido</t>
  </si>
  <si>
    <t>Materias colorantes de origen vegetal o animal (incluidos los extractos tintoreos. excepto los negros de origen animal). aunque sean de constitucion quimica definida; preparaciones a que se refiere la Nota 3 de este Capitulo a base de materias colorantes de origen vegetal o animal.</t>
  </si>
  <si>
    <t>Materias colorantes de origen vegetal</t>
  </si>
  <si>
    <t>Hemateina</t>
  </si>
  <si>
    <t>Fisetina</t>
  </si>
  <si>
    <t>Morina</t>
  </si>
  <si>
    <t>Enocianina</t>
  </si>
  <si>
    <t>Clorofila</t>
  </si>
  <si>
    <t>Xantofila</t>
  </si>
  <si>
    <t>Anis natural</t>
  </si>
  <si>
    <t>Bixina (achiote)</t>
  </si>
  <si>
    <t>Materias colorantes de origen animal</t>
  </si>
  <si>
    <t>Carmin de cochinilla</t>
  </si>
  <si>
    <t>Preparaciones a que se refiere la Nota 3 de este Capitulo. a base de materias colorantes de origen vegetal o animal</t>
  </si>
  <si>
    <t>A base de materias colorantes vegetales</t>
  </si>
  <si>
    <t>A base de materias colorantes animales</t>
  </si>
  <si>
    <t>Materias colorantes organicas sinteticas. aunque sean de constitucion quimica definida; preparaciones a que se refiere la Nota 3 de este Capitulo a base de materias colorantes organicas sinteticas; productos organicos sinteticos de los tipos utilizados para el avivado fluorescente o como luminoforos. aunque sean de constitucion quimica definida.</t>
  </si>
  <si>
    <t>- Materias colorantes organicas sinteticas y preparaciones a que se refiere la Nota 3 de este Capitulo a base de dichas materias colorantes:</t>
  </si>
  <si>
    <t>Colorantes dispersos sin mezclar</t>
  </si>
  <si>
    <t>Amarillos</t>
  </si>
  <si>
    <t>Naranjas</t>
  </si>
  <si>
    <t>Rojos</t>
  </si>
  <si>
    <t>Violetas</t>
  </si>
  <si>
    <t>Azules</t>
  </si>
  <si>
    <t>Marrones</t>
  </si>
  <si>
    <t>Colorantes dispersos mezclados entre si. exclusivamente</t>
  </si>
  <si>
    <t>Colorantes acidos. incluso metalizados. y preparaciones a base de estos colorantes</t>
  </si>
  <si>
    <t>Colorantes acidos. incluso metalizados. sin mezclar</t>
  </si>
  <si>
    <t>Colorantes acidos. incluso metalizados. mezclados entre si. exclusivamente</t>
  </si>
  <si>
    <t>Colorantes para mordientes y preparaciones a base de estos colorantes</t>
  </si>
  <si>
    <t>Colorantes para mordientes sin mezclar</t>
  </si>
  <si>
    <t>Colorantes para mordientes mezclados entre si. exclusivamente</t>
  </si>
  <si>
    <t>Colorantes basicos sin mezclar</t>
  </si>
  <si>
    <t>Colorantes basicos mezclados entre si. exclusivamente</t>
  </si>
  <si>
    <t>Colorantes directos sin mezclar</t>
  </si>
  <si>
    <t>Colorantes directos mezclados entre si. exclusivamente</t>
  </si>
  <si>
    <t>«Ãndigo blue» segun Colour Index 73000</t>
  </si>
  <si>
    <t>Dibenzantrona</t>
  </si>
  <si>
    <t>12.12-Dimetoxidibenzantrona</t>
  </si>
  <si>
    <t>Colorantes a la tina o a la cuba (incluidos los utilizados directamente como colorantes pigmentarios) sin mezclar</t>
  </si>
  <si>
    <t>Colorantes a la tina o a la cuba (incluidos los utilizados directamente como colorantes pigmentarios) mezclados entre si. exclusivamente</t>
  </si>
  <si>
    <t>Colorantes reactivos sin mezclar</t>
  </si>
  <si>
    <t>Colorantes reactivos mezclados entre si. exclusivamente</t>
  </si>
  <si>
    <t>Colorantes pigmentarios sin mezclar</t>
  </si>
  <si>
    <t>Colorantes pigmentarios mezclados entre si. exclusivamente</t>
  </si>
  <si>
    <t>Dispersiones concentradas</t>
  </si>
  <si>
    <t>De composicion definida en la Resolucion N° 10/2011 MI. excluida su presentacion en pasta</t>
  </si>
  <si>
    <t>- - Las demas. incluidas las mezclas de materias colorantes de dos o mas de las subpartidas 3204.11 a 3204.19</t>
  </si>
  <si>
    <t>Carotenoides y sus preparaciones</t>
  </si>
  <si>
    <t>Carotenoides</t>
  </si>
  <si>
    <t>Caroteno</t>
  </si>
  <si>
    <t>Preparaciones que contengan beta-caroteno. esteres metilico o etilico del acido 8'-apo-beta-carotenoico o cantaxantina. con aceites vegetales. almidon. gelatina. sacarosa o dextrina. aptas para colorear alimentos (R.467/97 MEOSP).</t>
  </si>
  <si>
    <t>Otras preparaciones aptas para colorear alimentos</t>
  </si>
  <si>
    <t>Colorantes solubles en disolventes (colorantes solventes)</t>
  </si>
  <si>
    <t>Colorantes solubles en disolventes (colorantes solventes) sin mezclar</t>
  </si>
  <si>
    <t>Colorantes solubles en disolventes (colorantes solventes) mezclados entre si. exclusivamente</t>
  </si>
  <si>
    <t>Colorantes azoicos</t>
  </si>
  <si>
    <t>Colorantes azoicos sin mezclar</t>
  </si>
  <si>
    <t>Colorantes azoicos mezclados entre si. exclusivamente</t>
  </si>
  <si>
    <t>Derivados del estilbeno</t>
  </si>
  <si>
    <t>Derivados del acido 4.4-bis-(1.3.5)triazinil-6-aminoestilbeno-2.2-disulfonico</t>
  </si>
  <si>
    <t>Productos domisanitarios definidos en la Resolucion 709/98 ex MSyAS</t>
  </si>
  <si>
    <t>Lacas colorantes; preparaciones a que se refiere la Nota 3 de este Capitulo a base de lacas colorantes.</t>
  </si>
  <si>
    <t>Lacas colorantes</t>
  </si>
  <si>
    <t>Preparaciones</t>
  </si>
  <si>
    <t>Las demas materias colorantes; preparaciones a que se refiere la Nota 3 de este Capitulo. excepto las de las partidas 32.03. 32.04 o 32.05; productos inorganicos de los tipos utilizados como luminoforos. aunque sean de constitucion quimica definida.</t>
  </si>
  <si>
    <t>- Pigmentos y preparaciones a base de dioxido de titanio:</t>
  </si>
  <si>
    <t>- - Con un contenido de dioxido de titanio superior o igual al 80 % en peso. calculado sobre materia seca</t>
  </si>
  <si>
    <t>Pigmentos tipo rutilo</t>
  </si>
  <si>
    <t>Con tamaño promedio de particula superior o igual a 0.6 micrometros. con adicion de modificadores</t>
  </si>
  <si>
    <t>Los demas. comprendidos en la Ley 25.174 (Malla antigranizo-materia prima). sus normas modificatorias y complementarias</t>
  </si>
  <si>
    <t>Los demas pigmentos</t>
  </si>
  <si>
    <t>Tipo Anatasa</t>
  </si>
  <si>
    <t>Pigmento constituido por mica revestida con pelicula de dioxido de titanio</t>
  </si>
  <si>
    <t>Comprendidos en la Ley N° 25.174 (Malla antigranizo-materia prima). sus normas modificatorias y complementarias</t>
  </si>
  <si>
    <t>Pigmentos a base de compuestos de cromo</t>
  </si>
  <si>
    <t>- Las demas materias colorantes y las demas preparaciones:</t>
  </si>
  <si>
    <t>Ultramar</t>
  </si>
  <si>
    <t>Litopon</t>
  </si>
  <si>
    <t>A base de litopon</t>
  </si>
  <si>
    <t>A base de los demas pigmentos de sulfuro de cinc</t>
  </si>
  <si>
    <t>Pigmentos a base de sulfuro de cinc</t>
  </si>
  <si>
    <t>Pigmentos y preparaciones a base de compuestos de cadmio</t>
  </si>
  <si>
    <t>Pigmentos a base de compuestos de cadmio</t>
  </si>
  <si>
    <t>Pigmentos y preparaciones a base de hexacianoferratos (ferrocianuros o ferricianuros)</t>
  </si>
  <si>
    <t>Pigmentos</t>
  </si>
  <si>
    <t>A base de ferrocianuros</t>
  </si>
  <si>
    <t>A base de ferricianuros</t>
  </si>
  <si>
    <t>Pigmentos negros de origen mineral y sus preparaciones</t>
  </si>
  <si>
    <t>Pigmentos y preparaciones a base de compuestos de cobalto</t>
  </si>
  <si>
    <t>Los demas. comprendidos en la Ley N° 25.174 (Malla antigranizo-materia prima). sus normas modificatorias y complementarias</t>
  </si>
  <si>
    <t>Con sustancias radiactivas de radiactividad especifica inferior o igual a 74 Bq/g (0.002 µCi/g)</t>
  </si>
  <si>
    <t>Halofosfatos de calcio o estroncio</t>
  </si>
  <si>
    <t>Sin sustancias radiactivas</t>
  </si>
  <si>
    <t>Pigmentos. opacificantes y colores preparados. composiciones vitrificables. engobes. abrillantadores (lustres) liquidos y preparaciones similares. de los tipos utilizados en ceramica. esmaltado o en la industria del vidrio; frita de vidrio y demas vidrios. en polvo. granulos. copos o escamillas.</t>
  </si>
  <si>
    <t>A base de circonio o de sus sales</t>
  </si>
  <si>
    <t>Opacificantes</t>
  </si>
  <si>
    <t>Engobes</t>
  </si>
  <si>
    <t>Con un contenido de plata superior o igual al 25 % en peso o de bismuto superior o igual al 40 % en peso. de los tipos utilizados en la fabricacion de circuitos impresos</t>
  </si>
  <si>
    <t>Frita de vidrio</t>
  </si>
  <si>
    <t>Pinturas y barnices a base de polimeros sinteticos o naturales modificados. dispersos o disueltos en un medio no acuoso; disoluciones definidas en la Nota 4 de este Capitulo.</t>
  </si>
  <si>
    <t>Pinturas</t>
  </si>
  <si>
    <t>Barnices</t>
  </si>
  <si>
    <t>Disoluciones definidas en la Nota 4 de este Capitulo</t>
  </si>
  <si>
    <t>A base de polimeros acrilicos. presentados en surtidos definidos en la Nota 3 de la Seccion VI. de los tipos utilizados para la fabricacion de circuitos impresos</t>
  </si>
  <si>
    <t>A base de polimeros acrilicos</t>
  </si>
  <si>
    <t>A base de polimeros vinilicos</t>
  </si>
  <si>
    <t>A base de resinas epoxi</t>
  </si>
  <si>
    <t>Que contengan exclusivamente polvo de cinc como elemento protector</t>
  </si>
  <si>
    <t>Que contengan pigmentos inhibidores de la oxidacion (por ejemplo: minio)</t>
  </si>
  <si>
    <t>Que contengan mineral bituminoso</t>
  </si>
  <si>
    <t>Esmaltes</t>
  </si>
  <si>
    <t>A base de resinas fenolicas</t>
  </si>
  <si>
    <t>A base de caucho sintetico</t>
  </si>
  <si>
    <t>Clorado</t>
  </si>
  <si>
    <t>A base de poliuretanos</t>
  </si>
  <si>
    <t>A base de siliconas</t>
  </si>
  <si>
    <t>A base de derivados de la celulosa</t>
  </si>
  <si>
    <t>De siliconas</t>
  </si>
  <si>
    <t>De poliisocianatos</t>
  </si>
  <si>
    <t>De resinas epoxi</t>
  </si>
  <si>
    <t>Pinturas y barnices a base de polimeros sinteticos o naturales modificados. dispersos o disueltos en un medio acuoso.</t>
  </si>
  <si>
    <t>A base de politetrafluoroetileno</t>
  </si>
  <si>
    <t>A base de polimeros sinteticos</t>
  </si>
  <si>
    <t>Las demas pinturas y barnices; pigmentos al agua preparados de los tipos utilizados para el acabado del cuero.</t>
  </si>
  <si>
    <t>A base de silicatos. al agua</t>
  </si>
  <si>
    <t>Bituminosas</t>
  </si>
  <si>
    <t>Pigmentos al agua preparados de los tipos utilizados para el acabado del cuero</t>
  </si>
  <si>
    <t>SECATIVOS PREPARADOS.</t>
  </si>
  <si>
    <t>Pigmentos (incluidos el polvo y escamillas metalicos) dispersos en medios no acuosos. liquidos o en pasta. de los tipos utilizados para la fabricacion de pinturas; hojas para el marcado a fuego; tintes y demas materias colorantes presentados en formas o en envases para la venta al por menor.</t>
  </si>
  <si>
    <t>Aluminio en polvo o en escamillas. empastado con disolventes del tipo hidrocarburos. con un contenido de aluminio superior o igual al 60 % en peso</t>
  </si>
  <si>
    <t>En polvo de grano esferico que presente una distribucion de particulas inferior o igual a 60 micrometros. con un contenido de aluminio superior o igual al 99% en peso (Dto. 437/00).</t>
  </si>
  <si>
    <t>Los demas pigmentos (incluidos el polvo o escamillas metalicas) dispersos en medios no acuosos. liquidos o en pasta. de los tipos utilizados para la fabricacion de pinturas</t>
  </si>
  <si>
    <t>Tintes y demas materias colorantes presentados en formas o envases para la venta al por menor</t>
  </si>
  <si>
    <t>Colores para la pintura artistica. la enseñanza. la pintura de carteles. para matizar o para entretenimiento y colores similares. en pastillas. tubos. botes. frascos o en formas o envases similares.</t>
  </si>
  <si>
    <t>Productos alcanzados por la Res. 163/2005 SCT</t>
  </si>
  <si>
    <t>Masilla. cementos de resina y demas mastiques; plastes (enduidos) utilizados en pintura; plastes (enduidos) no refractarios de los tipos utilizados en albañileria.</t>
  </si>
  <si>
    <t>Masilla. cementos de resina y demas mastiques</t>
  </si>
  <si>
    <t>Cementos de resina</t>
  </si>
  <si>
    <t>Mastiques a base de materias plasticas</t>
  </si>
  <si>
    <t>A base de poliesteres no saturados</t>
  </si>
  <si>
    <t>Mastiques a base de caucho</t>
  </si>
  <si>
    <t>Mastiques a base de aceites</t>
  </si>
  <si>
    <t>Plastes (enduidos) utilizados en pintura</t>
  </si>
  <si>
    <t>Tintas de imprimir. tintas de escribir o de dibujar y demas tintas. incluso concentradas o solidas.</t>
  </si>
  <si>
    <t>- Tintas de imprimir:</t>
  </si>
  <si>
    <t>Presentadas en pasta</t>
  </si>
  <si>
    <t>Tintas de seguridad para impresion de papel moneda</t>
  </si>
  <si>
    <t>Con una concentracion de materia colorante inferior o igual al 10% en peso</t>
  </si>
  <si>
    <t>Disueltas en hidrocarburos alifaticos exclusivamente</t>
  </si>
  <si>
    <t>Disueltas en hidrocarburos aromaticos exclusivamente y que contengan mayoritariamente uno de los excipientes siguientes: nitratos de celulosa incluso modificados. polimeros acrilicos. colofonias modificadas. poliamidas. resinas ureicas. resinas fenolicas. poliuretanos o poliesteres</t>
  </si>
  <si>
    <t>Disueltas en monoalcoholes aciclicos exclusivamente y que contengan mayoritariamente uno de los excipientes siguientes: nitratos de celulosa incluso modificados. polimeros acrilicos. colofonias modificadas. poliamidas. resinas ureicas. resinas fenolicas. poliuretanos o poliesteres</t>
  </si>
  <si>
    <t>Disueltas en dioles aciclicos exclusivamente</t>
  </si>
  <si>
    <t>Disueltas en eteres-dioles exclusivamente y que contengan mayoritariamente uno de los excipientes siguientes: nitratos de celulosa incluso modificados. polimeros acrilicos. colofonias modificadas. poliamidas. resinas ureicas. resinas fenolicas. poliuretanos o poliesteres</t>
  </si>
  <si>
    <t>Disueltas en cetonas aciclicas exclusivamente y que contengan mayoritariamente uno de los excipientes siguientes: nitratos de celulosa incluso modificados. polimeros acrilicos. colofonias modificadas. poliamidas. resinas ureicas. resinas fenolicas. poliuretanos o poliesteres</t>
  </si>
  <si>
    <t>Disueltas en esteres del acido acetico exclusivamente y que contengan mayoritariamente uno de los excipientes siguientes: nitratos de celulosa incluso modificados. polimeros acrilicos. colofonias modificadas. poliamidas. resinas ureicas. resinas fenolicas. poliuretanos o poliesteres</t>
  </si>
  <si>
    <t>Disueltas mayoritariamente en uno de de los disolventes y excipientes mencionados en las posiciones SIM 3215.19.00.911 a 3215.19.00.914</t>
  </si>
  <si>
    <t>Con una concentracion de materia colorante superior al 10% pero inferior o igual al 20% en peso</t>
  </si>
  <si>
    <t>Disueltas mayoritariamente en uno de los disolventes y excipientes mencionados en las posiciones SIM precedentes. excepto los disolventes mencionados en las posiciones 3215.19.00.921 y 3215.19.00.924</t>
  </si>
  <si>
    <t>Con una concentracion de materia colorante superior al 20% pero inferior o igual al 30% en peso</t>
  </si>
  <si>
    <t>Disueltas mayoritariamente en uno de los disolventes y excipientes mencionados en las posiciones SIM precedentes. excepto los disolventes mencionados en las posiciones 3215.19.00.931 a 3215.19.00.934</t>
  </si>
  <si>
    <t>Con una concentracion de materia colorante superior al 30% pero inferior o igual al 40% en peso</t>
  </si>
  <si>
    <t>Disueltas mayoritariamente en uno de los disolventes y excipientes mencionados en las posiciones SIM precedentes. excepto los disolventes mencionados en las posiciones 3215.19.00.941 a 3215.19.00.944</t>
  </si>
  <si>
    <t>Con una concentracion de materia colorante superior al 40% pero inferior o igual al 50% en peso</t>
  </si>
  <si>
    <t>Disueltas mayoritariamente en uno de los disolventes y excipientes mencionados en las posiciones SIM precedentes. excepto los disolventes mencionados en las posiciones 3215.19.00.951 y 3215.19.00.954</t>
  </si>
  <si>
    <t>Con una concentracion de materia colorante superior al 50% pero inferior o igual al 60% en peso</t>
  </si>
  <si>
    <t>Disueltas en eteres-dioles aciclicos exclusivamente y que contengan mayoritariamente uno de los excipientes siguientes: nitratos de celulosa incluso modificados. polimeros acrilicos. colofonias modificadas. poliamidas. resinas ureicas. resinas fenolicas. poliuretanos o poliesteres</t>
  </si>
  <si>
    <t>Disueltas mayoritariamente en uno de los disolventes y excipientes mencionados en las posiciones SIM precedentes. excepto los disolventes mencionados en las posiciones 3215.19.00.961 y 3215.19.00.964</t>
  </si>
  <si>
    <t>Con una concentracion de materia colorante superior al 60% pero inferior o igual al 70% en peso</t>
  </si>
  <si>
    <t>Disueltas mayoritariamente en uno de los disolventes y excipientes mencionados en las posiciones SIM precedentes. excepto los disolventes mencionados en las posiciones 3215.19.00.971 y 3215.19.00.974</t>
  </si>
  <si>
    <t>Con una concentracion de materia colorante superior al 70% pero inferior o igual al 80% en peso</t>
  </si>
  <si>
    <t>Disueltas mayoritariamente en uno de los disolventes y excipientes mencionados en las posiciones SIM precedentes. excepto los disolventes mencionados en las posiciones 3215.19.00.981 y 3215.19.00.984</t>
  </si>
  <si>
    <t>Tintas de escribir o dibujar</t>
  </si>
  <si>
    <t>Aceites esenciales (desterpenados o no). incluidos los «concretos» o «absolutos»; resinoides; oleorresinas de extraccion; disoluciones concentradas de aceites esenciales en grasas. aceites fijos. ceras o materias analogas. obtenidas por enflorado o maceracion; subproductos terpenicos residuales de la desterpenacion de los aceites esenciales; destilados acuosos aromaticos y disoluciones acuosas de aceites esenciales.</t>
  </si>
  <si>
    <t>- Aceites esenciales de agrios (citricos):</t>
  </si>
  <si>
    <t>De «petit grain»</t>
  </si>
  <si>
    <t>De lima</t>
  </si>
  <si>
    <t>- Aceites esenciales. excepto los de agrios (citricos):</t>
  </si>
  <si>
    <t>De menta japonesa (Mentha arvensis)</t>
  </si>
  <si>
    <t>De «mentha spearmint» (Mentha viridis L.)</t>
  </si>
  <si>
    <t>De citronela; cedro; palo santo (Bulnesia sarmientoi); lemongras; palo de rosa; palma rosa; coriandro; cabreuva; eucalipto</t>
  </si>
  <si>
    <t>De citronela</t>
  </si>
  <si>
    <t>De cedro</t>
  </si>
  <si>
    <t>De palo santo (Bulnesia sarmientoi)</t>
  </si>
  <si>
    <t>De lemongras</t>
  </si>
  <si>
    <t>De palo de rosa</t>
  </si>
  <si>
    <t>De palma rosa</t>
  </si>
  <si>
    <t>De coriandro</t>
  </si>
  <si>
    <t>De cabreuva</t>
  </si>
  <si>
    <t>De lavanda (espliego) o lavandin; espicanardo (vetiver)</t>
  </si>
  <si>
    <t>De lavanda (espliego) o lavandin</t>
  </si>
  <si>
    <t>De espicanardo (vetiver)</t>
  </si>
  <si>
    <t>De laurel</t>
  </si>
  <si>
    <t>De copaiba</t>
  </si>
  <si>
    <t>De sasafras</t>
  </si>
  <si>
    <t>De anis; badiana; canela; manzanilla; rosa</t>
  </si>
  <si>
    <t>De anis</t>
  </si>
  <si>
    <t>De badiana</t>
  </si>
  <si>
    <t>De canela</t>
  </si>
  <si>
    <t>De manzanilla</t>
  </si>
  <si>
    <t>De rosa</t>
  </si>
  <si>
    <t>De geranio</t>
  </si>
  <si>
    <t>De jazmin</t>
  </si>
  <si>
    <t>Disoluciones concentradas de aceites esenciales en grasas. aceites fijos. ceras o materias analogas. obtenidas por enflorado o maceracion</t>
  </si>
  <si>
    <t>Subproductos terpenicos residuales de la desterpenacion de los aceites esenciales</t>
  </si>
  <si>
    <t>Destilados acuosos aromaticos y disoluciones acuosas de aceites esenciales</t>
  </si>
  <si>
    <t>Oleorresinas de extraccion</t>
  </si>
  <si>
    <t>De capsicum (OC)</t>
  </si>
  <si>
    <t>Mezclas de sustancias odoriferas y mezclas (incluidas las disoluciones alcoholicas) a base de una o varias de estas sustancias. de los tipos utilizados como materias basicas para la industria; las demas preparaciones a base de sustancias odoriferas. de los tipos utilizados para la elaboracion de bebidas.</t>
  </si>
  <si>
    <t>De los tipos utilizados en las industrias alimentarias (R.2289/92 ex-ANA)</t>
  </si>
  <si>
    <t>De los tipos utilizados en las industrias de bebidas</t>
  </si>
  <si>
    <t>Jarabes. extractos y concentrados. definidos en el segundo parrafo del Art. 26 del la Ley de Impuestos Internos. (R.2289/92 ex-ANA).</t>
  </si>
  <si>
    <t>Para perfumeria</t>
  </si>
  <si>
    <t>Vetiverol</t>
  </si>
  <si>
    <t>Bases para perfumes</t>
  </si>
  <si>
    <t>De los tipos utilizados en la industria del jabon y demas productos para limpieza</t>
  </si>
  <si>
    <t>Perfumes y aguas de tocador.</t>
  </si>
  <si>
    <t>Perfumes (extractos)</t>
  </si>
  <si>
    <t>En envases de contenido neto inferior o igual a 15 ml o de los tipos de los denominados probadores o "testers" de cualquier capacidad. en cuyos envases. rotulo o etiquetas principales este indicado en forma indeleble que no son para la venta (R.2506/93 ex-ANA)</t>
  </si>
  <si>
    <t>Aguas de tocador</t>
  </si>
  <si>
    <t>En envases de contenido neto inferior o igual a 15 ml o del tipo de los denominados probadores o "testers" de cualquier capacidad. en cuyos envases. rotulo o etiquetas principales este indicado en forma indeleble que no son para la venta (R.2506/93 ex-ANA)</t>
  </si>
  <si>
    <t>Preparaciones de belleza. maquillaje y para el cuidado de la piel. excepto los medicamentos. incluidas las preparaciones antisolares y las bronceadoras; preparaciones para manicuras o pedicuros.</t>
  </si>
  <si>
    <t>Sombras. delineadores. lapices para cejas y mascaras para pestañas («rimmel»)</t>
  </si>
  <si>
    <t>Presentadas en juegos o surtidos</t>
  </si>
  <si>
    <t>De los tipos utilizados para entretenimiento de niñas</t>
  </si>
  <si>
    <t>Sombras</t>
  </si>
  <si>
    <t>Mascara para pestañas ("rimmel")</t>
  </si>
  <si>
    <t>Barnices de uñas. incluidos los esmaltes</t>
  </si>
  <si>
    <t>Cremas de belleza y cremas nutritivas; lociones tonicas</t>
  </si>
  <si>
    <t>Cremas de belleza y cremas nutritivas</t>
  </si>
  <si>
    <t>Lociones tonicas</t>
  </si>
  <si>
    <t>Preparaciones antisolares y bronceadoras</t>
  </si>
  <si>
    <t>Preparaciones anti-acne</t>
  </si>
  <si>
    <t>Preparacion de belleza en forma de gel inyectable (por ejemplo: acido hialuronico en solucion salina). de los tipos utilizados para corregir arrugas. pliegues y cicatrices de la piel o aumentar los labios. acondicionada para la venta al por menor en su jeringa de aplicacion junto con agujas</t>
  </si>
  <si>
    <t>Preparaciones capilares.</t>
  </si>
  <si>
    <t>Con acondicionador</t>
  </si>
  <si>
    <t>Para el tratamiento de la caspa</t>
  </si>
  <si>
    <t>Lociones capilares</t>
  </si>
  <si>
    <t>Desenredantes</t>
  </si>
  <si>
    <t>Tintes y decolorantes</t>
  </si>
  <si>
    <t>Preparaciones para higiene bucal o dental. incluidos los polvos y cremas para la adherencia de las dentaduras; hilo utilizado para limpieza de los espacios interdentales (hilo dental). en envases individuales para la venta al por menor.</t>
  </si>
  <si>
    <t>Polvos y cremas para la adherencia de las dentaduras</t>
  </si>
  <si>
    <t>Almohadillas descartables. aptas para la adaptacion y adhesion de protesis dentales</t>
  </si>
  <si>
    <t>Preparaciones para afeitar o para antes o despues del afeitado. desodorantes corporales. preparaciones para el baño. depilatorios y demas preparaciones de perfumeria. de tocador o de cosmetica. no expresadas ni comprendidas en otra parte; preparaciones desodorantes de locales. incluso sin perfumar. aunque tengan propiedades desinfectantes.</t>
  </si>
  <si>
    <t>Liquidos</t>
  </si>
  <si>
    <t>- Preparaciones para perfumar o desodorizar locales. incluidas las preparaciones odoriferas para ceremonias religiosas:</t>
  </si>
  <si>
    <t>--"Agarbatti" y demas preparaciones odoriferas que actuan por combustion</t>
  </si>
  <si>
    <t>Disoluciones para la limpieza. desinfeccion y humectacion de lentes de contacto o de ojos artificiales (R.G. 30/97 AFIP)</t>
  </si>
  <si>
    <t>Preparaciones de tocador para animales</t>
  </si>
  <si>
    <t>Depilatorios</t>
  </si>
  <si>
    <t>Partes de plantas acondicionadas en envases de los tipos utilizados para perfumar los armarios de ropa</t>
  </si>
  <si>
    <t>Jabon; productos y preparaciones organicos tensoactivos usados como jabon. en barras. panes. trozos o piezas troqueladas o moldeadas. aunque contengan jabon; productos y preparaciones organicos tensoactivos para el lavado de la piel. liquidos o en crema. acondicionados para la venta al por menor. aunque contengan jabon; papel. guata. fieltro y tela sin tejer. impregnados. recubiertos o revestidos de jabon o de detergentes.</t>
  </si>
  <si>
    <t>- Jabon. productos y preparaciones organicos tensoactivos. en barras. panes. trozos o piezas troqueladas o moldeadas. y papel. guata. fieltro y tela sin tejer. impregnados. recubiertos o revestidos de jabon o de detergentes:</t>
  </si>
  <si>
    <t>Jabones medicinales</t>
  </si>
  <si>
    <t>Papel. guata. fieltro y tela sin tejer. impregnados. recubiertos o revestidos de jabon o de detergentes</t>
  </si>
  <si>
    <t>De tocador</t>
  </si>
  <si>
    <t>De uso domestico (R.30/97 AFIP)</t>
  </si>
  <si>
    <t>Agentes de superficie organicos (excepto el jabon); preparaciones tensoactivas. preparaciones para lavar (incluidas las preparaciones auxiliares de lavado) y preparaciones de limpieza. aunque contengan jabon. excepto las de la partida 34.01.</t>
  </si>
  <si>
    <t>- Agentes de superficie organicos. incluso acondicionados para la venta al por menor:</t>
  </si>
  <si>
    <t>Dibutilnaftalensulfato de sodio</t>
  </si>
  <si>
    <t>N-Metil-N-oleoiltaurato de sodio</t>
  </si>
  <si>
    <t>Alquilsulfonato de sodio. secundario</t>
  </si>
  <si>
    <t>Mezcla de acidos alquilbencenosulfonicos</t>
  </si>
  <si>
    <t>Alquil-Alquilfeniletersulfonatos</t>
  </si>
  <si>
    <t>Alquilsulfatos</t>
  </si>
  <si>
    <t>Alquilarilsulfonatos</t>
  </si>
  <si>
    <t>Otros alquilsulfonatos</t>
  </si>
  <si>
    <t>Acetato de oleilamina</t>
  </si>
  <si>
    <t>Condensados de alcoholes grasos. con oxido de etileno</t>
  </si>
  <si>
    <t>Condensados de acidos grasos. con oxido de etileno</t>
  </si>
  <si>
    <t>Alquilfenoles etoxilados</t>
  </si>
  <si>
    <t>Amidas etoxiladas de acidos grasos</t>
  </si>
  <si>
    <t>Polietilenimina</t>
  </si>
  <si>
    <t>Agentes tensoactivos tipo "Tween"</t>
  </si>
  <si>
    <t>Aceite vegetal etoxilado</t>
  </si>
  <si>
    <t>Aminas alifaticas de C8 a C22 etoxiladas</t>
  </si>
  <si>
    <t>Proteinas alquilbetainicas</t>
  </si>
  <si>
    <t>Productos domisanitarios definidos en la Resolucion 709/98 ex MSyAS.</t>
  </si>
  <si>
    <t>Mezclas entre si de agentes de superficie organicos</t>
  </si>
  <si>
    <t>Conteniendo exclusivamente productos no ionicos</t>
  </si>
  <si>
    <t>Soluciones o emulsiones de productos tensoactivos de las subpartidas 3402.11 a 3402.19. y otras preparaciones tensoactivas propiamente dichas</t>
  </si>
  <si>
    <t>Soluciones o emulsiones hidroalcoholicas de (1-perfluoroalquil-2-acetoxi)propil betaina (R.1497/98 MEOSP)</t>
  </si>
  <si>
    <t>A base de nonanoiloxibencenosulfonato de sodio</t>
  </si>
  <si>
    <t>Soluciones o emulsiones hidroalcoholicas de sulfonatos de perfluoroalquiltrimetilamonio y de perfluoroalquilacrilamida</t>
  </si>
  <si>
    <t>De tensoactivos anionicos</t>
  </si>
  <si>
    <t>De tensoactivos cationicos</t>
  </si>
  <si>
    <t>De tensoactivos no ionicos</t>
  </si>
  <si>
    <t>Preparaciones para lavar (detergentes)</t>
  </si>
  <si>
    <t>A base de nonilfenol etoxilado</t>
  </si>
  <si>
    <t>A base de tensoactivos anionicos</t>
  </si>
  <si>
    <t>A base de tensoactivos cationicos</t>
  </si>
  <si>
    <t>A base de tensoactivos no ionicos</t>
  </si>
  <si>
    <t>A base de sustancias alcalinas</t>
  </si>
  <si>
    <t>A base de disolventes</t>
  </si>
  <si>
    <t>Preparaciones lubricantes (incluidos los aceites de corte. las preparaciones para aflojar tuercas. las preparaciones antiherrumbre o anticorrosion y las preparaciones para el desmoldeo. a base de lubricantes) y preparaciones de los tipos utilizados para el ensimado de materias textiles o el aceitado o engrasado de cueros y pieles. peleteria u otras materias. excepto las que contengan como componente basico una proporcion de aceites de petroleo o de mineral bituminoso superior o igual al 70 % en peso.</t>
  </si>
  <si>
    <t>- Que contengan aceites de petroleo o de mineral bituminoso:</t>
  </si>
  <si>
    <t>Para el tratamiento de materias textiles</t>
  </si>
  <si>
    <t>Para el tratamiento de cueros y pieles</t>
  </si>
  <si>
    <t>Preparaciones de aflojar tuercas</t>
  </si>
  <si>
    <t>Preparaciones antiherrumbre o anticorrosion. excepto las de los tipos utilizados en los vehiculos del Capitulo 87</t>
  </si>
  <si>
    <t>Preparaciones para el desmoldeo</t>
  </si>
  <si>
    <t>Aceites para corte</t>
  </si>
  <si>
    <t>Preparaciones lubricantes de los tipos utilizados en los vehiculos mencionados en el capitulo 87</t>
  </si>
  <si>
    <t>Preparaciones lubricantes de los tipos utilizados en los vehiculos mencionados en el Capitulo 87</t>
  </si>
  <si>
    <t>Ceras artificiales y ceras preparadas.</t>
  </si>
  <si>
    <t>Ceras artificiales</t>
  </si>
  <si>
    <t>Ceras preparadas</t>
  </si>
  <si>
    <t>De polietileno. emulsionables</t>
  </si>
  <si>
    <t>Otras. de polietileno</t>
  </si>
  <si>
    <t>De polipropilenglicoles</t>
  </si>
  <si>
    <t>De dimero de alquilceteno con dos grupos alternados n-alquilo de C12. C14 y C16. en granulos</t>
  </si>
  <si>
    <t>A base de mono o diestearato de glicerilo</t>
  </si>
  <si>
    <t>Parafinas cloradas; naftalenos policlorados</t>
  </si>
  <si>
    <t>Difenilos policlorados (PCB) (R.G. 2146/06 AFIP)</t>
  </si>
  <si>
    <t>De dimero de alquilceteno</t>
  </si>
  <si>
    <t>A base de vaselina y alcoholes de lanolina (eucerina anhidra)</t>
  </si>
  <si>
    <t>A base de hidroxiestearil cetil eter</t>
  </si>
  <si>
    <t>Mezclas de dos o mas ceras diferentes</t>
  </si>
  <si>
    <t>Betunes y cremas para el calzado. encausticos. abrillantadores (lustres) para carrocerias. vidrio o metal. pastas y polvos para fregar y preparaciones similares (incluso papel. guata. fieltro. tela sin tejer. plastico o caucho celulares. impregnados. recubiertos o revestidos de estas preparaciones). excepto las ceras de la partida 34.04.</t>
  </si>
  <si>
    <t>Ceras mezcladas. dispersas o disueltas en un medio liquido</t>
  </si>
  <si>
    <t>Velas. cirios y articulos similares.</t>
  </si>
  <si>
    <t>Productos domisanitarios perfumados o aromatizados definidos en la Resolucion 709/98 ex MSyAS</t>
  </si>
  <si>
    <t>Pastas para modelar. incluidas las presentadas para entretenimiento de los niños; preparaciones llamadas «ceras para odontologia» o «compuestos para impresion dental». presentadas en juegos o surtidos. en envases para la venta al por menor o en plaquitas. herraduras. barritas o formas similares; las demas preparaciones para odontologia a base de yeso fraguable.</t>
  </si>
  <si>
    <t>Pastas para modelar</t>
  </si>
  <si>
    <t>Preparaciones llamadas "ceras para odontologia"</t>
  </si>
  <si>
    <t>Caseina. caseinatos y demas derivados de la caseina; colas de caseina.</t>
  </si>
  <si>
    <t>Caseinatos y demas derivados de la caseina</t>
  </si>
  <si>
    <t>Caseinato de sodio</t>
  </si>
  <si>
    <t>Caseinato de calcio</t>
  </si>
  <si>
    <t>De uso alimenticio. acondicionado para su venta directa al publico</t>
  </si>
  <si>
    <t>Caseinato de potasio</t>
  </si>
  <si>
    <t>Colas de caseina</t>
  </si>
  <si>
    <t>Albuminas (incluidos los concentrados de varias proteinas del lactosuero. con un contenido de proteinas del lactosuero superior al 80 % en peso. calculado sobre materia seca). albuminatos y demas derivados de las albuminas.</t>
  </si>
  <si>
    <t>- Ovoalbumina:</t>
  </si>
  <si>
    <t>Seroalbumina</t>
  </si>
  <si>
    <t>Gelatinas (aunque se presenten en hojas cuadradas o rectangulares. incluso trabajadas en la superficie o coloreadas) y sus derivados; ictiocola; las demas colas de origen animal. excepto las colas de caseina de la partida 35.01.</t>
  </si>
  <si>
    <t>Gelatinas y sus derivados</t>
  </si>
  <si>
    <t>De oseina. de pureza superior o igual al 99.98 % en peso</t>
  </si>
  <si>
    <t>De oseina. de pureza inferior al 99.98 % en peso</t>
  </si>
  <si>
    <t>Ictiocola</t>
  </si>
  <si>
    <t>Cola de pieles</t>
  </si>
  <si>
    <t>Cola de huesos</t>
  </si>
  <si>
    <t>Peptonas y sus derivados; las demas materias proteinicas y sus derivados. no expresados ni comprendidos en otra parte; polvo de cueros y pieles. incluso tratado al cromo.</t>
  </si>
  <si>
    <t>Peptonas y sus derivados</t>
  </si>
  <si>
    <t>Peptonas y peptonatos</t>
  </si>
  <si>
    <t>Proteinas de soja en polvo. con un contenido de proteinas superior o igual al 90 % en peso. sobre base seca</t>
  </si>
  <si>
    <t>Proteinas de papa (patata) en polvo. con un contenido de proteinas superior o igual al 80 % en peso. en base seca</t>
  </si>
  <si>
    <t>Polvo de cueros y pieles. incluso tratados al cromo</t>
  </si>
  <si>
    <t>Queratinas</t>
  </si>
  <si>
    <t>Las demas. de origen animal</t>
  </si>
  <si>
    <t>Dextrina y demas almidones y feculas modificados (por ejemplo: almidones y feculas pregelatinizados o esterificados); colas a base de almidon. fecula. dextrina o demas almidones o feculas modificados.</t>
  </si>
  <si>
    <t>Dextrina</t>
  </si>
  <si>
    <t>Los demas almidones y feculas modificados</t>
  </si>
  <si>
    <t>Almidon y fecula eterificados o esterificados</t>
  </si>
  <si>
    <t>Nitratos de almidon</t>
  </si>
  <si>
    <t>De dextrina</t>
  </si>
  <si>
    <t>De los demas almidones y feculas</t>
  </si>
  <si>
    <t>Colas y demas adhesivos preparados. no expresados ni comprendidos en otra parte; productos de cualquier clase utilizados como colas o adhesivos. acondicionados para la venta al por menor como colas o adhesivos. de peso neto inferior o igual a 1 kg.</t>
  </si>
  <si>
    <t>- Productos de cualquier clase utilizados como colas o adhesivos. acondicionados para la venta al por menor como colas o adhesivos. de peso neto inferior o igual a 1 kg</t>
  </si>
  <si>
    <t>A base de cianoacrilatos</t>
  </si>
  <si>
    <t>En envases de peso neto inferior o igual a 3 gramos</t>
  </si>
  <si>
    <t>En envases de peso neto superior a 3 pero inferior o igual a 10 gramos</t>
  </si>
  <si>
    <t>En envases de peso neto superior a 10 gramos</t>
  </si>
  <si>
    <t>A base de caucho</t>
  </si>
  <si>
    <t>A base de plastico (incluidas las resinas artificiales)</t>
  </si>
  <si>
    <t>- - Adhesivos a base de polimeros de las partidas 39.01 a 39.13 o de caucho</t>
  </si>
  <si>
    <t>A base de polimeros de las partidas 39.01 a 39.13. dispersos o para dispersar en un medio acuoso</t>
  </si>
  <si>
    <t>Enzimas; preparaciones enzimaticas no expresadas ni comprendidas en otra parte.</t>
  </si>
  <si>
    <t>Amilasas y sus concentrados</t>
  </si>
  <si>
    <t>Alfa amilasa (Aspergillus oryzae)</t>
  </si>
  <si>
    <t>Proteasas y sus concentrados</t>
  </si>
  <si>
    <t>Fibrinucleasas</t>
  </si>
  <si>
    <t>Bromelina</t>
  </si>
  <si>
    <t>Estreptodornasa</t>
  </si>
  <si>
    <t>Mezcla de estreptoquinasa y estreptodornasa</t>
  </si>
  <si>
    <t>Papaina</t>
  </si>
  <si>
    <t>Las demas enzimas y sus concentrados</t>
  </si>
  <si>
    <t>Lisozima y su clorhidrato</t>
  </si>
  <si>
    <t>L- Asparaginasa</t>
  </si>
  <si>
    <t>Preparaciones enzimaticas</t>
  </si>
  <si>
    <t>A base de celulasas</t>
  </si>
  <si>
    <t>A base transglutaminasa</t>
  </si>
  <si>
    <t>A base de amilasas</t>
  </si>
  <si>
    <t>A base de proteasas</t>
  </si>
  <si>
    <t>POLVORA.</t>
  </si>
  <si>
    <t>Explosivos preparados. excepto la polvora.</t>
  </si>
  <si>
    <t>A base de nitrato de amonio</t>
  </si>
  <si>
    <t>A base de cloratos</t>
  </si>
  <si>
    <t>A base de percloratos</t>
  </si>
  <si>
    <t>Preparaciones primarias o de cebado</t>
  </si>
  <si>
    <t>Mechas de seguridad; cordones detonantes; cebos y capsulas fulminantes; inflamadores; detonadores electricos.</t>
  </si>
  <si>
    <t>Mechas de seguridad</t>
  </si>
  <si>
    <t>Cordones detonantes</t>
  </si>
  <si>
    <t>Cebos fulminantes</t>
  </si>
  <si>
    <t>Capsulas fulminantes</t>
  </si>
  <si>
    <t>Inflamadores</t>
  </si>
  <si>
    <t>Detonadores electricos</t>
  </si>
  <si>
    <t>Articulos para fuegos artificiales. cohetes de señales o granifugos y similares. petardos y demas articulos de pirotecnia.</t>
  </si>
  <si>
    <t>Estallos en todas sus formas y tamaños (R.620/98 MEOSP)</t>
  </si>
  <si>
    <t>Petardos en todas sus formas y tamaños (R.620/98 MEOSP)</t>
  </si>
  <si>
    <t>Fosforos cohete en todas sus formas y tamaños (R.620/98 MEOSP)</t>
  </si>
  <si>
    <t>Baterias de dieciseis (16) tiros (R.620/98 MEOSP)</t>
  </si>
  <si>
    <t>Bombas de estruendo de dos (2) pulgadas de diametro (R.620/98 MEOSP)</t>
  </si>
  <si>
    <t>Bombas de estruendo de tres (3) pulgadas de diametro (R.620/98 MEOSP)</t>
  </si>
  <si>
    <t>Cohetes y cartuchos antigranizo y similares</t>
  </si>
  <si>
    <t>Dispositivos de señalizacion</t>
  </si>
  <si>
    <t>Cebos para pistolas de juguete</t>
  </si>
  <si>
    <t>Fosforos (cerillas). excepto los articulos de pirotecnia de la partida 36.04.</t>
  </si>
  <si>
    <t>En envases inmediatos de contenido inferior o igual a 30 cerillas</t>
  </si>
  <si>
    <t>En envases inmediatos de contenido superior a 30 cerillas pero inferior o igual a 50 cerillas</t>
  </si>
  <si>
    <t>En envases inmediatos de contenido superior a 50 cerillas pero inferior o igual a 100 cerillas</t>
  </si>
  <si>
    <t>En envases inmediatos de contenido superior a 100 cerillas pero inferior o igual a 200 cerillas</t>
  </si>
  <si>
    <t>En envases inmediatos de contenido superior a 200 cerillas pero inferior o igual a 250 cerillas</t>
  </si>
  <si>
    <t>En envases inmediatos de contenido superior a 250 cerillas pero inferior o igual a 300 cerillas</t>
  </si>
  <si>
    <t>En envases inmediatos de contenido superior a 300 cerillas pero inferior o igual a 400 cerillas</t>
  </si>
  <si>
    <t>En envases inmediatos de contenido superior a 400 cerillas pero inferior o igual a 600 cerillas</t>
  </si>
  <si>
    <t>Ferrocerio y demas aleaciones piroforicas en cualquier forma; articulos de materias inflamables a que se refiere la Nota 2 de este Capitulo.</t>
  </si>
  <si>
    <t>- Combustibles liquidos ygases combustibles licuados en recipientes de los tipos utilizados para cargar o recargar encendedores o mecheros. de capacidad inferior o igual a 300 cm 3</t>
  </si>
  <si>
    <t>Combustibles liquidos</t>
  </si>
  <si>
    <t>Solventes</t>
  </si>
  <si>
    <t>Gases combustibles licuados</t>
  </si>
  <si>
    <t>Combustibles solidos</t>
  </si>
  <si>
    <t>Placas y peliculas planas. fotograficas. sensibilizadas. sin impresionar. excepto las de papel. carton o textiles; peliculas fotograficas planas autorrevelables. sensibilizadas. sin impresionar. incluso en cargadores.</t>
  </si>
  <si>
    <t>Sensibilizadas en una cara</t>
  </si>
  <si>
    <t>De los tipos utilizados para mamografias</t>
  </si>
  <si>
    <t>Sensibilizadas en ambas caras</t>
  </si>
  <si>
    <t>Aptas para uso odontologico</t>
  </si>
  <si>
    <t>De los tipos utilizados en medicina con pantallas en el espectro de luz verde</t>
  </si>
  <si>
    <t>Para fotografia en colores (policroma)</t>
  </si>
  <si>
    <t>Para fotografia monocromatica</t>
  </si>
  <si>
    <t>- Las demas placas y peliculas planas en las que por lo menos un lado sea superior a 255 mm</t>
  </si>
  <si>
    <t>Planchas sensibilizadas con polimeros fotosensibles</t>
  </si>
  <si>
    <t>De poliester</t>
  </si>
  <si>
    <t>Planchas sensibilizadas por otros procedimientos</t>
  </si>
  <si>
    <t>Peliculas para las artes graficas</t>
  </si>
  <si>
    <t>Peliculas heliograficas. de poliester</t>
  </si>
  <si>
    <t>Peliculas fotograficas en rollos. sensibilizadas. sin impresionar. excepto las de papel. carton o textiles; peliculas fotograficas autorrevelables en rollos. sensibilizadas. sin impresionar.</t>
  </si>
  <si>
    <t>- Las demas peliculas. sin perforar. de anchura inferior o igual a 105 mm:</t>
  </si>
  <si>
    <t>- Las demas peliculas. sin perforar. de anchura superior a 105 mm:</t>
  </si>
  <si>
    <t>--De anchura superior a 610 mm y longitud superior a 200 m. para fotografia en colores (policroma)</t>
  </si>
  <si>
    <t>- - De anchura superior a 610 mm y longitud superior a 200 m. excepto para fotografia en colores</t>
  </si>
  <si>
    <t>Para las artes graficas</t>
  </si>
  <si>
    <t>- - De anchura superior a 610 mm y longitud inferior o igual a 200 m</t>
  </si>
  <si>
    <t>Heliograficas. de poliester</t>
  </si>
  <si>
    <t>- - De anchura superior a 105 mm pero inferior o igual a 610 mm</t>
  </si>
  <si>
    <t>Autorrevelables</t>
  </si>
  <si>
    <t>Fotopolimerizables. sensibilizadas a base de compuestos acrilicos. de los tipos utilizados para la fabricacion de circuitos impresos</t>
  </si>
  <si>
    <t>- Las demas peliculas para fotografia en colores (policroma):</t>
  </si>
  <si>
    <t>- - De anchura inferior o igual a 16 mm</t>
  </si>
  <si>
    <t>De longitud inferior o igual a 14 m</t>
  </si>
  <si>
    <t>--De anchura superior a 16 mm pero inferior o igual a 35 mm y longitud inferior o igual a 30 m. para diapositivas</t>
  </si>
  <si>
    <t>- - De anchura superior a 16 mm pero inferior o igual a 35 mm y longitud inferior o igual a 30 m. excepto para diapositivas</t>
  </si>
  <si>
    <t>De 35 mm de anchura</t>
  </si>
  <si>
    <t>En cargadores ("filmpacks")</t>
  </si>
  <si>
    <t>De 12 exposiciones (0.5 m de longitud). de 24 exposiciones (1.0 m de longitud) o de 36 exposiciones (1.5 m de longitud)</t>
  </si>
  <si>
    <t>De 24 exposiciones</t>
  </si>
  <si>
    <t>De 100 ASA</t>
  </si>
  <si>
    <t>De 200 ASA</t>
  </si>
  <si>
    <t>De 400 ASA</t>
  </si>
  <si>
    <t>De 36 exposiciones</t>
  </si>
  <si>
    <t>- - De anchura superior a 16 mm pero inferior o igual a 35 mm y longitud superior a 30 m</t>
  </si>
  <si>
    <t>Cinematograficas (R.2289/92 ex-ANA)</t>
  </si>
  <si>
    <t>--De anchura superior a 35 mm</t>
  </si>
  <si>
    <t>- - De anchura inferior o igual a 35 mm y longitud inferior o igual a 30 m</t>
  </si>
  <si>
    <t>De anchura inferior o igual a 16 mm</t>
  </si>
  <si>
    <t>- - De anchura inferior o igual a 35 mm y longitud superior a 30 m</t>
  </si>
  <si>
    <t>Papel. carton y textiles. fotograficos. sensibilizados. sin impresionar.</t>
  </si>
  <si>
    <t>- En rollos de anchura superior a 610 mm</t>
  </si>
  <si>
    <t>Papel heliografico</t>
  </si>
  <si>
    <t>Papel</t>
  </si>
  <si>
    <t>De anchura igual a 10.2 cm y longitud igual a 85 m</t>
  </si>
  <si>
    <t>De anchura igual a 10.2 cm y longitud igual a 175 m</t>
  </si>
  <si>
    <t>De anchura igual a 12.7 cm y longitud igual a 85 m</t>
  </si>
  <si>
    <t>De anchura igual a 12.7 cm y longitud igual a 175 m</t>
  </si>
  <si>
    <t>De anchura igual a 15.2 cm y longitud igual a 85 m</t>
  </si>
  <si>
    <t>De anchura igual a 15.2 cm y longitud igual a 175 m</t>
  </si>
  <si>
    <t>Carton</t>
  </si>
  <si>
    <t>Papel para fotocomposicion</t>
  </si>
  <si>
    <t>PLACAS. PELÃCULAS. PAPEL. CARTON Y TEXTILES. FOTOGRaFICOS. IMPRESIONADOS PERO SIN REVELAR.</t>
  </si>
  <si>
    <t>Placas y peliculas. fotograficas. impresionadas y reveladas. excepto las cinematograficas (filmes).</t>
  </si>
  <si>
    <t>Fotomascaras sobre vidrio plano. positivas. aptas para la grabacion en pastilla de silicio (chips) para la fabricacion de microestructuras electronicas</t>
  </si>
  <si>
    <t>Peliculas cinematograficas (filmes). impresionadas y reveladas. con registro de sonido o sin el. o con registro de sonido solamente.</t>
  </si>
  <si>
    <t>- De anchura superior o igual a 35 mm</t>
  </si>
  <si>
    <t>Conteniendo material didactico. cientifico o tecnico</t>
  </si>
  <si>
    <t>Preparaciones quimicas para uso fotografico. excepto los barnices. colas. adhesivos y preparaciones similares; productos sin mezclar para uso fotografico. dosificados o acondicionados para la venta al por menor listos para su empleo.</t>
  </si>
  <si>
    <t>Fijadores</t>
  </si>
  <si>
    <t>Reveladores</t>
  </si>
  <si>
    <t>A base de negro de humo o de un colorante y resinas termoplasticas. para reproduccion de documentos por sistemas electrostaticos</t>
  </si>
  <si>
    <t>Compuestos diazoicos fotosensibles para la preparacion de emulsiones</t>
  </si>
  <si>
    <t>Reforzadores y debilitadores</t>
  </si>
  <si>
    <t>Blanqueadores</t>
  </si>
  <si>
    <t>Estabilizadores</t>
  </si>
  <si>
    <t>Viradores</t>
  </si>
  <si>
    <t>Quitamanchas</t>
  </si>
  <si>
    <t>Grafito artificial; grafito coloidal o semicoloidal; preparaciones a base de grafito u otros carbonos. en pasta. bloques. plaquitas u otras semimanufacturas.</t>
  </si>
  <si>
    <t>Suspension semicoloidal en aceites minerales</t>
  </si>
  <si>
    <t>Grafito coloidal</t>
  </si>
  <si>
    <t>Grafito semicoloidal</t>
  </si>
  <si>
    <t>Pastas carbonosas para electrodos</t>
  </si>
  <si>
    <t>Preparaciones a base de grafito</t>
  </si>
  <si>
    <t>Carbon activado; materias minerales naturales activadas; negro de origen animal. incluido el agotado.</t>
  </si>
  <si>
    <t>Harinas siliceas fosiles</t>
  </si>
  <si>
    <t>Bentonita</t>
  </si>
  <si>
    <t>Atapulgita</t>
  </si>
  <si>
    <t>Otras arcillas y tierras</t>
  </si>
  <si>
    <t>Tierras de batan (tierras de Fuller)</t>
  </si>
  <si>
    <t>Negro de origen animal</t>
  </si>
  <si>
    <t>«Tall oil». incluso refinado.</t>
  </si>
  <si>
    <t>Lejias residuales de la fabricacion de pastas de celulosa. aunque esten concentradas. desazucaradas o tratadas quimicamente. incluidos los lignosulfonatos. excepto el «tall oil» de la partida 38.03.</t>
  </si>
  <si>
    <t>Lejias residuales de la fabricacion de pastas de celulosa</t>
  </si>
  <si>
    <t>Al sulfito</t>
  </si>
  <si>
    <t>A la sosa o al sulfato</t>
  </si>
  <si>
    <t>Lignosulfonatos</t>
  </si>
  <si>
    <t>De calcio y magnesio; de amonio. exento de hierro activo</t>
  </si>
  <si>
    <t>Esencias de trementina. de madera de pino o de pasta celulosica al sulfato (sulfato de trementina) y demas esencias terpenicas procedentes de la destilacion o de otros tratamientos de la madera de coniferas; dipenteno en bruto; esencia de pasta celulosica al bisulfito (bisulfito de trementina) y demas paracimenos en bruto; aceite de pino con alfa-terpineol como componente principal.</t>
  </si>
  <si>
    <t>Esencia de trementina</t>
  </si>
  <si>
    <t>Esencia de madera de pino</t>
  </si>
  <si>
    <t>Esencia de pasta celulosica al sulfato(sulfato de trementina)</t>
  </si>
  <si>
    <t>Aceite de pino</t>
  </si>
  <si>
    <t>Dipenteno en bruto</t>
  </si>
  <si>
    <t>p-Cimenos en bruto</t>
  </si>
  <si>
    <t>Colofonias y acidos resinicos. y sus derivados; esencia y aceites de colofonia; gomas fundidas.</t>
  </si>
  <si>
    <t>Colofonias</t>
  </si>
  <si>
    <t>acidos resinicos</t>
  </si>
  <si>
    <t>Sales de colofonias</t>
  </si>
  <si>
    <t>Sales de acidos resinicos</t>
  </si>
  <si>
    <t>Los demas derivados de colofonias o de acidos resinicos</t>
  </si>
  <si>
    <t>Colofonias oxidadas. hidrogenadas. desproporcionadas (deshidrogenadas). polimerizadas o modificadas con acidos fumarico o maleico o con anhidrido maleico</t>
  </si>
  <si>
    <t>Oxidadas</t>
  </si>
  <si>
    <t>Hidrogenadas</t>
  </si>
  <si>
    <t>Desproporcionadas (deshidrogenadas)</t>
  </si>
  <si>
    <t>Abietatos de metilo o bencilo; hidroabietato de metilo</t>
  </si>
  <si>
    <t>Abieatos de metilo</t>
  </si>
  <si>
    <t>Abieatos de bencilo</t>
  </si>
  <si>
    <t>Hidroabieato de metilo</t>
  </si>
  <si>
    <t>acidos resinicos oxidados</t>
  </si>
  <si>
    <t>acidos resinicos deshidrogenados</t>
  </si>
  <si>
    <t>Alquitranes de madera; aceites de alquitran de madera; creosota de madera; metileno (nafta de madera); pez vegetal; pez de cerveceria y preparaciones similares a base de colofonia. de acidos resinicos o de pez vegetal.</t>
  </si>
  <si>
    <t>Alquitranes de madera</t>
  </si>
  <si>
    <t>Insecticidas. raticidas y demas antirroedores. fungicidas. herbicidas. inhibidores de germinacion y reguladores del crecimiento de las plantas. desinfectantes y productos similares. presentados en formas o en envases para la venta al por menor. o como preparaciones o articulos tales como cintas. mechas y velas. azufradas. y papeles matamoscas.</t>
  </si>
  <si>
    <t>- Productos mencionados en la Nota 1 de subpartida de este Capitulo:</t>
  </si>
  <si>
    <t>--DDT (ISO) (clofenotano (DCI)). acondicionado en envases con un contenido en peso neto inferior o igual a 300 g</t>
  </si>
  <si>
    <t>Presentados en formas o envases exclusivamente de uso directo en aplicaciones domisanitarias</t>
  </si>
  <si>
    <t>Paration (etil paration) o paration-metilo (metil paration) (R.G. 2146/06 AFIP)</t>
  </si>
  <si>
    <t>Monocrotofos (R.G. 2146/06 AFIP)</t>
  </si>
  <si>
    <t>Presentados de otro modo</t>
  </si>
  <si>
    <t>A base de metamidofos (ISO) o monocrotofos (ISO)</t>
  </si>
  <si>
    <t>A base de metamidofos (ISO) (R.G. 2146/06 AFIP)</t>
  </si>
  <si>
    <t>A base de monocrotofos (ISO) (R.G. 2146/06 AFIP)</t>
  </si>
  <si>
    <t>A base de endosulfan (ISO)</t>
  </si>
  <si>
    <t>A base de alaclor (ISO)</t>
  </si>
  <si>
    <t>Destinados a medicina humana (R. 2014/93 ex ANA)</t>
  </si>
  <si>
    <t>A base de aldrina. canfecloro (toxafeno). clordano. DDT. dibromuro de etileno. dieldrina. lindano. heptacloro. hexaclorociclohexano. paration (etil paration) o paration-metilo (metil paration)</t>
  </si>
  <si>
    <t>A base de aldicarb. aldrina. azinfos metil. canfecloro (toxafeno). clordano. DDT. dibromuro de etileno. lindano. paratisn (etil paratisn) o paratisn-metilo (metil paratisn) (R.G. 2146/06 AFIP)</t>
  </si>
  <si>
    <t>A base dieldrina o hexaclorociclohexano (R.G. 2146/06 AFIP)</t>
  </si>
  <si>
    <t>A base de heptacloro (R.G. 2146/06 AFIP)</t>
  </si>
  <si>
    <t>A base de acetato de fenilmercurio. captafol. clorobencilato. ester butilico del 2.4.5-T. hexaclorobenceno. pentaclorofenol o sales o esteres del pentaclorofenol</t>
  </si>
  <si>
    <t>A base de acetato de fenilmercurio o ester butilico del 2.4.5-T (R.G. 2146/06 AFIP)</t>
  </si>
  <si>
    <t>A base de captafol o hexaclorobenceno (R.G. 2146/06 AFIP)</t>
  </si>
  <si>
    <t>A base de pentaclorofenol.sus sales o sus esteres (R.G. 2146/06 AFIP)</t>
  </si>
  <si>
    <t>A base de clorobencilato (R.G. 2146/06 AFIP)</t>
  </si>
  <si>
    <t>A base de binapacril. clordimeformo. compuestos de mercurio (excepto acetato de fenilmercurio).compuestos de tributilestaño. dicloruro de etileno. 4.6-dinitro-o-cresol (DNOC) o sus sales. dinoseb. sales o esteres de dinoseb. fluoroacetamida. fosfamidon. oxirano (oxido de etileno). 2.4.5-T o sus sales. esteres de 2.4.5-T (excepto ester butilico) o presentadas en polvo conteniendo una mezcla de benomilo. carbofurano y thiram</t>
  </si>
  <si>
    <t>Oxirano</t>
  </si>
  <si>
    <t>Preparaciones presentadas en polvo conteniendo una mezcla de benomilo. carbofurano y thiram (R.G. 2146/06 AFIP)</t>
  </si>
  <si>
    <t>- Productos mencionados en la Nota 2 de subpartida de este Capitulo:</t>
  </si>
  <si>
    <t>--Acondicionados en envases con un contenido en peso neto inferior o igual a 300 g</t>
  </si>
  <si>
    <t>- - Acondicionados en envases con un contenido en peso neto superior a 300 g pero inferior o igual a 7.5 kg</t>
  </si>
  <si>
    <t>A base de alfa-cipermetrina (ISO)</t>
  </si>
  <si>
    <t>A base de fenitotrion</t>
  </si>
  <si>
    <t>A base de pirimifos metil</t>
  </si>
  <si>
    <t>Que contengan bromometano (bromuro de metilo) o bromoclorometano</t>
  </si>
  <si>
    <t>Presentados de otro modo. que contengan bromometano (bromuro de metilo) o bromoclorometano</t>
  </si>
  <si>
    <t>A base de cipermetrinas o permetrina</t>
  </si>
  <si>
    <t>A base de cipermetrina</t>
  </si>
  <si>
    <t>A base de permetrina</t>
  </si>
  <si>
    <t>A base de fosfuro de aluminio</t>
  </si>
  <si>
    <t>A base de aceite mineral</t>
  </si>
  <si>
    <t>A base de tiometon</t>
  </si>
  <si>
    <t>A base de acefato o de Bacillus thuringiensis</t>
  </si>
  <si>
    <t>A base de acefato</t>
  </si>
  <si>
    <t>A base de Bacillus thuringiensis</t>
  </si>
  <si>
    <t>A base de dicrotofos</t>
  </si>
  <si>
    <t>A base de disulfoton</t>
  </si>
  <si>
    <t>A base de diclorvos o triclorfon</t>
  </si>
  <si>
    <t>A base de diclorvos</t>
  </si>
  <si>
    <t>A base de triclorfon</t>
  </si>
  <si>
    <t>A base de aceite mineral o tiometon</t>
  </si>
  <si>
    <t>A base de sulfluramida</t>
  </si>
  <si>
    <t>A base de arseniato de plomo. arsenico. carbofurano (excepto productos en granulos definidos en la Res. 263/18 SENASA). carbosulfan. diazinon. endrin. mirex (dodecacloro) o metoxicloro (R.G. 2146/06 AFIP)</t>
  </si>
  <si>
    <t>A base de carbaril</t>
  </si>
  <si>
    <t>A base de clorpirifos o sus derivados</t>
  </si>
  <si>
    <t>A base de dimetoato</t>
  </si>
  <si>
    <t>A base de compuesto organo-clorados</t>
  </si>
  <si>
    <t>A base de acetamiprid</t>
  </si>
  <si>
    <t>A base de imidacloprid</t>
  </si>
  <si>
    <t>A base de lufenuron</t>
  </si>
  <si>
    <t>A base de teflubenzuron</t>
  </si>
  <si>
    <t>A base de tiametoxam</t>
  </si>
  <si>
    <t>A base de triflumuron</t>
  </si>
  <si>
    <t>A base de fipronil. formulados como Suspension Concentrada (SC) y Granulos Dispersables (WG) (Res. 425/21 SENASA).</t>
  </si>
  <si>
    <t>A base de compuestos organo-fosforados</t>
  </si>
  <si>
    <t>A base de carbamatos</t>
  </si>
  <si>
    <t>A base de abamectina. azadiractina. codlemone. E.E-8.10 dodecadienol. Z/E-8 dodecenilacetato. metoxifenocide. orfamone. ryania o spinosad</t>
  </si>
  <si>
    <t>A base de abamectina</t>
  </si>
  <si>
    <t>A base de azadiractina</t>
  </si>
  <si>
    <t>A base de codlemone</t>
  </si>
  <si>
    <t>A base de E.E-8.10 dodecadienol</t>
  </si>
  <si>
    <t>A base de Z/E-8 dodecenilacetato</t>
  </si>
  <si>
    <t>A base de metoxifenocide</t>
  </si>
  <si>
    <t>A base de orfamone</t>
  </si>
  <si>
    <t>A base de ryania</t>
  </si>
  <si>
    <t>A base de spinosad</t>
  </si>
  <si>
    <t>A base de Cydia pomonella (virus de la granulosis)</t>
  </si>
  <si>
    <t>A base de E/Z-7.9 dodecadienilacetato</t>
  </si>
  <si>
    <t>A base de azufre</t>
  </si>
  <si>
    <t>A base de mancozeb</t>
  </si>
  <si>
    <t>A base de maneb</t>
  </si>
  <si>
    <t>A base de hidroxido de cobre. oxicloruro de cobre u oxido cuproso</t>
  </si>
  <si>
    <t>A base de hidroxido de cobre</t>
  </si>
  <si>
    <t>A base de oxicloruro de cobre</t>
  </si>
  <si>
    <t>A base de oxido cuproso</t>
  </si>
  <si>
    <t>A base de azufre o ziram</t>
  </si>
  <si>
    <t>A base de ziram</t>
  </si>
  <si>
    <t>A base de mancozeb o maneb</t>
  </si>
  <si>
    <t>A base de sulfiram</t>
  </si>
  <si>
    <t>A base de compuestos de arsenico. cobre o cromo. excepto los productos del item 3808.92.91</t>
  </si>
  <si>
    <t>Que contengan arseniato de plomo (R.G. 2146/06 AFIP)</t>
  </si>
  <si>
    <t>Que contengan sales u oxidos de cromo. arsenico y cobre simultaneamente</t>
  </si>
  <si>
    <t>A base de thiram</t>
  </si>
  <si>
    <t>A base de propiconazol</t>
  </si>
  <si>
    <t>A base de arseniato de plomo. arsenico o dinocap (R.G. 2146/06 AFIP)</t>
  </si>
  <si>
    <t>A base de zineb</t>
  </si>
  <si>
    <t>A base de carbendazin</t>
  </si>
  <si>
    <t>A base de fosetil aluminio</t>
  </si>
  <si>
    <t>A base de folpet</t>
  </si>
  <si>
    <t>A base de captan</t>
  </si>
  <si>
    <t>A base de compuestos de estaño</t>
  </si>
  <si>
    <t>A base de fenarimol</t>
  </si>
  <si>
    <t>A base de kresoxim-metil</t>
  </si>
  <si>
    <t>Herbicidas presentados en formas o envases exclusivamente de uso directo en aplicaciones domisanitarias</t>
  </si>
  <si>
    <t>Herbicidas presentados de otro modo</t>
  </si>
  <si>
    <t>A base de diuron</t>
  </si>
  <si>
    <t>A base de lactofen</t>
  </si>
  <si>
    <t>A base de dicloruro de paraquat</t>
  </si>
  <si>
    <t>A base de propanil</t>
  </si>
  <si>
    <t>A base de trifluralina</t>
  </si>
  <si>
    <t>A base de ametrina o atrazina.</t>
  </si>
  <si>
    <t>A base de ametrina</t>
  </si>
  <si>
    <t>A base de atrazina</t>
  </si>
  <si>
    <t>Los demas. a base de acido 2.4-diclorofenoxiacetico (2.4-D). acido 4-(2.4- diclorofenoxi)butirico (2.4-DB). acido (4-cloro-2-metil)fenoxiacetico (MCPA) o de derivados de 2.4-D o 2.4-DB</t>
  </si>
  <si>
    <t>A base de 2.4-D o sus derivados</t>
  </si>
  <si>
    <t>A base de 2.4-DB o sus derivados</t>
  </si>
  <si>
    <t>A base de MCPA</t>
  </si>
  <si>
    <t>Los demas. a base de atrazina o diuron</t>
  </si>
  <si>
    <t>Los demas. a base de glifosato o de sus sales. imazaquin o lactofen</t>
  </si>
  <si>
    <t>A base de glifosato o de sus sales</t>
  </si>
  <si>
    <t>A base de imazaquin</t>
  </si>
  <si>
    <t>Los demas. a base de dicloruro de paraquat. propanil o simazina</t>
  </si>
  <si>
    <t>A base de simazina</t>
  </si>
  <si>
    <t>Los demas. a base de trifluralina</t>
  </si>
  <si>
    <t>Los demas. a base de imazetapir</t>
  </si>
  <si>
    <t>Los demas. a base de ametrina o hexazinona</t>
  </si>
  <si>
    <t>A base de hexazinona</t>
  </si>
  <si>
    <t>A base de haloxifop metil</t>
  </si>
  <si>
    <t>A base de acetoclor</t>
  </si>
  <si>
    <t>A base de bromacil</t>
  </si>
  <si>
    <t>A base de fomesafen</t>
  </si>
  <si>
    <t>A base de metsulfuron metil</t>
  </si>
  <si>
    <t>A base de quizalofop o sus derivados</t>
  </si>
  <si>
    <t>A base de derivados de la piridina</t>
  </si>
  <si>
    <t>A base de fluroxipir</t>
  </si>
  <si>
    <t>A base de picloram</t>
  </si>
  <si>
    <t>A base de tebutiuron</t>
  </si>
  <si>
    <t>A base de derivados del glifosato</t>
  </si>
  <si>
    <t>Inhibidores de germinacion</t>
  </si>
  <si>
    <t>Los demas. presentados en formas o envases exclusivamente de uso directo en aplicaciones domisanitarias</t>
  </si>
  <si>
    <t>Reguladores del crecimiento de las plantas presentados en formas o envases exclusivamente de uso directo en aplicaciones domisanitarias</t>
  </si>
  <si>
    <t>Reguladores del crecimiento de las plantas presentados de otro modo</t>
  </si>
  <si>
    <t>Los demas. a base de hidrazida maleica</t>
  </si>
  <si>
    <t>A base de alcoholes grasos</t>
  </si>
  <si>
    <t>A base de giberelinas</t>
  </si>
  <si>
    <t>A base de cloromecuato</t>
  </si>
  <si>
    <t>A base de flumetralin</t>
  </si>
  <si>
    <t>Desinfectante de superficies para equipos medicos y pisos</t>
  </si>
  <si>
    <t>A base de 2- (tiocianometiltio) benzotiazol</t>
  </si>
  <si>
    <t>Los demas. a base de 2-(tiocianometiltio)benzotiazol</t>
  </si>
  <si>
    <t>A base de acido tricloroisocianurico (TCCA). acido dicloroisocianurico (DCCA) o de sus derivados (R.G.30/97 AFIP)</t>
  </si>
  <si>
    <t>Desinfectantes de superficie para equipos medicos y pisos; alcohol en gel y demas preparaciones desinfectantes a base de alcohol.</t>
  </si>
  <si>
    <t>Raticidas a base de sulfato de talio (R.G.2146/06 AFIP)</t>
  </si>
  <si>
    <t>Acaricidas a base de amitraz. clorfenvinfos o propargite</t>
  </si>
  <si>
    <t>A base de amitraz</t>
  </si>
  <si>
    <t>A base de clorfenvinfos</t>
  </si>
  <si>
    <t>A base de propargite</t>
  </si>
  <si>
    <t>Acaricidas a base de cihexatin o de oxido de fembutatin (oxido de "fenbutatin")</t>
  </si>
  <si>
    <t>A base de cihexatin</t>
  </si>
  <si>
    <t>A base de fembutatin (oxido de "fenbutatin")</t>
  </si>
  <si>
    <t>Acaricidas a base de cihexatin o de oxido de fembutatin (oxido de «fenbutatin»)</t>
  </si>
  <si>
    <t>Otros acaricidas</t>
  </si>
  <si>
    <t>A base de dicofol</t>
  </si>
  <si>
    <t>A base de flufenoxuron</t>
  </si>
  <si>
    <t>Nematicidas a base de metam sodio</t>
  </si>
  <si>
    <t>Otros nematicidas</t>
  </si>
  <si>
    <t>A base de fenamifos</t>
  </si>
  <si>
    <t>A base de 1.2-dibromo-3-cloropropano (DBCP) o 4-nitrodifenilo (PNB)</t>
  </si>
  <si>
    <t>A base de 1.2-dibromo-3-cloropropano (DBCP)</t>
  </si>
  <si>
    <t>A base de 4-nitrodifenilo (PNB)</t>
  </si>
  <si>
    <t>Raticidas</t>
  </si>
  <si>
    <t>A base de sulfato de estricnina o sulfato de talio (R.G.2146/06 AFIP)</t>
  </si>
  <si>
    <t>A base de brodifacoum</t>
  </si>
  <si>
    <t>A base de bromadiolone</t>
  </si>
  <si>
    <t>Aprestos y productos de acabado. aceleradores de tintura o de fijacion de materias colorantes y demas productos y preparaciones (por ejemplo: aprestos y mordientes). de los tipos utilizados en la industria textil. del papel. del cuero o industrias similares. no expresados ni comprendidos en otra parte.</t>
  </si>
  <si>
    <t>De los tipos utilizados en la industria textil</t>
  </si>
  <si>
    <t>Aprestos</t>
  </si>
  <si>
    <t>Mordientes</t>
  </si>
  <si>
    <t>Productos ignifugos</t>
  </si>
  <si>
    <t>Impermeabilizantes</t>
  </si>
  <si>
    <t>A base de parafina o derivados de acidos grasos</t>
  </si>
  <si>
    <t>Aglutinantes</t>
  </si>
  <si>
    <t>Productos o adyuvantes de encolado</t>
  </si>
  <si>
    <t>A base de dimero de alquilceteno</t>
  </si>
  <si>
    <t>A base de resina de colofonia modificada.</t>
  </si>
  <si>
    <t>Ligantes</t>
  </si>
  <si>
    <t>Agentes de relleno superficial</t>
  </si>
  <si>
    <t>Preparaciones para el decapado de metal; flujos y demas preparaciones auxiliares para soldar metal; pastas y polvos para soldar. constituidos por metal y otros productos; preparaciones de los tipos utilizados para recubrir o rellenar electrodos o varillas de soldadura.</t>
  </si>
  <si>
    <t>Preparaciones para el decapado de metal</t>
  </si>
  <si>
    <t>Pastas y polvos de soldar</t>
  </si>
  <si>
    <t>Flujos y demas preparaciones auxiliares de soldar metal</t>
  </si>
  <si>
    <t>Preparaciones de los tipos utilizados para recubrir o rellenar electrodos o varillas de soldadura</t>
  </si>
  <si>
    <t>Preparaciones antidetonantes. inhibidores de oxidacion. aditivos peptizantes. mejoradores de viscosidad. anticorrosivos y demas aditivos preparados para aceites minerales (incluida la gasolina) u otros liquidos utilizados para los mismos fines que los aceites minerales.</t>
  </si>
  <si>
    <t>- Preparaciones antidetonantes:</t>
  </si>
  <si>
    <t>- Aditivos para aceites lubricantes:</t>
  </si>
  <si>
    <t>Mejoradores de indice de viscosidad</t>
  </si>
  <si>
    <t>Antidesgaste. anticorrosivos o antioxidantes. que contengan dialquilditiofosfato de cinc o diarilditiofosfato de cinc</t>
  </si>
  <si>
    <t>Dispersantes sin cenizas</t>
  </si>
  <si>
    <t>Detergentes metalicos</t>
  </si>
  <si>
    <t>Otras preparaciones que contengan por lo menos uno de los productos comprendidos en los item 3811.21.10. 3811.21.20. 3811.21.30 o 3811.21.40</t>
  </si>
  <si>
    <t>Aditivos antidesgaste</t>
  </si>
  <si>
    <t>Aditivos anticorrosivos</t>
  </si>
  <si>
    <t>Aditivos antioxidantes</t>
  </si>
  <si>
    <t>Otras preparaciones que contengan por los menos uno de los productos comprendidos en las posiciones SIM 3811.21.90.100. 3811.21.90.200 o 3811.21.90.300</t>
  </si>
  <si>
    <t>Otras preparaciones que contengan por los menos uno de los productos comprendidos en las posiciones SIM 3811.29.90.100. 3811.29.90.200 o 3811.29.90.300</t>
  </si>
  <si>
    <t>Dispersantes sin cenizas. para aceites de petroleo combustibles</t>
  </si>
  <si>
    <t>Los demas aditivos preparados para aceites minerales</t>
  </si>
  <si>
    <t>Aditivos para aceites crudos</t>
  </si>
  <si>
    <t>Aditivos para gasolina</t>
  </si>
  <si>
    <t>Aditivos para gasoleo</t>
  </si>
  <si>
    <t>Aditivos preparados para otros liquidos utilizados para los mismos fines que los aceites minerales</t>
  </si>
  <si>
    <t>Para carburantes a base de alcoholes</t>
  </si>
  <si>
    <t>Para lubricantes sinteticos</t>
  </si>
  <si>
    <t>Aceleradores de vulcanizacion preparados; plastificantes compuestos para caucho o plastico. no expresados ni comprendidos en otra parte; preparaciones antioxidantes y demas estabilizantes compuestos para caucho o plastico.</t>
  </si>
  <si>
    <t>A base de difenilguanidina</t>
  </si>
  <si>
    <t>A base de ditiocarbamatos</t>
  </si>
  <si>
    <t>A base de tiouramas</t>
  </si>
  <si>
    <t>A base de sulfuros</t>
  </si>
  <si>
    <t>Para caucho</t>
  </si>
  <si>
    <t>Para plastico</t>
  </si>
  <si>
    <t>- Preparaciones antioxidantes y demas estabilizantes compuestos para caucho o plastico:</t>
  </si>
  <si>
    <t>--Mezclas de oligomeros de 2. 2. 4 - trimetil - 1. 2 - dihidroquinoleina (TMQ)</t>
  </si>
  <si>
    <t>Que contengan derivados N-sustituidos de la p-fenilendiamina</t>
  </si>
  <si>
    <t>Que contengan fosfitos de alquilo. arilo o alquilarilo</t>
  </si>
  <si>
    <t>Que contengan estearato de calcio y estearato de cinc</t>
  </si>
  <si>
    <t>Preparaciones y cargas para aparatos extintores; granadas y bombas extintoras.</t>
  </si>
  <si>
    <t>Que contengan bromoclorodifluorometano. bromotrifluorometano o dibromotetrafluoroetanos</t>
  </si>
  <si>
    <t>Preparaciones y cargas para aparatos extintores</t>
  </si>
  <si>
    <t>Granadas y bombas extintoras</t>
  </si>
  <si>
    <t>Que contengan hidrobromofluorocarburos (HBFC) del metano. del etano o del propano</t>
  </si>
  <si>
    <t>Que contengan hidroclorofluorocarburos (HCFC) del metano. del etano o del propano</t>
  </si>
  <si>
    <t>Que contengan diclorotrifluoroetano (HCFC-123). tetrafluorometano (C14) y argon (Mezcla B o Halotron I)</t>
  </si>
  <si>
    <t>Que contengan diclorotrifluoroetano (HCFC-123). pentafluoroetano (HCFC-125) e hidrocarburos terpenicos (Mezcla E o NAF P IV)</t>
  </si>
  <si>
    <t>Que contengan clorodifluorometano (HCFC-22). diclorotrifluoroetano (HCFC-123). clorotetrafluoroetano (HCFC-124) e hidrocarburos terpenicos (NAF S III)</t>
  </si>
  <si>
    <t>Que contengan bromoclorometano</t>
  </si>
  <si>
    <t>A base de mezclas de bicarbonatos</t>
  </si>
  <si>
    <t>A base de mezclas de dihidrogenoortofosfato de amonio(fosfato monoamonico) y sulfato de amonio</t>
  </si>
  <si>
    <t>Las demas. que contengan tetrafluoroetano (HCF-134). pentafluoroetano (HFC-125) y anhidrido carbonico (CO2) (Halotron II)</t>
  </si>
  <si>
    <t>Las demas. que contengan sustancias comprendidas en el Dto. 1.609/2004 y modificatorios.</t>
  </si>
  <si>
    <t>Que contengan sustancias comprendidas en el Dto. 1.609/2004 y modificatorios.</t>
  </si>
  <si>
    <t>Disolventes y diluyentes organicos compuestos. no expresados ni comprendidos en otra parte; preparaciones para quitar pinturas o barnices.</t>
  </si>
  <si>
    <t>Que contengan clorofluorocarburos del metano. del etano o del propano (CFC). incluso los que contengan hidroclorofluorocarburos (HCFC)</t>
  </si>
  <si>
    <t>Que contengan hidroclorofluorocarburos del metano. del etano o del propano (HCFC). pero que no contengan clorofluorocarburos (CFC)</t>
  </si>
  <si>
    <t>Que contengan tetracloruro de carbono. bromoclorometano o 1.1.1-tricloroetano (metilcloroformo)</t>
  </si>
  <si>
    <t>Disolventes y diluyentes organicos compuestos que correspondan a productos definidos en el Decreto 1129/01</t>
  </si>
  <si>
    <t>Iniciadores y aceleradores de reaccion y preparaciones cataliticas. no expresados ni comprendidos en otra parte.</t>
  </si>
  <si>
    <t>- Catalizadores sobre soporte:</t>
  </si>
  <si>
    <t>En colmena ceramica o metalica para conversion catalitica de gases de escape de vehiculos</t>
  </si>
  <si>
    <t>Con platino o sus compuestos como sustancia activa</t>
  </si>
  <si>
    <t>Con paladio o sus compuestos como sustancia activa</t>
  </si>
  <si>
    <t>Con tamaño de particula inferior a 500 micrometros</t>
  </si>
  <si>
    <t>Para craqueo de petroleo</t>
  </si>
  <si>
    <t>Con isoprenilaluminio (IPRA) como sustancia activa</t>
  </si>
  <si>
    <t>Con oxido de cinc como sustancia activa</t>
  </si>
  <si>
    <t>Con oxidos de tierras raras como sustancia activa</t>
  </si>
  <si>
    <t>Catalizador de radicales</t>
  </si>
  <si>
    <t>Catalizadores ionicos</t>
  </si>
  <si>
    <t>Catalizador para las reacciones de policondensacion</t>
  </si>
  <si>
    <t>Cementos. morteros. hormigones y preparaciones similares. refractarios. excepto los productos de la partida 38.01.</t>
  </si>
  <si>
    <t>Cementos y morteros</t>
  </si>
  <si>
    <t>A base de magnesita calcinada</t>
  </si>
  <si>
    <t>A base de silimanita</t>
  </si>
  <si>
    <t>Las demas preparaciones a base de cromo-magnesita. circonio. silimanita. cianita. andalucita. corindon o diasporo</t>
  </si>
  <si>
    <t>Con grafito y un contenido de corindon superior o igual al 50 % en peso</t>
  </si>
  <si>
    <t>Mezclas de alquilbencenos y mezclas de alquilnaftalenos. excepto las de las partidas 27.07 o 29.02.</t>
  </si>
  <si>
    <t>Mezclas de alquilbencenos</t>
  </si>
  <si>
    <t>Dodecilbencenos</t>
  </si>
  <si>
    <t>Mezclas que se correspondan con las definiciones de la Ley Nro 23.966. Titulo III. sus normas modificatorias y complementarias</t>
  </si>
  <si>
    <t>Mezclas de alquilnaftalenos</t>
  </si>
  <si>
    <t>Elementos quimicos dopados para uso en electronica. en discos. obleas («wafers») o formas analogas; compuestos quimicos dopados para uso en electronica.</t>
  </si>
  <si>
    <t>De silicio</t>
  </si>
  <si>
    <t>Liquidos para frenos hidraulicos y demas liquidos preparados para transmisiones hidraulicas. sin aceites de petroleo ni de mineral bituminoso o con un contenido inferior al 70 % en peso de dichos aceites.</t>
  </si>
  <si>
    <t>PREPARACIONES ANTICONGELANTES Y LÃQUIDOS PREPARADOS PARA DESCONGELAR.</t>
  </si>
  <si>
    <t>Medios de cultivo preparados para el desarrollo o mantenimiento de microorganismos (incluidos los virus y organismos similares) o de celulas vegetales. humanas o animales.</t>
  </si>
  <si>
    <t>Que contengan agar-agar</t>
  </si>
  <si>
    <t>Que contengan extractos de carne</t>
  </si>
  <si>
    <t>Reactivos de diagnostico o de laboratorio sobre cualquier soporte y reactivos de diagnostico o de laboratorio preparados. incluso sobre soporte. excepto los de las partidas 30.02 o 30.06; materiales de referencia certificados.</t>
  </si>
  <si>
    <t>Reactivos para la determinacion de componentes de la sangre u orina sobre soporte de papel. en rollos. sin soporte adicional hidrofobo. no aptos para su uso directo</t>
  </si>
  <si>
    <t>Reactivos para diagnostico</t>
  </si>
  <si>
    <t>De uso in vitro para uso humano (R.30/97 AFIP)</t>
  </si>
  <si>
    <t>Para la deteccion de COVID-19</t>
  </si>
  <si>
    <t>Materiales de referencia certificados</t>
  </si>
  <si>
    <t>acidos grasos monocarboxilicos industriales; aceites acidos del refinado; alcoholes grasos industriales.</t>
  </si>
  <si>
    <t>- acidos grasos monocarboxilicos industriales; aceites acidos del refinado:</t>
  </si>
  <si>
    <t>--acidos grasos del "tall oil"</t>
  </si>
  <si>
    <t>Estearilico</t>
  </si>
  <si>
    <t>Laurilico</t>
  </si>
  <si>
    <t>Cetilico</t>
  </si>
  <si>
    <t>Oleilico</t>
  </si>
  <si>
    <t>Preparaciones aglutinantes para moldes o nucleos de fundicion; productos quimicos y preparaciones de la industria quimica o de las industrias conexas (incluidas las mezclas de productos naturales). no expresados ni comprendidos en otra parte.</t>
  </si>
  <si>
    <t>Sin aglomerar mezclados entre si</t>
  </si>
  <si>
    <t>Con aglutinantes metalicos</t>
  </si>
  <si>
    <t>-Sorbitol. excepto el de la subpartida 2905.44</t>
  </si>
  <si>
    <t>- Mezclas que contengan derivados halogenados de metano. etano o propano:</t>
  </si>
  <si>
    <t>- - Que contengan clorofluorocarburos (CFC). incluso con hidroclorofluorocarburos (HCFC). perfluorocarburos (PFC) o hidrofluorocarburos (HFC)</t>
  </si>
  <si>
    <t>Que contengan triclorotrifluoretanos</t>
  </si>
  <si>
    <t>- - Que contengan hidroclorofluorocarburos (HCFC). incluso con perfluorocarburos (PFC) o hidrofluorocarburos (HFC). pero que no contengan clorofluorocarburos (CFC)</t>
  </si>
  <si>
    <t>Que contengan clorodifluorometano y pentafluoroetano</t>
  </si>
  <si>
    <t>Que contengan clorodifluorometano y clorotetrafluoroetano</t>
  </si>
  <si>
    <t>--Que contengan 1.1.1-tricloroetano (metilcloroformo)</t>
  </si>
  <si>
    <t>- - Que contengan perfluorocarburos (PFC) o hidrofluorocarburos (HFC). pero que no contengan clorofluorocarburos (CFC) o hidroclorofluorocarburos (HCFC)</t>
  </si>
  <si>
    <t>Que contengan tetrafluoroetano y pentafluroetano</t>
  </si>
  <si>
    <t>Que contengan difluorometano y pentafluoroetano</t>
  </si>
  <si>
    <t>- Productos mencionados en la Nota 3 de subpartida de este Capitulo:</t>
  </si>
  <si>
    <t>Mezcla de oxido de propileno con un contenido de oxido de etileno inferior o igual al 30 % en peso</t>
  </si>
  <si>
    <t>--Que contengan bifenilos polibromados (PBB). bifenilos policlorados (PCB) o terfenilos policlorados (PCT)</t>
  </si>
  <si>
    <t>--Que contengan fosfato de tris(2.3- dibromopropilo)</t>
  </si>
  <si>
    <t>--Que contengan aldrina (ISO). canfecloro (ISO) (toxafeno). clordano(ISO). clordecona (ISO). DDT (ISO) (clofenotano (DCI). 1. 1. 1 - tricloro - 2. 2 - bis (p - clorofenil) etano). dieldrina (ISO. DCI). endosulfan (ISO). endrina (ISO). heptacloro (ISO) o mirex (ISO)</t>
  </si>
  <si>
    <t>--Que contengan 1. 2. 3. 4. 5. 6 - hexaclorociclohexano (HCH (ISO)). incluido el lindano (ISO. DCI)</t>
  </si>
  <si>
    <t>--Que contengan eteres tetra-. penta-. hexa-. hepta- u octabromodifenilicos</t>
  </si>
  <si>
    <t>--Mezclas y preparaciones constituidas esencialmente de metilfosfonato de (5-etil-2-metil-2-oxido-1. 3. 2-dioxafosfinan-5-il) metil metilo y metilfosfonato de bis[(5-etil-2-metil-2-oxido-1. 3.2-dioxafosfinan-5-il)metilo]</t>
  </si>
  <si>
    <t>Productos intermedios de la fabricacion de antibioticos o de vitaminas u otros productos de la partida 29.36</t>
  </si>
  <si>
    <t>Salinomicina micelial</t>
  </si>
  <si>
    <t>Con un contenido de cianocobalamina inferior o igual al 55 % en peso</t>
  </si>
  <si>
    <t>De la fabricacion de primicina amonica</t>
  </si>
  <si>
    <t>Senduramicina sodica. de la fabricacion de senduramicina</t>
  </si>
  <si>
    <t>Maduramicina amonica. en solucion alcoholica. de la fabricacion de maduramicina</t>
  </si>
  <si>
    <t>Derivados de acidos grasos industriales; mezclas y preparaciones que contengan alcoholes grasos o acidos carboxilicos. incluso sus derivados</t>
  </si>
  <si>
    <t>acidos grasos dimerizados; preparaciones que contengan acidos grasos dimerizados</t>
  </si>
  <si>
    <t>acidos grasos dimerizados</t>
  </si>
  <si>
    <t>Preparaciones que contengan acidos grasos dimerizados</t>
  </si>
  <si>
    <t>Preparaciones que contengan estearoilbenzoilmetano y palmitoilbenzoilmetano; preparaciones que contengan caprilato y caprato de propilenglicol</t>
  </si>
  <si>
    <t>Preparaciones que contengan estearoilbenzoilmetano y palmitoilbenzoilmetano</t>
  </si>
  <si>
    <t>Preparaciones que contengan caprilato y caprato de propilenglicol</t>
  </si>
  <si>
    <t>Preparaciones que contengan trigliceridos de los acidos caprilico y caprico</t>
  </si>
  <si>
    <t>Esteres de alcoholes grasos de C12 a C20 del acido metacrilico y sus mezclas; esteres de acidos monocarboxilicos de C10 ramificados con glicerol</t>
  </si>
  <si>
    <t>Esteres de alcoholes grasos de C12 a C20 del acido metacrilico y sus mezclas</t>
  </si>
  <si>
    <t>Esteres de acidos monocarboxilicos de C10 ramificados con glicerol</t>
  </si>
  <si>
    <t>Mezclas de esteres dimetilicos de los acidos adipico. glutarico y succinico; mezclas de acidos dibasicos de C11 y C12; acidos naftenicos. sus sales insolubles en agua y sus esteres</t>
  </si>
  <si>
    <t>Mezclas de esteres dimetilicos de los acidos adipico. glutarico y succinico</t>
  </si>
  <si>
    <t>Mezclas de acidos dibasicos de C11 y C12</t>
  </si>
  <si>
    <t>Acidos naftenicos. sus sales insolubles en agua y sus esteres</t>
  </si>
  <si>
    <t>Alcohol laurilico condensado con dos moles de oxido de etileno (R.244/07 MEyP)</t>
  </si>
  <si>
    <t>Gamabutirolactona desnaturalizada con benzoato de denatonio en etanol</t>
  </si>
  <si>
    <t>Mezclas y preparaciones para caucho o plastico y demas mezclas y preparaciones para endurecer resinas sinteticas. colas. pinturas o para otros usos similares</t>
  </si>
  <si>
    <t>Que contengan isocianatos de hexametileno u otros isocianatos</t>
  </si>
  <si>
    <t>Que contengan isocianatos de hexametileno</t>
  </si>
  <si>
    <t>Que contengan isocianatos de difenilmetano</t>
  </si>
  <si>
    <t>Que contengan isocianatos de tolueno</t>
  </si>
  <si>
    <t>Que contengan aminas grasas de C8 a C22</t>
  </si>
  <si>
    <t>Que contengan polietilenaminas y dietilentriaminas. aptas para la coagulacion de latex</t>
  </si>
  <si>
    <t>Otras. que contengan polietilenaminas</t>
  </si>
  <si>
    <t>Mezclas de mono-. di- y triisopropanolaminas</t>
  </si>
  <si>
    <t>Reticulantes para siliconas</t>
  </si>
  <si>
    <t>Reticulantes para resinas epoxi</t>
  </si>
  <si>
    <t>Poliglicolester del acido metilfosfonico</t>
  </si>
  <si>
    <t>Mezclas y preparaciones desincrustantes. anticorrosivas o antioxidantes; fluidos para transferencia de calor</t>
  </si>
  <si>
    <t>Preparaciones desincrustantes. anticorrosivas o antioxidantes</t>
  </si>
  <si>
    <t>Mezcla eutectica de difenilo y oxido de difenilo</t>
  </si>
  <si>
    <t>A base de trimetil-3.9-dietildecano</t>
  </si>
  <si>
    <t>Polietilenglicoles y sus mezclas; polipropilenglicoles y sus mezclas; mezclas y preparaciones que contengan esteres de acidos inorganicos y sus derivados</t>
  </si>
  <si>
    <t>Antiespumantes que contengan fosfato de tributilo en solucion de alcohol isopropilico</t>
  </si>
  <si>
    <t>Mezclas de polietilenglicoles</t>
  </si>
  <si>
    <t>Polipropilenglicol liquido</t>
  </si>
  <si>
    <t>Retardantes de llama que contengan mezclas de fosfatos de trifenilo isopropilados</t>
  </si>
  <si>
    <t>Productos y preparaciones a base de elementos quimicos o de sus compuestos inorganicos. no expresados ni comprendidos en otra parte</t>
  </si>
  <si>
    <t>Cal sodada; carbonato de calcio hidrofugo</t>
  </si>
  <si>
    <t>Preparaciones a base de silice en suspension coloidal; nitruro de boro de estructura cristalina cubica. compactado con sustrato de carburo de volframio (tungsteno)</t>
  </si>
  <si>
    <t>Preparacion a base de carburo de volframio (tungsteno) con niquel como aglomerante; bromuro de hidrogeno en solucion</t>
  </si>
  <si>
    <t>Preparaciones a base de hidroxido de niquel o cadmio. de oxido de cadmio u oxido ferroso ferrico. aptas para la fabricacion de acumuladores alcalinos</t>
  </si>
  <si>
    <t>Preparaciones utilizadas en la elaboracion de medios de cultivo; intercambiadores de iones para el tratamiento de aguas; preparaciones a base de zeolitas artificiales</t>
  </si>
  <si>
    <t>Preparaciones utilizadas en la elaboracion de medios de cultivo</t>
  </si>
  <si>
    <t>Intercambiadores de iones para el tratamiento de aguas</t>
  </si>
  <si>
    <t>Preparaciones a base de zeolitas artificiales</t>
  </si>
  <si>
    <t>Compuestos absorbentes a base de metal para perfeccionar el vacio en los tubos o valvulas electricas</t>
  </si>
  <si>
    <t>Abonos foliares que contengan cinc o manganeso</t>
  </si>
  <si>
    <t>Preparaciones a base de oxido de aluminio y oxido de circonio. con un contenido de oxido de circonio superior o igual al 20 % en peso; preparacion de oxido de aluminio con oxido de lantano</t>
  </si>
  <si>
    <t>Productos y preparaciones a base de compuestos organicos. no expresados ni comprendidos en otra parte</t>
  </si>
  <si>
    <t>Preparaciones a base de anhidrido poliisobutenilsuccinico. en aceite mineral</t>
  </si>
  <si>
    <t>Halquinol; tetraclorohidroxiglicina de aluminio y zirconio</t>
  </si>
  <si>
    <t>Halquinol</t>
  </si>
  <si>
    <t>Tetraclorohidroxiglicina de aluminio y circonio</t>
  </si>
  <si>
    <t>Triisocianato de tiofosfato de fenilo o de trifenilmetano. en solucion de cloruro de metileno o de acetato de etilo; preparaciones a base de tetraacetiletilendiamina (TAED). en granulos</t>
  </si>
  <si>
    <t>Triisocianato de tiofosfato de fenilo o de trifenilmetano. en solucion de cloruro de metileno o de acetato de etilo</t>
  </si>
  <si>
    <t>Preparaciones a base de tetraacetiletilendiamina (TAED). en granulos</t>
  </si>
  <si>
    <t>Metilato de sodio en metanol</t>
  </si>
  <si>
    <t>Maneb; mancozeb; cloruro de benzalconio</t>
  </si>
  <si>
    <t>Maneb (R.2013/93 ex-ANA)</t>
  </si>
  <si>
    <t>Mancozeb</t>
  </si>
  <si>
    <t>Cloruro de benzalconio</t>
  </si>
  <si>
    <t>Dispersion acuosa de microcapsulas de poliuretano o de melamina-formaldehido que contienen un precursor de colorante en disolvente organico</t>
  </si>
  <si>
    <t>Mezclas constituidas esencialmente por los compuestos siguientes: alquilfosfonofluoridatos de O-alquilo (de hasta C10. incluidos los cicloalquilos). N.Ndialquilfosforoamidocianidatos de O-alquilo (de hasta C10. incluidos los cicloalquilos). hidrogenoalquilfosfonotioatos de [S-2-(dialquilamino)etilo]. sus esteres de O-alquilo (de hasta C10. incluidos los cicloalquilos) o sus sales alquiladas o protonadas. difluoruros de alquilfosfonilo. hidrogenoalquilfosfonitos de [O-2-(dialquilamino)etilo]. sus esteres de Oalquilo (de hasta C10. incluidos los cicloalquilos) o sus sales alquiladas o protonadas. dihalogenuros de N.N-dialquilfosforoamidicos. N.N-dialquilfosforoamidatos de dialquilo. N.N-dialquil-2-cloroetilaminas o sus sales protonadas. N.N-dialquil-2-aminoetanoles o sus sales protonadas. N.N-dialquilaminoetano-2-tioles o sus sales protonadas o por compuestos que contengan un atomo de fosforo unido a un grupo alquilo. sin otros atomos de carbono. (grupos alquilo de C1 a C3. excepto en los casos expresamente indicados)</t>
  </si>
  <si>
    <t>Constituidas principalmente de metilfosfonato de dimetilo. de oxirano y de pentoxido de difosforo</t>
  </si>
  <si>
    <t>Comabiset (R.2013/93 ex-ANA)</t>
  </si>
  <si>
    <t>Metiran (R.2013/93 ex-ANA)</t>
  </si>
  <si>
    <t>Propineb (R.2013/93 ex-ANA)</t>
  </si>
  <si>
    <t>Zineb (R.2013/93 ex-ANA)</t>
  </si>
  <si>
    <t>Antidotos de herbicidas (R.2013/93 ex-ANA)</t>
  </si>
  <si>
    <t>Que contengan monometildiclorodifenilmetano. monometiltetraclorodifenilmetano o monometildibromodifenilmetano (Ley 25.670 - PCBs)</t>
  </si>
  <si>
    <t>Nicotina. de administracion por via transdermica; cartuchos que contengan nicotina. de los tipos utilizados</t>
  </si>
  <si>
    <t>Nicotina. de administracion por via transdermica</t>
  </si>
  <si>
    <t>Cartuchos que contengan nicotina. de los tipos utilizados en sistemas electronicos de administracion de nicotina denominados cigarrillos electronicos</t>
  </si>
  <si>
    <t>Mezclas que contengan sustancias que agotan la capa de ozono (Dto 1609/2004)</t>
  </si>
  <si>
    <t>Glicerina etoxilada de peso molecular superior o igual a 601 pero inferior o igual a 647. con numero de hidroxilos superior o igual a 260 pero inferior o igual a 280.</t>
  </si>
  <si>
    <t>Productos residuales de la industria quimica o de las industrias conexas. no expresados ni comprendidos en otra parte; desechos y desperdicios municipales; lodos de depuracion; los demas desechos citados en la Nota 6 del presente Capitulo.</t>
  </si>
  <si>
    <t>- Desechos de disolventes organicos:</t>
  </si>
  <si>
    <t>- Los demas desechos de la industria quimica o de las industrias conexas:</t>
  </si>
  <si>
    <t>Materiales recuperados de pañales descartables (fibras de celulosa y poliacrilato de sodio. incluso con otras materias)</t>
  </si>
  <si>
    <t>Crudo amoniacal (R.2013/93 ex ANA)</t>
  </si>
  <si>
    <t>Biodiesel y sus mezclas. sin aceites de petroleo o de mineral bituminoso o con un contenido inferior al 70 % en peso de estos aceites.</t>
  </si>
  <si>
    <t>Biodiesel</t>
  </si>
  <si>
    <t>Mezclas con gas oil u otros productos gravados como componentes</t>
  </si>
  <si>
    <t>Mezclas con gas oil</t>
  </si>
  <si>
    <t>Polimeros de etileno en formas primarias.</t>
  </si>
  <si>
    <t>- Polietileno de densidad inferior a 0.94</t>
  </si>
  <si>
    <t>Lineal</t>
  </si>
  <si>
    <t>Con carga</t>
  </si>
  <si>
    <t>Sin carga</t>
  </si>
  <si>
    <t>Reticulado</t>
  </si>
  <si>
    <t>- Polietileno de densidad superior o igual a 0.94</t>
  </si>
  <si>
    <t>Vulcanizado. de densidad superior a 1.3</t>
  </si>
  <si>
    <t>En las formas previstas en la Nota 6 a) de este Capitulo</t>
  </si>
  <si>
    <t>-Copolimeros de etileno y alfa-oleofina de densidad inferior a 0.94</t>
  </si>
  <si>
    <t>Copolimeros de etileno y acido acrilico</t>
  </si>
  <si>
    <t>Copolimeros de etileno y monomeros con radicales carboxilicos. incluso con metacrilato de metilo o acrilato de metilo como tercer monomero</t>
  </si>
  <si>
    <t>Polietileno clorosulfonado</t>
  </si>
  <si>
    <t>Polietileno clorado</t>
  </si>
  <si>
    <t>Copolimeros de etileno-acido metacrilico con un contenido de etileno superior o igual al 60 %. en peso</t>
  </si>
  <si>
    <t>Copolimeros de etileno-propileno</t>
  </si>
  <si>
    <t>Polimeros de propileno o de otras olefinas. en formas primarias.</t>
  </si>
  <si>
    <t>Copolimeros con etileno</t>
  </si>
  <si>
    <t>Copolimeros con las demas olefinas</t>
  </si>
  <si>
    <t>Polimeros de estireno en formas primarias.</t>
  </si>
  <si>
    <t>- Poliestireno:</t>
  </si>
  <si>
    <t>En granulos</t>
  </si>
  <si>
    <t>En las formas previstas en la Nota 6 b) de este Capitulo</t>
  </si>
  <si>
    <t>Copolimeros de metacrilato de metilbutadieno- estireno (MBS)</t>
  </si>
  <si>
    <t>Copolimeros de acrilonitrilo-estireno-acrilato de butilo (ASA)</t>
  </si>
  <si>
    <t>Copolimeros de estireno-acrilico</t>
  </si>
  <si>
    <t>Copolimeros de estireno-butadieno con un contenido de estireno superior o igual a 60 % pero inferior o igual a 85 % en peso</t>
  </si>
  <si>
    <t>Polimeros de cloruro de vinilo o de otras olefinas halogenadas. en formas primarias.</t>
  </si>
  <si>
    <t>Obtenido por proceso de suspension</t>
  </si>
  <si>
    <t>Obtenido por proceso de emulsion</t>
  </si>
  <si>
    <t>- Los demas poli(cloruro de vinilo):</t>
  </si>
  <si>
    <t>Con acetato de vinilo. con un acido dibasico o alcohol vinilico. en las formas previstas en la Nota 6 b) de este Capitulo</t>
  </si>
  <si>
    <t>Copolimeros de cloruro de vinilideno. sin emulsionante ni plastificante</t>
  </si>
  <si>
    <t>- Polimeros fluorados:</t>
  </si>
  <si>
    <t>Copolimeros de fluoruro de vinilideno y hexa- fluoropropileno</t>
  </si>
  <si>
    <t>Polimeros de cloro-trifluoroetileno</t>
  </si>
  <si>
    <t>Polimeros de fluoruro de vinilideno</t>
  </si>
  <si>
    <t>Poli(cloruro de vinilo) clorado</t>
  </si>
  <si>
    <t>Polimeros de acetato de vinilo o de otros esteres vinilicos. en formas primarias; los demas polimeros vinilicos en formas primarias.</t>
  </si>
  <si>
    <t>- Poli(acetato de vinilo):</t>
  </si>
  <si>
    <t>Con grupos alcohol vinilico. en las formas previstas en la Nota 6 b) de este Capitulo</t>
  </si>
  <si>
    <t>- Copolimeros de acetato de vinilo:</t>
  </si>
  <si>
    <t>-Poli(alcohol vinilico). incluso con grupos acetato sin hidrolizar</t>
  </si>
  <si>
    <t>De vinilpirrolidona y acetato de vinilo. en solucion alcoholica</t>
  </si>
  <si>
    <t>Poli(vinilformal)</t>
  </si>
  <si>
    <t>Poli(vinilbutiral)</t>
  </si>
  <si>
    <t>Poli(vinilpirrolidona) iodada</t>
  </si>
  <si>
    <t>Poli(vinilpirrolidona)(PVP)</t>
  </si>
  <si>
    <t>Polimeros acrilicos en formas primarias.</t>
  </si>
  <si>
    <t>En las formas previstas en la Nota 6 a) de este Capitulo. en agua</t>
  </si>
  <si>
    <t>Poli(acido acrilico) y sus sales</t>
  </si>
  <si>
    <t>Sal sodica del poli(acido acrilamidico). soluble en agua</t>
  </si>
  <si>
    <t>Poli(acido metacrilico) y sus sales</t>
  </si>
  <si>
    <t>Poliacrilato de alquilo en emulsion</t>
  </si>
  <si>
    <t>En las formas previstas en la Nota 6 a) de este Capitulo. en disolventes organicos</t>
  </si>
  <si>
    <t>Copolimero de metacrilato de 2-diisopropilaminoetilo y metacrilato de n-decilo. en suspension de dimetilacetamida</t>
  </si>
  <si>
    <t>En las formas previstas en la Nota 6 a) de este Capitulo. en otros disolventes o sin disolventes</t>
  </si>
  <si>
    <t>Carboxipolimetileno. en polvo</t>
  </si>
  <si>
    <t>Poli(acrilato de sodio). con capacidad de absorcion de una solucion acuosa de cloruro de sodio al 0.9 % en peso. superior o igual a 20 veces su propio peso</t>
  </si>
  <si>
    <t>Copolimero de poli(acrilato de potasio) y poli(acrilamida). con capacidad de absorcion de agua destilada de cuatrocientas veces su propio peso</t>
  </si>
  <si>
    <t>Copolimeros de acrilato de metilo-etileno con un contenido de acrilato de metilo superior o igual al 50 %. en peso</t>
  </si>
  <si>
    <t>Copolimero de acrilato de etilo. acrilato de n-butilo y acrilato de 2-metoxietilo</t>
  </si>
  <si>
    <t>Copolimero de acrilato de potasio y acido acrilico. con capacidad de absorcion de agua destilada de hasta cuatrocientas veces su propio peso</t>
  </si>
  <si>
    <t>Polimeros de acrilonitrilo y sus copolimeros</t>
  </si>
  <si>
    <t>Poliacetales. los demas polieteres y resinas epoxi. en formas primarias; policarbonatos. resinas alcidicas. poliesteres alilicos y demas poliesteres. en formas primarias.</t>
  </si>
  <si>
    <t>Con carga. en las formas previstas en la Nota 6 a) de este Capitulo</t>
  </si>
  <si>
    <t>Con carga. en las formas previstas en la Nota 6 b) de este Capitulo</t>
  </si>
  <si>
    <t>Sin carga. en las formas previstas en la Nota 6 a) de este Capitulo</t>
  </si>
  <si>
    <t>Polidextrosa</t>
  </si>
  <si>
    <t>Sin carga. en las formas previstas en la Nota 6 b) de este Capitulo. sin estabilizar</t>
  </si>
  <si>
    <t>Los demas. en polvo que pase por un tamiz con abertura de malla de 0.85 mm en proporcion superior al 80 % en peso</t>
  </si>
  <si>
    <t>En granulos. con diametro de particula superior a 2 mm. segun norma ASTM E 11-70</t>
  </si>
  <si>
    <t>Poli(oxido de fenileno). incluso modificado con estireno o estireno-acrilonitrilo</t>
  </si>
  <si>
    <t>Politetrametilenoeterglicol</t>
  </si>
  <si>
    <t>Polieterpolioles</t>
  </si>
  <si>
    <t>Polietilenglicol 400</t>
  </si>
  <si>
    <t>Los demas polietilenglicoles</t>
  </si>
  <si>
    <t>Polietilenglicol de peso molecular superior a 400 pero inferior o igual a 800</t>
  </si>
  <si>
    <t>Polietilenglicol de peso molecular superior a 800 pero inferior o igual a 1200</t>
  </si>
  <si>
    <t>De peso molecular superior o igual a 2900 pero inferior o igual a 3500. con numero de hidroxilos superior o igual a 47 pero inferior o igual a 58. de viscosidad superior o igual a 400 cST pero inferior o igual a 600 cST a 25ro C y color maximo 35 APHA</t>
  </si>
  <si>
    <t>Polipropilenglicoles</t>
  </si>
  <si>
    <t>De peso molecular superior o igual a 2900 pero inferior o igual a 3500. con numero de hidroxilos supeior o igual a 47 pero inferior o igual a 58. de viscosidad superior o igual a 400 cST pero inferior o igual a 600 cST a 25ro C y color maximo 35 APHA</t>
  </si>
  <si>
    <t>Copolimero compuesto por unidades monomericas de oxipropileno y oxietileno</t>
  </si>
  <si>
    <t>Poli(epiclorhidrina) (PECH) y sus copolimeros</t>
  </si>
  <si>
    <t>Poli(epiclorhidrina)</t>
  </si>
  <si>
    <t>Copolimeros de oxido de etileno</t>
  </si>
  <si>
    <t>De los tipos utilizados para revestimiento de superficies</t>
  </si>
  <si>
    <t>Copolimero de tetrabromo-bisfenol A y epiclorhidrina (resina epoxibromada)</t>
  </si>
  <si>
    <t>Las demas. en las formas previstas en la Nota 6 a) de este Capitulo</t>
  </si>
  <si>
    <t>En las formas previstas en la Nota 6 b) de este Capitulo. con transmision de luz de longitud de onda de 550 nm u 800 nm superior al 89 % segun Norma ASTM D 1003-00 e indice de fluidez de masa superior o igual a 60 g/10 min pero inferior o igual a 80 g/10 min segun Norma ASTM D 1238</t>
  </si>
  <si>
    <t>- Poli(tereftalato de etileno):</t>
  </si>
  <si>
    <t>- - Con un indice de viscosidad superior o igual a 78 ml/g</t>
  </si>
  <si>
    <t>Con un indice de viscosidad superior o igual a 78 ml/g pero inferior o igual a 101 ml/g.</t>
  </si>
  <si>
    <t>En las formas previstas en la Nota 6 b) de este Capitulo.</t>
  </si>
  <si>
    <t>- Los demas poliesteres:</t>
  </si>
  <si>
    <t>Esteres polialilicos</t>
  </si>
  <si>
    <t>Resinas alcidicas sin aceite</t>
  </si>
  <si>
    <t>Poli(tereftalato de butileno)</t>
  </si>
  <si>
    <t>Con carga de fibra de vidrio</t>
  </si>
  <si>
    <t>Los demas. en las formas previstas en la Nota 6 a) de este Capitulo</t>
  </si>
  <si>
    <t>Poli(epsilon caprolactona)</t>
  </si>
  <si>
    <t>Copolimero de tereftalato de dimetilo. ciclohexanodimetanol y acido isoftalico</t>
  </si>
  <si>
    <t>Copolimero de tereftalato de dimetilo. ciclohexanodimetanol y tetrametil ciclobutanodiol</t>
  </si>
  <si>
    <t>Copolimero de tereftalato de dimetilo. ciclohexanodimetanol y etilenglicol</t>
  </si>
  <si>
    <t>De los tipos utilizados para revestimiento de superficies. en polvo</t>
  </si>
  <si>
    <t>De resinas poliester unicamente</t>
  </si>
  <si>
    <t>De resinas poliester y epoxi</t>
  </si>
  <si>
    <t>Poliamidas en formas primarias.</t>
  </si>
  <si>
    <t>- Poliamidas -6. -11. -12. -6.6. -6.9. -6.10 o -6.12</t>
  </si>
  <si>
    <t>Poliamida-11</t>
  </si>
  <si>
    <t>Poliamida-12</t>
  </si>
  <si>
    <t>Poliamida-6 o poliamida-6.6. con carga</t>
  </si>
  <si>
    <t>Poliamida-6 o poliamida-6.6. sin carga</t>
  </si>
  <si>
    <t>Poliamida 6-9</t>
  </si>
  <si>
    <t>Poliamida 6-10</t>
  </si>
  <si>
    <t>Poliamida 6-12</t>
  </si>
  <si>
    <t>Poliamida-6</t>
  </si>
  <si>
    <t>Poliamida-6.6</t>
  </si>
  <si>
    <t>Copolimero de lauril-lactama</t>
  </si>
  <si>
    <t>Obtenidas por condensacion de acidos grasos dimerizados o trimerizados con etilenaminas</t>
  </si>
  <si>
    <t>Resinas aminicas. resinas fenolicas y poliuretanos. en formas primarias.</t>
  </si>
  <si>
    <t>Ureicas</t>
  </si>
  <si>
    <t>Tioureicas</t>
  </si>
  <si>
    <t>Melamina-formaldehido. en polvo</t>
  </si>
  <si>
    <t>- Las demas resinas aminicas:</t>
  </si>
  <si>
    <t>Liposolubles. puras o modificadas</t>
  </si>
  <si>
    <t>Fenol-formaldehido</t>
  </si>
  <si>
    <t>Soluciones en disolventes organicos</t>
  </si>
  <si>
    <t>En dispersion acuosa</t>
  </si>
  <si>
    <t>Hidroxilados. con propiedades adhesivas</t>
  </si>
  <si>
    <t>Siliconas en formas primarias.</t>
  </si>
  <si>
    <t>Aceites</t>
  </si>
  <si>
    <t>Mezclas de prepolimeros lineales y ciclicos obtenidos por hidrolisis de dimetildiclorosilano. de peso molecular medio inferior o igual a 8.800</t>
  </si>
  <si>
    <t>Polidimetilsiloxano. polimetilhidrogenosiloxano o mezclas de estos productos. en dispersion</t>
  </si>
  <si>
    <t>Copolimeros de dimetilsiloxano con compuestos vinilicos. de viscosidad superior o igual a 1.000.000 cSt</t>
  </si>
  <si>
    <t>Elastomeros</t>
  </si>
  <si>
    <t>De vulcanizacion en caliente</t>
  </si>
  <si>
    <t>Resinas</t>
  </si>
  <si>
    <t>Resinas de petroleo. resinas de cumarona-indeno. politerpenos. polisulfuros. polisulfonas y demas productos previstos en la Nota 3 de este Capitulo. no expresados ni comprendidos en otra parte. en formas primarias.</t>
  </si>
  <si>
    <t>Resinas de petroleo</t>
  </si>
  <si>
    <t>Resinas de cumarona</t>
  </si>
  <si>
    <t>Resinas de indeno</t>
  </si>
  <si>
    <t>Resinas de cumarona-indeno</t>
  </si>
  <si>
    <t>Resinas de politerpenos</t>
  </si>
  <si>
    <t>Resinas de petroleo. parcial o totalmente hidrogenadas. de Color Gardner inferior a 3</t>
  </si>
  <si>
    <t>Politerpenos modificados quimicamente. excepto con fenoles</t>
  </si>
  <si>
    <t>Polieterimidas (PEI) y sus copolimeros</t>
  </si>
  <si>
    <t>Polietersulfonas (PES) y sus copolimeros</t>
  </si>
  <si>
    <t>Poli (sulfuro de fenileno)</t>
  </si>
  <si>
    <t>Polisulfonas</t>
  </si>
  <si>
    <t>Poliimidas</t>
  </si>
  <si>
    <t>Poli(sulfuro de fenileno)</t>
  </si>
  <si>
    <t>Polietilenaminas (R.469/97 MEOSP)</t>
  </si>
  <si>
    <t>Cloruro de hexadimetrina</t>
  </si>
  <si>
    <t>Cetonas polivinilicas</t>
  </si>
  <si>
    <t>Celulosa y sus derivados quimicos. no expresados ni comprendidos en otra parte. en formas primarias.</t>
  </si>
  <si>
    <t>- Acetatos de celulosa:</t>
  </si>
  <si>
    <t>Nitrocelulosa totalmente disuelta y la modificada en forma de pasta o gelatina. no apta para ser empleada como explosivo. que al ser encendida estando confinada no explota y cuya sensibilidad de golpe o friccion no sea mayor que la de dinitrobenceno (R. 3115/94 ex-ANA)</t>
  </si>
  <si>
    <t>En alcohol. con un contenido de no volatiles superior o igual al 65 % en peso</t>
  </si>
  <si>
    <t>Nitrocelulosa totalmente disuelta y la modificada en forma de pasta o gelatina. no apta para ser empleada como explosivo. que al ser encendida estando confinada no explota y cuya sensibilidad de golpe o friccion no sea mayor que la del dinitrobenceno (R. 3115/94 ex-ANA)</t>
  </si>
  <si>
    <t>Nitrocelulosa totalmente disuelta y la modificada en forma de pasta o gelatina. no apta para ser empleada como explosivo. que al ser encendida estando confinada no explota y cuya sensibilidad de golpe o friccion no sea mayor que la de dinitrobenceno</t>
  </si>
  <si>
    <t>Los demas (R.3115/94 ex-ANA)</t>
  </si>
  <si>
    <t>- Ã‰teres de celulosa:</t>
  </si>
  <si>
    <t>Carboximetilcelulosa</t>
  </si>
  <si>
    <t>Con un contenido de carboximetilcelulosa superior o igual al 75 % en peso</t>
  </si>
  <si>
    <t>Con un contenido de sales superior o igual al 75 % en peso</t>
  </si>
  <si>
    <t>Metil-. etil- y propilcelulosa. hidroxiladas</t>
  </si>
  <si>
    <t>Metil-celulosa hidroxilada</t>
  </si>
  <si>
    <t>Etil-celulosa hidroxilada</t>
  </si>
  <si>
    <t>Propil-celulosa hidroxilada</t>
  </si>
  <si>
    <t>Otras metilcelulosas</t>
  </si>
  <si>
    <t>Otras etilcelulosas</t>
  </si>
  <si>
    <t>Propionato de celulosa</t>
  </si>
  <si>
    <t>Acetobutanoato de celulosa</t>
  </si>
  <si>
    <t>Celulosa microcristalina</t>
  </si>
  <si>
    <t>Celulosa microcristalina con un contenido inferior o igual a 20 % de carboximetilcelulosa sodica</t>
  </si>
  <si>
    <t>Otras celulosas. en polvo</t>
  </si>
  <si>
    <t>Polimeros naturales (por ejemplo. acido alginico) y polimeros naturales modificados (por ejemplo: proteinas endurecidas. derivados quimicos del caucho natural). no expresados ni comprendidos en otra parte. en formas primarias.</t>
  </si>
  <si>
    <t>acido alginico</t>
  </si>
  <si>
    <t>De polialcoholes</t>
  </si>
  <si>
    <t>Derivados quimicos del caucho natural</t>
  </si>
  <si>
    <t>Caucho clorado o clorhidratado. en las formas previstas en la Nota 6 b) de este Capitulo</t>
  </si>
  <si>
    <t>Caucho clorado. en otras formas</t>
  </si>
  <si>
    <t>Caucho oxidado</t>
  </si>
  <si>
    <t>Caucho ciclado</t>
  </si>
  <si>
    <t>Goma xantana</t>
  </si>
  <si>
    <t>Dextrano</t>
  </si>
  <si>
    <t>Proteinas endurecidas</t>
  </si>
  <si>
    <t>Que contengan colageno (R.2012/93 ex-ANA)</t>
  </si>
  <si>
    <t>Quitosan ("Chitosan"). sus sales o sus derivados</t>
  </si>
  <si>
    <t>Sulfato de condroitina y sus sales</t>
  </si>
  <si>
    <t>Intercambiadores de iones a base de polimeros de las partidas 39.01 a 39.13. en formas primarias.</t>
  </si>
  <si>
    <t>De poliestireno y sus copolimeros</t>
  </si>
  <si>
    <t>De copolimeros de estireno-divinilbenceno. sulfonados</t>
  </si>
  <si>
    <t>Polimeros acrilicos</t>
  </si>
  <si>
    <t>Polimeros fenolicos modificados quimicamente</t>
  </si>
  <si>
    <t>Desechos. desperdicios y recortes. de plastico.</t>
  </si>
  <si>
    <t>De tereftalato de polietilenglicol</t>
  </si>
  <si>
    <t>De polimeros acrilicos</t>
  </si>
  <si>
    <t>Monofilamentos cuya mayor dimension del corte transversal sea superior a 1 mm. barras. varillas y perfiles. incluso trabajados en la superficie pero sin otra labor. de plastico.</t>
  </si>
  <si>
    <t>Monofilamentos</t>
  </si>
  <si>
    <t>Barras. varillas y perfiles</t>
  </si>
  <si>
    <t>Perfiles. de los tipos utilizados en la fabricacion de aberturas o cerramientos</t>
  </si>
  <si>
    <t>De poliestireno</t>
  </si>
  <si>
    <t>Tubos y accesorios de tuberia (por ejemplo: juntas. codos. empalmes (racores)). de plastico.</t>
  </si>
  <si>
    <t>De proteinas endurecidas</t>
  </si>
  <si>
    <t>De plasticos celulosicos</t>
  </si>
  <si>
    <t>Fibrosas. de celulosa regenerada. de diametro superior o igual a 150 mm</t>
  </si>
  <si>
    <t>- Tubos rigidos:</t>
  </si>
  <si>
    <t>Aptos para estar en contacto con alimentos</t>
  </si>
  <si>
    <t>Cortados en dimensiones finales para uso en productos englobados por el acuerdo ALADI/AAP.CE/14.44 Apendice I</t>
  </si>
  <si>
    <t>De resinas fenolicas</t>
  </si>
  <si>
    <t>- Los demas tubos:</t>
  </si>
  <si>
    <t>--Tubos flexibles para una presion superior o igual a 27.6 MPa</t>
  </si>
  <si>
    <t>De copolimeros de etileno</t>
  </si>
  <si>
    <t>Cortados en dimensiones apropiadas como piezas de vehiculos automoviles.</t>
  </si>
  <si>
    <t>Tubos capilares. semipermeables. aptos para hemodialisis o para oxigenacion sanguinea</t>
  </si>
  <si>
    <t>De poli(tereftalato de etileno)</t>
  </si>
  <si>
    <t>De celulosa regenerada</t>
  </si>
  <si>
    <t>Tubos capilares. semipermeables. aptos para hemodialisis</t>
  </si>
  <si>
    <t>De poli(cloruro de vinilo)</t>
  </si>
  <si>
    <t>De polimeros de etileno</t>
  </si>
  <si>
    <t>Cortados o conformados en las dimensiones finales para utilizacion en vehiculos o autopartes.</t>
  </si>
  <si>
    <t>De polimeros de propileno</t>
  </si>
  <si>
    <t>Cortados o conformados en las dimensiones finales para utilizacion en vehiculos o autopartes</t>
  </si>
  <si>
    <t>De poliesteres</t>
  </si>
  <si>
    <t>Cortados o conformados en las dimensiones finales para utilizacion en vehiulos o autopartes</t>
  </si>
  <si>
    <t>Los demas reforzados o combinados con otras materias</t>
  </si>
  <si>
    <t>Con materias textiles</t>
  </si>
  <si>
    <t>Con metales</t>
  </si>
  <si>
    <t>Con fibra de vidrio</t>
  </si>
  <si>
    <t>De los tipos utilizados en lineas de sangre para hemodialisis</t>
  </si>
  <si>
    <t>Codos</t>
  </si>
  <si>
    <t>Juntas</t>
  </si>
  <si>
    <t>De los tipos utilizados en vehiculos automoviles</t>
  </si>
  <si>
    <t>De los tipos utilizados en vehiculos automoviles.</t>
  </si>
  <si>
    <t>Revestimientos de plastico para suelos. incluso autoadhesivos. en rollos o losetas; revestimientos de plastico para paredes o techos. definidos en la Nota 9 de este Capitulo.</t>
  </si>
  <si>
    <t>Para suelos. excepto los englobados por el acuerdo ALADI/AAP.CE/14.44 Apendice I</t>
  </si>
  <si>
    <t>Losetas</t>
  </si>
  <si>
    <t>Rollos</t>
  </si>
  <si>
    <t>Para paredes o techos. excepto los englobados por el acuerdo ALADI/AAP.CE/14.44 Apendice I</t>
  </si>
  <si>
    <t>Para suelos</t>
  </si>
  <si>
    <t>Para paredes o techos</t>
  </si>
  <si>
    <t>Placas. laminas. hojas. cintas. tiras y demas formas planas. autoadhesivas. de plastico. incluso en rollos.</t>
  </si>
  <si>
    <t>- En rollos de anchura inferior o igual a 20 cm</t>
  </si>
  <si>
    <t>Impresas</t>
  </si>
  <si>
    <t>De los tipos utilizados para la fabricacion de tiras para diagnostico de COVID19</t>
  </si>
  <si>
    <t>Cintas de embalaje. sin soporte de despegue descartable</t>
  </si>
  <si>
    <t>De anchura superior o igual a 5 cm pero inferior o igual a 20 cm. con revestimiento anticorrosivo</t>
  </si>
  <si>
    <t>De anchura superior o igual a 5 cm pero inferior o igual a 20 cm. con revestimiento anticorrosivo.</t>
  </si>
  <si>
    <t>De acetato de celulosa</t>
  </si>
  <si>
    <t>De poliuretanos</t>
  </si>
  <si>
    <t>De polimeros fluorados</t>
  </si>
  <si>
    <t>Sin imprimir. en rollos o en hojas de forma cuadrada o rectangular.</t>
  </si>
  <si>
    <t>En rollos</t>
  </si>
  <si>
    <t>Cortadas en dimensiones apropiadas como piezas de vehiculos automoviles</t>
  </si>
  <si>
    <t>Sin imprimir. en rollos o en hojas de forma cuadrada o rectangular</t>
  </si>
  <si>
    <t>En rollos de anchura superior o igual a 105 cm y de largo inferior o igual a 50 m. con un peso superior a 239 g/m2</t>
  </si>
  <si>
    <t>De los tipos utilizados para la fabricacion de tiras para diagnostico de COVID-19</t>
  </si>
  <si>
    <t>En rollos de anchura superior a 20 cm pero inferior o igual a 120 cm. con revestimiento anticorrosivo</t>
  </si>
  <si>
    <t>Las demas. cortadas en dimensiones apropiadas como piezas de vehiculos automoviles</t>
  </si>
  <si>
    <t>Las demas. alcanzadas por la Res. 163/2005 SCT</t>
  </si>
  <si>
    <t>Las demas. sin imprimir. en rollos o en hojas de forma cuadrada o rectangular</t>
  </si>
  <si>
    <t>Las demas placas. laminas. hojas y tiras. de plastico no celular y sin refuerzo. estratificacion ni soporte o combinacion similar con otras materias.</t>
  </si>
  <si>
    <t>De densidad superior o igual a 0.94. espesor inferior o igual a 19 micrometros. en rollos de anchura inferior o igual a 66 cm</t>
  </si>
  <si>
    <t>De densidad inferior a 0.94. con aceite de parafina y carga (silice y negro de humo). presentando nervaduras paralelas entre si. con una resistencia electrica superior o igual a 0.030 ohms.cm2 pero inferior o igual a 0.120 ohms.cm2. en rollos. de los tipos utilizados para la fabricacion de separadores de acumuladores electricos</t>
  </si>
  <si>
    <t>De polietileno. exclusivamente. sin metalizar</t>
  </si>
  <si>
    <t>Estratificadas exclusivamente con polipropileno biaxialmente orientado. sin metalizar</t>
  </si>
  <si>
    <t>Estratificadas exclusivamente con polipropileno monoaxialmente orientado. sin metalizar</t>
  </si>
  <si>
    <t>Estratificadas exclusivamente con poliesteres</t>
  </si>
  <si>
    <t>Metalizadas</t>
  </si>
  <si>
    <t>Estratificadas exclusivamente con poliesteres y policloruro de vinilideno. sin metalizar</t>
  </si>
  <si>
    <t>Estratificadas exclusivamente con poliamidas. sin metalizar</t>
  </si>
  <si>
    <t>Estratificadas exclusivamente con poli(cloruro de vinilo). sin metalizar</t>
  </si>
  <si>
    <t>Estratificadas exclusivamente con poli(alcohol vinilico). sin metalizar</t>
  </si>
  <si>
    <t>Estratificadas exclusivamente con celulosa regenerada. sin metalizar</t>
  </si>
  <si>
    <t>Estratificadas exclusivamente con poliester y policloruro de vinilideno. sin metalizar</t>
  </si>
  <si>
    <t>Biaxialmente orientados</t>
  </si>
  <si>
    <t>De anchura inferior o igual a 12.5 cm y espesor inferior o igual a 10 micrometros. metalizadas</t>
  </si>
  <si>
    <t>De anchura inferior o igual a 50 cm y espesor inferior o igual a 25 micrometros. con una o ambas caras rugosas de rugosidad relativa (relacion entre el espesor medio y el maximo) superior o igual al 6 %. de rigidez dielectrica superior o igual a 500 V/micrometro (Norma ASTM D 3755-97). en rollos</t>
  </si>
  <si>
    <t>De polipropileno biaxialmente orientado exclusivamente</t>
  </si>
  <si>
    <t>Estratificadas exclusivamente con polietileno y polipropileno monoaxialmente orientado. sin metalizar</t>
  </si>
  <si>
    <t>De espesor superior a 10 micrones. transparentes</t>
  </si>
  <si>
    <t>De espesor superior a 10 micrones. opacas o translucidas</t>
  </si>
  <si>
    <t>De espesor superior a 10 micrones. metalizadas</t>
  </si>
  <si>
    <t>Las demas.</t>
  </si>
  <si>
    <t>Estratificadas con poliesteres. exclusivamente</t>
  </si>
  <si>
    <t>De polipropileno monoaxialmente orientado estratificadas exclusivamente con polipropileno biaxialmente orientado. sin metalizar</t>
  </si>
  <si>
    <t>De polipropileno monoaxialmente orientado estratificadas exclusivamente con poliamidas. sin metalizar</t>
  </si>
  <si>
    <t>De polipropileno monoaxialmente orientado estratificadas exclusivamente con poli(alcohol vinilico). sin metalizar</t>
  </si>
  <si>
    <t>De polipropileno monoaxialmente orientado. estratificadas exclusivamente con poli(cloruro de vinilo). sin metalizar</t>
  </si>
  <si>
    <t>De polipropileno monoaxialmente orientado estratificadas exclusivamente con poliesteres. metalizadas</t>
  </si>
  <si>
    <t>De polipropileno monoaxialmente orientado estratificadas exclusivamente con poliesteres y policloruro de vinilideno. sin metalizar</t>
  </si>
  <si>
    <t>De polipropileno monoaxialmente orientado. estratificadas con polipropileno biaxialmente orientado exclusivamente. sin metalizar</t>
  </si>
  <si>
    <t>De polipropileno monoaxialmente orientado. estratificadas exclusivamente con poliamidas. sin metalizar</t>
  </si>
  <si>
    <t>De polipropileno monoaxialmente orientado. estratificadas exclusivamente con polialcohol vinilico. sin metalizar</t>
  </si>
  <si>
    <t>De polipropileno monoaxialmente orientado. estratificadas con policloruro de vinilo exclusivamente. sin metalizar</t>
  </si>
  <si>
    <t>De polipropileno monoaxialmente orientado. estratificadas exclusivamente con poliesteres. metalizadas</t>
  </si>
  <si>
    <t>De polipropileno monoaxialmente orientado. estratificadas exclusivamente con poliesteres y policloruro de vinilideno. sin metalizar</t>
  </si>
  <si>
    <t>De polipropileno monoaxialmente orientado. de espesor superior o igual a 17 micrones pero inferior o igual a 110 micrones. con tratamiento superficial en una de sus caras y una tension de humectacion superior a 36 dinas/cm (Norma ASTM D-2578-94)</t>
  </si>
  <si>
    <t>De poliestireno exclusivamente. de espesor superior o igual a 100 micrones. excepto las cortados en dimensiones finales para uso en productos englobados por el acuerdo ALADI/AAP.CE/14.44 Apendice I</t>
  </si>
  <si>
    <t>De polimeros de estireno modificado con estireno-butadieno. de espesor superior o igual a 100 micrones. excepto las cortadas en dimensiones finales para uso en productos englobados por el acuerdo ALADI/AAP.CE/14.44 Apendice I</t>
  </si>
  <si>
    <t>De polimeros de estireno estratificadas exclusivamente con poli(alcohol vinilico) y poliamidas. de espesor superior o igual a 250 micrones. excepto las cortadas en dimensiones finales para uso en productos englobados por el acuerdo ALADI/AAP.CE/14.44 Apendice I</t>
  </si>
  <si>
    <t>De polimeros de estireno estratificadas exclusivamente con politereftalato etilenglicol. de espesor superior o igual a 250 micrones. excepto las cortadas en dimensiones finales para uso en productos englobados por el acuerdo ALADI/AAP.CE/14.44 Apendice I</t>
  </si>
  <si>
    <t>De polimeros de estireno estratificadas exclusivamente con polietileno. de espesor superior o igual a 250 micrones. excepto las cortadas en dimensiones finales para uso en productos englobados por el acuerdo ALADI/AAP.CE/14.44 Apendice I</t>
  </si>
  <si>
    <t>De copolimeros de acrilonitrilo-estireno (ABS). excepto las cortadas en dimensiones finales para uso en productos englobados por el acuerdo ALADI/AAP.CE/14.44 Apendice I</t>
  </si>
  <si>
    <t>Estratificadas con polimetacrilato de metilo</t>
  </si>
  <si>
    <t>Estratificadas con acrilonitrilo-estireno -ester acrilico (ASA)</t>
  </si>
  <si>
    <t>- De polimeros de cloruro de vinilo:</t>
  </si>
  <si>
    <t>- - Con un contenido de plastificantes superior o igual al 6 % en peso</t>
  </si>
  <si>
    <t>De poli(cloruro de vinilo) transparentes. termocontraibles. de espesor inferior o igual a 250 micrometros</t>
  </si>
  <si>
    <t>De espesor inferior o igual a 80 micrones</t>
  </si>
  <si>
    <t>De espesor inferior o igual a 20 micrones</t>
  </si>
  <si>
    <t>De espesor superior a 20 micrones</t>
  </si>
  <si>
    <t>De espesor superior a 80 micrones pero inferior o igual a 250 micrones</t>
  </si>
  <si>
    <t>De espesor superior a 250 micrones pero inferior o igual a 600 micrones</t>
  </si>
  <si>
    <t>De espesor superior a 600 micrones</t>
  </si>
  <si>
    <t>De poli(cloruro de vinilo). exclusivamente</t>
  </si>
  <si>
    <t>De espesor inferior o igual a 100 micrones. metalizadas</t>
  </si>
  <si>
    <t>De espesor superior a 100 micrones pero inferior o igual a 400 micrones. metalizadas</t>
  </si>
  <si>
    <t>De espesor superior a 400 micrones pero inferior o igual a 800 micrones. metalizadas</t>
  </si>
  <si>
    <t>Las demas. metalizadas</t>
  </si>
  <si>
    <t>Las demas. de espesor inferior o igual a 100 micrones</t>
  </si>
  <si>
    <t>Las demas. de espesor superior a 100 micrones pero inferior o igual a 400 micrones</t>
  </si>
  <si>
    <t>Las demas. de espesor superior a 400 micrones pero inferior o igual a 800 micrones</t>
  </si>
  <si>
    <t>De poli(cloruro de vinilo) estratificadas exclusivamente con polietileno. sin metalizar</t>
  </si>
  <si>
    <t>De espesor inferior o igual a 100 micrones</t>
  </si>
  <si>
    <t>De espesor superior a 100 micrones pero inferior o igual a 400 micrones</t>
  </si>
  <si>
    <t>De espesor superior a 400 micrones pero inferior o igual a 800 micrones</t>
  </si>
  <si>
    <t>De poli(cloruro de vinilo) estratificadas exclusivamente con polipropileno monoaxialmente orientado. sin metalizar</t>
  </si>
  <si>
    <t>- De polimeros acrilicos:</t>
  </si>
  <si>
    <t>De poli(metacrilato de metilo) exclusivamente. metalizadas</t>
  </si>
  <si>
    <t>De espesor superior o igual a 25 mm pero inferior o igual a 39 mm</t>
  </si>
  <si>
    <t>De espesor superior a 39 mm pero inferior o igual a 65 mm</t>
  </si>
  <si>
    <t>De espesor superior a 65 mm pero inferior o igual a 85 mm</t>
  </si>
  <si>
    <t>De espesor superior a 85 mm pero inferior o igual a 105 mm</t>
  </si>
  <si>
    <t>De espesor superior a 105 mm pero inferior o igual a 130 mm</t>
  </si>
  <si>
    <t>Las demas de poli (metacrilato de metilo) exclusivamente</t>
  </si>
  <si>
    <t>De espesor superior o igual a DOS MILÃMETROS (2 mm) pero inferior o igual a DOSCIENTOS MILÃMETROS (200 mm). incluso presentadas con laminas de proteccion descartables en una o en ambas caras</t>
  </si>
  <si>
    <t>- De policarbonatos. resinas alcidicas. poliesteres alilicos o demas poliesteres:</t>
  </si>
  <si>
    <t>Compactas planas</t>
  </si>
  <si>
    <t>Exclusivamente de policarbonato. sin estratificar</t>
  </si>
  <si>
    <t>De espesor superior o igual a 1mm pero inferior o igual a 2mm</t>
  </si>
  <si>
    <t>De espesor superior a 2mm pero inferior o igual a 4mm</t>
  </si>
  <si>
    <t>De espesor superior a 4mm pero inferior o igual a 6mm</t>
  </si>
  <si>
    <t>De espesor superior a 6mm pero inferior o igual a 8mm</t>
  </si>
  <si>
    <t>De espesor superior a 8mm pero inferior o igual a 10mm</t>
  </si>
  <si>
    <t>De espesor superior a 10mm pero inferior o igual a 12mm</t>
  </si>
  <si>
    <t>Exclusivamente de policarbonato. estratificadas</t>
  </si>
  <si>
    <t>De espesor superior o igual a 20mm pero inferior o igual a 27mm</t>
  </si>
  <si>
    <t>De espesor superior a 27mm pero inferior o igual a 34mm</t>
  </si>
  <si>
    <t>Estratificadas exclusivamente con poliesteres. sin metalizar</t>
  </si>
  <si>
    <t>De espesor superior o igual a 3mm pero inferior o igual a 4.5mm</t>
  </si>
  <si>
    <t>De espesor superior a 4.5mm pero inferior o igual a 6mm</t>
  </si>
  <si>
    <t>De espesor superior a 6mm pero inferior o igual a 9.5mm</t>
  </si>
  <si>
    <t>De espesor superior a 9.5mm pero inferior o igual a 12.7mm</t>
  </si>
  <si>
    <t>Estratificadas exclusivamente con poliesteres. metalizadas</t>
  </si>
  <si>
    <t>De espesor superior o igual a 2mm pero inferior o igual a 3mm</t>
  </si>
  <si>
    <t>De espesor superior 3mm pero inferior o igual a 4.5mm</t>
  </si>
  <si>
    <t>Compactas onduladas</t>
  </si>
  <si>
    <t>De espesor superior o igual a 0.8mm pero inferior o igual a 1mm</t>
  </si>
  <si>
    <t>De espesor superior a 1mm pero inferior o igual a 1.2mm</t>
  </si>
  <si>
    <t>De espesor superior a 1.2mm pero inferior o igual a 1.5mm</t>
  </si>
  <si>
    <t>Alveolares de dos capas</t>
  </si>
  <si>
    <t>De espesor superior o igual a 4mm pero inferior o igual a 4.5mm</t>
  </si>
  <si>
    <t>De espesor superior a 12mm pero inferior o igual a 14mm</t>
  </si>
  <si>
    <t>De espesor superior a 14mm pero inferior o igual a 16mm</t>
  </si>
  <si>
    <t>Alveolares de tres capas</t>
  </si>
  <si>
    <t>De espesor superior o igual a 6mm pero inferior o igual a 8mm</t>
  </si>
  <si>
    <t>De espesor inferior o igual a 40 micrometros</t>
  </si>
  <si>
    <t>De espesor inferior a 5 micrometros</t>
  </si>
  <si>
    <t>De poli(tereftalato de etileno). exclusivamente</t>
  </si>
  <si>
    <t>Estratificadas exclusivamente con polipropileno monoaxialmente orientado</t>
  </si>
  <si>
    <t>Estratificadas exclusivamente con polipropileno monoaxialmente orientado y policloruro de vinilideno. sin metalizar</t>
  </si>
  <si>
    <t>Estratificadas exclusivamente con policloruro de vinilideno. sin metalizar</t>
  </si>
  <si>
    <t>De anchura superior a 12 cm. sin trabajar en la superficie</t>
  </si>
  <si>
    <t>Estratificadas exclusivamente con polietileno. de espesor superior o igual a 250 micrones e inferior o igual a 1500 micrones. sin metalizar</t>
  </si>
  <si>
    <t>Estratificadas exclusivamente con polietileno y copolimero de etileno y alcohol vinilico. de espesor superior o igual a 200 micrones e inferior o igual a 1500 micrones. sin metalizar</t>
  </si>
  <si>
    <t>- De celulosa o de sus derivados quimicos:</t>
  </si>
  <si>
    <t>De celulosa regenerada exclusivamente. sin metalizar</t>
  </si>
  <si>
    <t>Estratificadas exclusivamente con polietileno. sin metalizar</t>
  </si>
  <si>
    <t>De espesor inferior o igual a 0.75 mm</t>
  </si>
  <si>
    <t>De fibra vulcanizada. de espesor inferior o igual a 1 mm</t>
  </si>
  <si>
    <t>- De los demas plasticos:</t>
  </si>
  <si>
    <t>Laminas de poliamidas aromaticas a prueba de balas (R.3115/94 ex-ANA)</t>
  </si>
  <si>
    <t>De poli(alcohol vinilico)</t>
  </si>
  <si>
    <t>De polimeros de fluoruro de vinilo</t>
  </si>
  <si>
    <t>De poliimidas.(R.359/99 MEOSP).</t>
  </si>
  <si>
    <t>De poli(clorotrifluoroetileno)</t>
  </si>
  <si>
    <t>De politetrafluoroetileno</t>
  </si>
  <si>
    <t>De espesor inferior o igual a 50 micrones</t>
  </si>
  <si>
    <t>De anchura inferior o igual a 12 mm y longitud superior o igual a 10 m</t>
  </si>
  <si>
    <t>De anchura inferior o igual a 12 mm y longitud superior o igual a 10 m pero inferior o igual a 20 m</t>
  </si>
  <si>
    <t>De anchura superior a 12 mm pero inferior o igual a 19 mm y longitud inferior o igual a 10 m</t>
  </si>
  <si>
    <t>De anchura superior a 12 mm pero inferior o igual a 19 mm y longitud superior o igual a 10 m pero inferior o igual a 20 m</t>
  </si>
  <si>
    <t>De anchura superior a 19 mm pero inferior o igual a 25 mm y longitud superior o igual a 10 m</t>
  </si>
  <si>
    <t>De anchura superior a 19 mm pero inferior o igual a 25 mm y longitud superior a 10 m pero inferior o igual a 20 m</t>
  </si>
  <si>
    <t>De espesor superior a 50 micrones pero inferior o igual a 75 micrones</t>
  </si>
  <si>
    <t>De anchura inferior o igual a 12 mm y longitud inferior o igual a 10 m</t>
  </si>
  <si>
    <t>De anchura inferior o igual a 12 mm y longitud superior a 10 m pero inferior o igual a 20 m</t>
  </si>
  <si>
    <t>De anchura inferior o igual a 12 mm y longitud superior a 20 m pero inferior o igual a 25 m</t>
  </si>
  <si>
    <t>De anchura superior a 12 mm pero inferior o igual a 19 mm y longitud superior a 10 m pero inferior o igual a 20 m</t>
  </si>
  <si>
    <t>De anchura superior a 12 mm pero inferior o igual a 19 mm y longitud superior a 20 m pero inferior o igual a 25 m</t>
  </si>
  <si>
    <t>De anchura superior a 19 mm pero inferior o igual a 25 mm y longitud inferior o igual a 10m</t>
  </si>
  <si>
    <t>Las demas placas. laminas. hojas y tiras. de plastico.</t>
  </si>
  <si>
    <t>- Productos celulares:</t>
  </si>
  <si>
    <t>Con base poliester. de celulas abiertas. con un numero de poros por decimetro lineal superior o igual a 24 pero inferior o igual a 157 (6 a 40 poros por pulgada lineal). con resistencia a la compresion 50 % (RC50) superior o igual a 3.0 kPa pero inferior o igual a 6.0 kPa</t>
  </si>
  <si>
    <t>Lamina de poliuretano celular con recubrimiento reflectivo y retroreflectivo que conforma logotipos. microesferas de vidrio y papel protector polietilenizado en uno de sus lados. y recubrimiento termoadhesivo en el otro. de los tipos utilizados como laminado de seguridad en la confeccion de documentos</t>
  </si>
  <si>
    <t>Estratificadas. reforzadas o con soporte</t>
  </si>
  <si>
    <t>De resina melamina-formaldehido</t>
  </si>
  <si>
    <t>De polietileno. con refuerzo de napas de fibras de polietileno paralelizadas. superpuestas entre si en angulo de 90ro e impregnadas con resinas</t>
  </si>
  <si>
    <t>A prueba de balas</t>
  </si>
  <si>
    <t>De copolimeros de tetrafluoroetileno reforzadas con tejido de fibras de politetrafluoroetileno. de los tipos utilizados como membranas semipermeables en celdas de electrolisis</t>
  </si>
  <si>
    <t>Placas. laminas. hojas y tiras de plastico. estratificadas con napas de filamentos de aramida. a prueba de balas</t>
  </si>
  <si>
    <t>Placas. laminas. hojas y tiras de nitrocelulosa con soporte absorbente. de los tipos utilizados para la fabricacion de tiras para diagnostico de COVID19</t>
  </si>
  <si>
    <t>De poli(tereftalato de etileno). con capa antiestatica a base de gelatina o latex. en ambas caras. incluso con halogenuros de potasio</t>
  </si>
  <si>
    <t>De polimeros de cloruro de vinilo</t>
  </si>
  <si>
    <t>Bañeras. duchas. fregaderos. lavabos. bides. inodoros y sus asientos y tapas. cisternas (depositos de agua) para inodoros y articulos sanitarios e higienicos similares. de plastico.</t>
  </si>
  <si>
    <t>Bañeras</t>
  </si>
  <si>
    <t>Duchas</t>
  </si>
  <si>
    <t>Fregaderos</t>
  </si>
  <si>
    <t>Lavabos</t>
  </si>
  <si>
    <t>Moldeados por soplado</t>
  </si>
  <si>
    <t>Bides</t>
  </si>
  <si>
    <t>Inodoros</t>
  </si>
  <si>
    <t>Cisternas (deposito de agua) para inodoros</t>
  </si>
  <si>
    <t>Moldeadas por soplado</t>
  </si>
  <si>
    <t>Tipo mochila</t>
  </si>
  <si>
    <t>Articulos para el transporte o envasado. de plastico; tapones. tapas. capsulas y demas dispositivos de cierre. de plastico.</t>
  </si>
  <si>
    <t>Estuches de plastico. de los tipos utilizados para acondicionar discos para sistemas de lectura por rayos laser</t>
  </si>
  <si>
    <t>Cajas. cajones y articulos similares</t>
  </si>
  <si>
    <t>Jaulas y articulos similares</t>
  </si>
  <si>
    <t>- Sacos (bolsas). bolsitas y cucuruchos:</t>
  </si>
  <si>
    <t>De capacidad inferior o igual a 1.000 cm 3</t>
  </si>
  <si>
    <t>Impresos. sin soporte o refuerzo</t>
  </si>
  <si>
    <t>De polietileno exclusivamente</t>
  </si>
  <si>
    <t>Con dispositivo de cierre por presion. exclusivamente</t>
  </si>
  <si>
    <t>Con pico vertedor. exclusivamente</t>
  </si>
  <si>
    <t>Estratificados con poli(tereftalato de etileno) exclusivamente. sin metalizar</t>
  </si>
  <si>
    <t>Estratificados exclusivamente con poli(tereftalato de etileno) y policloruro de vinilideno. sin metalizar</t>
  </si>
  <si>
    <t>Con pico vertedor exclusivamente</t>
  </si>
  <si>
    <t>Estratificados exclusivamente con poli(tereftalato de etileno). metalizadas</t>
  </si>
  <si>
    <t>Estratificadas exclusivamente con poli(tereftalato de etileno) y polipropileno biaxialmente orientado. sin metalizar</t>
  </si>
  <si>
    <t>Estratificados exclusivamente con poli(tereftalato de etileno) y polipropileno biaxialmente orientado. metalizados</t>
  </si>
  <si>
    <t>Estratificados exclusivamente con polipropileno biaxialmente orientado</t>
  </si>
  <si>
    <t>Metalizados</t>
  </si>
  <si>
    <t>Impresos. con soporte o refuerzo exclusivamente de papel</t>
  </si>
  <si>
    <t>Impresos. con soporte o refuerzo exclusivamente de aluminio</t>
  </si>
  <si>
    <t>Estratificados exclusivamente con poli(tereftalato de etileno)</t>
  </si>
  <si>
    <t>Estratificados con poli(tereftalato de etileno) exclusivamente. sin metalizar. sin soporte o refuerzo</t>
  </si>
  <si>
    <t>Estratificados exclusivamente con poli(tereftalato de etileno) y policloruro de vinilideno. sin metalizar. sin soporte o refuerzo</t>
  </si>
  <si>
    <t>Estratificados con poli(tereftalato de etileno) exclusivamente. metalizadas. sin soporte o refuerzo</t>
  </si>
  <si>
    <t>Estratificados exclusivamente con poli(tereftalato de etileno) y polipropileno biaxialmente orientado. sin metalizar. sin soporte o refuerzo</t>
  </si>
  <si>
    <t>Con soporte o refuerzo exclusivamente de papel. sin metalizar. con dispositivo de cierre por presion exclusivamente</t>
  </si>
  <si>
    <t>Con soporte o refuerzo exclusivamente de papel. sin metalizar. con pico vertedor exclusivamente</t>
  </si>
  <si>
    <t>Estratificados exclusivamente con poli(tereftalato de etileno) con soporte o refuerzo exclusivamente de aluminio y con dispositivo de cierre por presion exclusivamente</t>
  </si>
  <si>
    <t>Estratificados exclusivamente con poli(tereftalato de etileno). con soporte o refuerzo exclusivamente de aluminio y con pico vertedor exclusivamente</t>
  </si>
  <si>
    <t>Con dispositivo de cierre por presion exclusivamente</t>
  </si>
  <si>
    <t>Con pico vertedor</t>
  </si>
  <si>
    <t>Estratificados exclusivamente con poli(tereftalato de etileno). metalizados</t>
  </si>
  <si>
    <t>Estratificados exclusivamente con poli(tereftalato de etileno) y polipropileno biaxialmente orientado. sin metalizar</t>
  </si>
  <si>
    <t>Estratificadaos con poli(tereftalato de etileno) exclusivamente. sin metalizar. sin soporte o refuerzo</t>
  </si>
  <si>
    <t>Estratificados exclusivamente con poli(tereftalato de etileno) y policloruro de vinilideno. sin metalizar sin soporte o refuerzo</t>
  </si>
  <si>
    <t>Estratificados exclusivamente con poli(tereftalato de etileno) y polipropileno biaxialmente orientado. metalizadas</t>
  </si>
  <si>
    <t>Estratificados exclusivamente con poli(tereftalato de etileno). con soporte o refuerzo exclusivamente de aluminio y con dispositivo de cierre por presion. exclusivamente</t>
  </si>
  <si>
    <t>De capacidad inferior o igual a 1.000 cm3</t>
  </si>
  <si>
    <t>- Bombonas (damajuanas). botellas. frascos y articulos similares</t>
  </si>
  <si>
    <t>Tubo plastico transparente. cerrado en un extremo y provisto de rosca exterior en la otra extremidad (preforma). apto para la fabricacion de botellas por soplado</t>
  </si>
  <si>
    <t>De peso inferior o igual a 20 g</t>
  </si>
  <si>
    <t>De peso superior a 20 g pero inferior o igual a 30 g</t>
  </si>
  <si>
    <t>De peso superior a 30 g pero inferior o igual a 42 g</t>
  </si>
  <si>
    <t>De peso superior a 42 g pero inferior o igual a 60 g</t>
  </si>
  <si>
    <t>Tubo plastico transparente. cerrado en un extremo y desprovisto de rosca exterior en la otra extremidad (preforma). apto para la fabricacion de botellas por soplado</t>
  </si>
  <si>
    <t>De peso inferior a 20 g</t>
  </si>
  <si>
    <t>Botellas de poli(tereftalato de etileno)</t>
  </si>
  <si>
    <t>De capacidad inferior a 250 ml</t>
  </si>
  <si>
    <t>De capacidad superior o igual a 250 ml pero inferior a 2 l</t>
  </si>
  <si>
    <t>De capacidad superior o igual a 2 l pero inferior o igual a 6 l</t>
  </si>
  <si>
    <t>Frascos de politereftalato</t>
  </si>
  <si>
    <t>De capacidad inferior a 150 ml</t>
  </si>
  <si>
    <t>De capacidad superior o igual a 150 ml pero inferior a 300 ml</t>
  </si>
  <si>
    <t>De capacidad superior o igual a 300 ml pero inferior a 2 l</t>
  </si>
  <si>
    <t>Los demas articulos de polietileno de alta densidad</t>
  </si>
  <si>
    <t>De capacidad inferior a 5 l</t>
  </si>
  <si>
    <t>De capacidad superior o igual a 5 l pero inferior a 12 l</t>
  </si>
  <si>
    <t>De capacidad superior o igual a 12 l pero inferior a 22 l</t>
  </si>
  <si>
    <t>De capacidad superior o igual a 22 l pero inferior a 32 l</t>
  </si>
  <si>
    <t>De poliamidas</t>
  </si>
  <si>
    <t>Tapas</t>
  </si>
  <si>
    <t>Tapones de los tipos utilizados en botellas de vino</t>
  </si>
  <si>
    <t>Bandejas termoformadas de un solo uso de los tipos utilizados en el envasado de productos alimenticios. incluso con tapa</t>
  </si>
  <si>
    <t>De polimeros de estireno</t>
  </si>
  <si>
    <t>De poliestireno de alto impacto</t>
  </si>
  <si>
    <t>De poliestireno biaxialmente orientado</t>
  </si>
  <si>
    <t>De poliestireno espumado. sin tapa. redondas. de 300 mm de diametro y 20 mm de profundidad (R.88/07 SICyPyME)</t>
  </si>
  <si>
    <t>De poliestireno espumado. sin tapa. de entre 140 mm hasta 255 mm de ancho. de 140 mm hasta 350 mm de largo. y sin profundidad o con profundidad de 15 mm hasta 35 mm (R.88/2007 SICyPyME).</t>
  </si>
  <si>
    <t>Las demas. de poliestireno expandido.</t>
  </si>
  <si>
    <t>Bandejas termoformadas de un solo uso. con cavidades apropiadas de los tipos utilizados en el embalaje de medicamentos o cosmeticos</t>
  </si>
  <si>
    <t>De poliestireno expandido</t>
  </si>
  <si>
    <t>Tambores de polietileno de alta densidad. con hasta dos bocas</t>
  </si>
  <si>
    <t>De capacidad inferior a 150 l</t>
  </si>
  <si>
    <t>De capacidad superior o igual a 150 l pero inferior a 250 l</t>
  </si>
  <si>
    <t>De capacidad superior o igual a 250 l pero inferior a 500 l</t>
  </si>
  <si>
    <t>Potes termoformados de un solo uso</t>
  </si>
  <si>
    <t>Vajilla. articulos de cocina o de uso domestico y articulos de higiene o tocador. de plastico.</t>
  </si>
  <si>
    <t>Cubiertos</t>
  </si>
  <si>
    <t>Destinados a ser llevados a la boca por niños menores de tres años</t>
  </si>
  <si>
    <t>Platos</t>
  </si>
  <si>
    <t>De un solo uso</t>
  </si>
  <si>
    <t>Tazas</t>
  </si>
  <si>
    <t>Vasos</t>
  </si>
  <si>
    <t>Fuentes. bandejas y articulos similares</t>
  </si>
  <si>
    <t>Cajas para alimentos</t>
  </si>
  <si>
    <t>Articulos de manteleria</t>
  </si>
  <si>
    <t>Juegos de te o cafe</t>
  </si>
  <si>
    <t>Biberones</t>
  </si>
  <si>
    <t>Presentados con su correspondiente tetina</t>
  </si>
  <si>
    <t>Los demas. aptos para estar en contacto con alimentos</t>
  </si>
  <si>
    <t>Jaboneras</t>
  </si>
  <si>
    <t>Portacepillos</t>
  </si>
  <si>
    <t>Esponjas</t>
  </si>
  <si>
    <t>Presentadas en juegos o surtidos con preparaciones para el lavado de la piel</t>
  </si>
  <si>
    <t>Cubos (incluidos los de basura) y palanganas</t>
  </si>
  <si>
    <t>Portarrollos</t>
  </si>
  <si>
    <t>Toalleros</t>
  </si>
  <si>
    <t>Cortinas de baño</t>
  </si>
  <si>
    <t>Tetinas</t>
  </si>
  <si>
    <t>Articulos para la construccion. de plastico. no expresados ni comprendidos en otra parte.</t>
  </si>
  <si>
    <t>-Depositos. cisternas. cubas y recipientes analogos. de capacidad superior a 300 l</t>
  </si>
  <si>
    <t>Cortina enrollable con su correspondiente bastidor. sobre el cual se encuentra montado en forma permanente un dispositivo de elevacion con su motor de accionamiento</t>
  </si>
  <si>
    <t>De poliestireno expandido (EPS)</t>
  </si>
  <si>
    <t>Articulos para guarnecer los cuartos de baño o de tocador</t>
  </si>
  <si>
    <t>Articulos para guarnecer las cocinas</t>
  </si>
  <si>
    <t>Elementos estructurales constituidos por placas de policarbonato alveolar especialmente diseñadas para la construccion de paredes o techos</t>
  </si>
  <si>
    <t>De espesor superior o igual a 3mm pero inferior o igual a 6mm</t>
  </si>
  <si>
    <t>De espesor superior a 12mm pero inferior o igual a 16mm</t>
  </si>
  <si>
    <t>De espesor superior a 16mm pero inferior o igual a 18mm</t>
  </si>
  <si>
    <t>De espesor superior a 18mm pero a inferior o igual a 20mm</t>
  </si>
  <si>
    <t>De espesor superior a 20mm pero inferior o igual a 25mm</t>
  </si>
  <si>
    <t>Las demas manufacturas de plastico y manufacturas de las demas materias de las partidas 39.01 a 39.14.</t>
  </si>
  <si>
    <t>Gomas de borrar</t>
  </si>
  <si>
    <t>- Prendas y complementos (accesorios). de vestir. incluidos los guantes. mitones y manoplas</t>
  </si>
  <si>
    <t>Unicamente para uso medico (R.G.30/97 AFIP)</t>
  </si>
  <si>
    <t>Guantes</t>
  </si>
  <si>
    <t>Esteriles. envasados para su venta directa al usuario final</t>
  </si>
  <si>
    <t>No esteriles. envasados para su venta directa al usuario final</t>
  </si>
  <si>
    <t>Las demas prendas y complementos (accesorios) de vestir</t>
  </si>
  <si>
    <t>Impermeables</t>
  </si>
  <si>
    <t>Delantales</t>
  </si>
  <si>
    <t>Baberos</t>
  </si>
  <si>
    <t>Manijas.tiradores y patas. de los tipos utilizados en muebles</t>
  </si>
  <si>
    <t>Porta macetas</t>
  </si>
  <si>
    <t>Porta retratos</t>
  </si>
  <si>
    <t>Arandelas</t>
  </si>
  <si>
    <t>Correas para transmision y correas transportadoras</t>
  </si>
  <si>
    <t>Para transmision</t>
  </si>
  <si>
    <t>Transportadoras</t>
  </si>
  <si>
    <t>Bolsas para uso en medicina (hemodialisis y usos similares)</t>
  </si>
  <si>
    <t>Articulos de laboratorio o farmacia</t>
  </si>
  <si>
    <t>Articulos de puericultura</t>
  </si>
  <si>
    <t>Aplicadores de uso vaginal (R.G.30/97 AFIP)</t>
  </si>
  <si>
    <t>Accesorios de los tipos utilizados en lineas de sangre para hemodialisis. tales como: obturadores. incluidos los regulables (clamps). clipes y similares</t>
  </si>
  <si>
    <t>Anillos de seccion transversal circular («O-rings»)</t>
  </si>
  <si>
    <t>De tetrafluoroetileno y eter perfluorometilvinilo</t>
  </si>
  <si>
    <t>Manufacturas de poliamidas aromaticas a prueba de balas (R.3115/94 ANA)</t>
  </si>
  <si>
    <t>Accesorios de uso general</t>
  </si>
  <si>
    <t>Tornillos</t>
  </si>
  <si>
    <t>Pernos</t>
  </si>
  <si>
    <t>Ruedas que cumplan con la Nota 2 del Capitulo 83</t>
  </si>
  <si>
    <t>Estuches o cajas para herramientas</t>
  </si>
  <si>
    <t>Mangos de herramientas o de cubiertos de mesa</t>
  </si>
  <si>
    <t>Recipientes de plastico moldeado. de los tipos utilizados como neveras</t>
  </si>
  <si>
    <t>De polietileno y polipropileno. de capacidad inferior o igual a 28 l</t>
  </si>
  <si>
    <t>De poliestireno de alto impacto. de capacidad superior a 28 l</t>
  </si>
  <si>
    <t>Bolsas y continentes similares de los tipos utilizados para nutricion enteral o parenteral (R.G.30/97AFIP)</t>
  </si>
  <si>
    <t>Dispensadores de los tipos utilizados para golosinas. incluso presentados con estas</t>
  </si>
  <si>
    <t>Presentados con golosinas</t>
  </si>
  <si>
    <t>Cadenas de los tipos utilizados para colgar chupetes</t>
  </si>
  <si>
    <t>De lo tipos utilizados en vehiculos automoviles</t>
  </si>
  <si>
    <t>Juntas o empaquetaduras</t>
  </si>
  <si>
    <t>Tapa de distribucion de motores de vehiculos automoviles</t>
  </si>
  <si>
    <t>Elementos de señalizacion de los tipos utilizados en seguridad vial</t>
  </si>
  <si>
    <t>Placas reflectantes de forma triangular</t>
  </si>
  <si>
    <t>Conos</t>
  </si>
  <si>
    <t>Cadenas</t>
  </si>
  <si>
    <t>Terminal de cordon para prendas de vestir</t>
  </si>
  <si>
    <t>Caravana. de los tipos utilizados para la identificacion de animales.</t>
  </si>
  <si>
    <t>Red extruida de polietileno o polipropileno presentada en rollos de anchura superior o igual a 0.5 m pero inferior o igual a 2.0 m.</t>
  </si>
  <si>
    <t>Placas. laminas. hojas y tiras de poli (metacrilato de metilo) exclusivamente. no celular. sin metalizar; cuadradas o rectangulares con los vertices ligeramente redondeados. incluso combinados con plastico bordeando todo su perimetro. de espesor superior o igual a DOS MILÃMETROS(2 mm) pero inferior o igual a DOSCIENTOS MILÃMETROS (200 mm) presentadas con o sin laminas descartables de proteccion en una o en ambas caras</t>
  </si>
  <si>
    <t>Aptas para estar en contacto con alimentos</t>
  </si>
  <si>
    <t>Caucho natural. balata. gutapercha. guayule. chicle y gomas naturales analogas. en formas primarias o en placas. hojas o tiras.</t>
  </si>
  <si>
    <t>- Caucho natural en otras formas:</t>
  </si>
  <si>
    <t>Crepe</t>
  </si>
  <si>
    <t>Granulado o prensado</t>
  </si>
  <si>
    <t>En hojas</t>
  </si>
  <si>
    <t>En polvo o en migas. sin reaglomerar</t>
  </si>
  <si>
    <t>Balata</t>
  </si>
  <si>
    <t>Gutapercha</t>
  </si>
  <si>
    <t>Caucho sintetico y caucho facticio derivado de los aceites. en formas primarias o en placas. hojas o tiras; mezclas de productos de la partida 40.01 con los de esta partida. en formas primarias o en placas. hojas o tiras.</t>
  </si>
  <si>
    <t>- Caucho estireno-butadieno (SBR); caucho estireno-butadieno carboxilado (XSBR):</t>
  </si>
  <si>
    <t>De estireno-butadieno (SBR)</t>
  </si>
  <si>
    <t>De estireno-butadieno carboxilado (XSBR)</t>
  </si>
  <si>
    <t>Estireno-butadieno (SBR)</t>
  </si>
  <si>
    <t>En placas. hojas o tiras</t>
  </si>
  <si>
    <t>Grado alimenticio de acuerdo con lo establecido por el «Food Chemical Codex». en formas primarias</t>
  </si>
  <si>
    <t>Obtenido por polimerizacion en emulsion. con un contenido de estireno superior o igual a 21 % pero inferior o igual a 26 % en peso</t>
  </si>
  <si>
    <t>Obtenido por polimerizacion en emulsion. con un contenido de estireno superior o igual a 37 % pero inferior o igual a 43 % en peso</t>
  </si>
  <si>
    <t>Estireno-butadieno carboxilado (XSBR)</t>
  </si>
  <si>
    <t>En las formas previstas en la Nota 3 b) de este Capitulo</t>
  </si>
  <si>
    <t>En las formas prevista en la Nota 3 a) de este Capitulo</t>
  </si>
  <si>
    <t>Aceite</t>
  </si>
  <si>
    <t>En las formas previstas en la Nota 3 de este Capitulo</t>
  </si>
  <si>
    <t>- Caucho isobuteno-isopreno (butilo) (IIR); caucho isobuteno-isopreno halogenado (CIIR o BIIR):</t>
  </si>
  <si>
    <t>Bromado</t>
  </si>
  <si>
    <t>- Caucho cloropreno (clorobutadieno) (CR):</t>
  </si>
  <si>
    <t>- Caucho acrilonitrilo-butadieno (NBR):</t>
  </si>
  <si>
    <t>En las formas previstas en la Nota 3 a) de este Capitulo</t>
  </si>
  <si>
    <t>Obtenido por polimerizacion en emulsion. con un contenido de acrilonitrilo superior o igual a 28 % o inferior o igual a 36 % en peso.</t>
  </si>
  <si>
    <t>Obtenido por polimerizacion en emulsion. con un contenido de acrilonitrilo superior o igual a 36 % pero inferior o igual a 43 % en peso</t>
  </si>
  <si>
    <t>- Mezclas de los productos de la partida 40.01 con los de esta partida</t>
  </si>
  <si>
    <t>Caucho estireno-isopreno-estireno</t>
  </si>
  <si>
    <t>Caucho etileno-propileno-dieno no conjugado-propileno (EPDM-propileno)</t>
  </si>
  <si>
    <t>Caucho acrilonitrilobutadieno hidrogenado</t>
  </si>
  <si>
    <t>Tioplastos</t>
  </si>
  <si>
    <t>Caucho natural despolimerizado</t>
  </si>
  <si>
    <t>Caucho regenerado en formas primarias o en placas. hojas o tiras.</t>
  </si>
  <si>
    <t>DESECHOS. DESPERDICIOS Y RECORTES. DE CAUCHO SIN ENDURECER. INCLUSO EN POLVO O GRaNULOS.</t>
  </si>
  <si>
    <t>Caucho mezclado sin vulcanizar. en formas primarias o en placas. hojas o tiras.</t>
  </si>
  <si>
    <t>Caucho etileno-propileno-dieno no conjugado-propileno (EPDM-propileno). con silice y plastificante. en granulos</t>
  </si>
  <si>
    <t>-Disoluciones; dispersiones. excepto las de la subpartida 4005.10</t>
  </si>
  <si>
    <t>Preparaciones base para la fabricacion de goma de mascar</t>
  </si>
  <si>
    <t>Las demas formas (por ejemplo: varillas. tubos. perfiles) y articulos (por ejemplo: discos. arandelas). de caucho sin vulcanizar.</t>
  </si>
  <si>
    <t>Hilos y cuerdas. de caucho vulcanizado.</t>
  </si>
  <si>
    <t>Hilos</t>
  </si>
  <si>
    <t>Recubiertos de siliconas. incluso paralelizados</t>
  </si>
  <si>
    <t>Cuerdas</t>
  </si>
  <si>
    <t>Placas. hojas. tiras. varillas y perfiles. de caucho vulcanizado sin endurecer.</t>
  </si>
  <si>
    <t>- De caucho celular:</t>
  </si>
  <si>
    <t>- De caucho no celular:</t>
  </si>
  <si>
    <t>Espaciador termoexpandible. de los tipos utilizados en vehiculos automoviles</t>
  </si>
  <si>
    <t>Junta de bomba de agua. de los tipos utilizados en vehiculos automoviles</t>
  </si>
  <si>
    <t>Tubos de caucho vulcanizado sin endurecer. incluso con sus accesorios (por ejemplo: juntas. codos. empalmes (racores)).</t>
  </si>
  <si>
    <t>- Sin reforzar ni combinar de otro modo con otras materias:</t>
  </si>
  <si>
    <t>Con una presion de ruptura superior o igual a 17.3 MPa</t>
  </si>
  <si>
    <t>- Reforzados o combinados de otro modo solamente con metal:</t>
  </si>
  <si>
    <t>Reforzados con una trenza de alambre de acero. excepto cortados o conformados en las dimensiones finales para utilizacion en vehiculos o autopartes.</t>
  </si>
  <si>
    <t>De diametro interior igual a 6.4 mm (1/4") y presion de ruptura igual a 90 Mpa</t>
  </si>
  <si>
    <t>De diametro interior igual a 9.5 mm (3/8") y presion de ruptura igual a 72 Mpa</t>
  </si>
  <si>
    <t>De diametro interior igual a 12.7 mm (1/2") y presion de ruptura igual a 64 Mpa</t>
  </si>
  <si>
    <t>De diametro interior igual a 19.0 mm (3/4") y presion de ruptura igual a 42 Mpa</t>
  </si>
  <si>
    <t>De diametro interior igual a 25.4 mm (1") y presion de ruptura igual a 35 Mpa</t>
  </si>
  <si>
    <t>Reforzados con dos trenzas de alambre de acero. excepto cortados o conformados en las dimensiones finales para utilizacion en vehiculos o autopartes.</t>
  </si>
  <si>
    <t>De diametro interior igual a 6.4 mm (1/4") y presion de ruptura igual a 160 Mpa</t>
  </si>
  <si>
    <t>De diametro interior igual a 9.5 mm (3/8") y presion de ruptura igual a 132 Mpa</t>
  </si>
  <si>
    <t>De diametro interior igual a 12.7 mm (1/2") y presion de ruptura igual a 110 Mpa</t>
  </si>
  <si>
    <t>De diametro interior igual a 19.0 mm (3/4") y presion de ruptura igual a 85 Mpa</t>
  </si>
  <si>
    <t>De diametro interior igual a 25.4 mm (1") y presion de ruptura igual a 65 Mpa</t>
  </si>
  <si>
    <t>Los demas. cortados o conformados en las dimensiones finales para utilizacion en vehiculos o autopartes</t>
  </si>
  <si>
    <t>De los tipos utilizados en aparatos de aire acondicionado para buses</t>
  </si>
  <si>
    <t>- Reforzados o combinados de otro modo solamente con materia textil:</t>
  </si>
  <si>
    <t>Cortados en dimensiones apropiadas como piezas de vehiculos automoviles</t>
  </si>
  <si>
    <t>Combinado con material textil (poliamida). de los tipos utilizados en aparatos de aire acondicionado</t>
  </si>
  <si>
    <t>De los tipos utilizados en calibradores de neumaticos</t>
  </si>
  <si>
    <t>De los tipos utilizados en conjuntos de suspension neumatica para cabinas o asientos de vehiculos</t>
  </si>
  <si>
    <t>- Reforzados o combinados de otro modo con otras materias:</t>
  </si>
  <si>
    <t>Correas transportadoras o de transmision. de caucho vulcanizado.</t>
  </si>
  <si>
    <t>- Correas transportadoras:</t>
  </si>
  <si>
    <t>Unicamente con tejido de trama y urdimbre de nailon. de anchura superior o igual a 300 mm</t>
  </si>
  <si>
    <t>Con una de las caras externas de caucho ("cobertura")</t>
  </si>
  <si>
    <t>Con ambas caras externas de caucho ("cobertura")</t>
  </si>
  <si>
    <t>Unicamente con tejido de trama de nailon y urdimbre de poliester. de anchura superior o igual a 300 mm</t>
  </si>
  <si>
    <t>Unicamente con tejido de trama y urdimbre de algodon. de anchura superior o igual a 300 mm</t>
  </si>
  <si>
    <t>Unicamente con tejido de trama de nailon y urdimbre de algodon</t>
  </si>
  <si>
    <t>Las demas. unicamente con tejido de trama y urdimbre de nailon</t>
  </si>
  <si>
    <t>Las demas. unicamente con tejido de trama de nailon y urdimbre de poliester</t>
  </si>
  <si>
    <t>Las demas. unicamente con tejido de trama y urdimbre de algodon</t>
  </si>
  <si>
    <t>Las demas. unicamente con tejido de trama de nailon y urdimbre de algodon</t>
  </si>
  <si>
    <t>Con una de las caras externas de caucho ("cobertura"). de anchura superior o igual a 300 mm</t>
  </si>
  <si>
    <t>Con ambas caras externas de caucho ("cobertura"). de anchura superior o igual a 300 mm</t>
  </si>
  <si>
    <t>Las demas. con una de las caras externas de caucho ("cobertura")</t>
  </si>
  <si>
    <t>Las demas. con ambas caras externas de caucho ("cobertura")</t>
  </si>
  <si>
    <t>Las demas. de anchura superior o igual a 300 mm</t>
  </si>
  <si>
    <t>De longitud inferir o igual a 60 m</t>
  </si>
  <si>
    <t>De longitud superior a 60 m pero inferior o igual a 80 m</t>
  </si>
  <si>
    <t>De longitud superior a 80 m pero inferior o igual a 100 m</t>
  </si>
  <si>
    <t>De longitud superior a 100 m pero inferior o igual a 140 m</t>
  </si>
  <si>
    <t>De longitud superior a 140 m pero inferior o igual a 180 m</t>
  </si>
  <si>
    <t>De longitud inferior o igual a 60 m</t>
  </si>
  <si>
    <t>- Correas de transmision:</t>
  </si>
  <si>
    <t>- - Correas de transmision sin fin. estriadas. de seccion trapezoidal. de circunferencia exterior superior a 60 cm pero inferior o igual a 180 cm</t>
  </si>
  <si>
    <t>Estriadas en una cara</t>
  </si>
  <si>
    <t>De seccion K. de 3 a 4 canales</t>
  </si>
  <si>
    <t>De seccion K. de 5 a 6 canales</t>
  </si>
  <si>
    <t>De seccion K. de 7 a 10 canales</t>
  </si>
  <si>
    <t>Estriadas en ambas caras</t>
  </si>
  <si>
    <t>De seccion K</t>
  </si>
  <si>
    <t>- - Correas de transmision sin fin. sin estriar. de seccion trapezoidal. de circunferencia exterior superior a 60 cm pero inferior o igual a 180 cm</t>
  </si>
  <si>
    <t>Cuya seccion presente un solo perfil trapezoidal</t>
  </si>
  <si>
    <t>De seccion A. B o C</t>
  </si>
  <si>
    <t>De seccion A</t>
  </si>
  <si>
    <t>De seccion B</t>
  </si>
  <si>
    <t>De seccion C</t>
  </si>
  <si>
    <t>De seccion SPZ. SPA. SPB. SPZX. SPAX o SPBX</t>
  </si>
  <si>
    <t>De seccion 3V. 5V. 3VX o 5VX</t>
  </si>
  <si>
    <t>De seccion AV10</t>
  </si>
  <si>
    <t>Presentadas de a pares (mandos)</t>
  </si>
  <si>
    <t>De seccion AV11</t>
  </si>
  <si>
    <t>De seccion AV13</t>
  </si>
  <si>
    <t>Cuya seccion presente un perfil trapezoidal en las caras interna y externa</t>
  </si>
  <si>
    <t>De seccion AV10. AV11 o AV13</t>
  </si>
  <si>
    <t>Multiples. unidas entre si por una banda superior</t>
  </si>
  <si>
    <t>- - Correas de transmision sin fin. estriadas. de seccion trapezoidal. de circunferencia exterior superior a 180 cm pero inferior o igual a 240 cm</t>
  </si>
  <si>
    <t>- - Correas de transmision sin fin. sin estriar. de seccion trapezoidal. de circunferencia exterior superior a 180 cm pero inferior o igual a 240 cm</t>
  </si>
  <si>
    <t>De seccion A. B. C o D</t>
  </si>
  <si>
    <t>De seccion D</t>
  </si>
  <si>
    <t>De seccion SPZ. SPA. SPB. SPC. SPZX. SPAX. SPBX o SPCX</t>
  </si>
  <si>
    <t>- - Correas de transmision sin fin. con muescas (sincronicas). de circunferencia exterior superior a 60 cm pero inferior o igual a 150 cm</t>
  </si>
  <si>
    <t>Con dentado en una sola cara</t>
  </si>
  <si>
    <t>De caucho cloropreno (CR)</t>
  </si>
  <si>
    <t>De caucho acrilonitrilo-butadieno hidrogenado (HNBR)</t>
  </si>
  <si>
    <t>De caucho acrilonitrilo-butadieno hidrogenado (HNBR) con revestimiento de politetrafluoroetileno (PTFE)</t>
  </si>
  <si>
    <t>Con dentado en ambas caras</t>
  </si>
  <si>
    <t>- - Correas de transmision sin fin. con muescas (sincronicas). de circunferencia exterior superior a 150 cm pero inferior o igual a 198 cm</t>
  </si>
  <si>
    <t>Correas para transmision sin fin. sin estriar. de seccion trapezoidal</t>
  </si>
  <si>
    <t>De seccion 3V. 5V. 8V. 3VX. 5VX u 8VX</t>
  </si>
  <si>
    <t>Correas para transmision sin fin. estriadas. de seccion trapezoidal</t>
  </si>
  <si>
    <t>Correas para transmision sin fin. con muescas (sincronicas)</t>
  </si>
  <si>
    <t>Neumaticos (llantas neumaticas) nuevos de caucho.</t>
  </si>
  <si>
    <t>- De los tipos utilizados en automoviles de turismo (incluidos los del tipo familiar («break» o «station wagon») y los de carreras)</t>
  </si>
  <si>
    <t>Diagonales. con diametro de llanta inferior o igual a 406.4 mm(16") y ancho seccional inferior o igual a 215 mm</t>
  </si>
  <si>
    <t>Con ancho seccional inferior o igual a 165 mm</t>
  </si>
  <si>
    <t>Con diametro de llanta igual a 305 mm (12")</t>
  </si>
  <si>
    <t>Con diametro de llanta igual a 330.2 mm (13")</t>
  </si>
  <si>
    <t>Con diametro de llanta igual a 355.6 mm (14")</t>
  </si>
  <si>
    <t>Con diametro de llanta igual a 381 mm (15")</t>
  </si>
  <si>
    <t>Con diametro de llanta igual a 406.4 mm (16")</t>
  </si>
  <si>
    <t>Con ancho seccional igual a 175 mm</t>
  </si>
  <si>
    <t>Con ancho seccional igual a 195 mm</t>
  </si>
  <si>
    <t>Radiales. con diametro de llanta inferior o igual a 305 mm (12") y ancho seccional inferior o igual a 175 mm. serie inferior o igual a 90 e indice de velocidad inferior o igual a H (Norma IRAM 113.319)</t>
  </si>
  <si>
    <t>Con ancho seccional inferior o igual a 145 mm</t>
  </si>
  <si>
    <t>Con ancho seccional igual a 155 mm</t>
  </si>
  <si>
    <t>Con ancho seccional superior a 155 mm</t>
  </si>
  <si>
    <t>Radiales. con diametro de llanta igual a 330.2 mm (13") y ancho seccional inferior o igual a 265 mm. serie inferior o igual a 90. e indice de velocidad inferior o igual a Y (Norma IRAM 113.319) o a ZR (Tire and Rim Association Inc.)</t>
  </si>
  <si>
    <t>Con ancho seccional inferior o igual a 155 mm</t>
  </si>
  <si>
    <t>Serie 70 o 75 e indice de velocidad inferior o igual a T</t>
  </si>
  <si>
    <t>Serie superior o igual a 80 e indice de velocidad inferior o igual a T</t>
  </si>
  <si>
    <t>Serie inferior o igual a 90 e indice de velocidad inferior o igual o a Y o a ZR pero superior a T</t>
  </si>
  <si>
    <t>Con ancho seccional igual a 165 mm</t>
  </si>
  <si>
    <t>Serie inferior o igual a 65 e indice de velocidad igual a T</t>
  </si>
  <si>
    <t>Serie inferior o igual a 65 e indice de velocidad igual a H</t>
  </si>
  <si>
    <t>Serie 70 o 75 e indice de velocidad igual a H</t>
  </si>
  <si>
    <t>Serie superior o igual a 80 e indice de velocidad igual a H</t>
  </si>
  <si>
    <t>Con ancho seccional igual a 185 mm</t>
  </si>
  <si>
    <t>Serie 60 o 65 e indice de velocidad inferior o igual a T</t>
  </si>
  <si>
    <t>Serie 60 o 65 e indice de velocidad igual a H</t>
  </si>
  <si>
    <t>Serie 60 o 65 e indice de velocidad superior o igual a V</t>
  </si>
  <si>
    <t>Serie 70 o 75 e indice de velocidad superior o igual a V</t>
  </si>
  <si>
    <t>Con ancho seccional igual a 205 mm</t>
  </si>
  <si>
    <t>Con ancho seccional superior a 205 mm</t>
  </si>
  <si>
    <t>Serie igual a 90 e indice de velocidad inferior o igual a Y o a ZR</t>
  </si>
  <si>
    <t>Radiales. con diametro de llanta igual a 355.6 mm (14") y ancho seccional inferior o igual a 265 mm. serie inferior o igual a 90 e indice de velocidad inferior o igual a Y (Norma IRAM 113.319) o a ZR (Tire and Rim Association Inc.)</t>
  </si>
  <si>
    <t>Serie 60 o 65 e indice de velocidad igual a T</t>
  </si>
  <si>
    <t>Serie 60 e indice de velocidad igual a H</t>
  </si>
  <si>
    <t>Serie 65 e indice de velocidad inferior o igual a T</t>
  </si>
  <si>
    <t>Serie 65 e indice de velocidad igual a H</t>
  </si>
  <si>
    <t>Serie superior o igual a 80 e indice de velocidad inferior o igual a H</t>
  </si>
  <si>
    <t>Con ancho seccional igual a 215 mm</t>
  </si>
  <si>
    <t>Con ancho seccional superior a 215 mm</t>
  </si>
  <si>
    <t>Radiales. con diametro de llanta igual a 381 mm (15") y ancho seccional inferior o igual a 235 mm. serie inferior o igual a 85 e indice de velocidad inferior o igual a Y (Norma IRAM 113.319) o a ZR (Tire and Rim Association Inc.)</t>
  </si>
  <si>
    <t>Con ancho seccional inferior o igual a 175 mm</t>
  </si>
  <si>
    <t>Serie igual a 85 e indice de velocidad inferior o igual a Y o a ZR</t>
  </si>
  <si>
    <t>Serie 70 e indice de velocidad inferior o igual a T</t>
  </si>
  <si>
    <t>Serie 70 e indice de velocidad igual a H</t>
  </si>
  <si>
    <t>Serie 75 e indice de velocidad inferior o igual a T</t>
  </si>
  <si>
    <t>Serie 75 e indice de velocidad igual a H</t>
  </si>
  <si>
    <t>Serie 80 e indice de velocidad inferior o igual a T</t>
  </si>
  <si>
    <t>Serie inferior o igual a 55 e indice de velocidad igual a H</t>
  </si>
  <si>
    <t>Serie inferior o igual a 55 e indice de velocidad superior o igual a V</t>
  </si>
  <si>
    <t>Serie inferior o igual a 55 e indice de velocidad inferior o igual a T</t>
  </si>
  <si>
    <t>Con ancho seccional igual a 225 mm</t>
  </si>
  <si>
    <t>Con ancho seccional igual a 235 mm</t>
  </si>
  <si>
    <t>Radiales. con diametro de llanta igual a 381 mm (15") y ancho seccional superior a 235 mm pero inferior o igual a 265 mm. serie inferior o igual a 85 e indice de velocidad inferior o igual a Y (Norma IRAM 113.319) o a ZR (Tire and Rim Association Inc.)</t>
  </si>
  <si>
    <t>Con ancho seccional igual a 245 mm</t>
  </si>
  <si>
    <t>Con ancho seccional igual a 255 mm</t>
  </si>
  <si>
    <t>Con ancho seccional igual a 265 mm</t>
  </si>
  <si>
    <t>Radiales. con diametro de llanta igual a 406.4 mm (16") y ancho seccional inferior o igual a 265 mm. serie inferior o igual a 90 e indice de velocidad inferior o igual a Y (Norma IRAM 113.319) o a ZR (Tire and Rim Association Inc.)</t>
  </si>
  <si>
    <t>Serie 85 e indice de velocidad inferior o igual a T</t>
  </si>
  <si>
    <t>Con indice de velocidad inferior o igual a T</t>
  </si>
  <si>
    <t>Radiales. con diametro de llanta superior a 406.4 mm (16') pero inferior o igual a 558.8 mm (22") y ancho seccional inferior o igual a 405 mm</t>
  </si>
  <si>
    <t>Con diametro de llanta igual a 431.8 mm (17")</t>
  </si>
  <si>
    <t>Con ancho seccional superior o igual a 275 mm</t>
  </si>
  <si>
    <t>Con diametro de llanta igual a 457.2 mm (18")</t>
  </si>
  <si>
    <t>Con diametro de llanta igual a 482.6 mm (19")</t>
  </si>
  <si>
    <t>Con ancho seccional igual a 275 mm</t>
  </si>
  <si>
    <t>Con ancho seccional igual a 285 mm</t>
  </si>
  <si>
    <t>Con ancho seccional superior o igual a 295 mm</t>
  </si>
  <si>
    <t>Con diametro de llanta igual a 508 mm (20")</t>
  </si>
  <si>
    <t>Con ancho seccional igual a 295 mm.</t>
  </si>
  <si>
    <t>Con ancho seccional superior o igual a 305 mm.</t>
  </si>
  <si>
    <t>Con diametro de llanta igual a 533.4 mm (21").</t>
  </si>
  <si>
    <t>Con ancho seccional igual a 305 mm.</t>
  </si>
  <si>
    <t>Con ancho seccional igual a 315 mm.</t>
  </si>
  <si>
    <t>Con ancho seccional superior o igual a 325 mm.</t>
  </si>
  <si>
    <t>Con diametro de llanta igual a 5588 mm (22").</t>
  </si>
  <si>
    <t>Diagonales</t>
  </si>
  <si>
    <t>Radiales</t>
  </si>
  <si>
    <t>Con indice de velocidad inferior a H (Norma IRAM 113.319 o Tire and Rim Association Inc.)</t>
  </si>
  <si>
    <t>Con indice de velocidad igual a H (Norma IRAM 113.319 o Tire and Rim Association Inc.)</t>
  </si>
  <si>
    <t>De medida 11.00-24</t>
  </si>
  <si>
    <t>Con capacidad de carga igual a 18 telas (lonas o pliegos) segun Norma IRAM 113.319</t>
  </si>
  <si>
    <t>Con ancho seccional igual a 190 mm (designacion del tamaño 7.50-20) y una capacidad de carga igual a 12 telas (lonas o pliegos) segun Norma IRAM 113.319</t>
  </si>
  <si>
    <t>Con ancho seccional igual a 210 mm (designacion del tamaño 8.25-20) y una capacidad de carga igual a 12 telas (lonas o pliegos) segun Norma IRAM 113.319</t>
  </si>
  <si>
    <t>Con ancho seccional igual a 229 mm (designacion del tamaño 9.00-20) y una capacidad de carga igual a 12 telas (lonas o pliegos) segun Norma IRAM 113.319</t>
  </si>
  <si>
    <t>Con ancho seccional igual a 229 mm (designacion del tamaño 9.00-20) y una capacidad de carga igual a 14 telas (lonas o pliegos) segun Norma IRAM 113.319</t>
  </si>
  <si>
    <t>Con ancho seccional igual a 254 mm (designacion del tamaño 10.00-20) y una capacidad de carga igual a 16 telas (lonas o pliegos) segun Norma IRAM 113.319</t>
  </si>
  <si>
    <t>Con ancho seccional igual a 279 mm (designacion del tamaño 11.00-20) y una capacidad de carga igual a 16 telas (lonas o pliegos) segun Norma IRAM 113.319</t>
  </si>
  <si>
    <t>Con ancho seccional igual a 305 mm (designacion del tamaño 12.00-20) y una capacidad de carga igual a 16 telas (lonas o pliegos) segun Norma IRAM 113.319</t>
  </si>
  <si>
    <t>Con ancho seccional igual a 305 mm (designacion del tamaño 12.00-20) y una capacidad de carga igual a 18 telas (lonas o pliegos) segun Norma IRAM 113.319</t>
  </si>
  <si>
    <t>Los demas (designacion del tamaño **.**-20)</t>
  </si>
  <si>
    <t>Con diametro de llanta igual a 558.8 mm (22")</t>
  </si>
  <si>
    <t>Con ancho seccional igual a 279 mm (designacion del tamaño 11.00-22) y una capacidad de carga igual a 14 telas (lonas o pliegos) segun Norma IRAM 113.319</t>
  </si>
  <si>
    <t>Con ancho seccional igual a 279 mm (designacion del tamaño 11.00-22) y una capacidad de carga igual a 16 telas (lonas o pliegos) segun Norma IRAM 113.319</t>
  </si>
  <si>
    <t>Los demas (designacion del tamaño **.**-22)</t>
  </si>
  <si>
    <t>Con diametro de llanta igual a 609.6 mm (24")</t>
  </si>
  <si>
    <t>Con ancho seccional igual a 305 mm (designacion del tamaño 12.00-24) y una capacidad de carga igual a 18 telas (lonas o pliegos) segun Norma IRAM 113.319</t>
  </si>
  <si>
    <t>Los demas (designacion del tamaño **.**-24)</t>
  </si>
  <si>
    <t>Los demas (designacion del tamaño **.**-**)</t>
  </si>
  <si>
    <t>Radiales. con diametro de llanta igual a 444.5 mm (17.5")</t>
  </si>
  <si>
    <t>Serie 65 (designacion del tamaño 205/65R17.5)</t>
  </si>
  <si>
    <t>Serie 70 (designacion del tamaño 205/70R17.5)</t>
  </si>
  <si>
    <t>Serie 75 (designacion del tamaño 205/75R17.5)</t>
  </si>
  <si>
    <t>Los demas (designacion del tamaño 205/**R17.5)</t>
  </si>
  <si>
    <t>Serie 75 (designacion del tamaño 215/75R17.5)</t>
  </si>
  <si>
    <t>Los demas (designacion del tamaño 215/**R17.5 u 8.5R17.5)</t>
  </si>
  <si>
    <t>Con ancho seccional igual a 229 mm (designacion del tamaño 9R17.5)</t>
  </si>
  <si>
    <t>Serie 75 (designacion del tamaño 235/75R17.5)</t>
  </si>
  <si>
    <t>Los demas (designacion del tamaño 235/**R17.5)</t>
  </si>
  <si>
    <t>Serie 70 (designacion del tamaño 245/70R17.5)</t>
  </si>
  <si>
    <t>Serie 75 (designacion del tamaño 245/75R17.5)</t>
  </si>
  <si>
    <t>Los demas (designacion del tamaño 245/**R17.5)</t>
  </si>
  <si>
    <t>Con ancho seccional igual a 254 mm (designacion del tamaño 10R17.5)</t>
  </si>
  <si>
    <t>Los demas (designacion del tamaño ***/**R17.5)</t>
  </si>
  <si>
    <t>Radiales. con diametro de llanta igual a 495.3 mm (19.5")</t>
  </si>
  <si>
    <t>Con ancho seccional igual a 245 mm y serie 70 (designacion del tamaño 245/70R19.5)</t>
  </si>
  <si>
    <t>Con ancho seccional igual a 265 mm y serie 70 (designacion del tamaño 265/70R19.5)</t>
  </si>
  <si>
    <t>Con ancho seccional igual a 285 mm y serie 70 (designacion del tamaño 285/70R19.5)</t>
  </si>
  <si>
    <t>Con ancho seccional igual a 305 mm y serie 70 (designacion del tamaño 305/70R19.5)</t>
  </si>
  <si>
    <t>Los demas con serie 70 (designacion del tamaño ***/70R19.5)</t>
  </si>
  <si>
    <t>Los demas (designacion del tamaño ***/**R19.5)</t>
  </si>
  <si>
    <t>Radiales. con diametro de llanta igual a 508 mm (20")</t>
  </si>
  <si>
    <t>Con ancho seccional igual a 210 mm (designacion del tamaño 8.25R20)</t>
  </si>
  <si>
    <t>Con ancho seccional igual a 229 mm (designacion del tamaño 9.00R20)</t>
  </si>
  <si>
    <t>Con ancho seccional igual a 254 mm (designacion del tamaño 10.00R20)</t>
  </si>
  <si>
    <t>Con ancho seccional igual a 279 mm (designacion del tamaño 11.00R20)</t>
  </si>
  <si>
    <t>Con ancho seccional igual a 305 mm (designacion del tamaño 12.00R20)</t>
  </si>
  <si>
    <t>Con ancho seccional igual a 356 mm (designacion del tamaño 14.00R20)</t>
  </si>
  <si>
    <t>Los demas (designacion del tamaño **.**R20)</t>
  </si>
  <si>
    <t>Radiales. con diametro de llanta igual a 558.8 mm (22")</t>
  </si>
  <si>
    <t>Con ancho seccional igual a 279 mm (designacion del tamaño 11.00R22)</t>
  </si>
  <si>
    <t>Los demas (designacion del tamaño **.**R22)</t>
  </si>
  <si>
    <t>Radiales. con diametro de llanta igual a 571.5 mm (22.5")</t>
  </si>
  <si>
    <t>Serie 70 (designacion del tamaño 255/70R22.5)</t>
  </si>
  <si>
    <t>Los demas (designacion del tamaño 255/**R22.5)</t>
  </si>
  <si>
    <t>Serie 70 (designacion del tamaño 275/70R22.5)</t>
  </si>
  <si>
    <t>Serie 80 (designacion del tamaño 275/80R22.5)</t>
  </si>
  <si>
    <t>Los demas (designacion del tamaño 275/**R22.5)</t>
  </si>
  <si>
    <t>Serie 60 (designacion del tamaño 285/60R22.5)</t>
  </si>
  <si>
    <t>Los demas (designacion del tamaño 285/**R22.5)</t>
  </si>
  <si>
    <t>Con ancho seccional igual a 295 mm</t>
  </si>
  <si>
    <t>Serie 60 (designacion del tamaño 295/60R22.5)</t>
  </si>
  <si>
    <t>Serie 80 (designacion del tamaño 295/80R22.5)</t>
  </si>
  <si>
    <t>Los demas (designacion del tamaño 295/**R22.5)</t>
  </si>
  <si>
    <t>Con ancho seccional igual a 305 mm</t>
  </si>
  <si>
    <t>Serie 70 (designacion del tamaño 305/70R22.5)</t>
  </si>
  <si>
    <t>Los demas (designacion del tamaño 305/**R22.5)</t>
  </si>
  <si>
    <t>Con ancho seccional igual a 315 mm</t>
  </si>
  <si>
    <t>Serie 60 (designacion del tamaño 315/60R22.5)</t>
  </si>
  <si>
    <t>Serie 70 (designacion del tamaño 315/70R22.5)</t>
  </si>
  <si>
    <t>Serie 80 (designacion del tamaño 315/80R22.5)</t>
  </si>
  <si>
    <t>Los demas (designacion del tamaño 315/**R22.5)</t>
  </si>
  <si>
    <t>Con ancho seccional igual a 385 mm</t>
  </si>
  <si>
    <t>Serie 65 (designacion del tamaño 385/65R22.5)</t>
  </si>
  <si>
    <t>Los demas (designacion del tamaño 385/**R22.5)</t>
  </si>
  <si>
    <t>Con ancho seccional igual a 425 mm</t>
  </si>
  <si>
    <t>Serie 65 (designacion del tamaño 425/65R22.5)</t>
  </si>
  <si>
    <t>Los demas (designacion del tamaño 425/**R22.5)</t>
  </si>
  <si>
    <t>De los demas anchos seccionales</t>
  </si>
  <si>
    <t>Con ancho seccional igual a 229 mm (designacion del tamaño 9R22.5)</t>
  </si>
  <si>
    <t>Con ancho seccional igual a 254 mm (designacion del tamaño 10R22.5)</t>
  </si>
  <si>
    <t>Con ancho seccional igual a 279 mm (designacion del tamaño 11R22.5)</t>
  </si>
  <si>
    <t>Con ancho seccional igual a 330 mm (designacion del tamaño 13R22.5)</t>
  </si>
  <si>
    <t>Los demas (designacion del tamaño **R22.5)</t>
  </si>
  <si>
    <t>Radiales. con diametro de llanta igual a 609.6 mm (24") o a 622.3 mm (24.5")</t>
  </si>
  <si>
    <t>Con ancho seccional igual a 305 mm (designacion del tamaño 12.00R24)</t>
  </si>
  <si>
    <t>Los demas (designacion del tamaño **.**R24)</t>
  </si>
  <si>
    <t>Con diametro de llanta igual a 622.3 mm (24.5")</t>
  </si>
  <si>
    <t>Con ancho seccional igual a 279 mm (designacion del tamaño 11R24.5)</t>
  </si>
  <si>
    <t>Con ancho seccional igual a 305 mm (designacion del tamaño 12R24.5)</t>
  </si>
  <si>
    <t>Los demas (designacion del tamaño **R24.5)</t>
  </si>
  <si>
    <t>Los demas radiales</t>
  </si>
  <si>
    <t>Diagonales. incluso cinturados ("bias-belted")</t>
  </si>
  <si>
    <t>Con diametro de llanta inferior o igual a 305 mm (12")</t>
  </si>
  <si>
    <t>Con indice de velocidad inferior o igual a N</t>
  </si>
  <si>
    <t>Con indice de velocidad superior o igual a P pero inferior o iguala a S</t>
  </si>
  <si>
    <t>Con diametro de llanta superior o igual a 330.2 mm (13") pero inferior a 406.4 mm (16")</t>
  </si>
  <si>
    <t>Con indice de velocidad superior o igual a P pero inferior o igual a S</t>
  </si>
  <si>
    <t>De paseo. incluso del tipo "playeras"</t>
  </si>
  <si>
    <t>De rodado superior o igual a 254 mm (nro 10) pero inferior o igual a 406.4 mm (nro 16)</t>
  </si>
  <si>
    <t>De rodado superior a 406.4 mm (nro 16) pero inferior o igual a 508 mm (nro 20)</t>
  </si>
  <si>
    <t>De rodado superior a 508 mm (nro 20)</t>
  </si>
  <si>
    <t>De carrera</t>
  </si>
  <si>
    <t>De rodado superior o igual a 508 mm (nro 20) pero inferior o igual a 609.6 mm (nro 24)</t>
  </si>
  <si>
    <t>De rodado superior a 609.6 mm (nro 24)</t>
  </si>
  <si>
    <t>De "cross" o "mountain bike"</t>
  </si>
  <si>
    <t>De las siguientes medidas: 4.00-15; 4.00-18; 4.00-19; 5.00-15; 5.00-16; 5.50-16; 6.00-16; 6.00-19; 6.00-20; 6.50-16; 6.50-20; 7.50-16; 7.50-18; 7.50-20</t>
  </si>
  <si>
    <t>Con ancho seccional igual a 4.00; 5.00 o 5.50</t>
  </si>
  <si>
    <t>De medida 4.00-15</t>
  </si>
  <si>
    <t>De medida 4.00-18</t>
  </si>
  <si>
    <t>De medida 4.00-19</t>
  </si>
  <si>
    <t>De medida 5.00-15</t>
  </si>
  <si>
    <t>De medida 5.00-16</t>
  </si>
  <si>
    <t>De medida 5.50-16</t>
  </si>
  <si>
    <t>Con ancho seccional igual a 6.00; 6.50 o 7.50</t>
  </si>
  <si>
    <t>De medida 6.00-16</t>
  </si>
  <si>
    <t>De medida 6.00-19</t>
  </si>
  <si>
    <t>De medida 6.00-20</t>
  </si>
  <si>
    <t>De medida 6.50-16</t>
  </si>
  <si>
    <t>De medida 6.50-20</t>
  </si>
  <si>
    <t>De medida 7.50-16</t>
  </si>
  <si>
    <t>De medida 7.50-18</t>
  </si>
  <si>
    <t>De medida 7.50-20</t>
  </si>
  <si>
    <t>Radiales. de uso agricola</t>
  </si>
  <si>
    <t>Con diametro de llanta igual a 609.6 mm (24") o 660 mm (26")</t>
  </si>
  <si>
    <t>Con diametro de llanta igual a 609.6 mm (24'') y ancho seccional igual a 315 mm</t>
  </si>
  <si>
    <t>Con diametro de llanta igual a 609.6 mm (24'') y ancho seccional igual a 345 mm</t>
  </si>
  <si>
    <t>Con diametro de llanta igual a 609.6 mm (24'') y ancho seccional igual a 429 mm</t>
  </si>
  <si>
    <t>Con diametro de llanta igual a 660 mm (26'') y ancho seccional igual a 754 mm</t>
  </si>
  <si>
    <t>Con diametro de llanta igual a 711 mm (28'')</t>
  </si>
  <si>
    <t>Con ancho seccional igual a 284 mm</t>
  </si>
  <si>
    <t>Con ancho seccional igual a 378 mm</t>
  </si>
  <si>
    <t>Con ancho seccional igual a 429 mm</t>
  </si>
  <si>
    <t>Con ancho seccional igual a 645 mm</t>
  </si>
  <si>
    <t>Con diametro de llanta igual a 762 mm (30'')</t>
  </si>
  <si>
    <t>Con diametro de llanta igual a 813 mm (32'')</t>
  </si>
  <si>
    <t>Con ancho seccional igual a 622 mm</t>
  </si>
  <si>
    <t>Con ancho seccional igual a 798 mm</t>
  </si>
  <si>
    <t>Con ancho seccional igual a 30.5L</t>
  </si>
  <si>
    <t>Con ancho seccional igual a 886 mm</t>
  </si>
  <si>
    <t>Con diametro de llanta igual a 864 mm (34'')</t>
  </si>
  <si>
    <t>Con ancho seccional igual a 418 mm</t>
  </si>
  <si>
    <t>Con ancho seccional igual a 18.4L</t>
  </si>
  <si>
    <t>Con diametro de llanta igual a 914 mm (36'')</t>
  </si>
  <si>
    <t>Con ancho seccional igual a 319 mm</t>
  </si>
  <si>
    <t>Con diametro de llanta igual a 965 mm (38'')</t>
  </si>
  <si>
    <t>Con ancho seccional igual a 479 mm</t>
  </si>
  <si>
    <t>Con ancho seccional igual a 520 mm</t>
  </si>
  <si>
    <t>Con ancho seccional igual a 716 mm</t>
  </si>
  <si>
    <t>Con diametro de llanta igual a 1067 mm (42'') o 1168 mm (46'')</t>
  </si>
  <si>
    <t>Con diametro de llanta igual a 1067 mm (42'') y ancho seccional igual a 467 mm</t>
  </si>
  <si>
    <t>Con diametro de llanta igual a 1067 mm (42'') y ancho seccional igual a 520 mm</t>
  </si>
  <si>
    <t>Con diametro de llanta igual a 1067 mm (42'') y ancho seccional igual a 625 mm</t>
  </si>
  <si>
    <t>Con diametro de llanta igual a 1168 mm (46'') y ancho seccional igual a 319 mm</t>
  </si>
  <si>
    <t>Con diametro de llanta igual a 1168 mm (46'') y ancho seccional igual a 380 mm</t>
  </si>
  <si>
    <t>Con diametro de llanta igual a 1168 mm (46'') y ancho seccional igual a 467 mm</t>
  </si>
  <si>
    <t>Con diametro de llanta igual a 1168 mm (46'') y ancho seccional igual a 625 mm</t>
  </si>
  <si>
    <t>Radiales. de uso forestal</t>
  </si>
  <si>
    <t>Diagonales. de uso agricola. de la siguientes medidas: 11L 15; 12.5L 15; 13.5-15; 16.5-15; 7.00-16; 9.00-16; 10.00-16; 10.5-16; 11.00-16; 11L 16; 12.5L 16; 16.1L 16; 16.5L 16; 7.5-16.1; 14.5-16.1; 14.00-17.5; 10.50-18; 12.5L 18; 10.00-20; 10.50-20; 12.5L 20;</t>
  </si>
  <si>
    <t>De medida 11L 15</t>
  </si>
  <si>
    <t>De medida 12.5L 15</t>
  </si>
  <si>
    <t>De medida 13.5-15</t>
  </si>
  <si>
    <t>De medida 16.5-15</t>
  </si>
  <si>
    <t>De medida 7.00-16</t>
  </si>
  <si>
    <t>De medida 9.00-16</t>
  </si>
  <si>
    <t>De medida 10.00-16</t>
  </si>
  <si>
    <t>De medida 10.5-16</t>
  </si>
  <si>
    <t>De medida 11.00-16</t>
  </si>
  <si>
    <t>De medida 11L 16</t>
  </si>
  <si>
    <t>De medida 12.5L 16</t>
  </si>
  <si>
    <t>De medida 16.1L 16</t>
  </si>
  <si>
    <t>De medida 16.5L 16</t>
  </si>
  <si>
    <t>Con diametro de llanta igual a 408.94 mm (16.1")</t>
  </si>
  <si>
    <t>De medida 7.5-16.1</t>
  </si>
  <si>
    <t>De medida 14.5-16.1</t>
  </si>
  <si>
    <t>Con diametro de llanta igual a 444.5 mm (17.5"); 457.2 mm (18") o 508 mm (20")</t>
  </si>
  <si>
    <t>De medida 14.00-17.5</t>
  </si>
  <si>
    <t>De medida 10.50-18</t>
  </si>
  <si>
    <t>De medida 12.5L 18</t>
  </si>
  <si>
    <t>De medida 10.00-20</t>
  </si>
  <si>
    <t>De medida 10.50-20</t>
  </si>
  <si>
    <t>De medida 12.5L 20</t>
  </si>
  <si>
    <t>Diagonales. de uso agricola. con diametro de llanta igual a 397.7 mm (15.5"); 571.5 mm (22.5"); 673.1 mm (26.5") o 774.7 mm (30.5")</t>
  </si>
  <si>
    <t>De medida 4.00/60-15.5</t>
  </si>
  <si>
    <t>Lisa</t>
  </si>
  <si>
    <t>Con relieves</t>
  </si>
  <si>
    <t>De medida 4.00/55-22.5</t>
  </si>
  <si>
    <t>De llanta igual a 673.1 mm (26.5")</t>
  </si>
  <si>
    <t>De llanta igual a 774.7 mm (30.5")</t>
  </si>
  <si>
    <t>Los demas de llanta igual a 397.7 mm (15.5")</t>
  </si>
  <si>
    <t>Los demas de llanta igual a 571.5 mm (22.5")</t>
  </si>
  <si>
    <t>Los demas diagonales. de uso agricola. con diametro de llanta inferior a 609.6 mm (24"). excepto con diametro de llanta igual a 397.7 mm (15.5") o 571.5 mm (22.5").</t>
  </si>
  <si>
    <t>Con diametro de llanta igual a 381 mm (15").</t>
  </si>
  <si>
    <t>Con diametro de llanta igual a 406.4 mm (16").</t>
  </si>
  <si>
    <t>Con diametro de llanta igual a 444.5 mm (17.5")</t>
  </si>
  <si>
    <t>Con diametro de llanta igual a 482.6 mm (19'')</t>
  </si>
  <si>
    <t>Con diametro de llanta igual a 508 mm (20'')</t>
  </si>
  <si>
    <t>Los demas diagonales. de uso agricola. con diametro de llanta superior o igual a 609.6 mm (24") pero inferior a 787.4 mm (31"). excepto con diametro de llanta igual a 673.1 mm (26.5") o 774.7 mm (30.5")</t>
  </si>
  <si>
    <t>Con diametro de llanta igual a 609.6 mm (24'')</t>
  </si>
  <si>
    <t>Con ancho seccional igual a 241 mm (9.5'') y una capacidad de carga superior o igual a 6 telas (lonas o pliegos)</t>
  </si>
  <si>
    <t>Con ancho seccional igual a 351 mm (13.8'') y una capacidad de carga superior o igual a 6 telas (lonas o pliegos)</t>
  </si>
  <si>
    <t>Con ancho seccional igual a 345 mm (13.6'') y una capacidad de carga superior o igual a 6 telas (lonas o pliegos)</t>
  </si>
  <si>
    <t>Con ancho seccional igual a 378 mm (14.9'') y una capacidad de carga superior o igual a 6 telas (lonas o pliegos)</t>
  </si>
  <si>
    <t>Con ancho seccional igual a 429 mm (16.9'') y una capacidad de carga igual a 6. 8. 10 o 12 telas (lonas o pliegos)</t>
  </si>
  <si>
    <t>Con ancho seccional igual a 429 mm (16.9'') y una capacidad de carga superior o igual a 14 telas (lonas o pliegos)</t>
  </si>
  <si>
    <t>Con ancho seccional igual a 315 mm (12.4'') y una capacidad de carga superior o igual a 6 telas (lonas o pliegos)</t>
  </si>
  <si>
    <t>Con ancho seccional igual a 378 mm (14.9'') y una capacidad de carga igual a 6 o 10 telas (lonas o pliegos)</t>
  </si>
  <si>
    <t>Con ancho seccional igual a 378 mm (14.9'') y una capacidad de carga superior o igual a 12 telas (lonas o pliegos)</t>
  </si>
  <si>
    <t>Con ancho seccional igual a 429 mm (16.9'') y una capacidad de carga superior o igual a 6 telas (lonas o pliegos)</t>
  </si>
  <si>
    <t>Con ancho seccional igual a 467 mm (18.4'') y una capacidad de carga superior o igual a 6 telas. pero inferior o igual a 8 telas (lonas o pliegos)</t>
  </si>
  <si>
    <t>Con ancho seccional igual a 467 mm (18.4'') y una capacidad de carga superior o igual a 10 telas (lonas o pliegos)</t>
  </si>
  <si>
    <t>Con ancho seccional igual a 21L y una capacidad de carga igual a 12 telas (lonas o pliegos)</t>
  </si>
  <si>
    <t>Con ancho seccional igual a 588 mm (23.1'') y una capacidad de carga superior o igual a 8 telas (lonas o pliegos)</t>
  </si>
  <si>
    <t>Diagonales - De uso forestal</t>
  </si>
  <si>
    <t>Con diametro de llanta igual a 864 mm (34)</t>
  </si>
  <si>
    <t>Radiales. de los tipos utilizados en volquetes automotores concebidos para ser utilizados fuera de la red de carreteras. con ancho seccional superior o igual a 940 mm (37"). para llantas de diametro superior o igual a 1.448 mm (57")</t>
  </si>
  <si>
    <t>Los demas. con ancho seccional superior o igual a 1.143 mm (45"). para llantas de diametro superior o igual a 1.143 mm (45")</t>
  </si>
  <si>
    <t>Ãšnicamente de los tipos utilizados en vehiculos y maquinas para la construccion o mantenimiento industrial. para llantas de diametro inferior o igual a 610 mm</t>
  </si>
  <si>
    <t>Con ancho secional superior o igual a 1.143 mm (45"). para llantas de diametro superior o igual a 1.143 mm (45")</t>
  </si>
  <si>
    <t>Neumaticos (llantas neumaticas) recauchutados o usados. de caucho; bandajes (llantas macizas o huecas). bandas de rodadura para neumaticos (llantas neumaticas) y protectores («flaps»). de caucho.</t>
  </si>
  <si>
    <t>- Neumaticos (llantas neumaticas) recauchutados:</t>
  </si>
  <si>
    <t>- - De los tipos utilizados en automoviles de turismo (incluidos los del tipo familiar («break» o «station wagon») y los de carreras)</t>
  </si>
  <si>
    <t>Con reemplazo de la banda de rodadura. segun la Norma Conjunta IRAM 113.323- MERCOSUR NM 225</t>
  </si>
  <si>
    <t>Con reemplazo de la banda de rodadura con nuevo material que recubre parte del costado. segun la Norma Conjunta IRAM 113.323- MERCOSUR NM 225</t>
  </si>
  <si>
    <t>Con reemplazo de la banda de rodadura y renovacion del costado talon a talon. segun la Norma Conjunta IRAM 113.323- MERCOSUR NM 225</t>
  </si>
  <si>
    <t>De los tipos utilizados en aeronaves</t>
  </si>
  <si>
    <t>De los tipos utilizados en automoviles de turismo (incluidos los del tipo familiar ["break" o "station wagon"] y los de carreras)</t>
  </si>
  <si>
    <t>De los tipos utilizados en autobuses o camiones</t>
  </si>
  <si>
    <t>Protectores («flaps»)</t>
  </si>
  <si>
    <t>Bandas en rodadura intercambiambles para neumaticos (llantas neumaticas)</t>
  </si>
  <si>
    <t>Bandajes (llantas macizas o huecas)</t>
  </si>
  <si>
    <t>Camaras de caucho para neumaticos (llantas neumaticas).</t>
  </si>
  <si>
    <t>- De los tipos utilizados en automoviles de turismo (incluidos los del tipo familiar («break» o «station wagon») y los de carreras). en autobuses o camiones</t>
  </si>
  <si>
    <t>Para neumaticos de los tipos utilizados en autobuses o camiones. de medida 11.00-24</t>
  </si>
  <si>
    <t>De los tipos utilizadas en motocicletas</t>
  </si>
  <si>
    <t>Articulos de higiene o de farmacia (comprendidas las tetinas). de caucho vulcanizado sin endurecer. incluso con partes de caucho endurecido.</t>
  </si>
  <si>
    <t>En envases inmediatos unitarios</t>
  </si>
  <si>
    <t>Acondicionados en continentes de hasta 3 unidades</t>
  </si>
  <si>
    <t>Acondicionados en continentes de 4 y hasta 12 unidades</t>
  </si>
  <si>
    <t>Enrollados</t>
  </si>
  <si>
    <t>Bolsas para hielo o agua caliente</t>
  </si>
  <si>
    <t>Chupetes; mordillos</t>
  </si>
  <si>
    <t>Chupetes</t>
  </si>
  <si>
    <t>Mordillos</t>
  </si>
  <si>
    <t>Prendas de vestir. guantes. mitones y manoplas y demas complementos (accesorios). de vestir. para cualquier uso. de caucho vulcanizado sin endurecer.</t>
  </si>
  <si>
    <t>- Guantes. mitones y manoplas:</t>
  </si>
  <si>
    <t>Envasados para su venta directa al usuario final</t>
  </si>
  <si>
    <t>Para uso medico (R.G.30/97 AFIP)</t>
  </si>
  <si>
    <t>Esteriles</t>
  </si>
  <si>
    <t>Para uso domestico</t>
  </si>
  <si>
    <t>Recubiertos interiormente con fibras textiles</t>
  </si>
  <si>
    <t>Bombachas para bebe</t>
  </si>
  <si>
    <t>Trajes para buceo o deportes nauticos</t>
  </si>
  <si>
    <t>Las demas manufacturas de caucho vulcanizado sin endurecer.</t>
  </si>
  <si>
    <t>Partes de vehiculos automoviles o tractores y de maquinas o aparatos. no domesticos. de los Capitulos 84. 85 o 90</t>
  </si>
  <si>
    <t>De vehiculos automoviles y demas maquinas mencionadas en el Acuerdo ALADI / AAP.CE / 14.44 Apendice I</t>
  </si>
  <si>
    <t>Envases. recipientes (incluidas las partes) y demas manufacturas aptas para estar en contacto con alimentos</t>
  </si>
  <si>
    <t>O-ring</t>
  </si>
  <si>
    <t>Para salvamento</t>
  </si>
  <si>
    <t>Obturadores de EPDM para capacitores. con perforaciones para terminales</t>
  </si>
  <si>
    <t>Tiras sin fin del tipo de las denominadas "banditas elasticas"</t>
  </si>
  <si>
    <t>Con un contenido de caucho del 100 %</t>
  </si>
  <si>
    <t>Con un contenido de caucho superior o igual a 90 % pero inferior a 100 %</t>
  </si>
  <si>
    <t>Con un contenido de caucho superior o igual a 80 % pero inferior a 90 %</t>
  </si>
  <si>
    <t>Con un contenido de caucho superior o igual a 70 % pero inferior a 80 %</t>
  </si>
  <si>
    <t>Con un contenido de caucho superior o igual a 60 % pero inferior a 70 %</t>
  </si>
  <si>
    <t>Articulos para el transporte o envasado y sus partes</t>
  </si>
  <si>
    <t>Tapones. tapas y demas dispositivos de cierre</t>
  </si>
  <si>
    <t>Partes de vehiculos del Capitulo 87 y demas maquinas mencionadas en el Acuerdo ALADI/AAP.CE/14.44 Apendice I</t>
  </si>
  <si>
    <t>Fuelles</t>
  </si>
  <si>
    <t>Cilindricos</t>
  </si>
  <si>
    <t>Monolobulares</t>
  </si>
  <si>
    <t>Bilobulares</t>
  </si>
  <si>
    <t>Bujes</t>
  </si>
  <si>
    <t>Articulos de uso domestico</t>
  </si>
  <si>
    <t>Las demas partes de maquinas y aparatos de los Capitulos 84. 85 o 90</t>
  </si>
  <si>
    <t>Pezoneras para maquinas ordeñadoras</t>
  </si>
  <si>
    <t>Diafragmas</t>
  </si>
  <si>
    <t>De caucho natural</t>
  </si>
  <si>
    <t>De caucho sintetico</t>
  </si>
  <si>
    <t>CAUCHO ENDURECIDO (POR EJEMPLO. EBONITA) EN CUALQUIER FORMA. INCLUIDOS LOS DESECHOS Y DESPERDICIOS; MANUFACTURAS DE CAUCHO ENDURECIDO.</t>
  </si>
  <si>
    <t>Cueros y pieles en bruto. de bovino (incluido el bufalo) o de equino (frescos o salados. secos. encalados. piquelados o conservados de otro modo. pero sin curtir. apergaminar ni preparar de otra forma). incluso depilados o divididos.</t>
  </si>
  <si>
    <t>- Cueros y pieles enteros. sin dividir. de peso unitario inferior o igual a 8 kg para los secos. a 10 kg para los salados secos y a 16 kg para los frescos. salados verdes (humedos) o conservados de otro modo</t>
  </si>
  <si>
    <t>Cueros y pieles enteros de bovino (incluido el bufalo)</t>
  </si>
  <si>
    <t>Secos. sin vestigio de tratamiento con sales (Anexo VII-Decreto 2275/94)</t>
  </si>
  <si>
    <t>Frescos o salados verdes (humedos)</t>
  </si>
  <si>
    <t>Salados secos</t>
  </si>
  <si>
    <t>Cueros y pieles de equino</t>
  </si>
  <si>
    <t>Secos. sin vestigios de tratamientos con sales</t>
  </si>
  <si>
    <t>- Cueros y pieles enteros. de peso unitario superior a 16 kg</t>
  </si>
  <si>
    <t>Sin dividir</t>
  </si>
  <si>
    <t>Divididos con la flor</t>
  </si>
  <si>
    <t>Divididos sin la flor</t>
  </si>
  <si>
    <t>Piquelados (Anexo VII-Decreto 2275/94)</t>
  </si>
  <si>
    <t>Cueros y pieles de bovino (incluido el bufalo)</t>
  </si>
  <si>
    <t>Secos. sin vestigio de tratamiento con sales</t>
  </si>
  <si>
    <t>Cueros y pieles en bruto. de ovino (frescos o salados. secos. encalados. piquelados o conservados de otro modo. pero sin curtir. apergaminar ni preparar de otra forma). incluso depilados o divididos. excepto los excluidos por la Nota 1 c) de este Capitulo.</t>
  </si>
  <si>
    <t>Secos al sol</t>
  </si>
  <si>
    <t>- Sin lana (depilados):</t>
  </si>
  <si>
    <t>Lanares</t>
  </si>
  <si>
    <t>Borregos</t>
  </si>
  <si>
    <t>Corderitos</t>
  </si>
  <si>
    <t>Los demas cueros y pieles en bruto (frescos o salados. secos. encalados. piquelados o conservados de otro modo. pero sin curtir. apergaminar ni preparar de otra forma). incluso depilados o divididos. excepto los excluidos por las Notas 1 b) o 1 c) de este Capitulo.</t>
  </si>
  <si>
    <t>Lagartos</t>
  </si>
  <si>
    <t>Yacares</t>
  </si>
  <si>
    <t>Pecaries</t>
  </si>
  <si>
    <t>Carpinchos</t>
  </si>
  <si>
    <t>Caprinos</t>
  </si>
  <si>
    <t>Surubi (Pseudoplatysoma coruscanus). Salmon de mar (Pinguipes ssp.). Carpa (Cyprinus carpio). Raya (Raja cyclopitora). Sabalo (Prochilodus lineatus).</t>
  </si>
  <si>
    <t>Cueros y pieles curtidos o «crust». de bovino (incluido el bufalo) o de equino. depilados. incluso divididos pero sin otra preparacion.</t>
  </si>
  <si>
    <t>- En estado humedo (incluido el «wet-blue»):</t>
  </si>
  <si>
    <t>Plena flor sin dividir</t>
  </si>
  <si>
    <t>Cueros y pieles enteros de bovino (incluido el bufalo). con una superficie por unidad inferior o igual a 2.6 m2. simplemente curtidos al cromo («wet-blue»)</t>
  </si>
  <si>
    <t>Los demas cueros y pieles enteros de bovino (incluido el bufalo). con una superficie por unidad inferior o igual a 2.6 m2</t>
  </si>
  <si>
    <t>Los demas cueros y pieles de bovino (incluido el bufalo). con precurtido vegetal</t>
  </si>
  <si>
    <t>Enteros o medios</t>
  </si>
  <si>
    <t>Los demas cueros y pieles de bovino (incluido el bufalo)</t>
  </si>
  <si>
    <t>Cueros y pieles enteros de bovino (incluido el bufalo). con una superficie por unidad inferior o igual a 2.6 m 2. simplemente curtidos al cromo («wet-blue»)</t>
  </si>
  <si>
    <t>Descarnes de cueros vacunos</t>
  </si>
  <si>
    <t>Divididos sin la flor (descarnes). simplemente curtidos al cromo («wet-blue»)</t>
  </si>
  <si>
    <t>Divididos sin la flor (descarnes)</t>
  </si>
  <si>
    <t>Simplemente curtidos al cromo («wet-blue»)</t>
  </si>
  <si>
    <t>- En estado seco («crust»):</t>
  </si>
  <si>
    <t>Cueros y pieles enteros de bovino (incluido el bufalo). con una superficie por unidad inferior o igual a 2.6 m 2</t>
  </si>
  <si>
    <t>Recurtidos y engrasados. blanqueados o coloreados en baño previo al secado</t>
  </si>
  <si>
    <t>Los demas cueros y pieles de bovino (incluido el bufalo) curtidos al vegetal para suelas</t>
  </si>
  <si>
    <t>Curtidos al cromo. en estado seco («box-calf»)</t>
  </si>
  <si>
    <t>Los demas. recurtidos y engrasados. blanqueados o coloreados en baño previo al secado</t>
  </si>
  <si>
    <t>Pieles curtidas o «crust». de ovino. depiladas. incluso divididas pero sin otra preparacion.</t>
  </si>
  <si>
    <t>- En estado humedo (incluido el «wet-blue»)</t>
  </si>
  <si>
    <t>Con precurtido vegetal</t>
  </si>
  <si>
    <t>Precurtidas de otro modo</t>
  </si>
  <si>
    <t>Al cromo («wet-blue»)</t>
  </si>
  <si>
    <t>Curtidas al cromo</t>
  </si>
  <si>
    <t>-En estado seco («crust»)</t>
  </si>
  <si>
    <t>Cueros y pieles depilados de los demas animales y pieles de animales sin pelo. curtidos o «crust». incluso divididos pero sin otra preparacion.</t>
  </si>
  <si>
    <t>- De caprino:</t>
  </si>
  <si>
    <t>- - En estado humedo (incluido el «wet-blue»)</t>
  </si>
  <si>
    <t>Precurtidos de otro modo</t>
  </si>
  <si>
    <t>--En estado seco ( «crust»)</t>
  </si>
  <si>
    <t>- De porcino:</t>
  </si>
  <si>
    <t>--En estado seco («crust»)</t>
  </si>
  <si>
    <t>- - En estado seco («crust»)</t>
  </si>
  <si>
    <t>Cueros preparados despues del curtido o del secado y cueros y pieles apergaminados. de bovino (incluido el bufalo) o equino. depilados. incluso divididos. excepto los de la partida 41.14.</t>
  </si>
  <si>
    <t>- Cueros y pieles enteros:</t>
  </si>
  <si>
    <t>Cueros y pieles de bovino (incluido el bufalo). con una superficie por unidad inferior o igual a 2.6 m2</t>
  </si>
  <si>
    <t>- Los demas. incluidas las hojas:</t>
  </si>
  <si>
    <t>De bovino (incluido el bufalo)</t>
  </si>
  <si>
    <t>CUEROS PREPARADOS DESPUES DEL CURTIDO O SECADO Y CUEROS Y PIELES APERGAMINADOS. DE OVINO. DEPILADOS. INCLUSO DIVIDIDOS. EXCEPTO LOS DE LA PARTIDA 41.14.</t>
  </si>
  <si>
    <t>Cueros preparados despues del curtido o secado y cueros y pieles apergaminados. de los demas animales. depilados. y cueros preparados despues del curtido y cueros y pieles apergaminados. de animales sin pelo. incluso los divididos. excepto los de la partida 41.14.</t>
  </si>
  <si>
    <t>Curtidos al cromo. acabados</t>
  </si>
  <si>
    <t>Cueros y pieles agamuzados (incluido el agamuzado combinado al aceite); cueros y pieles charolados y sus imitaciones de cueros o pieles chapados; cueros y pieles metalizados.</t>
  </si>
  <si>
    <t>Charolados y sus imitaciones de cueros o pieles chapados</t>
  </si>
  <si>
    <t>Cuero regenerado a base de cuero o fibras de cuero. en placas. hojas o tiras. incluso enrolladas; recortes y demas desperdicios de cuero o piel. preparados. o de cuero regenerado. no utilizables para la fabricacion de manufacturas de cuero; aserrin. polvo y harina de cuero.</t>
  </si>
  <si>
    <t>Articulos de talabarteria o guarnicioneria para todos los animales (incluidos los tiros. traillas. rodilleras. bozales. sudaderos. alforjas. abrigos para perros y articulos similares). de cualquier materia.</t>
  </si>
  <si>
    <t>De cuero natural o regenerado</t>
  </si>
  <si>
    <t>Baules. maletas (valijas). maletines. incluidos los de aseo y los portadocumentos. portafolios (carteras de mano). cartapacios. fundas y estuches para gafas (anteojos). binoculares. camaras fotograficas o cinematograficas. instrumentos musicales o armas y continentes similares; sacos de viaje. sacos (bolsas)* aislantes para alimentos y bebidas. bolsas de aseo. mochilas. bolsos de mano (carteras). bolsas para la compra. billeteras. portamonedas. portamapas. petacas. pitilleras y bolsas para tabaco. bolsas para herramientas y para articulos de deporte. estuches para frascos y botellas. estuches para joyas. polveras. estuches para orfebreria y continentes similares. de cuero natural o regenerado. hojas de plastico. materia textil. fibra vulcanizada o carton. o recubiertos totalmente o en su mayor parte con esas materias o papel.</t>
  </si>
  <si>
    <t>- Baules. maletas (valijas) y maletines. incluidos los de aseo y los portadocumentos. portafolios (carteras de mano). cartapacios y continentes similares:</t>
  </si>
  <si>
    <t>De cuero natural</t>
  </si>
  <si>
    <t>De hasta 90 cm inclusive. de perimetro por cara</t>
  </si>
  <si>
    <t>Portafolios</t>
  </si>
  <si>
    <t>Maletines. incluidos los de aseo</t>
  </si>
  <si>
    <t>Baules</t>
  </si>
  <si>
    <t>Valijas</t>
  </si>
  <si>
    <t>De cuero regenerado</t>
  </si>
  <si>
    <t>De plastico</t>
  </si>
  <si>
    <t>De materia textil</t>
  </si>
  <si>
    <t>De madera</t>
  </si>
  <si>
    <t>- Bolsos de mano (carteras). incluso con bandolera o sin asas:</t>
  </si>
  <si>
    <t>De hojas de plastico</t>
  </si>
  <si>
    <t>- Articulos de bolsillo o de bolso de mano (cartera):</t>
  </si>
  <si>
    <t>Billeteras</t>
  </si>
  <si>
    <t>Portamonedas</t>
  </si>
  <si>
    <t>Pitilleras</t>
  </si>
  <si>
    <t>Fundas y estuches para gafas</t>
  </si>
  <si>
    <t>Tarjeteros y portachequeras</t>
  </si>
  <si>
    <t>Mochilas</t>
  </si>
  <si>
    <t>De campamento</t>
  </si>
  <si>
    <t>De hasta 70 cm inclusive. de perimetro por cara</t>
  </si>
  <si>
    <t>Bolsos</t>
  </si>
  <si>
    <t>Para articulos de deporte</t>
  </si>
  <si>
    <t>Para golf</t>
  </si>
  <si>
    <t>De viaje</t>
  </si>
  <si>
    <t>Isotermicos</t>
  </si>
  <si>
    <t>Estuches</t>
  </si>
  <si>
    <t>Para instrumentos musicales</t>
  </si>
  <si>
    <t>Para herramientas</t>
  </si>
  <si>
    <t>Para camaras fotograficas y videocamaras</t>
  </si>
  <si>
    <t>Para joyas</t>
  </si>
  <si>
    <t>Bolsas</t>
  </si>
  <si>
    <t>Prendas y complementos (accesorios). de vestir. de cuero natural o cuero regenerado.</t>
  </si>
  <si>
    <t>Cortadas en forma (R.747/95 MEOSP)</t>
  </si>
  <si>
    <t>Cortados en forma (R.747/95 MEOSP)</t>
  </si>
  <si>
    <t>Guantes de golf y de base-ball</t>
  </si>
  <si>
    <t>Las demas manufacturas de cuero natural o cuero regenerado.</t>
  </si>
  <si>
    <t>Entretenimientos para mascotas (R.257/00 ME)</t>
  </si>
  <si>
    <t>Viras para calzado</t>
  </si>
  <si>
    <t>Para usos tecnicos</t>
  </si>
  <si>
    <t>Manufacturas de tripa. vejigas o tendones.</t>
  </si>
  <si>
    <t>Cuerdas de tripa</t>
  </si>
  <si>
    <t>Peleteria en bruto (incluidas las cabezas. colas. patas y demas trozos utilizables en peleteria). excepto las pieles en bruto de las partidas 41.01. 41.02 o 41.03.</t>
  </si>
  <si>
    <t>-De cordero llamadas «astracan». «Breitschwanz». «caracul». «persa» o similares. de cordero de Indias. de China. de Mongolia o del Tibet. enteras. incluso sin la cabeza. cola o patas</t>
  </si>
  <si>
    <t>De conejo o liebre</t>
  </si>
  <si>
    <t>De castor</t>
  </si>
  <si>
    <t>De foca u otaria</t>
  </si>
  <si>
    <t>De Coipo (Myocastor Coypus)</t>
  </si>
  <si>
    <t>Peleteria curtida o adobada (incluidas las cabezas. colas. patas y demas trozos. desechos y recortes). incluso ensamblada (sin otras materias). excepto la de la partida 43.03.</t>
  </si>
  <si>
    <t>- Pieles enteras. incluso sin la cabeza. cola o patas. sin ensamblar:</t>
  </si>
  <si>
    <t>De ovinos</t>
  </si>
  <si>
    <t>Prendas y complementos (accesorios). de vestir. y demas articulos de peleteria.</t>
  </si>
  <si>
    <t>- Prendas y complementos (accesorios). de vestir</t>
  </si>
  <si>
    <t>Prendas</t>
  </si>
  <si>
    <t>Tapados y sacos</t>
  </si>
  <si>
    <t>Confeccionados con recortes (retales)</t>
  </si>
  <si>
    <t>Confeccionadas con recortes (retales)</t>
  </si>
  <si>
    <t>Complementos (accesorios) de vestir</t>
  </si>
  <si>
    <t>Estolas. cuellos y boas</t>
  </si>
  <si>
    <t>Alfombras</t>
  </si>
  <si>
    <t>Mantas</t>
  </si>
  <si>
    <t>Cubreasientos</t>
  </si>
  <si>
    <t>PELETERÃA FACTICIA O ARTIFICIAL Y ARTÃCULOS DE PELETERÃA FACTICIA O ARTIFICIAL.</t>
  </si>
  <si>
    <t>Leña; madera en plaquitas o particulas; aserrin. desperdicios y desechos. de madera. incluso aglomerados en leños. briquetas. «pellets» o formas similares.</t>
  </si>
  <si>
    <t>- Leña:</t>
  </si>
  <si>
    <t>De quebracho</t>
  </si>
  <si>
    <t>- Madera en plaquitas o particulas:</t>
  </si>
  <si>
    <t>De pino (pinus spp.)</t>
  </si>
  <si>
    <t>De alamo (Populus spp)</t>
  </si>
  <si>
    <t>De eucalipto (Eucaliptus spp)</t>
  </si>
  <si>
    <t>- Aserrin. desperdicios ydesechos de madera. aglomerados en leños. briquetas. «pellets» o formas similares:</t>
  </si>
  <si>
    <t>- - «Pellets» de madera</t>
  </si>
  <si>
    <t>En envases inmediatos de contenido neto inferior o igual a 20 kg</t>
  </si>
  <si>
    <t>De Palo Santo (Bulnesia Sarmientoi)</t>
  </si>
  <si>
    <t>De Guayacan (Caesalpinia paraguatiensis)</t>
  </si>
  <si>
    <t>De Quina (Myroxylon peruviferum)</t>
  </si>
  <si>
    <t>De Lapacho (Tabebuia impetiginosa)</t>
  </si>
  <si>
    <t>De Itin (Proposis Kuntzei)</t>
  </si>
  <si>
    <t>De Calden (Proposis caldenia)</t>
  </si>
  <si>
    <t>En envases inmediatos de contenido neto superior a 20 kg pero inferior o igual a 1250 kg</t>
  </si>
  <si>
    <t>Aglomerados. en envases inmediatos de contenido neto inferior o igual a 20 kg</t>
  </si>
  <si>
    <t>Aglomerados. en envases inmediatos de contenido neto superior a 20 kg pero inferior o igual a 1250 kg</t>
  </si>
  <si>
    <t>Los demas. aglomerados</t>
  </si>
  <si>
    <t>En envases inmediatos de contenido neto superior a 20 kg pero inferior o igual a 1.250 kg</t>
  </si>
  <si>
    <t>Carbon vegetal (comprendido el de cascaras o de huesos (carozos)* de frutos). incluso aglomerado.</t>
  </si>
  <si>
    <t>En envases inmediatos de contenido neto inferior o igual a 5 kg (R. 1044/00 ME)</t>
  </si>
  <si>
    <t>En envases inmediatos de contenido neto superior a 5 kg e inferior o igual a 20 kg (R. 1044/00 ME)</t>
  </si>
  <si>
    <t>De Eucaliptus grandis. citriodora y colorado</t>
  </si>
  <si>
    <t>Madera en bruto. incluso descortezada. desalburada o escuadrada.</t>
  </si>
  <si>
    <t>- Tratada con pintura. creosota u otros agentes de conservacion:</t>
  </si>
  <si>
    <t>Postes</t>
  </si>
  <si>
    <t>De longitud inferior a 4 m</t>
  </si>
  <si>
    <t>De pino elliotti (Pinus elliotti)</t>
  </si>
  <si>
    <t>De pino brasil (Araucaria angustifolia)</t>
  </si>
  <si>
    <t>Rollizos</t>
  </si>
  <si>
    <t>De pino Taeda (Pinus Taeda)</t>
  </si>
  <si>
    <t>- Las demas. de coniferas:</t>
  </si>
  <si>
    <t>- - De pino (Pinus spp.). cuya mayor dimension de la seccion transversal sea superior o igual a 15 cm</t>
  </si>
  <si>
    <t>--De abeto (Abies spp.) y de picea (Picea spp.). cuya mayor dimension de la seccion transversal sea superior o igual a 15 cm</t>
  </si>
  <si>
    <t>--Las demas. cuya mayor dimension de la seccion transversal sea superior o igual a 15 cm</t>
  </si>
  <si>
    <t>- Las demas. de maderas tropicales:</t>
  </si>
  <si>
    <t>--De haya (Fagus spp.). cuya mayor dimension de la seccion transversal sea superior o igual a 15 cm</t>
  </si>
  <si>
    <t>--De abedul (Betula spp.). cuya mayor dimension de la seccion transversal sea superior o igual a 15 cm</t>
  </si>
  <si>
    <t>De sauce (Salix spp.)</t>
  </si>
  <si>
    <t>De paraiso (Melia spp.)</t>
  </si>
  <si>
    <t>Flejes de madera; rodrigones hendidos; estacas y estaquillas de madera. apuntadas. sin aserrar longitudinalmente; madera simplemente desbastada o redondeada. pero sin tornear. curvar ni trabajar de otro modo. para bastones. paraguas. mangos de herramientas o similares; madera en tablillas. laminas. cintas o similares.</t>
  </si>
  <si>
    <t>Tratada con pintura. creosota u otros agentes de conservacion</t>
  </si>
  <si>
    <t>Rodrigones hendidos</t>
  </si>
  <si>
    <t>De eucalipto (Eucaliptus spp.)</t>
  </si>
  <si>
    <t>De eucalipto (eucaliptus spp.)</t>
  </si>
  <si>
    <t>LANA DE MADERA; HARINA DE MADERA.</t>
  </si>
  <si>
    <t>Traviesas (durmientes) de madera para vias ferreas o similares.</t>
  </si>
  <si>
    <t>- Sin impregnar:</t>
  </si>
  <si>
    <t>Madera aserrada o desbastada longitudinalmente. cortada o desenrollada. incluso cepillada. lijada o unida por los extremos. de espesor superior a 6 mm.</t>
  </si>
  <si>
    <t>- De coniferas:</t>
  </si>
  <si>
    <t>De pino insigne (Pinus insignis)</t>
  </si>
  <si>
    <t>De pino sprus (Pinus spruce)</t>
  </si>
  <si>
    <t>De pino elliotti (pinus elliottii)</t>
  </si>
  <si>
    <t>De pino taeda (Pinus taeda)</t>
  </si>
  <si>
    <t>De pino parana (Araucaria augustifolia)</t>
  </si>
  <si>
    <t>De pino elliotti (Pinus elliottii)</t>
  </si>
  <si>
    <t>De abeto (Abies spp.)</t>
  </si>
  <si>
    <t>De picea (Picea spp)</t>
  </si>
  <si>
    <t>Tratada con pintura. creosata u otros agentes de conservacion</t>
  </si>
  <si>
    <t>- De maderas tropicales:</t>
  </si>
  <si>
    <t>De Cedro</t>
  </si>
  <si>
    <t>De Ipe (Lapacho)</t>
  </si>
  <si>
    <t>De Pau Marfim (Guatambu)</t>
  </si>
  <si>
    <t>De Louro (Peteribi o Peterivy)</t>
  </si>
  <si>
    <t>De cañafistula (ybyrapyta) (Peltophorum vogelianum)</t>
  </si>
  <si>
    <t>De incienso (Myrocarpus spp.)</t>
  </si>
  <si>
    <t>De urunday (urundey) (Astronium balansae)</t>
  </si>
  <si>
    <t>De peroba (Paratecoma peroba)</t>
  </si>
  <si>
    <t>De guayaibi (Patagonula americana)</t>
  </si>
  <si>
    <t>De viraro (yvyraro) (Pterogyne nitens)</t>
  </si>
  <si>
    <t>De curupay (kurupay) (Piptadenia macrocarpa)</t>
  </si>
  <si>
    <t>Palo trebol (Amburana Cearensis)</t>
  </si>
  <si>
    <t>Hojas para chapado (incluidas las obtenidas por cortado de madera estratificada). para contrachapado o para maderas estratificadas similares y demas maderas. aserradas longitudinalmente. cortadas o desenrolladas. incluso cepilladas. lijadas. unidas longitudinalmente o por los extremos. de espesor inferior o igual a 6 mm.</t>
  </si>
  <si>
    <t>Obtenidas por cortado de madera estratificada</t>
  </si>
  <si>
    <t>De espesor inferior o igual a 0.65 mm</t>
  </si>
  <si>
    <t>De pino taeda (pinus taeda)</t>
  </si>
  <si>
    <t>De pau marfim (Guatambu)</t>
  </si>
  <si>
    <t>De Mogno</t>
  </si>
  <si>
    <t>De alamo (Populus spp.)</t>
  </si>
  <si>
    <t>De Itin (Proposis Kuntzei). De Calden (Proposis caldenia)</t>
  </si>
  <si>
    <t>Madera (incluidas las tablillas y frisos para parques. sin ensamblar) perfilada longitudinalmente (con lengÃ¼etas. ranuras. rebajes. acanalados. biselados. con juntas en v. moldurados. redondeados o similares) en una o varias caras. cantos o extremos. incluso cepillada. lijada o unida por los extremos.</t>
  </si>
  <si>
    <t>- Distinta de la de coniferas:</t>
  </si>
  <si>
    <t>Tableros de particulas. tableros llamados «oriented strand board» (OSB) y tableros similares (por ejemplo. «waferboard»). de madera u otras materias leñosas. incluso aglomeradas con resinas o demas aglutinantes organicos.</t>
  </si>
  <si>
    <t>- De madera:</t>
  </si>
  <si>
    <t>En bruto o simplemente lijados</t>
  </si>
  <si>
    <t>De espesor inferior o igual a 8 mm</t>
  </si>
  <si>
    <t>Recubiertos en la superficie con papel impregnado con melamina</t>
  </si>
  <si>
    <t>En ambas caras. con pelicula protectora en la cara vista y trabajo de encastre en sus cuatro cantos. de los tipos utilizados para pisos flotantes</t>
  </si>
  <si>
    <t>Sin trabajo mecanico</t>
  </si>
  <si>
    <t>De espesor superior o igual a 5 mm pero inferior o igual a 8mm</t>
  </si>
  <si>
    <t>De espesor superior a 8 mm pero inferior o igual a 12 mm</t>
  </si>
  <si>
    <t>- - Tableros llamados «oriented strand board» (OSB)</t>
  </si>
  <si>
    <t>Tableros llamados «waferboard»</t>
  </si>
  <si>
    <t>Tableros de fibra de madera u otras materias leñosas. incluso aglomeradas con resinas o demas aglutinantes organicos.</t>
  </si>
  <si>
    <t>- Tableros de fibra de densidad media (llamados «MDF»):</t>
  </si>
  <si>
    <t>- - De espesor inferior o igual a 5 mm</t>
  </si>
  <si>
    <t>Sin trabajo mecanico ni recubrimiento de superficie</t>
  </si>
  <si>
    <t>De densidad superior a 0.5 g/cm3 pero inferior o igual a 0.8 g/cm3</t>
  </si>
  <si>
    <t>Con recubrimiento de superficie en una o ambas caras y con trabajo mecanico en dos (2) o cuatro (4) de sus cantos</t>
  </si>
  <si>
    <t>De espesor igual a 5 mm</t>
  </si>
  <si>
    <t>- - De espesor superior a 5 mm pero inferior o igual a 9 mm</t>
  </si>
  <si>
    <t>Recubiertos en ambas caras con papel impregnado con melamina. pelicula protectora en la cara vista y trabajo de encastre en sus cuatro cantos. de los tipos utilizados para piso flotante</t>
  </si>
  <si>
    <t>- - De espesor superior a 9 mm</t>
  </si>
  <si>
    <t>De espesor superior a 9 mm pero inferior o igual a 12 mm</t>
  </si>
  <si>
    <t>- - De densidad superior a 0.8 g/cm3</t>
  </si>
  <si>
    <t>De densidad inferior o igual a 0.95 g/cm3</t>
  </si>
  <si>
    <t>De espesor superior o igual a 5 mm pero inferior o igual a 12 mm</t>
  </si>
  <si>
    <t>- - De densidad superior a 0.5 g/cm 3 pero inferior o igual a 0.8 g/cm3</t>
  </si>
  <si>
    <t>- - De densidad inferior o igual a 0.5 g/cm3</t>
  </si>
  <si>
    <t>Madera contrachapada. madera chapada y madera estratificada similar.</t>
  </si>
  <si>
    <t>Maderas contrachapadas. constituidas exclusivamente por hojas de madera de espesor unitario inferior o igual a 6 mm. que no tengan una hoja externa de las maderas tropicales citadas en la Nota de subpartida del Capitulo 44 ni una hoja externa de madera distinta de la de coniferas</t>
  </si>
  <si>
    <t>- Las demas maderas contrachapadas. constituidas exclusivamente por hojas de madera (excepto de bambu) de espesor unitario inferior o igual a 6 mm:</t>
  </si>
  <si>
    <t>De 3 mm de espesor</t>
  </si>
  <si>
    <t>De primera calidad (calidades A y B. segun Norma IRAM 9506)</t>
  </si>
  <si>
    <t>De segunda calidad (calidades BB y BBB. segun Norma IRAM 9506)</t>
  </si>
  <si>
    <t>De tercera calidad (calidad C. segun Norma IRAM 9506)</t>
  </si>
  <si>
    <t>De calidad inferior a tercera y/o sin lijar. sin clasificar o de descarte</t>
  </si>
  <si>
    <t>De 4 mm de espesor</t>
  </si>
  <si>
    <t>De espesor superior a 4 mm pero inferior a 6 mm</t>
  </si>
  <si>
    <t>De tercera calidad e inferiores (calidad C e inferiores. segun Norma IRAM 9506)</t>
  </si>
  <si>
    <t>De espesor superior o igual a 6 mm pero inferior a 9 mm</t>
  </si>
  <si>
    <t>De espesor inferior a 7 mm.. de primera calidad (calidades A y B. segun Norma IRAM 9506)</t>
  </si>
  <si>
    <t>De espesor inferior a 7 mm.. de segunda calidad (calidades BB y BBB. segun Norma IRAM 9506)</t>
  </si>
  <si>
    <t>De espesor inferior a 7 mm.. de tercera calidad e inferiores (calidad C e inferiores. segun Norma IRAM 9506)</t>
  </si>
  <si>
    <t>De espesor superior o igual a 7 mm.. pero inferior a 8 mm.. de primera calidad (calidades A y B. segun Norma IRAM 9506)</t>
  </si>
  <si>
    <t>De espesor superior o igual a 7 mm.. pero inferior a 8 mm.. de segunda calidad (calidades BB y BBB. segun Norma IRAM 9506)</t>
  </si>
  <si>
    <t>De espesor superior a 7 mm.. pero inferior a 8 mm.. de tercera calidad e inferiores (calidad C e inferiores. segun Norma IRAM 9506)</t>
  </si>
  <si>
    <t>De espesor superior o igual a 8 mm.. de primera calidad (calidades A y B. segun Norma IRAM 9506)</t>
  </si>
  <si>
    <t>De espesor superior o igual a 8 mm.. de segunda calidad (calidades BB y BBB. segun Norma IRAM 9506)</t>
  </si>
  <si>
    <t>De espesor superior o igual a 8 mm.. de tercera calidad e inferiores (calidad C e inferiores. segun Norma IRAM 9506)</t>
  </si>
  <si>
    <t>De espesor superior o igual a 9 mm pero inferior a 14 mm</t>
  </si>
  <si>
    <t>De espesor inferior a 10 mm.. de primera calidad (calidades A y B. segun Norma IRAM 9506)</t>
  </si>
  <si>
    <t>De espesor inferior a 10 mm.. de segunda calidad (calidades BB y BBB. segun Norma IRAM 9506)</t>
  </si>
  <si>
    <t>De espesor inferior a 10 mm.. de tercera calidad e inferiores (calidad C e inferiores. segun Norma IRAM 9506)</t>
  </si>
  <si>
    <t>De espesor superior o igual a 10 mm.. pero inferior a 12 mm.. de primera calidad (calidades A y B. segun Norma IRAM 9506)</t>
  </si>
  <si>
    <t>De espesor superior o igual a 10 mm.. pero inferior a 12 mm.. de segunda calidad (calidades BB y BBB. segun Norma IRAM 9506)</t>
  </si>
  <si>
    <t>De espesor superior a 10 mm.. pero inferior a 12 mm.. de tercera calidad e inferiores (calidad C e inferiores. segun Norma IRAM 9506)</t>
  </si>
  <si>
    <t>De espesor superior o igual a 12 mm.. de primera calidad (calidades A y B. segun Norma IRAM 9506)</t>
  </si>
  <si>
    <t>De espesor superior o igual a 12 mm.. de segunda calidad (calidades BB y BBB. segun Norma IRAM 9506)</t>
  </si>
  <si>
    <t>De espesor superior o igual a 12 mm.. de tercera calidad e inferiores (calidad C e inferiores. segun Norma IRAM 9506)</t>
  </si>
  <si>
    <t>De espesor superior o igual a 14 mm pero inferior o igual a 18 mm</t>
  </si>
  <si>
    <t>De espesor inferior a 15 mm.. de primera calidad (calidades A y B. segun Norma IRAM 9506)</t>
  </si>
  <si>
    <t>De espesor inferior a 15 mm.. de segunda calidad (calidades BB y BBB. segun Norma IRAM 9506)</t>
  </si>
  <si>
    <t>De espesor inferior a 15 mm.. de tercera calidad e inferiores (calidad C e inferiores. segun Norma IRAM 9506)</t>
  </si>
  <si>
    <t>De espesor superior o igual a 15 mm.. pero inferior a 16 mm.. de primera calidad (calidades A y B. segun Norma IRAM 9506)</t>
  </si>
  <si>
    <t>De espesor superior o igual a 15 mm.. pero inferior a 16 mm.. de segunda calidad (calidades BB y BBB. segun Norma IRAM 9506)</t>
  </si>
  <si>
    <t>De espesor superior a 15 mm.. pero inferior a 16 mm.. de tercera calidad e inferiores (calidad C e inferiores. segun Norma IRAM 9506)</t>
  </si>
  <si>
    <t>De espesor superior o igual a 16 mm.. de primera calidad (calidades A y B. segun Norma IRAM 9506)</t>
  </si>
  <si>
    <t>De espesor superior o igual a 16 mm.. de segunda calidad (calidades BB y BBB. segun Norma IRAM 9506)</t>
  </si>
  <si>
    <t>De espesor superior o igual a 16 mm.. de tercera calidad e inferiores (calidad C e inferiores. segun Norma IRAM 9506)</t>
  </si>
  <si>
    <t>De espesor superior o igual a 3 mm pero inferior a 7 mm</t>
  </si>
  <si>
    <t>De espesor inferior a 4 mm.. de primera calidad (calidades A y B. segun Norma IRAM 9506)</t>
  </si>
  <si>
    <t>De espesor inferior a 4 mm.. de segunda calidad (calidades BB y BBB. segun Norma IRAM 9506)</t>
  </si>
  <si>
    <t>De espesor inferior a 4 mm.. de tercera calidad e inferiores (calidad C e inferiores. segun Norma IRAM 9506)</t>
  </si>
  <si>
    <t>De espesor superior o igual a 4 mm.. pero inferior a 6 mm.. de primera calidad (calidades A y B. segun Norma IRAM 9506)</t>
  </si>
  <si>
    <t>De espesor superior o igual a 4 mm.. pero inferior a 6 mm.. de segunda calidad (calidades BB y BBB. segun Norma IRAM 9506)</t>
  </si>
  <si>
    <t>De espesor superior a 4 mm.. pero inferior a 6 mm.. de tercera calidad e inferiores (calidad C e inferiores. segun Norma IRAM 9506)</t>
  </si>
  <si>
    <t>De espesor superior o igual a 6 mm.. de primera calidad (calidades A y B. segun Norma IRAM 9506)</t>
  </si>
  <si>
    <t>De espesor superior o igual a 6 mm.. de segunda calidad (calidades BB y BBB. segun Norma IRAM 9506)</t>
  </si>
  <si>
    <t>De espesor superior o igual a 6 mm.. de tercera calidad e inferiores (calidad C e inferiores. segun Norma IRAM 9506)</t>
  </si>
  <si>
    <t>De espesor superior o igual a 7 mm pero inferior a 10 mm</t>
  </si>
  <si>
    <t>De espesor inferior a 8 mm.. de primera calidad (calidades A y B. segun Norma IRAM 9506)</t>
  </si>
  <si>
    <t>De espesor inferior a 8 mm.. de segunda calidad (calidades BB y BBB. segun Norma IRAM 9506)</t>
  </si>
  <si>
    <t>De espesor inferior a 8 mm.. de tercera calidad e inferiores (calidad C e inferiores. segun Norma IRAM 9506)</t>
  </si>
  <si>
    <t>De espesor superior o igual a 8 mm.. pero inferior a 9 mm.. de primera calidad (calidades A y B. segun Norma IRAM 9506)</t>
  </si>
  <si>
    <t>De espesor superior o igual a 8 mm.. pero inferior a 9 mm.. de segunda calidad (calidades BB y BBB. segun Norma IRAM 9506)</t>
  </si>
  <si>
    <t>De espesor superior o igual a 8 mm. pero inferior a 9 mm.. de tercera calidad e inferiores (calidad C e inferiores. segun Norma IRAM 9506)</t>
  </si>
  <si>
    <t>De espesor superior o igual a 9 mm.. de primera calidad (calidades A y B. segun Norma IRAM 9506)</t>
  </si>
  <si>
    <t>De espesor superior o igual a 9 mm.. de segunda calidad (calidades BB y BBB. segun Norma IRAM 9506)</t>
  </si>
  <si>
    <t>De espesor superior o igual a 9 mm.. de tercera calidad e inferiores (calidad C e inferiores. segun Norma IRAM 9506)</t>
  </si>
  <si>
    <t>De espesor superior o igual a 10 mm pero inferior a 16 mm</t>
  </si>
  <si>
    <t>De espesor inferior a 12 mm.. de primera calidad (calidades A y B. segun Norma IRAM 9506)</t>
  </si>
  <si>
    <t>De espesor inferior a 12 mm.. de segunda calidad (calidades BB y BBB. segun Norma IRAM 9506)</t>
  </si>
  <si>
    <t>De espesor inferior a 12 mm.. de tercera calidad e inferiores (calidad C e inferiores. segun Norma IRAM 9506)</t>
  </si>
  <si>
    <t>De espesor superior o igual a 12 mm.. pero inferior a 14 mm.. de primera calidad (calidades A y B. segun Norma IRAM 9506)</t>
  </si>
  <si>
    <t>De espesor superior o igual a 12 mm.. pero inferior a 14 mm.. de segunda calidad (calidades BB y BBB. segun Norma IRAM 9506)</t>
  </si>
  <si>
    <t>De espesor superior o igual a 12 mm. pero inferior a 14 mm.. de tercera calidad e inferiores (calidad C e inferiores. segun Norma IRAM 9506)</t>
  </si>
  <si>
    <t>De espesor superior o igual a 14 mm.. de primera calidad (calidades A y B. segun Norma IRAM 9506)</t>
  </si>
  <si>
    <t>De espesor superior o igual a 14 mm.. de segunda calidad (calidades BB y BBB. segun Norma IRAM 9506)</t>
  </si>
  <si>
    <t>De espesor superior o igual a 14 mm.. de tercera calidad e inferiores (calidad C e inferiores. segun Norma IRAM 9506)</t>
  </si>
  <si>
    <t>De espesor superior o igual a 16 mm pero inferior o igual a 18 mm</t>
  </si>
  <si>
    <t>De espesor superior o igual a 4 mm. pero inferior a 6 mm.. de tercera calidad e inferiores (calidad C e inferiores. segun Norma IRAM 9506)</t>
  </si>
  <si>
    <t>De espesor superior o igual a 10 mm pero inferior a 15 mm</t>
  </si>
  <si>
    <t>De espesor superior o igual a 15 mm pero inferior o igual a 18 mm</t>
  </si>
  <si>
    <t>De espesor inferior a 16 mm.. de primera calidad (calidades A y B. segun Norma IRAM 9506)</t>
  </si>
  <si>
    <t>De espesor inferior a 16 mm.. de segunda calidad (calidades BB y BBB. segun Norma IRAM 9506)</t>
  </si>
  <si>
    <t>De espesor inferior a 16 mm.. de tercera calidad e inferiores (calidad C e inferiores. segun Norma IRAM 9506)</t>
  </si>
  <si>
    <t>- - Las demas. que tengan. por lo menos. una hoja externa de madera distinta de la de coniferas. de las especies: aliso (Alnus spp.). fresno (Fraxinus spp.). haya (Fagus spp.). abedul (Betula spp.). cerezo (Prunus spp.). castaño (Castanea spp.). olmo (Ulmus spp.). eucalipto (Eucalyptus spp.). caria o pacana (Carya spp.). castaño de Indias (Aesculus spp.). tilo (Tilia spp.). arce (Acer spp.). roble (Quercus spp.). platano (Platanus spp.). alamo (Populus spp.). algarrobo negro (Robinia spp.). arbol de tulipan (Liriodendron spp.) o nogal (Juglans spp.)</t>
  </si>
  <si>
    <t>De espesor inferior a 4 mm. de primera calidad (calidades A y B. segun Norma IRAM 9506)</t>
  </si>
  <si>
    <t>De espesor inferior a 4 mm. de segunda calidad (calidades BB y BBB. segun Norma IRAM 9506)</t>
  </si>
  <si>
    <t>De espesor inferior a 4 mm. de tercera calidad e inferiores (calidad C e inferiores. segun Norma IRAM 9506)</t>
  </si>
  <si>
    <t>De espesor superior o igual a 4 mm. pero inferior a 6 mm. de primera calidad (calidades A y B. segun Norma IRAM 9506)</t>
  </si>
  <si>
    <t>De espesor superior o igual a 4 mm. pero inferior a 6 mm. de segunda calidad (calidades BB y BBB. segun Norma IRAM 9506)</t>
  </si>
  <si>
    <t>De espesor superior o igual a 4 mm. pero inferior a 6 mm. de tercera calidad e inferiores (calidad C e inferiores. segun Norma IRAM 9506)</t>
  </si>
  <si>
    <t>De espesor superior o igual a 6 mm. de primera calidad (calidades A y B. segun Norma IRAM 9506)</t>
  </si>
  <si>
    <t>De espesor superior o igual a 6 mm. de segunda calidad (calidades BB y BBB. segun Norma IRAM 9506)</t>
  </si>
  <si>
    <t>De espesor superior o igual a 6 mm. de tercera calidad e inferiores (calidad C e inferiores. segun Norma IRAM 9506)</t>
  </si>
  <si>
    <t>De espesor inferior a 8 mm. de primera calidad (calidades A y B. segun Norma IRAM 9506)</t>
  </si>
  <si>
    <t>De espesor inferior a 8 mm. de segunda calidad (calidades BB y BBB. segun Norma IRAM 9506)</t>
  </si>
  <si>
    <t>De espesor inferior a 8 mm. de tercera calidad e inferiores (calidad C e inferiores. segun Norma IRAM 9506)</t>
  </si>
  <si>
    <t>De espesor superior o igual a 8 mm. pero inferior a 9 mm. de primera calidad (calidades A y B. segun Norma IRAM 9506)</t>
  </si>
  <si>
    <t>De espesor superior o igual a 8 mm. pero inferior a 9 mm. de segunda calidad (calidades BB y BBB. segun Norma IRAM 9506)</t>
  </si>
  <si>
    <t>De espesor superior o igual a 8 mm. pero inferior a 9 mm. de tercera calidad e inferiores (calidad C e inferiores. segun Norma IRAM 9506)</t>
  </si>
  <si>
    <t>De espesor superior o igual a 9 mm. de primera calidad (calidades A y B. segun Norma IRAM 9506)</t>
  </si>
  <si>
    <t>De espesor superior o igual a 9 mm. de segunda calidad (calidades BB y BBB. segun Norma IRAM 9506)</t>
  </si>
  <si>
    <t>De espesor superior o igual a 9 mm. de tercera calidad e inferiores (calidad C e inferiores. segun Norma IRAM 9506)</t>
  </si>
  <si>
    <t>De espesor superior o igual a 10. mm pero inferior a 15 mm</t>
  </si>
  <si>
    <t>De espesor inferior a 12 mm. de primera calidad (calidades A y B. segun Norma IRAM 9506)</t>
  </si>
  <si>
    <t>De espesor inferior a 12 mm. de segunda calidad (calidades BB y BBB. segun Norma IRAM 9506)</t>
  </si>
  <si>
    <t>De espesor inferior a 12 mm. de tercera calidad e inferiores (calidad C e inferiores. segun Norma IRAM 9506)</t>
  </si>
  <si>
    <t>De espesor superior o igual a 12 mm. pero inferior a 14 mm. de primera calidad (calidades A y B. segun Norma IRAM 9506)</t>
  </si>
  <si>
    <t>De espesor superior o igual a 12 mm. pero inferior a 14 mm. de segunda calidad (calidades BB y BBB. segun Norma IRAM 9506)</t>
  </si>
  <si>
    <t>De espesor superior o igual a 12 mm. pero inferior a 14 mm. de tercera calidad e inferiores (calidad C e inferiores. segun Norma IRAM 9506)</t>
  </si>
  <si>
    <t>De espesor superior o igual a 14 mm. de primera calidad (calidades A y B. segun Norma IRAM 9506)</t>
  </si>
  <si>
    <t>De espesor superior o igual a 14 mm. de segunda calidad (calidades BB y BBB. segun Norma IRAM 9506)</t>
  </si>
  <si>
    <t>De espesor superior o igual a 14 mm. de tercera calidad e inferiores (calidad C e inferiores. segun Norma IRAM 9506)</t>
  </si>
  <si>
    <t>De espesor superior o igual a 15 mm pero inferior a 18 mm</t>
  </si>
  <si>
    <t>De espesor inferior a 16 mm. de primera calidad (calidades A y B. segun Norma IRAM 9506)</t>
  </si>
  <si>
    <t>De espesor inferior a 16 mm. de segunda calidad (calidades BB y BBB. segun Norma IRAM 9506)</t>
  </si>
  <si>
    <t>De espesor inferior a 16 mm. de tercera calidad e inferiores (calidad C e inferiores. segun Norma IRAM 9506)</t>
  </si>
  <si>
    <t>De espesor superior o igual a 16 mm.de primera calidad (calidades A y B. segun Norma IRAM 9506)</t>
  </si>
  <si>
    <t>De espesor superior o igual a 16 mm. de segunda calidad (calidades BB y BBB. segun Norma IRAM 9506)</t>
  </si>
  <si>
    <t>De espesor superior o igual a 16 mm. de tercera calidad e inferiores (calidad C e inferiores. segun Norma IRAM 9506)</t>
  </si>
  <si>
    <t>Fenolicos. sin recubrimiento de plastico</t>
  </si>
  <si>
    <t>De espesor superior o igual a 16 mm. de primera calidad (calidades A y B. segun Norma IRAM 9506)</t>
  </si>
  <si>
    <t>Los demas fenolicos</t>
  </si>
  <si>
    <t>- - Las demas. que tengan. por lo menos. una hoja externa de madera distinta de la de coniferas. no especificadas en la subpartida 4412.33</t>
  </si>
  <si>
    <t>De espesor superior a 4 mm. pero inferior a 6 mm.. de tercera calidad e inferiores (calidad C e inferiores. segun Norma IRAM 9506)</t>
  </si>
  <si>
    <t>De espesor superior a 8 mm. pero inferior a 9 mm.. de tercera calidad e inferiores (calidad C e inferiores. segun Norma IRAM 9506)</t>
  </si>
  <si>
    <t>De espesor inferior a 12 mm. de tercera calidad e inferiores (calidades C e inferiores. segun Norma IRAM 9506)</t>
  </si>
  <si>
    <t>--Tableros denominados «blockboard». «laminboard» y «battenboard»</t>
  </si>
  <si>
    <t>Madera contrachapada ureica</t>
  </si>
  <si>
    <t>Terciados y multilaminados de espesor superior a 18 mm pero inferior a 20 mm (R.1535/97 MEOSP)</t>
  </si>
  <si>
    <t>Terciados y multilaminados de espesor superior o igual a 20 mm. (R.1535/97 MEOSP)</t>
  </si>
  <si>
    <t>Fenolicos</t>
  </si>
  <si>
    <t>MADERA DENSIFICADA EN BLOQUES. TABLAS. TIRAS O PERFILES.</t>
  </si>
  <si>
    <t>MARCOS DE MADERA PARA CUADROS. FOTOGRAFÃAS. ESPEJOS U OBJETOS SIMILARES.</t>
  </si>
  <si>
    <t>Cajones. cajas. jaulas. tambores y envases similares. de madera; carretes para cables. de madera; paletas. paletas caja y demas plataformas para carga. de madera; collarines para paletas. de madera.</t>
  </si>
  <si>
    <t>Cajones. cajas. jaulas. tambores y envases similares</t>
  </si>
  <si>
    <t>Carretes para cables</t>
  </si>
  <si>
    <t>Collarines para paletas (Anexo II-1)</t>
  </si>
  <si>
    <t>Barriles. cubas. tinas y demas manufacturas de toneleria y sus partes. de madera. incluidas las duelas.</t>
  </si>
  <si>
    <t>De roble (Quercus spp.)</t>
  </si>
  <si>
    <t>Duelas</t>
  </si>
  <si>
    <t>Herramientas. monturas y mangos de herramientas. monturas y mangos de cepillos. brochas o escobas. de madera; hormas. ensanchadores y tensores para el calzado. de madera.</t>
  </si>
  <si>
    <t>Herramientas</t>
  </si>
  <si>
    <t>Hormas. ensanchadores y tensores para el calzado</t>
  </si>
  <si>
    <t>Obras y piezas de carpinteria para construcciones. incluidos los tableros celulares. los tableros ensamblados para revestimiento de suelo y tablillas para cubierta de tejados o fachadas («shingles» y «shakes»). de madera.</t>
  </si>
  <si>
    <t>-Tablillas para cubierta de tejados o fachadas («shingles» y «shakes»)</t>
  </si>
  <si>
    <t>- Tableros ensamblados para revestimiento de suelo:</t>
  </si>
  <si>
    <t>Articulos de mesa o de cocina. de madera.</t>
  </si>
  <si>
    <t>- De bambu:</t>
  </si>
  <si>
    <t>Marqueteria y taracea; cofrecillos y estuches para joyeria u orfebreria y manufacturas similares. de madera; estatuillas y demas objetos de adorno. de madera; articulos de mobiliario. de madera. no comprendidos en el Capitulo 94.</t>
  </si>
  <si>
    <t>Las demas manufacturas de madera.</t>
  </si>
  <si>
    <t>Anatomicas</t>
  </si>
  <si>
    <t>Mondadientes</t>
  </si>
  <si>
    <t>Palitos para helados</t>
  </si>
  <si>
    <t>Otros palillos para asir alimentos</t>
  </si>
  <si>
    <t>Manufacturas diversas de roble. tostadas. de los tipos utilizados en barriles de fermentacion o crianza de vinos</t>
  </si>
  <si>
    <t>Corcho natural en bruto o simplemente preparado; desperdicios de corcho; corcho triturado. granulado o pulverizado.</t>
  </si>
  <si>
    <t>Corcho natural. descortezado o simplemente escuadrado o en bloques. placas. hojas o tiras. cuadradas o rectangulares (incluidos los esbozos con aristas vivas para tapones).</t>
  </si>
  <si>
    <t>Simplemente escuadrado</t>
  </si>
  <si>
    <t>En tiras. incluso reforzadas con papel o textil</t>
  </si>
  <si>
    <t>Manufacturas de corcho natural.</t>
  </si>
  <si>
    <t>Corcho aglomerado (incluso con aglutinante) y manufacturas de corcho aglomerado.</t>
  </si>
  <si>
    <t>Con aglomerante</t>
  </si>
  <si>
    <t>Tapones. incluso con discos de corcho natural</t>
  </si>
  <si>
    <t>Las demas. aptas para estar en contacto con alimentos</t>
  </si>
  <si>
    <t>Trenzas y articulos similares. de materia trenzable. incluso ensamblados en tiras; materia trenzable. trenzas y articulos similares de materia trenzable. tejidos o paralelizados. en forma plana. incluso terminados (por ejemplo: esterillas. esteras. cañizos).</t>
  </si>
  <si>
    <t>- Esterillas. esteras y cañizos. de materia vegetal:</t>
  </si>
  <si>
    <t>--De roten (ratan)*</t>
  </si>
  <si>
    <t>Articulos de cesteria obtenidos directamente en su forma con materia trenzable o confeccionados con articulos de la partida 46.01; manufacturas de esponja vegetal (paste o «lufa»).</t>
  </si>
  <si>
    <t>- De materia vegetal:</t>
  </si>
  <si>
    <t>Pasta mecanica de madera.</t>
  </si>
  <si>
    <t>De pino</t>
  </si>
  <si>
    <t>De abeto</t>
  </si>
  <si>
    <t>De abedul</t>
  </si>
  <si>
    <t>Pasta quimica de madera para disolver.</t>
  </si>
  <si>
    <t>Pasta quimica de madera a la sosa (soda) o al sulfato. excepto la pasta para disolver.</t>
  </si>
  <si>
    <t>- Cruda:</t>
  </si>
  <si>
    <t>De alamo</t>
  </si>
  <si>
    <t>- Semiblanqueada o blanqueada:</t>
  </si>
  <si>
    <t>Pasta quimica de madera al sulfito. excepto la pasta para disolver.</t>
  </si>
  <si>
    <t>PASTA DE MADERA OBTENIDA POR LA COMBINACION DE TRATAMIENTOS MECaNICO Y QUÃMICO.</t>
  </si>
  <si>
    <t>Pasta de fibras obtenidas de papel o carton reciclado (desperdicios y desechos) o de las demas materias fibrosas celulosicas.</t>
  </si>
  <si>
    <t>De bagazo de caña de azucar</t>
  </si>
  <si>
    <t>De paja</t>
  </si>
  <si>
    <t>De trapos de algodon</t>
  </si>
  <si>
    <t>Papel o carton para reciclar (desperdicios y desechos).</t>
  </si>
  <si>
    <t>Papel prensa en bobinas (rollos) o en hojas.</t>
  </si>
  <si>
    <t>En hojas. en las que ningun lado sea superior a 360 mm. medidos sin plegar</t>
  </si>
  <si>
    <t>Otros. de peso inferior o igual a 57 g/m2. con un contenido de fibras de madera obtenidas por procedimiento mecanico superior o igual al 65 % en peso del contenido total de fibra</t>
  </si>
  <si>
    <t>Papel y carton. sin estucar ni recubrir. de los tipos utilizados para escribir. imprimir u otros fines graficos y papel y carton para tarjetas o cintas para perforar (sin perforar). en bobinas (rollos) o en hojas de forma cuadrada o rectangular. de cualquier tamaño. excepto el papel de las partidas 48.01 o 48.03; papel y carton hechos a mano (hoja a hoja).</t>
  </si>
  <si>
    <t>En tiras o en bobinas (rollos) de anchura inferior o igual a 15 cm o en hojas en las que ningun lado sea superior a 360 mm. medidos sin plegar</t>
  </si>
  <si>
    <t>Acondicionadas para la venta al por menor</t>
  </si>
  <si>
    <t>En tiras o en bobinas (rollos) de anchura inferior o igual a 15 cm</t>
  </si>
  <si>
    <t>De peso inferior o igual a 70 g/m2</t>
  </si>
  <si>
    <t>- Los demas papeles y cartones. sin fibras obtenidas por procedimiento mecanico o quimico- mecanico o con un contenido total de estas fibras inferior o igual al 10 % en peso del contenido total de fibra:</t>
  </si>
  <si>
    <t>- - De peso inferior a 40 g/m 2</t>
  </si>
  <si>
    <t>Acondicionadas para la venta al por menor (Res.798/99 SICyM)</t>
  </si>
  <si>
    <t>Resmas tamaño A 4</t>
  </si>
  <si>
    <t>Resmas tamaño oficio</t>
  </si>
  <si>
    <t>Resmas tamaño carta</t>
  </si>
  <si>
    <t>Fabricado principalmente con pasta blanqueada o con pasta obtenida por procedimiento mecanico. de peso inferior a 19 g/m2</t>
  </si>
  <si>
    <t>- - De peso superior o igual a 40 g/m 2 pero inferior o igual a 150 g/m 2. en bobinas (rollos)</t>
  </si>
  <si>
    <t>De anchura inferior o igual a 15 cm</t>
  </si>
  <si>
    <t>Papeles de peso superior a 40 g/m2 pero inferior a 50 g/m2 (Res.567/97 MEOSP)</t>
  </si>
  <si>
    <t>De dibujo</t>
  </si>
  <si>
    <t>Kraft</t>
  </si>
  <si>
    <t>Papeles de peso superior a 40 g/m2 pero inferior a 50 g/m2. excepto el papel de obra de peso inferior o igual a 50g/m2 (segun Res.465-E/2016)</t>
  </si>
  <si>
    <t>Papel obra de peso inferior o igual a 50g/m2 y papel obra de peso igual a 150g/m2 (segun Res.465-E/2016)</t>
  </si>
  <si>
    <t>- - De peso superior o igual a 40 g/m 2 pero inferior o igual a 150 g/m 2. en hojas en las que un lado sea inferior o igual a 435 mm y el otro sea inferior o igual a 297 mm. medidos sin plegar</t>
  </si>
  <si>
    <t>En las que ningun lado sea superior a 360 mm. medidos sin plegar</t>
  </si>
  <si>
    <t>Para la impresion de papel moneda</t>
  </si>
  <si>
    <t>- - Los demas. de peso superior o igual a 40 g/m 2 pero inferior o igual a 150 g/m 2</t>
  </si>
  <si>
    <t>En tiras de anchura inferior o igual a 15 cm o en hojas en las que ningun lado sea superior a 360 mm. medidos sin plegar</t>
  </si>
  <si>
    <t>Acondicionado para la venta al por menor</t>
  </si>
  <si>
    <t>- - De peso superior a 150 g/m 2</t>
  </si>
  <si>
    <t>Papeles de peso superior a 150 g/m2 pero inferior o igual a 225 g/m2</t>
  </si>
  <si>
    <t>- Los demas papeles y cartones. con un contenido total de fibras obtenidas por procedimiento mecanico o quimico-mecanico superior al 10 % en peso del contenido total de fibra:</t>
  </si>
  <si>
    <t>De peso inferior o igual a 57 g/m2. con un contenido de fibras de madera obtenidas por procedimiento mecanico superior o igual al 65 % en peso del contenido total de fibra</t>
  </si>
  <si>
    <t>De peso inferior a 40 g/m2</t>
  </si>
  <si>
    <t>De peso superior o igual a 40 g/m2 pero inferior 150 g/m2</t>
  </si>
  <si>
    <t>De peso superior o igual a 150 g/m2 pero inferior a 225 g/m2</t>
  </si>
  <si>
    <t>- - En hojas en las que un lado sea inferior o igual a 435 mm y el otro sea inferior o igual a 297 mm. medidos sin plegar</t>
  </si>
  <si>
    <t>Papel del tipo utilizado para papel higienico. toallitas para desmaquillar. toallas. servilletas o papeles similares de uso domestico. de higiene o tocador. guata de celulosa y napa de fibras de celulosa. incluso rizados («crepes»). plisados. gofrados. estampados. perforados. coloreados o decorados en la superficie o impresos. en bobinas (rollos) o en hojas.</t>
  </si>
  <si>
    <t>Guata de celulosa y napa de fibras de celulosa</t>
  </si>
  <si>
    <t>Papel para toallas</t>
  </si>
  <si>
    <t>Papel para servilletas</t>
  </si>
  <si>
    <t>Papel higienico</t>
  </si>
  <si>
    <t>Papel y carton Kraft. sin estucar ni recubrir. en bobinas (rollos) o en hojas. excepto el de las partidas 48.02 o 48.03.</t>
  </si>
  <si>
    <t>- Papel y carton para caras (cubiertas) («Kraftliner»):</t>
  </si>
  <si>
    <t>- Papel Kraft para sacos (bolsas):</t>
  </si>
  <si>
    <t>- Los demas papeles y cartones Kraft. de peso inferior o igual a 150 g/m 2:</t>
  </si>
  <si>
    <t>De rigidez dielectrica superior o igual a 600 V (metodo ASTM D 202 o equivalente)</t>
  </si>
  <si>
    <t>De rigidez dielectrica superior o igual a 600 V (metodo ASTM D202 o equivalente)</t>
  </si>
  <si>
    <t>Extensibles. aptos para la fabricacion de sacos (bolsas)</t>
  </si>
  <si>
    <t>- Los demas papeles y cartones Kraft. de peso superior a 150 g/m 2 pero inferior a 225 g/m 2:</t>
  </si>
  <si>
    <t>--Blanqueados uniformemente en la masa y con un contenido de fibras de madera obtenidas por procedimiento quimico superior al 95 % en peso del contenido total de fibra</t>
  </si>
  <si>
    <t>- Los demas papeles y cartones Kraft. de peso superior o igual a 225 g/m 2:</t>
  </si>
  <si>
    <t>Semiblanqueados. con un contenido de fibras de madera obtenidas por procedimiento quimico del 100 % en peso</t>
  </si>
  <si>
    <t>Los demas papeles y cartones. sin estucar ni recubrir. en bobinas (rollos) o en hojas. que no hayan sido sometidos a trabajos complementarios o tratamientos distintos de los especificados en la Nota 3 de este Capitulo.</t>
  </si>
  <si>
    <t>- Papel para acanalar:</t>
  </si>
  <si>
    <t>Papel y carton. multicapas</t>
  </si>
  <si>
    <t>De peso inferior o igual a 150 g/m2</t>
  </si>
  <si>
    <t>- «Testliner» (de fibras recicladas):</t>
  </si>
  <si>
    <t>- - De peso inferior o igual a 150 g/m 2</t>
  </si>
  <si>
    <t>Con todas las capas blanqueadas</t>
  </si>
  <si>
    <t>Con solo una capa exterior blanqueada</t>
  </si>
  <si>
    <t>Con tres o mas capas blanqueadas solamente</t>
  </si>
  <si>
    <t>De peso superior a 15 g/m2 pero inferior o igual a 25 g/m2 y con un contenido de fibras sinteticas termosoldables superior o igual al 20 % pero inferior o igual al 30 %. en peso. del contenido total de fibras</t>
  </si>
  <si>
    <t>Papel para saquitos de te</t>
  </si>
  <si>
    <t>De laboratorio</t>
  </si>
  <si>
    <t>- - De peso superior a 150 g/m 2 pero inferior a 225 g/m 2</t>
  </si>
  <si>
    <t>Con fibras de vidrio</t>
  </si>
  <si>
    <t>- - De peso superior o igual a 225 g/m 2</t>
  </si>
  <si>
    <t>Papel y carton sulfurizados. papel resistente a las grasas. papel vegetal. papel cristal y demas papeles calandrados transparentes o traslucidos. en bobinas (rollos) o en hojas.</t>
  </si>
  <si>
    <t>-Papel resistente a las grasas («greaseproof»)</t>
  </si>
  <si>
    <t>De gramaje superior o igual a 30g/m2 e inferior o igual 100g/m2</t>
  </si>
  <si>
    <t>PAPEL Y CARTON OBTENIDOS POR PEGADO DE HOJAS PLANAS. SIN ESTUCAR NI RECUBRIR EN LA SUPERFICIE Y SIN IMPREGNAR. INCLUSO REFORZADOS INTERIORMENTE. EN BOBINAS (ROLLOS) O EN HOJAS.</t>
  </si>
  <si>
    <t>Papel y carton corrugados (incluso revestidos por encolado). rizados («crepes»). plisados. gofrados. estampados o perforados. en bobinas (rollos) o en hojas. excepto el papel de los tipos descritos en el texto de la partida 48.03.</t>
  </si>
  <si>
    <t>-Papel Kraft rizado («crepe») o plisado. incluso gofrado. estampado o perforado</t>
  </si>
  <si>
    <t>Papel carbon (carbonico). papel autocopia y demas papeles para copiar o transferir (incluido el estucado o cuche. recubierto o impregnado. para clises de mimeografo («stencils») o para planchas offset). incluso impresos. en bobinas (rollos) o en hojas.</t>
  </si>
  <si>
    <t>Papel y carton estucados por una o las dos caras con caolin u otras sustancias inorganicas. con aglutinante o sin el. con exclusion de cualquier otro estucado o recubrimiento. incluso coloreados o decorados en la superficie o impresos. en bobinas (rollos) o en hojas de forma cuadrada o rectangular. de cualquier tamaño.</t>
  </si>
  <si>
    <t>- Papel y carton de los tipos utilizados para escribir. imprimir u otros fines graficos. sin fibras obtenidas por procedimiento mecanico o quimico-mecanico o con un contenido total de estas fibras inferior o igual al 10 % en peso del contenido total de fibra:</t>
  </si>
  <si>
    <t>Los demas. de peso superior a 150 g/m 2</t>
  </si>
  <si>
    <t>Baritados (estucados con oxido o sulfato de bario)</t>
  </si>
  <si>
    <t>Destinados a la impresion de libros y revistas cuando sean importados por empresas editoras o importadoras que actuen por cuenta de terceros que sean usuarios directos acreditados por las autoridades competentes (Anexos II-2)</t>
  </si>
  <si>
    <t>De peso superior a 200 g/m2 (Res.662/98 MEOSP)</t>
  </si>
  <si>
    <t>De gramaje superior a 200 g/m2. con grado de blancura superior al 60%. espesor comprendido entre las 225 y 508 micras y un contenido de cenizas superior al 3%. para la elaboracion de envases(Anexo C-X) (R.662/98 MEOSP)</t>
  </si>
  <si>
    <t>Tipo duplex (Res.214/99 MEOSP).(Res.978/00 ME)</t>
  </si>
  <si>
    <t>Papel estucado o recubierto en una cara. del tipo «wet strength». resistente a la humedad y al alcali</t>
  </si>
  <si>
    <t>Estucados por una cara. en los que el 10%. en peso. del contenido total de fibra este constituido por fibras obtenidas por procedimiento mecanico. de peso inferior a 80 g/m2 (Anexos II-3)</t>
  </si>
  <si>
    <t>Destinados a la impresion de libros y revistas cuando sean importados por empresas editoras o importadoras que actuen por cuenta de terceros que sean usuarios directos acreditados por las autoridades competentes (Anexo II-2)</t>
  </si>
  <si>
    <t>De peso superior o igual a 80 g/m2 pero inferior o igual a 150 g/m2</t>
  </si>
  <si>
    <t>De peso superior a 200 g/m2. con grado de blancura superior al 60%. espesor comprendido entre las 225 y 508 micras y un contenido de cenizas superior al 3%. para la elaboracion de envases(Anexo C-X) (R.662/98 MEOSP)</t>
  </si>
  <si>
    <t>Estucados por una cara. en los que el 10 %. en peso. del contenido total de fibra este constituido por fibras obtenidas por procedimiento mecanico. de peso inferior a 80 g/m2 (Anexos II-3)</t>
  </si>
  <si>
    <t>Estucados en una cara. en los que el 10%. en peso. del contenido total de fibra este contituido por fibras obtenidas por procedimiento mecanico. de peso inferior a 80 g/m2 (Anexo II-3)</t>
  </si>
  <si>
    <t>Papel del tipo "wetstrenght". resistentes a la humedad y alcali</t>
  </si>
  <si>
    <t>- Papel y carton de los tipos utilizados para escribir. imprimir u otros fines graficos. con un contenido total de fibras obtenidas por procedimiento mecanico o quimico-mecanico superior al 10 % en peso del contenido total de fibra:</t>
  </si>
  <si>
    <t>- - Papel estucado o cuche ligero (liviano)* («L.W.C.»)</t>
  </si>
  <si>
    <t>De peso inferior o igual a 60 g/m2</t>
  </si>
  <si>
    <t>De peso superior a 200 g/m2. con grado de blancura superior al 60 %. espesor comprendido entre las 225 y 508 micras y un contenido de cenizas superior al 3 %. para la elaboracion de envases(Anexo V-C-10) (R.662/98 MEOSP)</t>
  </si>
  <si>
    <t>Tipo duplex (Res.214/99 MEOSP)</t>
  </si>
  <si>
    <t>Papel o carton. con un contenido total de fibras obtenidas por procedimiento mecanico o quimico-mecanico superior al 10 % pero inferior o igual al 50 % en peso del contenido total de fibra. de peso superior o igual a 80 g/m2 e inferior o igual a 200 g/m2</t>
  </si>
  <si>
    <t>Destinados a la impresion de libros. direcctorios. diarios y demas publicaciones periodicas de interes general. cuando sean importados por empresas de diarios. editoras o importadoras que actuen por encargo de terceros que sean usuarios directos. acreditados por las autoridades competentes de los Estados Partes.</t>
  </si>
  <si>
    <t>- Papel y carton Kraft. excepto los de los tipos utilizados para escribir. imprimir u otros fines graficos:</t>
  </si>
  <si>
    <t>- - Blanqueados uniformemente en la masa y con un contenido de fibras de madera obtenidas por procedimiento quimico superior al 95 % en peso del contenido total de fibra. de peso inferior o igual a 150 g/m 2</t>
  </si>
  <si>
    <t>- - Blanqueados uniformemente en la masa y con un contenido de fibras de madera obtenidas por procedimiento quimico superior al 95 % en peso del contenido total de fibra. de peso superior a 150 g/m 2</t>
  </si>
  <si>
    <t>Kraft multicapa. mayoritariamente cruda. estucada. de gramaje superior a 150 g/m2. con un contenido de pasta quimica superior o igual al 90 %. destinada a la laminacion con aluminio. polietileno y/o copolimeros de etileno. para la fabricacion de envases para alimentos liquidos y semiliquidos unicamente</t>
  </si>
  <si>
    <t>- Los demas papeles y cartones:</t>
  </si>
  <si>
    <t>Papel. carton.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t>
  </si>
  <si>
    <t>Alquitranados</t>
  </si>
  <si>
    <t>- Papel y carton engomados o adhesivos:</t>
  </si>
  <si>
    <t>En bobinas</t>
  </si>
  <si>
    <t>Papel o carton de la partida 48.02</t>
  </si>
  <si>
    <t>Papel o carton de la partida 48.10</t>
  </si>
  <si>
    <t>Papel termosensible</t>
  </si>
  <si>
    <t>En hojas cuadradas o rectangulares</t>
  </si>
  <si>
    <t>- Papel y carton recubiertos. impregnados o revestidos de plastico (excepto los adhesivos):</t>
  </si>
  <si>
    <t>- - Blanqueados. de peso superior a 150 g/m 2</t>
  </si>
  <si>
    <t>Los demas. recubiertos o revestidos</t>
  </si>
  <si>
    <t>De silicona</t>
  </si>
  <si>
    <t>De polietileno. estratificado con aluminio. impreso</t>
  </si>
  <si>
    <t>De polietileno o polipropileno. en ambas caras. base para papel fotografico</t>
  </si>
  <si>
    <t>Los demas gofrados en la cara recubierta o a revestida</t>
  </si>
  <si>
    <t>Los demas. impregnados</t>
  </si>
  <si>
    <t>De polietileno biaxialmente orientado. en una cara. exclusivamente</t>
  </si>
  <si>
    <t>De polietileno. en una cara. exclusivamente</t>
  </si>
  <si>
    <t>De celulosa regenerada. en una cara. exclusivamente</t>
  </si>
  <si>
    <t>De cera</t>
  </si>
  <si>
    <t>De parafina</t>
  </si>
  <si>
    <t>De estearina</t>
  </si>
  <si>
    <t>Papel termosensible del tipo de los utilizados en telefax</t>
  </si>
  <si>
    <t>Papel de regalo</t>
  </si>
  <si>
    <t>Impreso</t>
  </si>
  <si>
    <t>Kraft crudo impregnado con sales organicas que inhiben la corrosion. revestido en una de sus caras con una lamina de plastico y un tejido de tiras de polipropileno. de los tipos utilizados como embalaje de metales ferrosos y no ferrosos</t>
  </si>
  <si>
    <t>Los demas papeles termosensibles</t>
  </si>
  <si>
    <t>Bloques y placas. filtrantes. de pasta de papel.</t>
  </si>
  <si>
    <t>Papel de fumar. incluso cortado al tamaño adecuado. en librillos o en tubos.</t>
  </si>
  <si>
    <t>En librillos</t>
  </si>
  <si>
    <t>En tubos</t>
  </si>
  <si>
    <t>-En bobinas (rollos) de anchura inferior o igual a 5 cm</t>
  </si>
  <si>
    <t>Papel para decorar y revestimientos similares de paredes; papel para vidrieras.</t>
  </si>
  <si>
    <t>Cenefas y frizos</t>
  </si>
  <si>
    <t>Papel lincustra</t>
  </si>
  <si>
    <t>Impresos</t>
  </si>
  <si>
    <t>Para vidrieras</t>
  </si>
  <si>
    <t>Papel granito ("ingrain")</t>
  </si>
  <si>
    <t>Papel carbon (carbonico). papel autocopia y demas papeles para copiar o transferir (excepto los de la partida 48.09). clises de mimeografo («stencils») completos y planchas offset. de papel. incluso acondicionados en cajas.</t>
  </si>
  <si>
    <t>Papel carbon (carbonico) y papeles similares</t>
  </si>
  <si>
    <t>Sobres. sobres carta. tarjetas postales sin ilustrar y tarjetas para correspondencia. de papel o carton; cajas. bolsas y presentaciones similares. de papel o carton. con un surtido de articulos de correspondencia.</t>
  </si>
  <si>
    <t>Solamente la parte exterior</t>
  </si>
  <si>
    <t>Solamente la parte interior</t>
  </si>
  <si>
    <t>Sobres carta</t>
  </si>
  <si>
    <t>Tarjetas postales sin ilustrar</t>
  </si>
  <si>
    <t>Tarjetas para correspondencia</t>
  </si>
  <si>
    <t>Cajas</t>
  </si>
  <si>
    <t>Papel del tipo utilizado para papel higienico y papeles similares. guata de celulosa o napa de fibras de celulosa. de los tipos utilizados para fines domesticos o sanitarios. en bobinas (rollos) de una anchura inferior o igual a 36 cm o cortados en formato; pañuelos. toallitas de desmaquillar. toallas. manteles. servilletas. sabanas y articulos similares para uso domestico. de tocador. higienico o de hospital. prendas y complementos (accesorios). de vestir. de pasta de papel. papel. guata de celulosa o napa de fibras de celulosa.</t>
  </si>
  <si>
    <t>Doble hoja</t>
  </si>
  <si>
    <t>Pañuelos</t>
  </si>
  <si>
    <t>Toallitas de desmaquillar</t>
  </si>
  <si>
    <t>Toallas</t>
  </si>
  <si>
    <t>Manteles</t>
  </si>
  <si>
    <t>Cuadrados</t>
  </si>
  <si>
    <t>Rectangulares</t>
  </si>
  <si>
    <t>Redondos</t>
  </si>
  <si>
    <t>Servilletas</t>
  </si>
  <si>
    <t>Complementos (accesorios)</t>
  </si>
  <si>
    <t>Almohadillas absorbentes de los tipos utilizados en el envasado de productos alimenticios</t>
  </si>
  <si>
    <t>Cajas. sacos (bolsas). bolsitas. cucuruchos y demas envases de papel. carton. guata de celulosa o napa de fibras de celulosa; cartonajes de oficina. tienda o similares.</t>
  </si>
  <si>
    <t>Del tipo de las utilizadas en el envasado de frutas</t>
  </si>
  <si>
    <t>De doble pared</t>
  </si>
  <si>
    <t>De triple pared</t>
  </si>
  <si>
    <t>De papel Kraft. laminado con aluminio y plastico</t>
  </si>
  <si>
    <t>Cartonajes</t>
  </si>
  <si>
    <t>- Sacos (bolsas) con una anchura en la base superior o igual a 40 cm</t>
  </si>
  <si>
    <t>Para cemento (R.564/97 MEOSP)</t>
  </si>
  <si>
    <t>Los demas. impresos</t>
  </si>
  <si>
    <t>Recubiertos o revestidos</t>
  </si>
  <si>
    <t>De polipropileno biaxialmente orientado. en la cara interna. exclusivamente</t>
  </si>
  <si>
    <t>De polipropileno biaxialmente orientado. en la cara externa. exclusivamente</t>
  </si>
  <si>
    <t>De celulosa regenerada. en la cara externa. exclusivamente</t>
  </si>
  <si>
    <t>Cucuruchos</t>
  </si>
  <si>
    <t>Clasificadores de cartas</t>
  </si>
  <si>
    <t>Cajas de correo</t>
  </si>
  <si>
    <t>Cajas de fichas de clasificacion</t>
  </si>
  <si>
    <t>Bandejas de oficina</t>
  </si>
  <si>
    <t>Libros registro. libros de contabilidad. talonarios (de notas. pedidos o recibos). agendas. bloques memorandos. bloques de papel de cartas y articulos similares. cuadernos. carpetas de mesa. clasificadores. encuadernaciones (de hojas moviles u otras). carpetas y cubiertas para documentos y demas articulos escolares. de oficina o de papeleria. incluso los formularios en paquetes o plegados («manifold»). aunque lleven papel carbon (carbonico). de papel o carton; albumes para muestras o para colecciones y cubiertas para libros. de papel o carton.</t>
  </si>
  <si>
    <t>- Libros registro. libros de contabilidad. talonarios (de notas. pedidos o recibos). bloques memorandos. bloques de papel de cartas. agendas y articulos similares</t>
  </si>
  <si>
    <t>Libros registro</t>
  </si>
  <si>
    <t>Libros de contabilidad</t>
  </si>
  <si>
    <t>Talonarios (de notas. pedidos o recibos)</t>
  </si>
  <si>
    <t>Bloques memorandos</t>
  </si>
  <si>
    <t>Bloques de papel carta</t>
  </si>
  <si>
    <t>Agendas</t>
  </si>
  <si>
    <t>Con tapas de hojas de plastico o materia textil o recubiertas con estas materias</t>
  </si>
  <si>
    <t>Cosidas</t>
  </si>
  <si>
    <t>Abrochadas</t>
  </si>
  <si>
    <t>Espiraladas</t>
  </si>
  <si>
    <t>Con mecanismo</t>
  </si>
  <si>
    <t>Con tapas de cuero regenerado o recubiertas con esta materia</t>
  </si>
  <si>
    <t>Con tapas de cuero natural bovino</t>
  </si>
  <si>
    <t>De tapas flexibles</t>
  </si>
  <si>
    <t>Abrochados</t>
  </si>
  <si>
    <t>Con cantidad de hojas inferior o igual a 50</t>
  </si>
  <si>
    <t>Con cantidad de hojas superior a 50 pero inferior o igual a 100</t>
  </si>
  <si>
    <t>Con cantidad de hojas superior a 100 pero inferior o igual a 150</t>
  </si>
  <si>
    <t>Espiralados</t>
  </si>
  <si>
    <t>De tapas duras. sin forrar</t>
  </si>
  <si>
    <t>Cosidos</t>
  </si>
  <si>
    <t>- Clasificadores. encuadernaciones (excepto las cubiertas para libros). carpetas y cubiertas para documentos</t>
  </si>
  <si>
    <t>Clasificadores</t>
  </si>
  <si>
    <t>Encuadernaciones (excepto las cubiertas para libros)</t>
  </si>
  <si>
    <t>Carpetas</t>
  </si>
  <si>
    <t>Cubiertas para documentos</t>
  </si>
  <si>
    <t>- Formularios en paquetes o plegados («manifold»). aunque lleven papel carbon (carbonico)</t>
  </si>
  <si>
    <t>Con hojas de papel carbon (carbonico)</t>
  </si>
  <si>
    <t>Con papel autocopia</t>
  </si>
  <si>
    <t>Carta de porte aereo</t>
  </si>
  <si>
    <t>De informe sobre daños e irregularidades de equipaje aereo</t>
  </si>
  <si>
    <t>Para figuritas</t>
  </si>
  <si>
    <t>Para fotografias</t>
  </si>
  <si>
    <t>Para sellos postales</t>
  </si>
  <si>
    <t>Tapas para libros</t>
  </si>
  <si>
    <t>Etiquetas de todas clases. de papel o carton. incluso impresas.</t>
  </si>
  <si>
    <t>Autoadhesivas</t>
  </si>
  <si>
    <t>De identificacion de equipaje aereo</t>
  </si>
  <si>
    <t>De identificacion de mercaderias de transporte aereo</t>
  </si>
  <si>
    <t>De gramaje superior o igual a 65 g/m2 pero inferior o igual a 75 g/m2. resistentes (ruptura maxima en dos partes) a la inmersion con agitacion durante una hora a una temperatura de 70°C en una solucion acuosa al 3.0 % p/v de soda caustica (R.300/01 ME)</t>
  </si>
  <si>
    <t>Carretes. bobinas. canillas y soportes similares. de pasta de papel. papel o carton. incluso perforados o endurecidos.</t>
  </si>
  <si>
    <t>Los demas papeles. cartones. guata de celulosa y napa de fibras de celulosa. cortados en formato; los demas articulos de pasta de papel. papel. carton. guata de celulosa o napa de fibras de celulosa.</t>
  </si>
  <si>
    <t>De peso superior a 15 g/m 2 pero inferior o igual a 25 g/m 2 y con un contenido de fibras sinteticas termosoldables superior o igual al 20 % pero inferior o igual al 30 %. en peso. del contenido total de fibra</t>
  </si>
  <si>
    <t>En tiras o en bobinas (rollos) de anchura superior a 15 cm pero inferior o igual a 36 cm</t>
  </si>
  <si>
    <t>Papel filtrante. de los tipos utilizados en la fabricacion de filtros de vehiculos automoviles</t>
  </si>
  <si>
    <t>-Papel diagrama para aparatos registradores. en bobinas (rollos). hojas o discos</t>
  </si>
  <si>
    <t>- Bandejas. fuentes. platos. tazas. vasos y articulos similares. de papel o carton:</t>
  </si>
  <si>
    <t>Bandejas</t>
  </si>
  <si>
    <t>Fuentes</t>
  </si>
  <si>
    <t>Cajas del tipo de las utilizadas para envasar huevos</t>
  </si>
  <si>
    <t>Bandejas para huevos</t>
  </si>
  <si>
    <t>Cartones perforados para mecanismos Jacquard</t>
  </si>
  <si>
    <t>De rigidez dielectrica superior o igual a 600 V (Metodo ASTM D 202 o equivalente) y peso inferior o igual a 60 g/m2</t>
  </si>
  <si>
    <t>Para embalaje de caramelos</t>
  </si>
  <si>
    <t>Para embalaje de frutas</t>
  </si>
  <si>
    <t>Abanicos</t>
  </si>
  <si>
    <t>Esquineros</t>
  </si>
  <si>
    <t>Libros. folletos e impresos similares. incluso en hojas sueltas.</t>
  </si>
  <si>
    <t>En juegos o surtidos</t>
  </si>
  <si>
    <t>Elementos complementarios indispensables para la utilizacion de los impresos y que no posean valor propio de comercializacion (precio no diferenciado)(R.ex ANA 634/93)</t>
  </si>
  <si>
    <t>Elementos complementarios no indispensables para la utilizacion de los impresos o que posean valor propio de comercializacion (precio diferenciado)</t>
  </si>
  <si>
    <t>Que contengan preparaciones de belleza o maquillaje</t>
  </si>
  <si>
    <t>Que contengan algun articulo de la partida 95.03</t>
  </si>
  <si>
    <t>Directorios</t>
  </si>
  <si>
    <t>Guias turisticas</t>
  </si>
  <si>
    <t>De contenido exclusivamente cultural (datos historicos. geograficos. de gobierno o de indole similar). de un pais o de una ciudad</t>
  </si>
  <si>
    <t>Horarios de vuelo</t>
  </si>
  <si>
    <t>Diarios y publicaciones periodicas. impresos. incluso ilustrados o con publicidad.</t>
  </si>
  <si>
    <t>Con fecha de publicacion que no exceda de 10 dias de antigÃ¼edad (R.36/96 MEOSP)</t>
  </si>
  <si>
    <t>En juegos (surtidos). con fecha de publicacion que no exceda los 30 dias de antigÃ¼edad y con mas del 30% de su publicidad. medida en cm2 calculados sobre la superficie geometrica regular que ocupa la misma. que se refiera a actividades (eventos culturales. recitales. espectaculos deportivos. congresos. seminarios. cursos. etc.) que se desarrollen en el ambito del MERCOSUR o a empresas (entendiendose en forma implicita los bienes o servicios por ellas producidos o prestados) con domicilio legal. expresamente indicado. en alguno de los cuatro (4) Estados Parte que integran el Mercado Comun. o bien. consigne cualquier otra informacion (codigo postal. telefono. fax. correo electronico. etc.) que refleje tal condicion (R.36/96 MEOSP y R.1543/98 MEOSP)</t>
  </si>
  <si>
    <t>Elementos complementarios indispensables para la utilizacion de los impresos y que no posean valor propio de comercializacion (precio no diferenciado) (R.ex ANA 634/93)</t>
  </si>
  <si>
    <t>Elementos complementarios no indispensables para la utilizacion de los impresos que posean valor propio de comercializacion (precio diferenciado)</t>
  </si>
  <si>
    <t>En juegos (surtidos). con fecha de publicacion que no exceda los 30 dias de antigÃ¼edad y con el 30% o menos de su publicidad. medida en cm2 calculados sobre la superficie geometrica regular que ocupa la misma. que se refiera a actividades (eventos culturales. recitales. espectaculos deportivos. congresos. seminarios. cursos. etc.) que se desarrollen en el ambito del MERCOSUR o a empresas (entendiendose en forma implicita los bienes o servicios por ellas producidos o prestados) con domicilio legal. expresamente indicado. en alguno de los cuatro (4) Estados Parte que integran el Mercado Comun. o bien. consigne cualquier otra informacion (codigo postal. telefono. fax. correo electronico. etc.) que refleje tal condicion (R.36/96 MEOSP y R.1543/98 MEOSP)</t>
  </si>
  <si>
    <t>Otros. en juegos (surtidos) y con mas del 30% de su publicidad. medida en cm2 calculados sobre la superficie geometrica regular que ocupa la misma. que se refiera a actividades (eventos culturales. recitales. espectaculos deportivos. congresos. seminarios. cursos. etc.) que se desarrollen en el ambito del MERCOSUR o a empresas (entendiendose en forma implicita los bienes o servicios por ellas producidos o prestados) con domicilio legal. expresamente indicado. en alguno de los cuatro (4) Estados Parte que integran el Mercado Comun. o bien. consigne cualquier otra informacion (codigo postal. telefono. fax. correo electronico. etc.) que refleje tal condicion (R.36/96 MEOSP y R.1543/98 MEOSP)</t>
  </si>
  <si>
    <t>Otros. en juegos (surtidos) y con el 30% o menos de su publicidad. medida en cm2 calculados sobre la superficie geometrica regular que ocupa la misma. que se refiera a actividades (eventos culturales. recitales. espectaculos deportivos. congresos. seminarios. cursos. etc.) que se desarrollen en el ambito del MERCOSUR o a empresas (entendiendose en forma implicita los bienes o servicios por ellas producidos o prestados) con domicilio legal. expresamente indicado. en alguno de los cuatro (4) Estados Parte que integran el Mercado Comun. o bien. consigne cualquier otra informacion (codigo postal. telefono. fax. correo electronico. etc.) que refleje tal condicion (R.36/96 MEOSP y R.1543/98 MEOSP)</t>
  </si>
  <si>
    <t>Con fecha de publicacion que no exceda de 30 dias de antigÃ¼edad y con mas del 30% de su publicidad. medida en cm2 calculados sobre la superficie geometrica regular que ocupa la misma. que se refiera a actividades (eventos culturales. recitales. espectaculos deportivos. congresos. seminarios. cursos. etc.) que se desarrollen en el ambito del MERCOSUR o a empresas (entendiendose en forma implicita los bienes o servicios por ellas producidos o prestados) con domicilio legal. expresamente indicado. en alguno de los cuatro (4) Estados Parte que integran el Mercado Comun. o bien. consigne cualquier otra informacion (codigo postal. telefono. fax. correo electronico. etc.) que refleje tal condicion (R.36/96 MEOSP y R.1543/98 MEOSP)</t>
  </si>
  <si>
    <t>Con fecha de publicacion que no exceda de 30 dias de antigÃ¼edad y con el 30% o menos de su publicidad. medida en cm2 calculados sobre la superficie geometrica regular que ocupa la misma. que se refiera a actividades (eventos culturales. recitales. espectaculos deportivos. congresos. seminarios. cursos. etc.) que se desarrollen en el ambito del MERCOSUR o a empresas (entendiendose en forma implicita los bienes o servicios por ellas producidos o prestados) con domicilio legal. expresamente indicado. en alguno de los cuatro (4) Estados Parte que integran el Mercado Comun. o bien. consigne cualquier otra informacion (codigo postal. telefono. fax. correo electronico. etc.) que refleje tal condicion (R.36/96 MEOSP y R.1543/98 MEOSP)</t>
  </si>
  <si>
    <t>Otros. con mas del 30 % de su publicidad. medida en cm2 calculados sobre la superficie geometrica regular que ocupa la misma. que se refiera a actividades (eventos culturales. recitales. espectaculos deportivos. congresos. seminarios. cursos. etc.) que se desarrollen en el ambito del MERCOSUR o a empresas (entendiendose en forma implicita los bienes o servicios por ellas producidos o prestados) con domicilio legal. expresamente indicado. en alguno de los cuatro (4) Estados Parte que integran el Mercado Comun. o bien. consigne cualquier otra informacion (codigo postal. telefono. fax. correo electronico. etc.) que refleje tal condicion (R.36/96 MEOSP y R.1543/98 MEOSP)</t>
  </si>
  <si>
    <t>albumes o libros de estampas y cuadernos para dibujar o colorear. para niños.</t>
  </si>
  <si>
    <t>albumes o libros de estampas de hojas rigidas. con somero texto (R.300/01 ME)</t>
  </si>
  <si>
    <t>Musica manuscrita o impresa. incluso con ilustraciones o encuadernada.</t>
  </si>
  <si>
    <t>Elementos complementarios</t>
  </si>
  <si>
    <t>Indispensables para la utilizacion de los impresos y que no posean valor propio de comercializacion (precio no diferenciado) (R. ex ANA 634/93)</t>
  </si>
  <si>
    <t>Manufacturas cartograficas de todas clases. incluidos los mapas murales. planos topograficos y esferas. impresos.</t>
  </si>
  <si>
    <t>Mapas</t>
  </si>
  <si>
    <t>Que representen accidentes geograficos naturales</t>
  </si>
  <si>
    <t>De carreteras</t>
  </si>
  <si>
    <t>Planos topograficos o catastrales</t>
  </si>
  <si>
    <t>Planos y dibujos originales hechos a mano. de arquitectura. ingenieria. industriales. comerciales. topograficos o similares; textos manuscritos; reproducciones fotograficas sobre papel sensibilizado y copias con papel carbon (carbonico). de los planos. dibujos o textos antes mencionados.</t>
  </si>
  <si>
    <t>Planos originales hechos a mano</t>
  </si>
  <si>
    <t>Dibujos originales hechos a mano</t>
  </si>
  <si>
    <t>Textos manuscritos</t>
  </si>
  <si>
    <t>Reproducciones fotograficas sobre papel sensibilizado</t>
  </si>
  <si>
    <t>Sellos (estampillas) de correos. timbres fiscales y analogos. sin obliterar. que tengan o esten destinados a tener curso legal en el pais en el que su valor facial sea reconocido; papel timbrado; billetes de banco; cheques; titulos de acciones u obligaciones y titulos similares.</t>
  </si>
  <si>
    <t>Billetes de banco</t>
  </si>
  <si>
    <t>Destinados a tener curso legal en el pais importador (R.747/95 MEOSP)</t>
  </si>
  <si>
    <t>Cheques de viajero</t>
  </si>
  <si>
    <t>En pliegos</t>
  </si>
  <si>
    <t>Titulos de acciones u obligaciones y titulos similares. convalidados y firmados</t>
  </si>
  <si>
    <t>Cartas de credito</t>
  </si>
  <si>
    <t>Letras de cambio</t>
  </si>
  <si>
    <t>Cheques (Res.Nro 9/02 AFIP)</t>
  </si>
  <si>
    <t>Sellos de correo. timbres fiscales y analogos. de curso legal o destinados a tener curso legal en el pais de destino (R.634/93 ex-ANA)</t>
  </si>
  <si>
    <t>Papel timbrado (R.634/93 ex-ANA)</t>
  </si>
  <si>
    <t>Talonarios de cheques y analogos (R.634/93 ex-ANA)</t>
  </si>
  <si>
    <t>Calcomanias de cualquier clase.</t>
  </si>
  <si>
    <t>Tatuajes temporales</t>
  </si>
  <si>
    <t>Tarjetas postales impresas o ilustradas; tarjetas impresas con felicitaciones o comunicaciones personales. incluso con ilustraciones. adornos o aplicaciones. o con sobres.</t>
  </si>
  <si>
    <t>Tarjetas postales impresas o ilustradas</t>
  </si>
  <si>
    <t>Con sobres</t>
  </si>
  <si>
    <t>Tarjetas impresas con felicitaciones o comunicaciones personales. incluso con ilustraciones. adornos o aplicaciones. o con sobres</t>
  </si>
  <si>
    <t>Calendarios de cualquier clase impresos. incluidos los tacos de calendario.</t>
  </si>
  <si>
    <t>De pared</t>
  </si>
  <si>
    <t>Inferior o igual a tres laminas</t>
  </si>
  <si>
    <t>Superior a tres laminas pero inferior o igual a seis</t>
  </si>
  <si>
    <t>Los demas impresos. incluidas las estampas. grabados y fotografias.</t>
  </si>
  <si>
    <t>Que contengan informacion relativa al funcionamiento. mantenimiento. reparacion o utilizacion de maquinas. aparatos. vehiculos y demas mercaderias de origen extrazona</t>
  </si>
  <si>
    <t>Ãšnicamente impresos. catalogos y similares. cuyo proceso grafico haya sido efectuado en el exterior. que contengan informacion relativa al funcionamiento. mantenimiento. reparacion o utilizacion de maquinas. aparatos. vehiculos y demas mercaderias de origen nacional. como asi tambien aquellos referidos a servicios prestados en el pais</t>
  </si>
  <si>
    <t>Figuritas o pegatinas («stickers»)</t>
  </si>
  <si>
    <t>Reproducciones impresas de estampas. gravados y fotografias de los bienes comprendidos en las partidas del Sistema Armanizado 97.01. 97.02 y 97.03</t>
  </si>
  <si>
    <t>Etiquetas de cuero del tipo de las utilizadas en la parte exterior de las prendas de vestir</t>
  </si>
  <si>
    <t>Sellos y polizas de cotizacion o de capitalizacion; billetes para juegos de sorteos o de apuestas (oficiales o autorizados) y sellos de organizaciones de bien publico del tipo empleado para obtener fondos o hacer publicidad; billetes de acceso a espectaculos teatrales</t>
  </si>
  <si>
    <t>Sellos y polizas de cotizacion o de capitalizacion</t>
  </si>
  <si>
    <t>Billetes de juegos de azar o de apuesta (oficiales o autorizados)</t>
  </si>
  <si>
    <t>Sellos de organizaciones de bien publico del tipo empleado para obtener fondos o hacer publicidad</t>
  </si>
  <si>
    <t>Billetes de acceso a espectaculos teatrales</t>
  </si>
  <si>
    <t>Billetes para viajar en transportes publicos (incluso los de entradas a plataformas o andenes) (R. 634/93 ex-ANA)</t>
  </si>
  <si>
    <t>Aereos</t>
  </si>
  <si>
    <t>Cedula de identificacion del automotor u otros documentos similares oficiales</t>
  </si>
  <si>
    <t>Etiquetas de plastico no autoadhesivas. de los tipos utilizados en el rotulado de envases</t>
  </si>
  <si>
    <t>Billetes de exceso de equipaje aereo</t>
  </si>
  <si>
    <t>Titulo de propiedad del automotor</t>
  </si>
  <si>
    <t>Caravana. de los tipos utilizados para la identificacion de animales</t>
  </si>
  <si>
    <t>CAPULLOS DE SEDA APTOS PARA EL DEVANADO.</t>
  </si>
  <si>
    <t>SEDA CRUDA (SIN TORCER).</t>
  </si>
  <si>
    <t>DESPERDICIOS DE SEDA (INCLUIDOS LOS CAPULLOS NO APTOS PARA EL DEVANADO. DESPERDICIOS DE HILADOS E HILACHAS).</t>
  </si>
  <si>
    <t>Desperdicios de seda (incluidos los capullos no aptos para el devanado. desperdicios de hilados e hilachas).</t>
  </si>
  <si>
    <t>Sin cardar ni peinar</t>
  </si>
  <si>
    <t>HILADOS DE SEDA (EXCEPTO LOS HILADOS DE DESPERDICIOS DE SEDA) SIN ACONDICIONAR PARA LA VENTA AL POR MENOR.</t>
  </si>
  <si>
    <t>HILADOS DE DESPERDICIOS DE SEDA SIN ACONDICIONAR PARA LA VENTA AL POR MENOR.</t>
  </si>
  <si>
    <t>HILADOS DE SEDA O DE DESPERDICIOS DE SEDA. ACONDICIONADOS PARA LA VENTA AL POR MENOR; «PELO DE MESINA» («CRIN DE FLORENCIA»).</t>
  </si>
  <si>
    <t>Tejidos de seda o de desperdicios de seda.</t>
  </si>
  <si>
    <t>Estampados. teñidos o de hilados de distintos colores</t>
  </si>
  <si>
    <t>- Los demas tejidos con un contenido de seda o de desperdicios de seda. distintos de la borrilla. superior o igual al 85 % en peso</t>
  </si>
  <si>
    <t>De peso inferior a 100 g/m2</t>
  </si>
  <si>
    <t>De peso superior o igual a 100 g/m2 pero inferior a 200 g/m2</t>
  </si>
  <si>
    <t>Mezclados exclusiva o principalmente con lana</t>
  </si>
  <si>
    <t>Mezclados exclusiva o principalmente con ramio</t>
  </si>
  <si>
    <t>Mezclados exclusiva o principalmente con fibras de nailon o demas poliamidas</t>
  </si>
  <si>
    <t>Mezclados exclusiva o principalmente con fibras de poliesteres</t>
  </si>
  <si>
    <t>Mezclados exclusiva o principalmente con fibras de rayon viscosa.</t>
  </si>
  <si>
    <t>Lana sin cardar ni peinar.</t>
  </si>
  <si>
    <t>- Lana sucia. incluida la lavada en vivo:</t>
  </si>
  <si>
    <t>De finura superior o igual a 22.05 micrometros pero inferior o igual a 32.6 micrometros</t>
  </si>
  <si>
    <t>Con un contenido de impurezas inferior o igual al 2 %</t>
  </si>
  <si>
    <t>De finura superior o igual a 22.05 micrometros. pero inferior o igual a 24.9 micrometros</t>
  </si>
  <si>
    <t>De finura superior a 22.05 micrometros. pero inferior o igual a 22.9 micrometros</t>
  </si>
  <si>
    <t>De finura superior a 22.9 micrometros. pero inferior o igual a 23.9 micrometros</t>
  </si>
  <si>
    <t>De finura superior a 23.9 micrometros. pero inferior o igual a 24.9 micrometros</t>
  </si>
  <si>
    <t>De finura superior a 24.9 micrometros. pero inferior o igual a 25.9 micrometros</t>
  </si>
  <si>
    <t>De finura superior a 25.9 micrometros. pero inferior o igual a 26.9 micrometros</t>
  </si>
  <si>
    <t>De finura superior a 26.9 micrometros. pero inferior o igual a 27.9 micrometros</t>
  </si>
  <si>
    <t>De finura superior a 27.9 micrometros. pero inferior o igual a 28.9 micrometros</t>
  </si>
  <si>
    <t>De finura superior a 28.9 micrometros. pero inferior o igual a 29.9 micrometros</t>
  </si>
  <si>
    <t>De finura superior a 29.9 micrometros. pero inferior o igual a 30.9 micrometros</t>
  </si>
  <si>
    <t>De finura superior a 30.9 micrometros. pero inferior o igual a 31.9 micrometros</t>
  </si>
  <si>
    <t>De finura superior a 31.9 micrometros. pero inferior o igual a 32.6 micrometros</t>
  </si>
  <si>
    <t>Con un contenido de impurezas superior al 2 %</t>
  </si>
  <si>
    <t>De finura superior o igual a 17 micrometros. pero inferior o igual a 17.4 micrometros</t>
  </si>
  <si>
    <t>De finura superior a 17.4 micrometros. pero inferior o igual a 17.9 micrometros</t>
  </si>
  <si>
    <t>De finura superior a 17.9 micrometros. pero inferior o igual a 18.4 micrometros</t>
  </si>
  <si>
    <t>De finura superior a 18.4 micrometros. pero inferior o igual a 18.9 micrometros</t>
  </si>
  <si>
    <t>De finura superior a 18.9 micrometros. pero inferior o igual a 19.4 micrometros</t>
  </si>
  <si>
    <t>De finura superior a 19.4 micrometros. pero inferior o igual a 19.9 micrometros</t>
  </si>
  <si>
    <t>De finura superior a 19.9 micrometros. pero inferior o igual a 20.9 micrometros</t>
  </si>
  <si>
    <t>De finura superior a 20.9 micrometros. pero inferior a 22.05 micrometros</t>
  </si>
  <si>
    <t>De finura superior o igual a 19 micrometros. pero inferior o igual a 19.4 micrometros</t>
  </si>
  <si>
    <t>De finura superior a 20.9 micrometros. pero inferior o igual a 21.9 micrometros</t>
  </si>
  <si>
    <t>De finura superior a 21.9 micrometros. pero inferior o igual a 22.05 micrometros</t>
  </si>
  <si>
    <t>De finura superior a 32.6 micrometros. pero inferior o igual a 35.9 micrometros</t>
  </si>
  <si>
    <t>De finura superior a 35.9 micrometros</t>
  </si>
  <si>
    <t>- Desgrasada. sin carbonizar:</t>
  </si>
  <si>
    <t>Pelo fino u ordinario. sin cardar ni peinar.</t>
  </si>
  <si>
    <t>- Pelo fino:</t>
  </si>
  <si>
    <t>Sucio (R.2012/93 ex-ANA)</t>
  </si>
  <si>
    <t>Lavado</t>
  </si>
  <si>
    <t>Sin descerdar</t>
  </si>
  <si>
    <t>Descerdado</t>
  </si>
  <si>
    <t>De cabra de Angora (Mohair)</t>
  </si>
  <si>
    <t>De finura inferior o igual a 27 micrometros</t>
  </si>
  <si>
    <t>De finura superior a 27 micrometros pero inferior o igual a 30 micrometros</t>
  </si>
  <si>
    <t>Lavado. sin descerdar</t>
  </si>
  <si>
    <t>Lavado. descerdado</t>
  </si>
  <si>
    <t>De vicuña</t>
  </si>
  <si>
    <t>De guanaco</t>
  </si>
  <si>
    <t>De llama</t>
  </si>
  <si>
    <t>De finura inferior o igual a 22.5 micrometros</t>
  </si>
  <si>
    <t>De finura superior a 22.5 micrometros pero inferior o igual a 25 micrometros</t>
  </si>
  <si>
    <t>De alpaca</t>
  </si>
  <si>
    <t>Sucio (R.2112/93 ex-ANA)</t>
  </si>
  <si>
    <t>De Angora</t>
  </si>
  <si>
    <t>Sucio</t>
  </si>
  <si>
    <t>Sucio(R.2012/93 ex-ANA)</t>
  </si>
  <si>
    <t>Desperdicios de lana o de pelo fino u ordinario. incluidos los desperdicios de hilados. excepto las hilachas.</t>
  </si>
  <si>
    <t>De lana</t>
  </si>
  <si>
    <t>De pelo fino</t>
  </si>
  <si>
    <t>Hilachas de lana o de pelo fino u ordinario.</t>
  </si>
  <si>
    <t>De pelo ordinario</t>
  </si>
  <si>
    <t>Lana y pelo fino u ordinario. cardados o peinados (incluida la «lana peinada a granel»).</t>
  </si>
  <si>
    <t>De finura superior o igual a 17 micrometros. pero inferior o igual a 18.4 micrometros</t>
  </si>
  <si>
    <t>De finura superior a 18.4 micrometros. pero inferior o igual a 19.9 micrometros</t>
  </si>
  <si>
    <t>De finura superior a 19.9 micrometros. pero inferior o igual a 22.9 micrometros</t>
  </si>
  <si>
    <t>De finura superior a 21.9 micrometros. pero inferior o igual a 22.9 micrometros</t>
  </si>
  <si>
    <t>De finura superior a 22.9 micrometros. pero inferior o igual a 25.9 micrometros</t>
  </si>
  <si>
    <t>De finura superior a 25.9 micrometros. pero inferior o igual a 27.9 micrometros</t>
  </si>
  <si>
    <t>De finura superior a 27.9 micrometros. pero inferior o igual a 29.9 micrometros</t>
  </si>
  <si>
    <t>De finura superior a 29.9 micrometros. pero inferior o igual a 31.9 micrometros</t>
  </si>
  <si>
    <t>De finura superior a 31.9 micrometros. pero inferior o igual a 35.9 micrometros</t>
  </si>
  <si>
    <t>- Lana peinada:</t>
  </si>
  <si>
    <t>- - «Lana peinada a granel»</t>
  </si>
  <si>
    <t>De finura superior a 31.9 micrometros. pero inferior o igual a 36.0 micrometros</t>
  </si>
  <si>
    <t>«Tops»</t>
  </si>
  <si>
    <t>De finura inferior a 22.5 micrometros</t>
  </si>
  <si>
    <t>De finura superior o igual a 22.5 micrometros. pero inferior o igual a 24.9 micrometros</t>
  </si>
  <si>
    <t>De finura superior a 30.9 micrometros. pero inferior o igual a 35.9 micrometros</t>
  </si>
  <si>
    <t>- Pelo fino cardado o peinado:</t>
  </si>
  <si>
    <t>Cardado</t>
  </si>
  <si>
    <t>Peinado</t>
  </si>
  <si>
    <t>De angora</t>
  </si>
  <si>
    <t>De cabra comun cardado</t>
  </si>
  <si>
    <t>De cabra comun peinado</t>
  </si>
  <si>
    <t>Hilados de lana cardada sin acondicionar para la venta al por menor.</t>
  </si>
  <si>
    <t>-Con un contenido de lana superior o igual al 85 % en peso</t>
  </si>
  <si>
    <t>- Con un contenido de lana inferior al 85 % en peso</t>
  </si>
  <si>
    <t>Mezclado exclusiva o principalmente con pelo fino</t>
  </si>
  <si>
    <t>Mezclado exclusiva o principalmente con algodon</t>
  </si>
  <si>
    <t>Mezclado exclusiva o principalmente con ramio</t>
  </si>
  <si>
    <t>Mezclado exclusiva o principalmente con fibras de nailon o demas poliamidas</t>
  </si>
  <si>
    <t>Mezclado exclusiva o principalmente con fibras de poliesteres</t>
  </si>
  <si>
    <t>Mezclado exclusiva o principalmente con fibras acrilicas</t>
  </si>
  <si>
    <t>Mezclado exclusiva o principalmente con fibras de rayon viscosa</t>
  </si>
  <si>
    <t>Hilados de lana peinada sin acondicionar para la venta al por menor.</t>
  </si>
  <si>
    <t>- Con un contenido de lana superior o igual al 85 % en peso</t>
  </si>
  <si>
    <t>Retorcidos o cableados</t>
  </si>
  <si>
    <t>De dos cabos. de titulo inferior o igual a 184.58 decitex por cabo</t>
  </si>
  <si>
    <t>Mezclado exclusiva o principalmente con seda</t>
  </si>
  <si>
    <t>Hilados de pelo fino cardado o peinado. sin acondicionar para la venta al por menor.</t>
  </si>
  <si>
    <t>Hilados de lana o pelo fino. acondicionados para la venta al por menor.</t>
  </si>
  <si>
    <t>-Con un contenido de lana o pelo fino superior o igual al 85 % en peso</t>
  </si>
  <si>
    <t>Hilados de pelo ordinario o de crin (incluidos los hilados de crin entorchados). aunque esten acondicionados para la venta al por menor.</t>
  </si>
  <si>
    <t>Acondicionados para la venta al por menor</t>
  </si>
  <si>
    <t>Tejidos de lana cardada o pelo fino cardado.</t>
  </si>
  <si>
    <t>- Con un contenido de lana o pelo fino superior o igual al 85 % en peso:</t>
  </si>
  <si>
    <t>- - De peso inferior o igual a 300 g/m 2</t>
  </si>
  <si>
    <t>Con nailon o demas poliamidas</t>
  </si>
  <si>
    <t>Con poliesteres</t>
  </si>
  <si>
    <t>Con acrilicos</t>
  </si>
  <si>
    <t>Con rayon viscosa</t>
  </si>
  <si>
    <t>De lana. afieltrados. con trama mezclada exclusivamente con fibras sinteticas y urdimbre exclusivamente de algodon. de peso superior o igual a 600 g/m2. aptos para la fabricacion de pelotas de tenis</t>
  </si>
  <si>
    <t>Mezclados exclusiva o principalmente con seda</t>
  </si>
  <si>
    <t>Mezclados exclusiva o principalmente con pelo fino</t>
  </si>
  <si>
    <t>Mezclados exclusiva o principalmente con algodon</t>
  </si>
  <si>
    <t>Tejidos de lana peinada o pelo fino peinado.</t>
  </si>
  <si>
    <t>- - De peso inferior o igual a 200 g/m 2</t>
  </si>
  <si>
    <t>Tejidos de pelo ordinario o de crin.</t>
  </si>
  <si>
    <t>Con un contenido de pelo ordinario superior o igual al 85 % en peso</t>
  </si>
  <si>
    <t>Con un contenido de pelo ordinario inferior al 85 % en peso. y que contengan algodon</t>
  </si>
  <si>
    <t>Con un contenido de pelo ordinario inferior al 85 % en peso. y que no contengan algodon</t>
  </si>
  <si>
    <t>De crin</t>
  </si>
  <si>
    <t>Algodon sin cardar ni peinar.</t>
  </si>
  <si>
    <t>Sin desmotar</t>
  </si>
  <si>
    <t>Simplemente desmontado (Ley 21.453)</t>
  </si>
  <si>
    <t>Tipo grado "B"</t>
  </si>
  <si>
    <t>Tipo grado "C"</t>
  </si>
  <si>
    <t>Tipo grado "C 1/2"</t>
  </si>
  <si>
    <t>Tipo grado "D"</t>
  </si>
  <si>
    <t>Tipo grado "D 1/2"</t>
  </si>
  <si>
    <t>Tipo grado "E"</t>
  </si>
  <si>
    <t>Tipo grado "F"</t>
  </si>
  <si>
    <t>Desperdicios de algodon (incluidos los desperdicios de hilados y las hilachas).</t>
  </si>
  <si>
    <t>ALGODON CARDADO O PEINADO.</t>
  </si>
  <si>
    <t>Hilo de coser de algodon. incluso acondicionado para la venta al por menor.</t>
  </si>
  <si>
    <t>- Sin acondicionar para la venta al por menor:</t>
  </si>
  <si>
    <t>- - Con un contenido de algodon superior o igual al 85 % en peso</t>
  </si>
  <si>
    <t>De algodon crudo. de titulo inferior o igual a 5.000 decitex por hilo sencillo</t>
  </si>
  <si>
    <t>De dos cabos</t>
  </si>
  <si>
    <t>De tres o mas cabos</t>
  </si>
  <si>
    <t>De algodon crudo. de titulo superior a 5.000 decitex por hilo sencillo</t>
  </si>
  <si>
    <t>De algodon blanqueado o coloreado. de titulo inferior o igual a 5.000 decitex por hilo sencillo</t>
  </si>
  <si>
    <t>De algodon blanqueado o coloreado. de titulo superior a 5.000 decitex por hilo sencillo</t>
  </si>
  <si>
    <t>Mezclados exclusiva o principalmente con fibras sinteticas</t>
  </si>
  <si>
    <t>Mezclados exclusiva o principalmente con fibras artificiales</t>
  </si>
  <si>
    <t>Hilados de algodon (excepto el hilo de coser) con un contenido de algodon superior o igual al 85 % en peso. sin acondicionar para la venta al por menor.</t>
  </si>
  <si>
    <t>- Hilados sencillos de fibras sin peinar:</t>
  </si>
  <si>
    <t>--De titulo superior o igual a 714.29 decitex (inferior o igual al numero metrico 14)</t>
  </si>
  <si>
    <t>- - De titulo inferior a 714.29 decitex pero superior o igual a 232.56 decitex (superior al numero metrico 14 pero inferior o igual al numero metrico 43)</t>
  </si>
  <si>
    <t>De titulo inferior a 714.29 decitex pero superior o igual a 491.67 decitex (superior al numero metrico 14 pero inferior o igual al numero metrico 20.34)</t>
  </si>
  <si>
    <t>De titulo inferior a 491.67 decitex pero superior o igual a 368.75 decitex (superior al numero metrico 20.34 pero inferior o igual al numero metrico 27.12)</t>
  </si>
  <si>
    <t>De titulo inferior a 368.75 decitex pero superior o igual a 295.00 decitex (superior al numero metrico 27.12 pero inferior o igual al numero metrico 33.90)</t>
  </si>
  <si>
    <t>De titulo inferior a 295.00 decitex pero superior o igual a 232.56 decitex (superior al numero metrico 33.90 pero inferior o igual al numero metrico 43)</t>
  </si>
  <si>
    <t>- - De titulo inferior a 232.56 decitex pero superior o igual a 192.31 decitex (superior al numero metrico 43 pero inferior o igual al numero metrico 52)</t>
  </si>
  <si>
    <t>Crudos</t>
  </si>
  <si>
    <t>--De titulo inferior a 192.31 decitex pero superior o igual a 125 decitex (superior al numero metrico 52 pero inferior o igual al numero metrico 80)</t>
  </si>
  <si>
    <t>--De titulo inferior a 125 decitex (superior al numero metrico 80)</t>
  </si>
  <si>
    <t>- Hilados sencillos de fibras peinadas:</t>
  </si>
  <si>
    <t>--De titulo inferior a 125 decitex pero superior o igual a 106.38 decitex (superior al numero metrico 80 pero inferior o igual al numero metrico 94)</t>
  </si>
  <si>
    <t>--De titulo inferior a 106.38 decitex pero superior o igual a 83.33 decitex (superior al numero metrico 94 pero inferior o igual al numero metrico 120)</t>
  </si>
  <si>
    <t>--De titulo inferior a 83.33 decitex (superior al numero metrico 120)</t>
  </si>
  <si>
    <t>-Hilados retorcidos o cableados. de fibras sin peinar:</t>
  </si>
  <si>
    <t>--De titulo superior o igual a 714.29 decitex por hilo sencillo (inferior o igual al numero metrico 14 por hilo sencillo)</t>
  </si>
  <si>
    <t>- - De titulo inferior a 714.29 decitex pero superior o igual a 232.56 decitex. por hilo sencillo (superior al numero metrico 14 pero inferior o igual al numero metrico 43. por hilo sencillo)</t>
  </si>
  <si>
    <t>De titulo inferior a 714.29 decitex pero superior o igual a 491.67 decitex. por hilo sencillo (superior al numero metrico 14 pero inferior o igual al numero metrico 20.34. por hilo sencillo)</t>
  </si>
  <si>
    <t>De titulo inferior a 491.67 decitex pero superior o igual a 368.75 decitex. por hilo sencillo (superior al numero metrico 20.34 pero inferior o igual al numero metrico 27.12. por hilo sencillo)</t>
  </si>
  <si>
    <t>De titulo inferior a 368.75 decitex pero superior o igual a 295.00 decitex. por hilo sencillo(superior al numero metrico 27.12 pero inferior o igual al numero metrico 33.90. por hilo sencillo)</t>
  </si>
  <si>
    <t>De titulo inferior a 295.00 decitex pero superior o igual a 232.56 decitex. por hilo sencillo (superior al numero metrico 33.90 pero inferior o igual al numero metrico 43. por hilo sencillo)</t>
  </si>
  <si>
    <t>--De titulo inferior a 232.56 decitex pero superior o igual a 192.31 decitex. por hilo sencillo (superior al numero metrico 43 pero inferior o igual al numero metrico 52. por hilo sencillo)</t>
  </si>
  <si>
    <t>--De titulo inferior a 192.31 decitex pero superior o igual a 125 decitex. por hilo sencillo (superior al numero metrico 52 pero inferior o igual al numero metrico 80. por hilo sencillo)</t>
  </si>
  <si>
    <t>--De titulo inferior a 125 decitex por hilo sencillo (superior al numero metrico 80 por hilo sencillo)</t>
  </si>
  <si>
    <t>- Hilados retorcidos o cableados. de fibras peinadas:</t>
  </si>
  <si>
    <t>De titulo inferior a 368.75 decitex pero superior o igual a 295.00 decitex. por hilo sencillo (superior al numero metrico 27.12 pero inferior o igual al numero metrico 33.90. por hilo sencillo)</t>
  </si>
  <si>
    <t>--De titulo inferior a 232.56 decitex pero superior o igual a 192.31 decitex.por hilo sencillo (superior al numero metrico 43 pero inferior o igual al numero metrico 52 por hilo sencillo)</t>
  </si>
  <si>
    <t>--De titulo inferior o igual a 125 decitex pero superior o igual a 106.38 decitex. por hilo sencillo (superior al numero metrico 80 pero inferior al numero 94. por hilo sencillo)</t>
  </si>
  <si>
    <t>--De titulo inferior a 106.38 decitex pero superior o igual a 83.33 decitex. por hilo sencillo (superior al numero metrico 94 pero inferior o igual al numero metrico 120. por hilo sencillo)</t>
  </si>
  <si>
    <t>--De titulo inferior a 83.33 decitex por hilo sencillo (superior al numero metrico 120 por hilo sencillo)</t>
  </si>
  <si>
    <t>Hilados de algodon (excepto el hilo de coser) con un contenido de algodon inferior al 85 % en peso. sin acondicionar para la venta al por menor.</t>
  </si>
  <si>
    <t>--De titulo inferior a 232.56 decitex pero superior o igual a 192.31 decitex (superior al numero metrico 43 pero inferior o igual al numero metrico 52)</t>
  </si>
  <si>
    <t>-Hilados sencillos de fibras peinadas:</t>
  </si>
  <si>
    <t>- Hilados retorcidos o cableados. de fibras sin peinar:</t>
  </si>
  <si>
    <t>Hilados de algodon (excepto el hilo de coser) acondicionados para la venta al por menor.</t>
  </si>
  <si>
    <t>-Con un contenido de algodon superior o igual al 85 % en peso</t>
  </si>
  <si>
    <t>Tejidos de algodon con un contenido de algodon superior o igual al 85 % en peso. de peso inferior o igual a 200 g/m2.</t>
  </si>
  <si>
    <t>- Crudos:</t>
  </si>
  <si>
    <t>- - De ligamento tafetan. de peso inferior o igual a 100 g/m 2</t>
  </si>
  <si>
    <t>De densidad inferior a 35 hilos por cm2</t>
  </si>
  <si>
    <t>De densidad superior o igual a 35 hilos por cm2 pero inferior a 41 hilos por cm2</t>
  </si>
  <si>
    <t>De densidad superior o igual a 41 hilos por cm2 pero inferior a 48 hilos por cm2</t>
  </si>
  <si>
    <t>De densidad superior o igual a 48 hilos por cm2 pero inferior a 55 hilos por cm2</t>
  </si>
  <si>
    <t>De densidad superior o igual a 55 hilos por cm2 pero inferior a 63 hilos por cm2</t>
  </si>
  <si>
    <t>De densidad superior o igual a 63 hilos por cm2 pero inferior a 71 hilos por cm2</t>
  </si>
  <si>
    <t>De densidad superior o igual a 71 hilos por cm2 pero inferior a 80 hilos por cm2</t>
  </si>
  <si>
    <t>De densidad superior o igual a 80 hilos por cm2 pero inferior a 90 hilos por cm2</t>
  </si>
  <si>
    <t>- - De ligamento tafetan. de peso superior a 100 g/m 2</t>
  </si>
  <si>
    <t>De densidad inferior a 20 hilos por cm2</t>
  </si>
  <si>
    <t>De densidad superior o igual a 20 hilos por cm2 pero inferior a 26 hilos por cm2</t>
  </si>
  <si>
    <t>De densidad superior o igual a 26 hilos por cm2 pero inferior a 33 hilos por cm2</t>
  </si>
  <si>
    <t>De densidad superior o igual a 33 hilos por cm2 pero inferior a 41 hilos por cm2</t>
  </si>
  <si>
    <t>De densidad superior o igual a 41 hilos por cm2 pero inferior a 50 hilos por cm2</t>
  </si>
  <si>
    <t>De densidad superior o igual a 50 hilos por cm2 pero inferior a 60 hilos por cm2</t>
  </si>
  <si>
    <t>De densidad superior o igual a 60 hilos por cm2 pero inferior a 72 hilos por cm2</t>
  </si>
  <si>
    <t>De densidad superior o igual a 72 hilos por cm2 pero inferior a 90 hilos por cm2</t>
  </si>
  <si>
    <t>- - De ligamento sarga. incluido el cruzado. de curso inferior o igual a 4</t>
  </si>
  <si>
    <t>De densidad inferior a 30 hilos por cm2</t>
  </si>
  <si>
    <t>De densidad superior o igual a 30 hilos por cm2 pero inferior a 35 hilos por cm2</t>
  </si>
  <si>
    <t>De densidad superior o igual a 35 hilos por cm2 pero inferior a 42 hilos por cm2</t>
  </si>
  <si>
    <t>De densidad superior o igual a 42 hilos por cm2 pero inferior a 50 hilos por cm2</t>
  </si>
  <si>
    <t>De densidad superior o igual a 60 hilos por cm2 pero inferior a 70 hilos por cm2</t>
  </si>
  <si>
    <t>De densidad superior o igual a 70 hilos por cm2 pero inferior a 80 hilos por cm2</t>
  </si>
  <si>
    <t>De densidad superior o igual a 80 hilos por cm2 pero inferior a 95 hilos por cm2</t>
  </si>
  <si>
    <t>Los demas tejidos de ligamento sarga</t>
  </si>
  <si>
    <t>- Blanqueados:</t>
  </si>
  <si>
    <t>Los demas tejidos</t>
  </si>
  <si>
    <t>- Teñidos:</t>
  </si>
  <si>
    <t>- Con hilados de distintos colores:</t>
  </si>
  <si>
    <t>Tejido de mezclilla («denim»)</t>
  </si>
  <si>
    <t>Con hilados teñidos en «indigo blue» segun Colour Index 73000</t>
  </si>
  <si>
    <t>- Estampados:</t>
  </si>
  <si>
    <t>De ligamento sarga. incluido el cruzado. de curso inferior o igual a 4</t>
  </si>
  <si>
    <t>Tejidos de algodon con un contenido de algodon superior o igual al 85 % en peso. de peso superior a 200 g/m2.</t>
  </si>
  <si>
    <t>De densidad superior o igual a 20 hilos por cm2 pero inferior a 25 hilos por cm2</t>
  </si>
  <si>
    <t>De densidad superior o igual a 25 hilos por cm2 pero inferior a 30 hilos por cm2</t>
  </si>
  <si>
    <t>De densidad superior o igual a 30 hilos por cm2 pero inferior a 36 hilos por cm2</t>
  </si>
  <si>
    <t>De densidad superior o igual a 36 hilos por cm2 pero inferior a 42 hilos por cm2</t>
  </si>
  <si>
    <t>De densidad superior o igual a 42 hilos por cm2 pero inferior a 48 hilos por cm2</t>
  </si>
  <si>
    <t>De densidad superior o igual a 48 hilos por cm2 pero inferior a 54 hilos por cm2</t>
  </si>
  <si>
    <t>De densidad superior o igual a 54 hilos por cm2 pero inferior a 60 hilos por cm2</t>
  </si>
  <si>
    <t>De densidad superior o igual a 20 hilos por cm2 pero inferior a 27 hilos por cm2</t>
  </si>
  <si>
    <t>De densidad superior o igual a 27 hilos por cm2 pero inferior a 35 hilos por cm2</t>
  </si>
  <si>
    <t>De densidad superior o igual a 35 hilos por cm2 pero inferior a 44 hilos por cm2</t>
  </si>
  <si>
    <t>De densidad superior o igual a 44 hilos por cm2 pero inferior a 54 hilos por cm2</t>
  </si>
  <si>
    <t>De densidad superior o igual a 60 hilos por cm2 pero inferior a 77 hilos por cm2</t>
  </si>
  <si>
    <t>De densidad superior o igual a 77 hilos por cm2 pero inferior a 90 hilos por cm2</t>
  </si>
  <si>
    <t>De densidad inferior a 20 hilos por cm2d</t>
  </si>
  <si>
    <t>- - Tejidos de mezclilla («denim»)</t>
  </si>
  <si>
    <t>Con hilados de elastomeros</t>
  </si>
  <si>
    <t>Sin hilados de elastomeros</t>
  </si>
  <si>
    <t>- - Los demas tejidos de ligamento sarga. incluido el cruzado. de curso inferior o igual a 4</t>
  </si>
  <si>
    <t>De densidad inferior a 20 holos por cm2</t>
  </si>
  <si>
    <t>Tejidos de algodon con un contenido de algodon inferior al 85 % en peso. mezclado exclusiva o principalmente con fibras sinteticas o artificiales. de peso inferior o igual a 200 g/m2.</t>
  </si>
  <si>
    <t>De densidad inferior a 20 hilos poor cm2</t>
  </si>
  <si>
    <t>Los demas tejidosde ligamento sarga</t>
  </si>
  <si>
    <t>De densidad inferior a 30 hilos por cm3</t>
  </si>
  <si>
    <t>Tejido de mezclilla ("denim")</t>
  </si>
  <si>
    <t>Con hilados teñidos en "indigo blue" segun Color Index 73000</t>
  </si>
  <si>
    <t>De densidad inferior a 30 hilos por cm 2</t>
  </si>
  <si>
    <t>Tejidos de algodon con un contenido de algodon inferior al 85 % en peso. mezclado exclusiva o principalmente con fibras sinteticas o artificiales. de peso superior a 200 g/m2.</t>
  </si>
  <si>
    <t>De ligamento tafetan</t>
  </si>
  <si>
    <t>Los demas tejidos de algodon.</t>
  </si>
  <si>
    <t>- De peso inferior o igual a 200 g/m 2:</t>
  </si>
  <si>
    <t>- De peso superior a 200 g/m 2:</t>
  </si>
  <si>
    <t>De densidad superior o igual a 77 hilos por cm2 pero inferior a 90 hilos por cm2t</t>
  </si>
  <si>
    <t>De densidad superior o igual a 20 hilos por cm2 pero inferior a 27 hilos por cm</t>
  </si>
  <si>
    <t>Lino en bruto o trabajado. pero sin hilar; estopas y desperdicios de lino (incluidos los desperdicios de hilados y las hilachas).</t>
  </si>
  <si>
    <t>- Lino agramado. espadado. peinado o trabajado de otro modo. pero sin hilar:</t>
  </si>
  <si>
    <t>Agramado</t>
  </si>
  <si>
    <t>Espadado</t>
  </si>
  <si>
    <t>Cañamo (Cannabis sativa L.) en bruto o trabajado. pero sin hilar; estopas y desperdicios de cañamo (incluidos los desperdicios de hilados y las hilachas).</t>
  </si>
  <si>
    <t>Yute y demas fibras textiles del liber (excepto el lino. cañamo y ramio). en bruto o trabajados. pero sin hilar; estopas y desperdicios de estas fibras (incluidos los desperdicios de hilados y las hilachas).</t>
  </si>
  <si>
    <t>Yute</t>
  </si>
  <si>
    <t>Coco. abaca (cañamo de Manila (Musa textilis Nee)). ramio y demas fibras textiles vegetales no expresadas ni comprendidas en otra parte. en bruto o trabajadas. pero sin hilar; estopas y desperdicios de estas fibras (incluidos los desperdicios de hilados y las hilachas).</t>
  </si>
  <si>
    <t>De abaca. en bruto</t>
  </si>
  <si>
    <t>Hilados de lino.</t>
  </si>
  <si>
    <t>Hilados de yute o demas fibras textiles del liber de la partida 53.03.</t>
  </si>
  <si>
    <t>De yute</t>
  </si>
  <si>
    <t>Hilados de las demas fibras textiles vegetales; hilados de papel.</t>
  </si>
  <si>
    <t>Hilados de papel</t>
  </si>
  <si>
    <t>Tejidos de lino.</t>
  </si>
  <si>
    <t>- Con un contenido de lino superior o igual al 85 % en peso:</t>
  </si>
  <si>
    <t>De peso superior o igual a 100 g/m2 pero inferior a 150 g/m2</t>
  </si>
  <si>
    <t>De peso superior o igual a 150 g/m2 pero inferior a 200 g/m2</t>
  </si>
  <si>
    <t>De peso superior o igual a 200 g/m2</t>
  </si>
  <si>
    <t>Con hilados de distintos colores</t>
  </si>
  <si>
    <t>Estampados</t>
  </si>
  <si>
    <t>- Con un contenido de lino inferior al 85 % en peso:</t>
  </si>
  <si>
    <t>Tejidos de yute o demas fibras textiles del liber de la partida 53.03.</t>
  </si>
  <si>
    <t>Arpillera de yute</t>
  </si>
  <si>
    <t>Tejidos de las demas fibras textiles vegetales; tejidos de hilados de papel.</t>
  </si>
  <si>
    <t>Con un contenido de ramio superior o igual al 85 % en peso</t>
  </si>
  <si>
    <t>Crudos o blanqueados</t>
  </si>
  <si>
    <t>De peso superior o igual a 200 g/m2 pero inferior a 300 g/m2</t>
  </si>
  <si>
    <t>Con un contenido de ramio inferior al 85 % en peso</t>
  </si>
  <si>
    <t>Con hilos de distintos colores</t>
  </si>
  <si>
    <t>De hilados de papel</t>
  </si>
  <si>
    <t>De peso inferior a 200 g/m2</t>
  </si>
  <si>
    <t>De peso superior o igual a 300 g/m2 pero inferior a 400 g/m2</t>
  </si>
  <si>
    <t>De peso superior o igual a 400 g/m2 pero inferior a 500 g/m2</t>
  </si>
  <si>
    <t>Hilo de coser de filamentos sinteticos o artificiales. incluso acondicionado para la venta al por menor.</t>
  </si>
  <si>
    <t>Sin acondicionar para la venta al por menor</t>
  </si>
  <si>
    <t>De nailon o demas poliamidas</t>
  </si>
  <si>
    <t>De acrilico o modacrilicos.</t>
  </si>
  <si>
    <t>Sin acondicionar para la venta al por menor.</t>
  </si>
  <si>
    <t>De rayon viscosa. de alta tenacidad</t>
  </si>
  <si>
    <t>De rayon viscosa</t>
  </si>
  <si>
    <t>Hilados de filamentos sinteticos (excepto el hilo de coser) sin acondicionar para la venta al por menor. incluidos los monofilamentos sinteticos de titulo inferior a 67 decitex.</t>
  </si>
  <si>
    <t>- Hilados de alta tenacidad de nailon o demas poliamidas. incluso texturados:</t>
  </si>
  <si>
    <t>De nailon</t>
  </si>
  <si>
    <t>De titulo superior o igual a 80 Dtex.. pero inferior o igual a 300 Dtex.(R.540/02 ME)</t>
  </si>
  <si>
    <t>Para la fabricacion de napas tramadas para neumaticos</t>
  </si>
  <si>
    <t>- Hilados texturados:</t>
  </si>
  <si>
    <t>- - De nailon o demas poliamidas. de titulo inferior o igual a 50 tex por hilo sencillo</t>
  </si>
  <si>
    <t>De titulo inferior o igual a 22 Dtex.</t>
  </si>
  <si>
    <t>De titulo superior a 22 Dtex pero inferior o igual a 55 Dtex.</t>
  </si>
  <si>
    <t>- - De nailon o demas poliamidas. de titulo superior a 50 tex por hilo sencillo</t>
  </si>
  <si>
    <t>Multifilamento con efecto antiestatico permanente de titulo superior a 110 tex</t>
  </si>
  <si>
    <t>De titulo inferior o igual a 80 Dtex.</t>
  </si>
  <si>
    <t>De titulo superior a 80 Dtex. pero inferior o igual a 170 Dtex.</t>
  </si>
  <si>
    <t>De titulo superior a 80 Dtex. pero inferior o igual a 95 Dtex.</t>
  </si>
  <si>
    <t>De titulo superior a 95 Dtex. pero inferior o igual a 170 Dtex.</t>
  </si>
  <si>
    <t>De titulo superior a 170 Dtex. pero inferior o igual a 350 Dtex.</t>
  </si>
  <si>
    <t>De Titulo superior a 170 Dtex pero inferior o igual a 350 Dtex.</t>
  </si>
  <si>
    <t>De titulo inferioir o igual a 80 Dtex.</t>
  </si>
  <si>
    <t>Multifilamento de polipropileno de titulo superior a 110 tex</t>
  </si>
  <si>
    <t>- Los demas hilados sencillos sin torsion o con una torsion inferior o igual a 50 vueltas por metro:</t>
  </si>
  <si>
    <t>De titulo inferior o igual a 22 Dtex</t>
  </si>
  <si>
    <t>De aramidas</t>
  </si>
  <si>
    <t>De aramida</t>
  </si>
  <si>
    <t>Parcialmente orientados</t>
  </si>
  <si>
    <t>De titulo inferior o igual a 27 Dtex.</t>
  </si>
  <si>
    <t>De titulo superior a 27 Dtex pero inferior o igual a 70 Dtex.</t>
  </si>
  <si>
    <t>De titulo inferior o igual a 80 Dtex.. brillante. de seccion transversal trilobal. sin torsiones</t>
  </si>
  <si>
    <t>De titulo superior a 80 Dtex. pero inferior o igual a 170 Dtex.. sin torsiones</t>
  </si>
  <si>
    <t>De titulo superior a 170 Dtex. pero inferior o igual a 250 Dtex.. sin torsiones</t>
  </si>
  <si>
    <t>De titulo superior a 80 Dtex.. pero inferior o igual a 170 Dtex.. sin torsiones</t>
  </si>
  <si>
    <t>De titulo superior a 170 Dtex.. pero inferior o igual a 250 Dtex.. sin torsiones</t>
  </si>
  <si>
    <t>De titulo superior a 80 Dtex.. pero inferior o igual a 170 Dtex. sin torsiones</t>
  </si>
  <si>
    <t>De titulo superior o igual a 167 Dtex.. pero inferior o igual a 5800 Dtex.</t>
  </si>
  <si>
    <t>De titulo superior o igual a 167 Dtex.. pero inferior a 950 Dtex.</t>
  </si>
  <si>
    <t>De titulo superior o igual a 950 Dtex.. pero inferior o igual a 5800 Dtex.</t>
  </si>
  <si>
    <t>De polietileno. con tenacidad superior o igual a 26 cN/tex</t>
  </si>
  <si>
    <t>- Los demas hilados sencillos con una torsion superior a 50 vueltas por metro:</t>
  </si>
  <si>
    <t>- Los demas hilados retorcidos o cableados:</t>
  </si>
  <si>
    <t>Hilados de filamentos artificiales (excepto el hilo de coser) sin acondicionar para la venta al por menor. incluidos los monofilamentos artificiales de titulo inferior a 67 decitex.</t>
  </si>
  <si>
    <t>- Los demas hilados sencillos:</t>
  </si>
  <si>
    <t>- - De rayon viscosa. sin torsion o con una torsion inferior o igual a 120 vueltas por metro</t>
  </si>
  <si>
    <t>--De rayon viscosa. con una torsion superior a 120 vueltas por metro</t>
  </si>
  <si>
    <t>Monofilamentos sinteticos de titulo superior o igual a 67 decitex y cuya mayor dimension de la seccion transversal sea inferior o igual a 1 mm; tiras y formas similares (por ejemplo. paja artificial) de materia textil sintetica. de anchura aparente inferior o igual a 5 mm.</t>
  </si>
  <si>
    <t>- Monofilamentos:</t>
  </si>
  <si>
    <t>Imitaciones de catgut</t>
  </si>
  <si>
    <t>Reabsorbibles</t>
  </si>
  <si>
    <t>Monofilamentos artificiales de titulo superior o igual a 67 decitex y cuya mayor dimension de la seccion transversal sea inferior o igual a 1 mm; tiras y formas similares (por ejemplo. paja artificial) de materia textil artificial. de anchura aparente inferior o igual a 5 mm.</t>
  </si>
  <si>
    <t>Hilados de filamentos sinteticos o artificiales (excepto el hilo de coser). acondicionados para la venta al por menor</t>
  </si>
  <si>
    <t>Hilados de filamentos sinteticos</t>
  </si>
  <si>
    <t>Hilados de filamentos artificiales</t>
  </si>
  <si>
    <t>Tejidos de hilados de filamentos sinteticos. incluidos los tejidos fabricados con los productos de la partida 54.04.</t>
  </si>
  <si>
    <t>Sin hilos de caucho</t>
  </si>
  <si>
    <t>Con hilos de caucho</t>
  </si>
  <si>
    <t>Tubular</t>
  </si>
  <si>
    <t>De peso inferior a 62 g/m2 (R.186/00 SIC)</t>
  </si>
  <si>
    <t>De peso superior o igual a 62 g/m2 pero inferior o igual a 75 g/m2 (R.186/00 SIC)</t>
  </si>
  <si>
    <t>De peso superior a 75 g/m2 pero inferior o igual a 110 g/m2 (R.186/00 SIC)</t>
  </si>
  <si>
    <t>-Productos citados en la Nota 9 de la Seccion XI</t>
  </si>
  <si>
    <t>- Los demas tejidos con un contenido de filamentos de nailon o demas poliamidas superior o igual al 85 % en peso:</t>
  </si>
  <si>
    <t>De densidad inferior o igual a 30 hilos por cm2</t>
  </si>
  <si>
    <t>De densidad superior a 30 hilos por cm2 pero inferior o igual a 50 hilos por cm2</t>
  </si>
  <si>
    <t>De densidad superior a 50 hilos por cm2 pero inferior o igual a 70 hilos por cm2</t>
  </si>
  <si>
    <t>De densidad superior a 70 hilos por cm2 pero inferior o igual a 90 hilos por cm2</t>
  </si>
  <si>
    <t>De densidad superior a 90 hilos por cm2 pero inferior o igual a 110 hilos por cm2</t>
  </si>
  <si>
    <t>Los demas tejidos de ligamento de sarga</t>
  </si>
  <si>
    <t>De ligamento de sarga. incluido el cruzado. de curso inferior o igual a 4</t>
  </si>
  <si>
    <t>- Los demas tejidos con un contenido de filamentos de poliester texturados superior o igual al 85 % en peso:</t>
  </si>
  <si>
    <t>De ligamento de tafetan</t>
  </si>
  <si>
    <t>- Los demas tejidos con un contenido de filamentos de poliester superior o igual al 85 % en peso:</t>
  </si>
  <si>
    <t>- - Con un contenido de filamentos de poliester sin texturar superior o igual al 85 % en peso</t>
  </si>
  <si>
    <t>Crudos o blanqueados:</t>
  </si>
  <si>
    <t>De ligamento tafetan. de ancho superior o igual a 260 cm pero inferior o igual a 380 cm</t>
  </si>
  <si>
    <t>Los demas tejidos de ligamento tafetan</t>
  </si>
  <si>
    <t>Con hilados de distintos colores:</t>
  </si>
  <si>
    <t>De densidad superior a 90 hilos cm2 pero inferior o igual a 110 hilos por cm2</t>
  </si>
  <si>
    <t>Estampados:</t>
  </si>
  <si>
    <t>Los demas tejios de ligamento tafetan</t>
  </si>
  <si>
    <t>De ligamento tafetan. con un contenido de hilados texturados inferior o igual al 50% en peso. de ancho superior o igual a 260 cm pero inferior o igual a 380 cm</t>
  </si>
  <si>
    <t>Teñidos:</t>
  </si>
  <si>
    <t>- Los demas tejidos con un contenido de filamentos sinteticos superior o igual al 85 % en peso:</t>
  </si>
  <si>
    <t>De nailon o de las demas poliamidas</t>
  </si>
  <si>
    <t>Mezclados exclusiva o principalmente con fibras acrilicas o modacrilicas</t>
  </si>
  <si>
    <t>Mezclados exclusiva o principalmente con fibras de poliester</t>
  </si>
  <si>
    <t>Mezclados exclusiva o principalmente con fibras de polipropileno</t>
  </si>
  <si>
    <t>De acrilico o modacrilicas</t>
  </si>
  <si>
    <t>Mezclados exclusiva o principalmente con fibras de poliproileno</t>
  </si>
  <si>
    <t>Mezclados exclusiva o principalmente con fibras de acrilicas o modacrilicas</t>
  </si>
  <si>
    <t>- Los demas tejidos con un contenido de filamentos sinteticos inferior al 85 % en peso. mezclados exclusiva o principalmente con algodon:</t>
  </si>
  <si>
    <t>- Los demas tejidos:</t>
  </si>
  <si>
    <t>Tejidos de hilados de filamentos artificiales. incluidos los fabricados con productos de la partida 54.05.</t>
  </si>
  <si>
    <t>- Los demas tejidos con un contenido de filamentos o de tiras o formas similares. artificiales. superior o igual al 85 % en peso:</t>
  </si>
  <si>
    <t>De ligamento sarga. incluido el cruzado de curso inferior o igual a 4</t>
  </si>
  <si>
    <t>las demas</t>
  </si>
  <si>
    <t>De filamentos de acetato (R.979/00 ME)</t>
  </si>
  <si>
    <t>Cables de filamentos sinteticos.</t>
  </si>
  <si>
    <t>Cables de filamentos artificiales.</t>
  </si>
  <si>
    <t>Fibras sinteticas discontinuas. sin cardar. peinar ni transformar de otro modo para la hilatura.</t>
  </si>
  <si>
    <t>- De nailon o demas poliamidas:</t>
  </si>
  <si>
    <t>Bicomponentes. de distintos puntos de fusion</t>
  </si>
  <si>
    <t>Bicomponentes. con distinto punto de fusion</t>
  </si>
  <si>
    <t>Fibras artificiales discontinuas. sin cardar. peinar ni transformar de otro modo para la hilatura.</t>
  </si>
  <si>
    <t>De "lyocell"</t>
  </si>
  <si>
    <t>Desperdicios de fibras sinteticas o artificiales (incluidas las borras. los desperdicios de hilados y las hilachas).</t>
  </si>
  <si>
    <t>Fibras sinteticas discontinuas. cardadas. peinadas o transformadas de otro modo para la hilatura.</t>
  </si>
  <si>
    <t>FIBRAS ARTIFICIALES DISCONTINUAS. CARDADAS. PEINADAS O TRANSFORMADAS DE OTRO MODO PARA LA HILATURA.</t>
  </si>
  <si>
    <t>Hilo de coser de fibras sinteticas o artificiales. discontinuas. incluso acondicionado para la venta al por menor.</t>
  </si>
  <si>
    <t>Hilados de fibras sinteticas discontinuas (excepto el hilo de coser) sin acondicionar para la venta al por menor.</t>
  </si>
  <si>
    <t>- Con un contenido de fibras discontinuas de nailon o demas poliamidas superior o igual al 85 % en peso:</t>
  </si>
  <si>
    <t>- Con un contenido de fibras discontinuas de poliester superior o igual al 85 % en peso:</t>
  </si>
  <si>
    <t>De titulo inferior a 232.56 decitex pero superior o igual a 192.31 decitex (superior al numero metrico 43 pero inferior o igual al numero metrico 52)</t>
  </si>
  <si>
    <t>De titulo inferior 192.31 decitex (superior al numero metrico 52)</t>
  </si>
  <si>
    <t>De titulo inferior a 232.56 decitex pero superior o igual a 192.31 decitex. por hilo sencillo (superior al numero metrico 43 pero inferior o igual al numero metrico 52. por hilo sencillo)</t>
  </si>
  <si>
    <t>De titulo inferior 192.31 decitex por hilo sencillo (superior al numero metrico 52 por hilo sencillo)</t>
  </si>
  <si>
    <t>- Con un contenido de fibras discontinuas acrilicas o modacrilicas superior o igual al 85 % en peso:</t>
  </si>
  <si>
    <t>De longitud de fibra inferior o igual a 51 mm</t>
  </si>
  <si>
    <t>De titulo inferior o igual a 800 Decitex</t>
  </si>
  <si>
    <t>De titulo superior a 800 Decitex</t>
  </si>
  <si>
    <t>De longitud de fibra superior a 51 mm</t>
  </si>
  <si>
    <t>Retorcidos</t>
  </si>
  <si>
    <t>De titulo inferior o igual a 800 Decitex por hilo sencillo</t>
  </si>
  <si>
    <t>De titulo superior a 800 Decitex por hilo sencillo</t>
  </si>
  <si>
    <t>Cableados</t>
  </si>
  <si>
    <t>De longitud de fibra inferior o igual a 51mm</t>
  </si>
  <si>
    <t>- Los demas hilados con un contenido de fibras sinteticas discontinuas superior o igual al 85 % en peso:</t>
  </si>
  <si>
    <t>De titulo inferior a 192.31 decitex (superior al numero metrico 52)</t>
  </si>
  <si>
    <t>De titulo inferior a 714.29 decitex pero superior o igual a 491.67 decitex. por hilo sencillo (superior al numero metrico 14 pero inferior o igual al numero metrico 20.34)</t>
  </si>
  <si>
    <t>De titulo inferior a 491.67 decitex pero superior o igual a 368.75 decitex. por hilo sencillo (superior al numero metrico 20.34 pero inferior o igual al numero metrico 27.12)</t>
  </si>
  <si>
    <t>De titulo inferior a 368.75 decitex pero superior o igual a 295.00 decitex. por hilo sencillo (superior al numero metrico 27.12 pero inferior o igual al numero metrico 33.90)</t>
  </si>
  <si>
    <t>De titulo inferior a 295.00 decitex pero superior o igual a 232.56 decitex. por hilo sencillo (superior al numero metrico 33.90 pero inferior o igual al numero metrico 43)</t>
  </si>
  <si>
    <t>De titulo inferior a 232.56 decitex pero superior o igual a 192.31 decitex. por hilo sencillo (superior al numero metrico 43 pero inferior o igual al numero metrico 52)</t>
  </si>
  <si>
    <t>De titulo inferior a 192.31 decitex por hilo sencillo (superior al numero metrico 52)</t>
  </si>
  <si>
    <t>- Los demas hilados de fibras discontinuas de poliester:</t>
  </si>
  <si>
    <t>Sencillos</t>
  </si>
  <si>
    <t>- Los demas hilados de fibras discontinuas acrilicas o modacrilicas:</t>
  </si>
  <si>
    <t>- Los demas hilados:</t>
  </si>
  <si>
    <t>Hilados de fibras artificiales discontinuas (excepto el hilo de coser) sin acondicionar para la venta al por menor.</t>
  </si>
  <si>
    <t>- Con un contenido de fibras artificiales discontinuas superior o igual al 85 % en peso:</t>
  </si>
  <si>
    <t>Obtenidos a partir de fibras de celulosa</t>
  </si>
  <si>
    <t>De rayon viscosa. excepto modal</t>
  </si>
  <si>
    <t>De modal</t>
  </si>
  <si>
    <t>Hilados de fibras sinteticas o artificiales. discontinuas (excepto el hilo de coser). acondicionados para la venta al por menor.</t>
  </si>
  <si>
    <t>-De fibras sinteticas discontinuas con un contenido de estas fibras superior o igual al 85 % en peso</t>
  </si>
  <si>
    <t>-De fibras sinteticas discontinuas con un contenido de estas fibras inferior al 85 % en peso</t>
  </si>
  <si>
    <t>Tejidos de fibras sinteticas discontinuas con un contenido de fibras sinteticas discontinuas superior o igual al 85 % en peso.</t>
  </si>
  <si>
    <t>De densidad superior a 30 hilos por cm2 pero inferior o igual a 37 hilos por cm2</t>
  </si>
  <si>
    <t>De densidad superior a 37 hilos por cm2 pero inferior o igual a 45 hilos por cm2</t>
  </si>
  <si>
    <t>De densidad superior a 45 hilos por cm2 pero inferior o igual a 54 hilos por cm2</t>
  </si>
  <si>
    <t>De densidad superior a 54 hilos por cm2 pero inferior o igual a 63 hilos por cm2</t>
  </si>
  <si>
    <t>De densidad superior a 63 hilos por cm2 pero inferior o igual a 74 hilos por cm2</t>
  </si>
  <si>
    <t>De densidad superior a 74 hilos por cm2 pero inferior o igual a 87 hilos por cm2</t>
  </si>
  <si>
    <t>De densidad superior a 87 hilos por cm2 pero inferior o igual a 99 hilos por cm2</t>
  </si>
  <si>
    <t>De densidad inferior o igual 30 hilos por cm2</t>
  </si>
  <si>
    <t>Tejidos de fibras sinteticas discontinuas con un contenido de estas fibras inferior al 85 % en peso. mezcladas exclusiva o principalmente con algodon. de peso inferior o igual a 170 g/m2.</t>
  </si>
  <si>
    <t>- Crudos o blanqueados:</t>
  </si>
  <si>
    <t>- - De fibras discontinuas de poliester. de ligamento sarga. incluido el cruzado. de curso inferior o igual a 4</t>
  </si>
  <si>
    <t>De fibras discontinuas de poliester</t>
  </si>
  <si>
    <t>Tejidos de fibras sinteticas discontinuas con un contenido de estas fibras inferior al 85 % en peso. mezcladas exclusiva o principalmente con algodon. de peso superior a 170 g/m2.</t>
  </si>
  <si>
    <t>De densidad superior a 54 hilos por cm2 pero inferior o igual a 63 hilos por cm2.</t>
  </si>
  <si>
    <t>Los demas tejidos de ligamentos sarga</t>
  </si>
  <si>
    <t>Los demas tejidos de fibras sinteticas discontinuas.</t>
  </si>
  <si>
    <t>- De fibras discontinuas de poliester:</t>
  </si>
  <si>
    <t>Con lana</t>
  </si>
  <si>
    <t>Con pelo fino</t>
  </si>
  <si>
    <t>- De fibras discontinuas acrilicas o modacrilicas:</t>
  </si>
  <si>
    <t>Tejidos de fibras artificiales discontinuas.</t>
  </si>
  <si>
    <t>De densidad inferior o igual a 30 hilos por cm3</t>
  </si>
  <si>
    <t>- Con un contenido de fibras artificiales discontinuas inferior al 85 % en peso. mezcladas exclusiva o principalmente con filamentos sinteticos o artificiales:</t>
  </si>
  <si>
    <t>- Con un contenido de fibras artificiales discontinuas inferior al 85 % en peso. mezcladas exclusiva o principalmente con lana o pelo fino:</t>
  </si>
  <si>
    <t>- Con un contenido de fibras artificiales discontinuas inferior al 85 % en peso. mezcladas exclusiva o principalmente con algodon:</t>
  </si>
  <si>
    <t>Guata de materia textil y articulos de esta guata; fibras textiles de longitud inferior o igual a 5 mm (tundizno). nudos y motas de materia textil.</t>
  </si>
  <si>
    <t>- Guata de materia textil y articulos de esta guata:</t>
  </si>
  <si>
    <t>Guata</t>
  </si>
  <si>
    <t>En forma cuadrada o rectangular. en las que ningun lado exceda los 2 m. sin enrollar</t>
  </si>
  <si>
    <t>Los demas articulos de guata</t>
  </si>
  <si>
    <t>Hisopos</t>
  </si>
  <si>
    <t>Cilindros para filtros de cigarrillos</t>
  </si>
  <si>
    <t>Fieltro. incluso impregnado. recubierto. revestido o estratificado.</t>
  </si>
  <si>
    <t>De desperdicios de materias textiles incluidos los desperdicios de hilados. hilachas y restos de tejidos</t>
  </si>
  <si>
    <t>De peso inferior a 150 g/m2</t>
  </si>
  <si>
    <t>De peso superior o igual a 150 g/m2 pero inferior a 250 g/m2</t>
  </si>
  <si>
    <t>De peso superior o igual a 250 g/m2 pero inferior a 350 g/m2</t>
  </si>
  <si>
    <t>De peso superior o igual a 350 g/m2 pero inferior a 500 g/m2</t>
  </si>
  <si>
    <t>De peso superior o igual a 500 g/m2 pero inferior a 700 g/m2</t>
  </si>
  <si>
    <t>De peso superior o igual a 700 g/m2 pero inferior a 900 g/m2</t>
  </si>
  <si>
    <t>- Los demas fieltros sin impregnar. recubrir. revestir ni estratificar:</t>
  </si>
  <si>
    <t>De peso superior inferior a 150 g/m2</t>
  </si>
  <si>
    <t>Tela sin tejer. incluso impregnada. recubierta. revestida o estratificada.</t>
  </si>
  <si>
    <t>- De filamentos sinteticos o artificiales:</t>
  </si>
  <si>
    <t>- - De peso inferior o igual a 25 g/m 2</t>
  </si>
  <si>
    <t>De filamentos sinteticos</t>
  </si>
  <si>
    <t>De filamentos artificiales</t>
  </si>
  <si>
    <t>- - De peso superior a 25 g/m 2 pero inferior o igual a 70 g/m 2</t>
  </si>
  <si>
    <t>De polietileno de alta densidad</t>
  </si>
  <si>
    <t>En rollos. de anchura superior o igual a 90 cm</t>
  </si>
  <si>
    <t>Acondicionadas para la venta al por memor</t>
  </si>
  <si>
    <t>- - De peso superior a 70 g/m 2 pero inferior o igual a 150 g/m 2</t>
  </si>
  <si>
    <t>Sin impregnar. recubrir. revestir. ni estratificar</t>
  </si>
  <si>
    <t>En rollos. de ancgura superior o igual a 90 cm</t>
  </si>
  <si>
    <t>En rollos. de anchura superior o iguala a 90 cm</t>
  </si>
  <si>
    <t>Las denas</t>
  </si>
  <si>
    <t>Sin impregnar. recubrir. revetir. ni estratificar</t>
  </si>
  <si>
    <t>De peso inferior a 400 g/m2</t>
  </si>
  <si>
    <t>De peso superior o igual a 400 g/m2 pero inferior a 550 g/m2</t>
  </si>
  <si>
    <t>De peso superior o igual a 550 g/m2 pero inferior a 1000 g/m2</t>
  </si>
  <si>
    <t>De peso superior o igual a 750 g/m2 pero inferior a 1000 g/m2</t>
  </si>
  <si>
    <t>De peso superior o igual a 550 g/m2 pero inferior a 750 g/m2</t>
  </si>
  <si>
    <t>Sin imopregnar. recubrir. revestir. ni estratificar</t>
  </si>
  <si>
    <t>Sin impregnar. recubrir. reestir. ni estratificar</t>
  </si>
  <si>
    <t>de peso inferior a 400 g/m2</t>
  </si>
  <si>
    <t>De peso superior o igual a a400 g/m2 pero inferior a 550 g/m2</t>
  </si>
  <si>
    <t>Hilos y cuerdas de caucho revestidos de textiles; hilados textiles. tiras y formas similares de las partidas 54.04 o 54.05. impregnados. recubiertos. revestidos o enfundados con caucho o plastico.</t>
  </si>
  <si>
    <t>Imitaciones de catgut constituidas por hilos de seda</t>
  </si>
  <si>
    <t>Hilados de alta tenacidad de poliester. de nailon o demas poliamidas o de rayon viscosa. impregnados o recubiertos</t>
  </si>
  <si>
    <t>Con caucho</t>
  </si>
  <si>
    <t>Con plastico</t>
  </si>
  <si>
    <t>Hilados metalicos e hilados metalizados. incluso entorchados. constituidos por hilados textiles. tiras o formas similares de las partidas 54.04 o 54.05. combinados con metal en forma de hilos. tiras o polvo. o revestidos de metal.</t>
  </si>
  <si>
    <t>Con metal precioso</t>
  </si>
  <si>
    <t>Entorchados. excepto con metal precioso</t>
  </si>
  <si>
    <t>Hilados entorchados. tiras y formas similares de las partidas 54.04 o 54.05. entorchadas (excepto los de la partida 56.05 y los hilados de crin entorchados); hilados de chenilla; hilados «de cadeneta».</t>
  </si>
  <si>
    <t>Hilados entorchados. tiras y formas similares de las partidas 54.04 o 54.05. entorchadas (excepto los de la partida 56.05 y los hilados de crin entorchados)</t>
  </si>
  <si>
    <t>Hilados</t>
  </si>
  <si>
    <t>Tiras y formas similares de las partidas 5404 o 5405</t>
  </si>
  <si>
    <t>Hilados de chenilla</t>
  </si>
  <si>
    <t>De algodon</t>
  </si>
  <si>
    <t>De acrilicos</t>
  </si>
  <si>
    <t>HILADOS DE «CADENETA»</t>
  </si>
  <si>
    <t>De fibras sinteticas</t>
  </si>
  <si>
    <t>De fibras artificiales</t>
  </si>
  <si>
    <t>Cordeles. cuerdas y cordajes. esten o no trenzados. incluso impregnados. recubiertos. revestidos o enfundados con caucho o plastico.</t>
  </si>
  <si>
    <t>- De sisal o demas fibras textiles del genero Agave:</t>
  </si>
  <si>
    <t>- De polietileno o polipropileno:</t>
  </si>
  <si>
    <t>Sin impregnar. recubrir. revestir. ni enfundar</t>
  </si>
  <si>
    <t>De titulo superior o igual a 1.000.000 decitex pero inferior a 10.000.000 decitex</t>
  </si>
  <si>
    <t>De titulo superior o igual a 10.000.000 decitex</t>
  </si>
  <si>
    <t>De yute. inferior al numero metrico 0.75 por hilo sencillo</t>
  </si>
  <si>
    <t>Redes de mallas anudadas. en paño o en pieza. fabricadas con cordeles. cuerdas o cordajes; redes confeccionadas para la pesca y demas redes confeccionadas. de materia textil.</t>
  </si>
  <si>
    <t>- De materia textil sintetica o artificial:</t>
  </si>
  <si>
    <t>De malla cuadrada o rectangular</t>
  </si>
  <si>
    <t>Articulos de hilados. tiras o formas similares de las partidas 54.04 o 54.05. cordeles. cuerdas o cordajes. no expresados ni comprendidos en otra parte.</t>
  </si>
  <si>
    <t>Alfombras de nudo de materia textil. incluso confeccionadas.</t>
  </si>
  <si>
    <t>Hechas a mano</t>
  </si>
  <si>
    <t>Confeccionadas</t>
  </si>
  <si>
    <t>Cuadradas o rectangulares</t>
  </si>
  <si>
    <t>Circulares</t>
  </si>
  <si>
    <t>Sin confeccionar</t>
  </si>
  <si>
    <t>Hechas a maquina</t>
  </si>
  <si>
    <t>Alfombras y demas revestimientos para el suelo. de materia textil. tejidos. excepto los de mechon insertado y los flocados. aunque esten confeccionados. incluidas las alfombras llamadas «Kelim» o «Kilim». «Schumacks» o «Soumak». «Karamanie» y alfombras similares tejidas a mano.</t>
  </si>
  <si>
    <t>-Alfombras llamadas «Kelim» o «Kilim». «Schumacks» o «Soumak». «Karamanie» y alfombras similares tejidas a mano</t>
  </si>
  <si>
    <t>- Los demas. aterciopelados. sin confeccionar:</t>
  </si>
  <si>
    <t>- Los demas. aterciopelados. confeccionados:</t>
  </si>
  <si>
    <t>Cuadrados o rectangulares</t>
  </si>
  <si>
    <t>Con pelo</t>
  </si>
  <si>
    <t>Con bucle</t>
  </si>
  <si>
    <t>De lana o pelo fino</t>
  </si>
  <si>
    <t>De materia textil sintetica o artificial</t>
  </si>
  <si>
    <t>De las demas materias textiles</t>
  </si>
  <si>
    <t>- Los demas. sin aterciopelar. confeccionados:</t>
  </si>
  <si>
    <t>Alfombras y demas revestimientos para el suelo. de materia textil. con mechon insertado. incluso confeccionados.</t>
  </si>
  <si>
    <t>Confeccionados</t>
  </si>
  <si>
    <t>De peso inferior a 4 kg/m2</t>
  </si>
  <si>
    <t>De peso superior o igual a 4 kg/m2</t>
  </si>
  <si>
    <t>De forma cuadrada con base de PVC. caucho o betunes. con una superficie superior o igual a 0.16 m2 pero inferior o igual a 0.36 m2</t>
  </si>
  <si>
    <t>De peso inferior a dos kilogramos por metro cuadrado (2 kg/m2) (R.299/96 MEOSP. Anexo IX-3)</t>
  </si>
  <si>
    <t>Cuadradas o rectangulares. confeccionadas</t>
  </si>
  <si>
    <t>De peso inferior a 1.5 kg/m2</t>
  </si>
  <si>
    <t>De peso superior o igual a 1.5 kg/m2 pero inferior a 1.8 kg/m2</t>
  </si>
  <si>
    <t>De peso superior o igual a 1.8 kg/m2</t>
  </si>
  <si>
    <t>Las demas. confeccionadas</t>
  </si>
  <si>
    <t>Cuadrados o rectangulares. confeccionados</t>
  </si>
  <si>
    <t>De peso superior o igual a 2 kg/m2 pero inferior a 2.2 kg/m2</t>
  </si>
  <si>
    <t>De peso superior o igual a 2.2 kg/m2</t>
  </si>
  <si>
    <t>Los demas. confeccionados</t>
  </si>
  <si>
    <t>De peso superior o igual a 2.2 kg/m2 pero inferior a 4 kg/m2</t>
  </si>
  <si>
    <t>Cuadradas o rectangulares. de poliesteres</t>
  </si>
  <si>
    <t>De peso superior o igual a 1.8 kg/m2 pero inferior a 2.2 kg/m2</t>
  </si>
  <si>
    <t>Cuadradas o rectangulares. de polipropileno</t>
  </si>
  <si>
    <t>Cuadradas o rectangulares. de las demas materias textiles sinteticas o artificiales</t>
  </si>
  <si>
    <t>Circulares. de poliesteres</t>
  </si>
  <si>
    <t>Circulares. de polipropileno</t>
  </si>
  <si>
    <t>Circulares. de las demas materias textiles sinteticas o artificiales</t>
  </si>
  <si>
    <t>Las demas. de poliesteres</t>
  </si>
  <si>
    <t>Las demas. de polipropileno</t>
  </si>
  <si>
    <t>Las demas. de las demas materias textiles sinteticas o artificiales</t>
  </si>
  <si>
    <t>De las demas materias textiles sinteticas o artificiales</t>
  </si>
  <si>
    <t>Alfombras y demas revestimientos para el suelo. de fieltro. excepto los de mechon insertado y los flocados. incluso confeccionados.</t>
  </si>
  <si>
    <t>- Losetas de superficie inferior o igual a 0.3 m².</t>
  </si>
  <si>
    <t>Confeccionados.</t>
  </si>
  <si>
    <t>De forma cuadrada con base de PVC. caucho o betunes</t>
  </si>
  <si>
    <t>De peso inferior a 3.5 kg/m2</t>
  </si>
  <si>
    <t>-Losetas de superficie superior a 0.3 m2 pero inferior o igual a 1 m2</t>
  </si>
  <si>
    <t>Cortados en formas apropiadas como piezas de vehiculos automoviles</t>
  </si>
  <si>
    <t>Las demas alfombras y revestimientos para el suelo. de materia textil. incluso confeccionados.</t>
  </si>
  <si>
    <t>Flocados</t>
  </si>
  <si>
    <t>De punto</t>
  </si>
  <si>
    <t>Con contenido de pelo de llama superior o igual al 80% en peso. con base de yute y de peso inferior o igual a 4 kg/m2</t>
  </si>
  <si>
    <t>Terciopelo y felpa. excepto los de punto. y tejidos de chenilla. excepto los productos de las partidas 58.02 o 58.06.</t>
  </si>
  <si>
    <t>- De algodon:</t>
  </si>
  <si>
    <t>- - Terciopelo y felpa por trama. cortados. rayados (pana rayada. «corduroy»)</t>
  </si>
  <si>
    <t>- De fibras sinteticas o artificiales:</t>
  </si>
  <si>
    <t>De seda</t>
  </si>
  <si>
    <t>Tejidos con bucles del tipo toalla. excepto los productos de la partida 58.06; superficies textiles con mechon insertado. excepto los productos de la partida 57.03.</t>
  </si>
  <si>
    <t>- Tejidos con bucles del tipo toalla. de algodon:</t>
  </si>
  <si>
    <t>De peso superior o igual a 200 g/m2 pero inferior a 250 g/m2</t>
  </si>
  <si>
    <t>De peso superior o igual a 250 g/m2 pero inferior a 300 g/m2</t>
  </si>
  <si>
    <t>Blanqueados</t>
  </si>
  <si>
    <t>De lana o pelo fino (R.2513/93 ex-ANA)</t>
  </si>
  <si>
    <t>Tejidos de gasa de vuelta. excepto los productos de la partida 58.06.</t>
  </si>
  <si>
    <t>Tejido de proteccion antigranizo</t>
  </si>
  <si>
    <t>Comprendidos en la Ley N° 25.174 (Malla antigranizo). sus normas modificatorias y complementarias</t>
  </si>
  <si>
    <t>De tiras o formas similares. de polipropileno o polietileno</t>
  </si>
  <si>
    <t>De peso inferior a 45 g/m2</t>
  </si>
  <si>
    <t>De peso superior o igual a 45 g/m2 pero inferior a 57 g/m2</t>
  </si>
  <si>
    <t>Tul. tul-bobinot y tejidos de mallas anudadas; encajes en pieza. en tiras o en aplicaciones. excepto los productos de las partidas 60.02 a 60.06.</t>
  </si>
  <si>
    <t>- Encajes fabricados a maquina:</t>
  </si>
  <si>
    <t>De lino</t>
  </si>
  <si>
    <t>Tapiceria tejida a mano (Gobelinos. Flandes. Aubusson. Beauvais y similares) y tapiceria de aguja (por ejemplo: de «petit point». de punto de cruz). incluso confeccionadas.</t>
  </si>
  <si>
    <t>De fibras sinteticas o artificiales</t>
  </si>
  <si>
    <t>Cintas. excepto los articulos de la partida 58.07; cintas sin trama. de hilados o fibras paralelizados y aglutinados.</t>
  </si>
  <si>
    <t>De terciopelo o felpa</t>
  </si>
  <si>
    <t>De tejido de chenilla</t>
  </si>
  <si>
    <t>De tejido con bucles del tipo para toallas</t>
  </si>
  <si>
    <t>Cinta de cierre y fijacion (tipo velcro)</t>
  </si>
  <si>
    <t>- Las demas cintas. con un contenido de hilos de elastomeros o de hilos de caucho superior o igual al 5 % en peso</t>
  </si>
  <si>
    <t>Con hilos de elastomeros</t>
  </si>
  <si>
    <t>De rayon Viscosa</t>
  </si>
  <si>
    <t>- Las demas cintas:</t>
  </si>
  <si>
    <t>De poliester. con una resistencia minima a la abrasion de 15 kn y con un 26 % de elongacion maxima. determinadas segun norma IRAM Nro 3641 (Anexo IX-2) (R.15/99 MEOSP)</t>
  </si>
  <si>
    <t>De rayon acetato</t>
  </si>
  <si>
    <t>Etiquetas. escudos y articulos similares. de materia textil. en pieza. cintas o recortados. sin bordar.</t>
  </si>
  <si>
    <t>En pieza</t>
  </si>
  <si>
    <t>En cintas</t>
  </si>
  <si>
    <t>Trenzas en pieza; articulos de pasamaneria y articulos ornamentales analogos. en pieza. sin bordar. excepto los de punto; bellotas. madroños. pompones. borlas y articulos similares.</t>
  </si>
  <si>
    <t>TEJIDOS DE HILOS DE METAL Y TEJIDOS DE HILADOS METaLICOS O DE HILADOS TEXTILES METALIZADOS DE LA PARTIDA 56.05. DE LOS TIPOS UTILIZADOS EN PRENDAS DE VESTIR. TAPICERÃA O USOS SIMILARES. NO EXPRESADOS NI COMPRENDIDOS EN OTRA PARTE.</t>
  </si>
  <si>
    <t>Bordados en pieza. en tiras o en aplicaciones.</t>
  </si>
  <si>
    <t>- Los demas bordados:</t>
  </si>
  <si>
    <t>PRODUCTOS TEXTILES ACOLCHADOS EN PIEZA. CONSTITUIDOS POR UNA O VARIAS CAPAS DE MATERIA TEXTIL COMBINADAS CON UNA MATERIA DE RELLENO Y MANTENIDAS MEDIANTE PUNTADAS U OTRO MODO DE SUJECION. EXCEPTO LOS BORDADOS DE LA PARTIDA 58.10.</t>
  </si>
  <si>
    <t>Telas recubiertas de cola o materias amilaceas. de los tipos utilizados para encuadernacion. cartonaje. estucheria o usos similares; transparentes textiles para calcar o dibujar; lienzos preparados para pintar; bucaran y telas rigidas similares de los tipos utilizados en sombrereria.</t>
  </si>
  <si>
    <t>Napas tramadas para neumaticos fabricadas con hilados de alta tenacidad de nailon o demas poliamidas. de poliesteres o de rayon viscosa.</t>
  </si>
  <si>
    <t>Impregnadas. recubiertas o revestidas con caucho</t>
  </si>
  <si>
    <t>Telas impregnadas. recubiertas. revestidas o estratificadas con plastico. excepto las de la partida 59.02.</t>
  </si>
  <si>
    <t>Cinta de cierre y fijacion (tipo velcro). autoadhesiva</t>
  </si>
  <si>
    <t>Impregnadas (Res. 1294/99 y 1295/99 MEOSP)</t>
  </si>
  <si>
    <t>Linoleo. incluso cortado; revestimientos para el suelo formados por un recubrimiento o revestimiento aplicado sobre un soporte textil. incluso cortados.</t>
  </si>
  <si>
    <t>REVESTIMIENTOS DE MATERIA TEXTIL PARA PAREDES.</t>
  </si>
  <si>
    <t>Telas cauchutadas. excepto las de la partida 59.02.</t>
  </si>
  <si>
    <t>-Cintas adhesivas de anchura inferior o igual a 20 cm</t>
  </si>
  <si>
    <t>De peso superior o igual a 400 g/m2 pero inferior a 600 g/m2</t>
  </si>
  <si>
    <t>De peso superior o igual a 600 g/m2 pero inferior a 800 g/m2</t>
  </si>
  <si>
    <t>De peso superior o igual a 800 g/m2 pero inferior a 1000 g/m2</t>
  </si>
  <si>
    <t>Tejidos de poliester de alta tenacidad diez por diez o doce por doce hilos por centimetro (10x10 o 12x12 hilos por cm). titulo de cien a mil seiscientos setenta tex (100 a 1670 tex). recubierto con caucho de policloropreno y polietileno clorosulfonado en varias capas. peso superior o igual a setecientos gramos por metro cuadrado (700 g/m2). pero inferior o igual a mil quinientos gramos por metro cuadrado (1500 g/m2). (R.1101/99 MEOSP)</t>
  </si>
  <si>
    <t>Segun las condiciones establecidas en la R.1101/99MEOSP</t>
  </si>
  <si>
    <t>Las demas telas impregnadas. recubiertas o revestidas; lienzos pintados para decoraciones de teatro. fondos de estudio o usos analogos.</t>
  </si>
  <si>
    <t>Con tundiznos de algodon</t>
  </si>
  <si>
    <t>Con tundiznos de fibras sinteticas o artificiales</t>
  </si>
  <si>
    <t>Con tundiznos de las demas materias textiles</t>
  </si>
  <si>
    <t>Con lentejuelas</t>
  </si>
  <si>
    <t>Con ceras</t>
  </si>
  <si>
    <t>De algonon</t>
  </si>
  <si>
    <t>De las materias textiles</t>
  </si>
  <si>
    <t>MECHAS DE MATERIA TEXTIL TEJIDA. TRENZADA O DE PUNTO. PARA LaMPARAS. HORNILLOS. MECHEROS. VELAS O SIMILARES; MANGUITOS DE INCANDESCENCIA Y TEJIDOS DE PUNTO TUBULARES UTILIZADOS PARA SU FABRICACION. INCLUSO IMPREGNADOS.</t>
  </si>
  <si>
    <t>MANGUERAS PARA BOMBAS Y TUBOS SIMILARES. DE MATERIA TEXTIL. INCLUSO CON ARMADURA O ACCESORIOS DE OTRAS MATERIAS.</t>
  </si>
  <si>
    <t>Correas transportadoras o de transmision. de materia textil. incluso impregnadas. recubiertas. revestidas o estratificadas con plastico o reforzadas con metal u otra materia.</t>
  </si>
  <si>
    <t>Sin impregnar. recubrir. revestir ni estratificar:</t>
  </si>
  <si>
    <t>De anchura inferior a 10 cm</t>
  </si>
  <si>
    <t>De anchura superior o igual a 10 cm pero inferior a 30 cm</t>
  </si>
  <si>
    <t>De anchura superior o igual a 30 cm pero inferior a 90 cm</t>
  </si>
  <si>
    <t>De anchura superior o igual a 90 cm pero inferior a 150 cm</t>
  </si>
  <si>
    <t>De anchura superior o igual a 150 cm pero inferior a 200 cm</t>
  </si>
  <si>
    <t>De las demas materiales textiles</t>
  </si>
  <si>
    <t>Productos y articulos textiles para usos tecnicos mencionados en la Nota 7 de este Capitulo.</t>
  </si>
  <si>
    <t>De materia textil sintetica o artificial. en pieza</t>
  </si>
  <si>
    <t>Sin confeccinar</t>
  </si>
  <si>
    <t>- Telas y fieltros sin fin o con dispositivos de union. de los tipos utilizados en las maquinas de fabricar papel o maquinas similares (por ejemplo: para pasta. para amiantocemento):</t>
  </si>
  <si>
    <t>--De peso inferior a 650 g/m2</t>
  </si>
  <si>
    <t>--De peso superior o igual a 650 g/m2</t>
  </si>
  <si>
    <t>De productos englobados por el acuerdo ALADI/AAP.CE/14.44 Apendice I</t>
  </si>
  <si>
    <t>Terciopelo. felpa (incluidos los tejidos de punto «de pelo largo») y tejidos con bucles. de punto.</t>
  </si>
  <si>
    <t>- Tejidos «de pelo largo»</t>
  </si>
  <si>
    <t>No elastico. sin cauchutar</t>
  </si>
  <si>
    <t>- Tejidos con bucles:</t>
  </si>
  <si>
    <t>Tejidos de punto de anchura inferior o igual a 30 cm. con un contenido de hilados de elastomeros o de hilos de caucho superior o igual al 5 % en peso. excepto los de la partida 60.01.</t>
  </si>
  <si>
    <t>- Con un contenido de hilados de elastomeros superior o igual al 5 % en peso. sin hilos de caucho</t>
  </si>
  <si>
    <t>De fibras acrilicas</t>
  </si>
  <si>
    <t>Tejidos de punto de anchura inferior o igual a 30 cm. excepto los de las partidas 60.01 o 60.02.</t>
  </si>
  <si>
    <t>Tejidos de punto de anchura superior a 30 cm. con un contenido de hilados de elastomeros o de hilos de caucho superior o igual al 5 % en peso. excepto los de la partida 60.01.</t>
  </si>
  <si>
    <t>Tejidos de punto por urdimbre (incluidos los obtenidos en telares de pasamaneria). excepto los de las partidas 60.01 a 60.04.</t>
  </si>
  <si>
    <t>- De fibras sinteticas:</t>
  </si>
  <si>
    <t>--Tejidos mencionados en la Nota 1 de subpartida de este capitulo</t>
  </si>
  <si>
    <t>- De fibras artificiales:</t>
  </si>
  <si>
    <t>De tiras o formas similares</t>
  </si>
  <si>
    <t>De peso superior o igual a 1000 g/m2 pero inferior a 1300 g/m2</t>
  </si>
  <si>
    <t>Con hilados. tiras o formas similares. de distintos colores</t>
  </si>
  <si>
    <t>De tiras y formas similares</t>
  </si>
  <si>
    <t>Los demas tejidos de punto.</t>
  </si>
  <si>
    <t>Acrilicas o modacrilicas</t>
  </si>
  <si>
    <t>Abrigos. chaquetones. capas. anoraks. cazadoras y articulos similares. de punto. para hombres o niños. excepto los articulos de la partida 61.03.</t>
  </si>
  <si>
    <t>Con relleno</t>
  </si>
  <si>
    <t>De talle superior al 16 o sus equivalentes</t>
  </si>
  <si>
    <t>Abrigos (sobretodos) y articulos similares</t>
  </si>
  <si>
    <t>Chaquetones y articulos similares</t>
  </si>
  <si>
    <t>Capas y articulos similares</t>
  </si>
  <si>
    <t>Anoraks. cazadoras. parkas y articulos similares</t>
  </si>
  <si>
    <t>Sin relleno</t>
  </si>
  <si>
    <t>Abrigos. chaquetones. capas. anoraks. cazadoras y articulos similares. de punto. para mujeres o niñas. excepto los articulos de la partida 61.04.</t>
  </si>
  <si>
    <t>Abrigos (tapados) y articulos similares</t>
  </si>
  <si>
    <t>Trajes (ambos o ternos). conjuntos. chaquetas (sacos). pantalones largos. pantalones con peto. pantalones cortos (calzones) y shorts (excepto de baño). de punto. para hombres o niños.</t>
  </si>
  <si>
    <t>Ambos</t>
  </si>
  <si>
    <t>Con un contenido de lana superior o igual al 90 %. en peso</t>
  </si>
  <si>
    <t>Ternos</t>
  </si>
  <si>
    <t>- Conjuntos:</t>
  </si>
  <si>
    <t>Con un contenido de lana superior o igual al 90 % en peso</t>
  </si>
  <si>
    <t>- Chaquetas (sacos):</t>
  </si>
  <si>
    <t>- Pantalones largos. pantalones con peto. pantalones cortos (calzones) y shorts:</t>
  </si>
  <si>
    <t>Pantalones largos. sin peto</t>
  </si>
  <si>
    <t>Pantalones cortos y shorts. sin peto</t>
  </si>
  <si>
    <t>Pantalones con peto (jardineros)</t>
  </si>
  <si>
    <t>Trajes sastre. conjuntos. chaquetas (sacos). vestidos. faldas. faldas pantalon. pantalones largos. pantalones con peto. pantalones cortos (calzones) y shorts (excepto de baño). de punto. para mujeres o niñas.</t>
  </si>
  <si>
    <t>- Trajes sastre:</t>
  </si>
  <si>
    <t>- Vestidos:</t>
  </si>
  <si>
    <t>Forrados</t>
  </si>
  <si>
    <t>Cuyo largo no sobrepase la rodilla</t>
  </si>
  <si>
    <t>Sin forrar</t>
  </si>
  <si>
    <t>- Faldas y faldas pantalon:</t>
  </si>
  <si>
    <t>Forradas</t>
  </si>
  <si>
    <t>Camisas de punto para hombres o niños.</t>
  </si>
  <si>
    <t>Con mangas cortas que no cubran el codo</t>
  </si>
  <si>
    <t>Con mangas largas</t>
  </si>
  <si>
    <t>Con mangas cortas que cubran el codo</t>
  </si>
  <si>
    <t>Camisas. blusas y blusas camiseras. de punto. para mujeres o niñas.</t>
  </si>
  <si>
    <t>Sin mangas o con mangas cortas que no cubran el codo</t>
  </si>
  <si>
    <t>Calzoncillos (incluidos los largos y los slips). camisones. pijamas. albornoces de baño. batas de casa y articulos similares. de punto. para hombres o niños.</t>
  </si>
  <si>
    <t>- Calzoncillos (incluidos los largos y los slips):</t>
  </si>
  <si>
    <t>Calzoncillos</t>
  </si>
  <si>
    <t>Slips</t>
  </si>
  <si>
    <t>- Camisones y pijamas:</t>
  </si>
  <si>
    <t>Camisones</t>
  </si>
  <si>
    <t>Pijamas</t>
  </si>
  <si>
    <t>Combinaciones. enaguas. bragas (bombachas. calzones) (incluso las que no llegan hasta la cintura). camisones. pijamas. saltos de cama. albornoces de baño. batas de casa y articulos similares. de punto. para mujeres o niñas.</t>
  </si>
  <si>
    <t>- Combinaciones y enaguas:</t>
  </si>
  <si>
    <t>- Bragas (bombachas. calzones) (incluso las que no llegan hasta la cintura):</t>
  </si>
  <si>
    <t>«T-shirts» y camisetas. de punto.</t>
  </si>
  <si>
    <t>«T-shirts»</t>
  </si>
  <si>
    <t>Camisetas interiores</t>
  </si>
  <si>
    <t>Sueteres (jerseys). puloveres. cardigan. chalecos y articulos similares. de punto.</t>
  </si>
  <si>
    <t>- De lana o pelo fino:</t>
  </si>
  <si>
    <t>Mezclado exclusivamente con pelo fino</t>
  </si>
  <si>
    <t>Sueteres (jerseys). «pullovers» y articulos similares</t>
  </si>
  <si>
    <t>Cardiganes y articulos similares.</t>
  </si>
  <si>
    <t>Chalecos sin mangas y articulos similares</t>
  </si>
  <si>
    <t>Mezclado exclusivamente con fibras sintÃ¨ticas</t>
  </si>
  <si>
    <t>Mezclado exclusivamente con lana</t>
  </si>
  <si>
    <t>Mezclado exclusivamente con fibras sinteticas</t>
  </si>
  <si>
    <t>De acrilico</t>
  </si>
  <si>
    <t>De rayÃ²n viscosa</t>
  </si>
  <si>
    <t>Prendas y complementos (accesorios). de vestir. de punto. para bebes.</t>
  </si>
  <si>
    <t>Prendas de vestir del tipo de las citadas en las partidas 61.01 Ã² 61.02</t>
  </si>
  <si>
    <t>Pantalones</t>
  </si>
  <si>
    <t>Vestidos</t>
  </si>
  <si>
    <t>Camisas. blusas y blusas camiseras</t>
  </si>
  <si>
    <t>"T- shirts"</t>
  </si>
  <si>
    <t>Prendas de vestir del tipo de las citadas en las partidas 61.10</t>
  </si>
  <si>
    <t>Sueteres (jerseys)</t>
  </si>
  <si>
    <t>Enteritos</t>
  </si>
  <si>
    <t>Conjuntos de abrigo para entrenamiento o deporte (chandales). monos (overoles) y conjuntos de esqui y bañadores. de punto.</t>
  </si>
  <si>
    <t>- Conjuntos de abrigo para entrenamiento o deporte (chandales):</t>
  </si>
  <si>
    <t>- Bañadores para hombres o niños:</t>
  </si>
  <si>
    <t>- Bañadores para mujeres o niñas:</t>
  </si>
  <si>
    <t>Enterizas</t>
  </si>
  <si>
    <t>Prendas de vestir confeccionadas con tejidos de punto de las partidas 59.03. 59.06 o 59.07.</t>
  </si>
  <si>
    <t>Confeccionadas con tejidos de la partida nro 59.03</t>
  </si>
  <si>
    <t>Confeccionadas con tejidos de la partida 59.06</t>
  </si>
  <si>
    <t>Definidas en la Res. N° 421/2018 SC</t>
  </si>
  <si>
    <t>Confeccionadas con tejidos de la partida 59.07</t>
  </si>
  <si>
    <t>Las demas prendas de vestir. de punto.</t>
  </si>
  <si>
    <t>Guardapolvos. ropas para trabajo (overoles y otros). ropas especiales. de punto. para ambos sexos.</t>
  </si>
  <si>
    <t>Calzas. panty-medias. leotardos. medias. calcetines y demas articulos de calceteria. incluso de compresion progresiva (por ejemplo. medias para varices). de punto.</t>
  </si>
  <si>
    <t>Calzas. panty-medias y leotardos</t>
  </si>
  <si>
    <t>De fibras sinteticas. de titulo inferior a 67 decitex por hilo sencillo</t>
  </si>
  <si>
    <t>De fibras sinteticas. de titulo superior o igual a 67 decitex por hilo sencillo</t>
  </si>
  <si>
    <t>Medias de mujer. de titulo inferior a 67 decitex por hilo sencillo</t>
  </si>
  <si>
    <t>- Las demas calzas. panty-medias y leotardos:</t>
  </si>
  <si>
    <t>- - De fibras sinteticas. de titulo inferior a 67 decitex por hilo sencillo</t>
  </si>
  <si>
    <t>Panty-medias de nailon o demas poliamidas. con un contenido de hilados de elastomeros inferior al 3% en peso</t>
  </si>
  <si>
    <t>Sin dibujo (lisas) y sin entrepierna</t>
  </si>
  <si>
    <t>De tÃ¬tulo inferior a 11 decitex. por hilo sencillo</t>
  </si>
  <si>
    <t>De tÃ¬tulo superior o igual a 11 decitex pero inferior a 43 decitex. por hilo sencillo</t>
  </si>
  <si>
    <t>De titulo superior o igual a 43 decitex. por hilo sencillo</t>
  </si>
  <si>
    <t>Sin dibujo (lisas) y con entrepierna</t>
  </si>
  <si>
    <t>Con dibujo y sin entrepierna</t>
  </si>
  <si>
    <t>Con dibujo y con entrepierna</t>
  </si>
  <si>
    <t>Panty-medias de nailon o demas poliamidas. con un contenido de hilados de elastomeros superior o igual al 3% en peso</t>
  </si>
  <si>
    <t>Panty-medias de poliesteres. con un contenido de hilados de elastomeros inferior al 3% en peso</t>
  </si>
  <si>
    <t>Panty-medias de poliesteres. con un contenido de hilados de elastomeros superior o igual al 3% en peso</t>
  </si>
  <si>
    <t>Panty-medias de las demas fibras sinteticas. con un contenido de hilados de elastomeros inferior al 3% en peso</t>
  </si>
  <si>
    <t>Panty-medias de las demas fibras sinteticas. con un contenido de hilados de elastomeros superior o igual al 3% en peso</t>
  </si>
  <si>
    <t>De titulo inferior a 11 decitex. por hilo sencillo</t>
  </si>
  <si>
    <t>De titulo superior o igual a 11 decitex pero inferior a 43 decitex. por hilo sencillo</t>
  </si>
  <si>
    <t>- - De fibras sinteticas. de titulo superior o igual a 67 decitex por hilo sencillo</t>
  </si>
  <si>
    <t>Panty-medias</t>
  </si>
  <si>
    <t>De nailon. con un contenido de hilados de elastomeros inferior al 3 %. en peso</t>
  </si>
  <si>
    <t>Sin dibujos (lisas) y sin entrepierna</t>
  </si>
  <si>
    <t>Sin dibujos (lisas) y con entrepierna</t>
  </si>
  <si>
    <t>Con dibujos y sin entrepierna</t>
  </si>
  <si>
    <t>Con dibujos y con entrepierna</t>
  </si>
  <si>
    <t>De nailon. con un contenido de hilados de elastomeros superior o igual al 3 %. en peso</t>
  </si>
  <si>
    <t>De poliesteres. con un contenido de hilados de elastomeros inferior al 3 %. en peso</t>
  </si>
  <si>
    <t>De poliesteres. con un contenido de hilados de elastomeros superior o igual al 3 %. en peso</t>
  </si>
  <si>
    <t>De acrilico. con un contenido de hilados de elastomeros inferior al 3 %. en peso</t>
  </si>
  <si>
    <t>De acrilico. con un contenido de hilados de elastomeros superior o igual al 3 %. en peso</t>
  </si>
  <si>
    <t>De las demas fibras sinteticas. con un contenido de hilados de elastomeros inferior al 3 %. en peso</t>
  </si>
  <si>
    <t>De las demas fibras sinteticas. con un contenido de hilados de elastomeros superior o igual al 3 %. en peso</t>
  </si>
  <si>
    <t>Panty-medias. de lana</t>
  </si>
  <si>
    <t>Con un contenido de hilados de elastomeros inferior al 3 %. en peso</t>
  </si>
  <si>
    <t>Con un contenido de hilados de elastomeros superior o igual al 3 %. en peso</t>
  </si>
  <si>
    <t>Panty-medias. de seda</t>
  </si>
  <si>
    <t>Panty-medias. de las demas materias textiles</t>
  </si>
  <si>
    <t>- Las demas medias de mujer. de titulo inferior a 67 decitex por hilo sencillo</t>
  </si>
  <si>
    <t>Soquetes</t>
  </si>
  <si>
    <t>Sin dibujos (lisas) y sin encaje o similar</t>
  </si>
  <si>
    <t>Sin dibujos (lisas) y con encaje o similar</t>
  </si>
  <si>
    <t>Con dibujos y sin encaje o similar</t>
  </si>
  <si>
    <t>Con dibujos y con encaje o similar</t>
  </si>
  <si>
    <t>Medias tres cuarto (3/4)</t>
  </si>
  <si>
    <t>Medias siete octavo (7/8)</t>
  </si>
  <si>
    <t>De las demas fibras sinteticas o artificiales</t>
  </si>
  <si>
    <t>Guantes. mitones y manoplas. de punto.</t>
  </si>
  <si>
    <t>Guantes de vestir</t>
  </si>
  <si>
    <t>Los demas guantes</t>
  </si>
  <si>
    <t>Recubiertos o revestidos en una sola cara. incluso parcialmente</t>
  </si>
  <si>
    <t>De latex</t>
  </si>
  <si>
    <t>De nitrilo</t>
  </si>
  <si>
    <t>De poli (cloruro de vinilo)</t>
  </si>
  <si>
    <t>De poliuretano</t>
  </si>
  <si>
    <t>Recubiertos o revestidos en ambas caras. incluso parcialmente</t>
  </si>
  <si>
    <t>Impregnados</t>
  </si>
  <si>
    <t>Los demas complementos (accesorios) de vestir confeccionados. de punto; partes de prendas o de complementos (accesorios). de vestir. de punto.</t>
  </si>
  <si>
    <t>Chales. mantillas. velos y articulos similares</t>
  </si>
  <si>
    <t>Pañuelos de cuello y articulos similares</t>
  </si>
  <si>
    <t>Bufandas y articulos similares</t>
  </si>
  <si>
    <t>Corbatas y lazos similares</t>
  </si>
  <si>
    <t>De prendas de vestir</t>
  </si>
  <si>
    <t>De las partidas 61.01 o 61.02</t>
  </si>
  <si>
    <t>De pantalones</t>
  </si>
  <si>
    <t>De camisas. blusas o blusas camiseras</t>
  </si>
  <si>
    <t>De fibras sinteticas artificiales</t>
  </si>
  <si>
    <t>Abrigos. chaquetones. capas. anoraks. cazadoras y articulos similares. para hombres o niños. excepto los articulos de la partida 62.03.</t>
  </si>
  <si>
    <t>- Abrigos. impermeables. chaquetones. capas y articulos similares:</t>
  </si>
  <si>
    <t>Chaquetones. parkas y articulos similares</t>
  </si>
  <si>
    <t>Confeccionadas con tejidos de las subpartidas 5209.42 o 5211.42</t>
  </si>
  <si>
    <t>Abrigos (sobretodos). impermeables y articulos similares</t>
  </si>
  <si>
    <t>Abrigos (sobretodos) impermeables y articulos similares</t>
  </si>
  <si>
    <t>Abrigos. chaquetones. capas. anoraks. cazadoras y articulos similares. para mujeres o niñas. excepto los articulos de la partida 62.04.</t>
  </si>
  <si>
    <t>Excepto de pelo de dromedario. con relleno</t>
  </si>
  <si>
    <t>Excepto de pelo de dromedario. sin relleno</t>
  </si>
  <si>
    <t>De pelo de dromedario</t>
  </si>
  <si>
    <t>Abrigos (tapados). impermeables y articulos similares</t>
  </si>
  <si>
    <t>Trajes (ambos o ternos). conjuntos. chaquetas (sacos). pantalones largos. pantalones con peto. pantalones cortos (calzones) y shorts (excepto de baño). para hombres o niños.</t>
  </si>
  <si>
    <t>- Trajes (ambos o ternos):</t>
  </si>
  <si>
    <t>De los tipos utlizados en medicina</t>
  </si>
  <si>
    <t>De los tipos utilizados en medicina</t>
  </si>
  <si>
    <t>Ambos. excepto de pelo de dromedario</t>
  </si>
  <si>
    <t>Ambos. de pelo de dromedario</t>
  </si>
  <si>
    <t>Otros. de pelo de dromedario</t>
  </si>
  <si>
    <t>Trajes sastre. conjuntos. chaquetas (sacos). vestidos. faldas. faldas pantalon. pantalones largos. pantalones con peto. pantalones cortos (calzones) y shorts (excepto de baño). para mujeres o niñas.</t>
  </si>
  <si>
    <t>Cuyo largo no sobrep&lt;se la rodilla</t>
  </si>
  <si>
    <t>LOs demas</t>
  </si>
  <si>
    <t>Camisas para hombres o niños.</t>
  </si>
  <si>
    <t>De pelo de Dromedario</t>
  </si>
  <si>
    <t>Camisas. blusas y blusas camiseras. para mujeres o niñas.</t>
  </si>
  <si>
    <t>Camisetas. calzoncillos (incluidos los largos y los slips). camisones. pijamas. albornoces de baño. batas de casa y articulos similares. para hombres o niños.</t>
  </si>
  <si>
    <t>Camisetas. combinaciones. enaguas. bragas (bombachas. calzones) (incluso las que no llegan hasta la cintura). camisones. pijamas. saltos de cama. albornoces de baño. batas de casa y articulos similares. para mujeres o niñas.</t>
  </si>
  <si>
    <t>Prendas y complementos (accesorios). de vestir. para bebes.</t>
  </si>
  <si>
    <t>Prendas de vestir del tipo de las citadas en las partidas 62.01 o 62.02</t>
  </si>
  <si>
    <t>Prendas de vestir del tipo de las citadas en la partida 62.10</t>
  </si>
  <si>
    <t>Prendas de vestir confeccionadas con productos de las partidas 56.02. 56.03. 59.03. 59.06 o 59.07.</t>
  </si>
  <si>
    <t>- Con productos de las partidas 56.02 o 56.03</t>
  </si>
  <si>
    <t>De tela sin tejer</t>
  </si>
  <si>
    <t>Batas. mono (overoles) y demas prendas de trabajo de los tipos utilizados por cirujanos. mecanicos. obreros. etc</t>
  </si>
  <si>
    <t>De los tipos utilizadas en cirugia y medicina</t>
  </si>
  <si>
    <t>De fieltro</t>
  </si>
  <si>
    <t>- Las demas prendas de vestir del tipo de las citadas en las subpartidas 6201.11 a 6201.19</t>
  </si>
  <si>
    <t>Con productos de la partida 59.03</t>
  </si>
  <si>
    <t>Con productos de la partida 59.06</t>
  </si>
  <si>
    <t>Con productos de la partida 59.07</t>
  </si>
  <si>
    <t>- Las demas prendas de vestir del tipo de las citadas en las subpartidas 6202.11 a 6202.19</t>
  </si>
  <si>
    <t>Las demas prendas de vestir del tipo de las citadas en las subpartidas 6201.91 a 6201.99</t>
  </si>
  <si>
    <t>Las demas prendas de vestir del tipo de las citadas en las subpartidas 6202.91 a 6202.99</t>
  </si>
  <si>
    <t>Conjuntos de abrigo para entrenamiento o deporte (chandales). monos (overoles) y conjuntos de esqui y bañadores; las demas prendas de vestir.</t>
  </si>
  <si>
    <t>- Bañadores:</t>
  </si>
  <si>
    <t>- Las demas prendas de vestir para hombres o niños:</t>
  </si>
  <si>
    <t>Guardapolvos escolares</t>
  </si>
  <si>
    <t>Vestimenta de blindaje a prueba de balas (R. 3115/94 ex-ANA)</t>
  </si>
  <si>
    <t>- Las demas prendas de vestir para mujeres o niñas:</t>
  </si>
  <si>
    <t>Vestimenta de blindaje a prueba de balas (R. 3115/94 ANA)</t>
  </si>
  <si>
    <t>Sostenes (corpiños). fajas. corses. tirantes (tiradores). ligas y articulos similares. y sus partes. incluso de punto.</t>
  </si>
  <si>
    <t>Pañuelos de bolsillo.</t>
  </si>
  <si>
    <t>De seda o desperdicios de seda</t>
  </si>
  <si>
    <t>Chales. pañuelos de cuello. bufandas. mantillas. velos y articulos similares.</t>
  </si>
  <si>
    <t>Corbatas y lazos similares.</t>
  </si>
  <si>
    <t>Guantes. mitones y manoplas.</t>
  </si>
  <si>
    <t>Impregnados. recubiertos o revestidos con plastico o caucho</t>
  </si>
  <si>
    <t>Los demas complementos (accesorios) de vestir confeccionados; partes de prendas o de complementos (accesorios). de vestir. excepto las de la partida 62.12.</t>
  </si>
  <si>
    <t>De las partidas 62.01 o 62.02</t>
  </si>
  <si>
    <t>Mantas.</t>
  </si>
  <si>
    <t>De 2 1/2 plazas</t>
  </si>
  <si>
    <t>De 2 plazas</t>
  </si>
  <si>
    <t>De 1 1/2 plaza</t>
  </si>
  <si>
    <t>De 1 plaza</t>
  </si>
  <si>
    <t>Ropa de cama. mesa. tocador o cocina.</t>
  </si>
  <si>
    <t>Fundas de almohadones</t>
  </si>
  <si>
    <t>- Las demas ropas de cama. estampadas:</t>
  </si>
  <si>
    <t>Sabanas. incluso en juegos o surtidos</t>
  </si>
  <si>
    <t>De 1 1/2 plazas</t>
  </si>
  <si>
    <t>Fundas de almohadas</t>
  </si>
  <si>
    <t>Fundas de colchones</t>
  </si>
  <si>
    <t>- Las demas ropas de cama:</t>
  </si>
  <si>
    <t>Posa vasos</t>
  </si>
  <si>
    <t>Mantelillos ("individuales")</t>
  </si>
  <si>
    <t>- Las demas ropas de mesa:</t>
  </si>
  <si>
    <t>Manteles. incluso en juegos o surtidos</t>
  </si>
  <si>
    <t>En juegos para 6 personas</t>
  </si>
  <si>
    <t>En juegos para 8 personas</t>
  </si>
  <si>
    <t>En juegos para 12 personas</t>
  </si>
  <si>
    <t>En juegos para 24 personas</t>
  </si>
  <si>
    <t>Toallas. incluso en juegos o surtidos</t>
  </si>
  <si>
    <t>Toallas de manos o rostro</t>
  </si>
  <si>
    <t>Toallas de baño</t>
  </si>
  <si>
    <t>En juegos de 2 piezas</t>
  </si>
  <si>
    <t>En juegos de 3 piezas</t>
  </si>
  <si>
    <t>Trapos para secar vajilla (repasadores)</t>
  </si>
  <si>
    <t>Toallas de tejido con bucle. incluso en juegos o surtidos</t>
  </si>
  <si>
    <t>Las demas toallas</t>
  </si>
  <si>
    <t>Visillos y cortinas; guardamalletas y rodapies de cama.</t>
  </si>
  <si>
    <t>- De punto:</t>
  </si>
  <si>
    <t>Los demas articulos de tapiceria. excepto los de la partida 94.04.</t>
  </si>
  <si>
    <t>- Colchas:</t>
  </si>
  <si>
    <t>-Mosquiteros para camas especificados en la Nota 1 de subpartida de este capitulo</t>
  </si>
  <si>
    <t>Sacos (bolsas) y talegas. para envasar.</t>
  </si>
  <si>
    <t>-De yute o demas fibras textiles del liber de la partida 53.03</t>
  </si>
  <si>
    <t>- De materias textiles sinteticas o artificiales:</t>
  </si>
  <si>
    <t>Sin impregnar. recubrir. revestir ni estratificar</t>
  </si>
  <si>
    <t>De tejido de gasa de vuelta</t>
  </si>
  <si>
    <t>De tejido de trama y urdimbre tubular</t>
  </si>
  <si>
    <t>De peso inferior a 62 g/m2</t>
  </si>
  <si>
    <t>De peso superior o igual a 62 g/m2 pero inferior o igual a 75 g/m2</t>
  </si>
  <si>
    <t>De peso superior o igual a 75 g/m2 pero inferior o igual a 110 g/m2</t>
  </si>
  <si>
    <t>De peso superior o igual a 62 g/m2 pero inferior a 75 g/m2</t>
  </si>
  <si>
    <t>De peso inferior a 74 g/m2</t>
  </si>
  <si>
    <t>De peso superior o igual a 74 g/m2 pero inferior a 90 g/m2</t>
  </si>
  <si>
    <t>Toldos de cualquier clase; tiendas (carpas); velas para embarcaciones. deslizadores o vehiculos terrestres; articulos de acampar.</t>
  </si>
  <si>
    <t>- Toldos de cualquier clase:</t>
  </si>
  <si>
    <t>- Tiendas (carpas):</t>
  </si>
  <si>
    <t>De capacidad para 2 personas</t>
  </si>
  <si>
    <t>De capacidad para 4 personas</t>
  </si>
  <si>
    <t>De capacidad para 6 personas</t>
  </si>
  <si>
    <t>De capacidad para 8 personas</t>
  </si>
  <si>
    <t>De capacidad superior a 8 pero inferior o igual a 20 personas</t>
  </si>
  <si>
    <t>De capacidad superior a 20 pero inferior o igual a 50 personas</t>
  </si>
  <si>
    <t>Los demas articulos confeccionados. incluidos los patrones para prendas de vestir.</t>
  </si>
  <si>
    <t>- Paños para fregar o lavar (bayetas. paños rejilla). franelas y articulos similares para limpieza</t>
  </si>
  <si>
    <t>Paños rejilla</t>
  </si>
  <si>
    <t>Franelas</t>
  </si>
  <si>
    <t>De telas sin tejer</t>
  </si>
  <si>
    <t>Mascarillas del tipo de las utilizadas por los cirujanos en las operaciones</t>
  </si>
  <si>
    <t>Manga con tratamiento ignifugo. apta para salida de emergencia de personas. incluso con sus elementos de montaje</t>
  </si>
  <si>
    <t>Pectoral y espaldar unidos mediante cintas ("chalecos") de blindaje a prueba de balas (R. 3115/94 ANA)</t>
  </si>
  <si>
    <t>Cintas con uno o ambos bordes no rectilineos. con un contenido de hilos de elastomeros o hilos de caucho superior o igual al 5% en peso</t>
  </si>
  <si>
    <t>Cinta y fijacion (tipo velcro)</t>
  </si>
  <si>
    <t>JUEGOS CONSTITUIDOS POR PIEZAS DE TEJIDO E HILADOS. INCLUSO CON ACCESORIOS. PARA LA CONFECCCION DE ALFOMBRAS. TAPICERÃA. MANTELES O SERVILLETAS BORDADOS O DE ARTÃCULOS TEXTILES SIMILARES. EN ENVASES PARA LA VENTA AL POR MENOR.</t>
  </si>
  <si>
    <t>Articulos de prenderia.</t>
  </si>
  <si>
    <t>Prendas y complementos (accesorios) de vestir. y sus partes</t>
  </si>
  <si>
    <t>Trapos; cordeles. cuerdas y cordajes. de materia textil. en desperdicios o en articulos inservibles.</t>
  </si>
  <si>
    <t>Calzado impermeable con suela y parte superior de caucho o plastico. cuya parte superior no se haya unido a la suela por costura o por medio de remaches. clavos. tornillos. espigas o dispositivos similares. ni se haya formado con diferentes partes unidas de la misma manera.</t>
  </si>
  <si>
    <t>De caucho</t>
  </si>
  <si>
    <t>De plÃ stico</t>
  </si>
  <si>
    <t>- Los demas calzados:</t>
  </si>
  <si>
    <t>Inferior o igual al numero 24. o sus equivalentes</t>
  </si>
  <si>
    <t>Superior al numero 24 e inferior o igual al numero 34. o sus equivalentes</t>
  </si>
  <si>
    <t>Superior al numero 34 e inferior o igual al numero 40. o sus equivalentes</t>
  </si>
  <si>
    <t>Superior al numero 40 e inferior o igual al numero 45. o sus equivalentes</t>
  </si>
  <si>
    <t>Que cubran la rodilla</t>
  </si>
  <si>
    <t>Que cubran los muslos</t>
  </si>
  <si>
    <t>Superior al numero 24 e inferior o igual al nÃ¹mero 34. o sus equivalentes</t>
  </si>
  <si>
    <t>Los demas calzados con suela y parte superior de caucho o plastico.</t>
  </si>
  <si>
    <t>- Calzado de deporte:</t>
  </si>
  <si>
    <t>- - Calzado de esqui y calzado para la practica de «snowboard» (tabla para nieve)</t>
  </si>
  <si>
    <t>De esqui</t>
  </si>
  <si>
    <t>Con parte superior de poliuretano</t>
  </si>
  <si>
    <t>Inferior o igual al numero 34. o sus equivalentes</t>
  </si>
  <si>
    <t>Superior al numero 34 e inferior o igual al nÃ¹mero 40. o sus equivalentes</t>
  </si>
  <si>
    <t>Con parte superior de PVC</t>
  </si>
  <si>
    <t>Para la practica de "snowboard" (tabla para nieve)</t>
  </si>
  <si>
    <t>Para lucha o boxeo</t>
  </si>
  <si>
    <t>Con suela de PVC o caucho mezclado sin vulcanizar</t>
  </si>
  <si>
    <t>Para ciclismo</t>
  </si>
  <si>
    <t>Los demÃ s. presentados desmontados o sin montar todavÃ¬a</t>
  </si>
  <si>
    <t>Con clavos</t>
  </si>
  <si>
    <t>Los demas. presentados desmontados o sin montar todavia</t>
  </si>
  <si>
    <t>Con tapones</t>
  </si>
  <si>
    <t>Para atletismo</t>
  </si>
  <si>
    <t>Para fÃ¹tbol</t>
  </si>
  <si>
    <t>Con tapones intercambiables</t>
  </si>
  <si>
    <t>Con clavos o tapones</t>
  </si>
  <si>
    <t>Presentados desmontados o sin montar todavia</t>
  </si>
  <si>
    <t>Presentados desmontados o sin montar</t>
  </si>
  <si>
    <t>Con puntera metalica para proteccion</t>
  </si>
  <si>
    <t>Caña corta</t>
  </si>
  <si>
    <t>Calzado para tenis. baloncesto. gimnasia. entrenamiento y calzados similares</t>
  </si>
  <si>
    <t>Inferior o igual al numero 24. o sus equivalencias</t>
  </si>
  <si>
    <t>Media caña</t>
  </si>
  <si>
    <t>Que cubran hasta la rodilla solamente</t>
  </si>
  <si>
    <t>Pantuflas. chinelas y sandalias tipo ojotas</t>
  </si>
  <si>
    <t>Los demas. con taco (tacon) incluso moldeado formando una sola pieza con la suela</t>
  </si>
  <si>
    <t>Con taco (tacon) cosido. pegado o clavado</t>
  </si>
  <si>
    <t>Superior al numero 34 e inferior o igual al numero 40. o sus equivalentes. presentados desmontados o sin montar todavia</t>
  </si>
  <si>
    <t>Calzado con suela de caucho. plastico. cuero natural o regenerado y parte superior de cuero natural.</t>
  </si>
  <si>
    <t>Con parte superior de cuero vacuno</t>
  </si>
  <si>
    <t>Con parte superior de cuero porcino</t>
  </si>
  <si>
    <t>Para futbol</t>
  </si>
  <si>
    <t>Con parte superior de cuero de reptil</t>
  </si>
  <si>
    <t>Con parte superior de cuero caprino</t>
  </si>
  <si>
    <t>De seguridad</t>
  </si>
  <si>
    <t>- Los demas calzados. con suela de cuero natural:</t>
  </si>
  <si>
    <t>Calzado con palmilla o plataforma de madera. sin plantillas</t>
  </si>
  <si>
    <t>Los demas. con taco (tacon) incluso moldeado formando una sola pieza con la suela.</t>
  </si>
  <si>
    <t>Superior al numero 40 inferior o igual al numero 45. o sus equivalentes</t>
  </si>
  <si>
    <t>Con parte superior de cuero vacuno. excepto presentadas desmontadas o sin montar todavia</t>
  </si>
  <si>
    <t>Con parte superior de cuero caprino. excepto presentadas desmontadas o sin montar todavia</t>
  </si>
  <si>
    <t>Con parte superior de cuero vacuno. presentados desmontados o sin montar todavia</t>
  </si>
  <si>
    <t>Con parte superior de cuero caprino. presentados desmontados o sin montar todavia</t>
  </si>
  <si>
    <t>Calzado con suela de caucho. plastico. cuero natural o regenerado y parte superior de materia textil.</t>
  </si>
  <si>
    <t>- Calzado con suela de caucho o plastico:</t>
  </si>
  <si>
    <t>Calzado de deporte</t>
  </si>
  <si>
    <t>Sandalias tipo ojotas. excepto presentadas desmontadas o sin montar todavia</t>
  </si>
  <si>
    <t>Pantuflas y chinelas. excepto presentadas desmontadas o sin montar todavia</t>
  </si>
  <si>
    <t>Sandalias tipo ojotas. presentadas desmontadas o sin montar todavia</t>
  </si>
  <si>
    <t>Pantuflas y chinelas. presentadas desmontadas o sin montar todavia</t>
  </si>
  <si>
    <t>Con taco (tacon) cosido. clavado o pegado</t>
  </si>
  <si>
    <t>Pantuflas. chinelas y sandalias tipo ojotas.</t>
  </si>
  <si>
    <t>Sandalias tipo ojotas</t>
  </si>
  <si>
    <t>Pantuflas y chinelas</t>
  </si>
  <si>
    <t>Los demas calzados.</t>
  </si>
  <si>
    <t>Con suela de caucho o plastico y parte superior de cuero regenerado</t>
  </si>
  <si>
    <t>Con suela de cuero natural o regenerado y parte superior de cuero regenerado</t>
  </si>
  <si>
    <t>Con suela de madera</t>
  </si>
  <si>
    <t>Superior al nÃ¹mero 40 e inferior o igual al nÃ¹mero 45. o sus equivalentes</t>
  </si>
  <si>
    <t>Con suela de fibras textiles vegetales del Capitulo 53</t>
  </si>
  <si>
    <t>Con suela de fibra de vidrio</t>
  </si>
  <si>
    <t>Superior al numero 34 e inferior o igual al 40. o sus equivalentes</t>
  </si>
  <si>
    <t>Con parte superior de cuero de caprino</t>
  </si>
  <si>
    <t>Con suela y parte superior de fieltro de lana (R. 226/97 MEyOSP)</t>
  </si>
  <si>
    <t>Con suela de materias textiles del capitulo 53</t>
  </si>
  <si>
    <t>Con suela de las demas materias textiles</t>
  </si>
  <si>
    <t>Con suela de fieltro y parte superior de caucho o plastico</t>
  </si>
  <si>
    <t>Para pesca</t>
  </si>
  <si>
    <t>Con parte superior de peleteria</t>
  </si>
  <si>
    <t>Inferior al numero 24. o sus equivalentes</t>
  </si>
  <si>
    <t>Partes de calzado (incluidas las partes superiores fijadas a las palmillas distintas de la suela); plantillas. taloneras y articulos similares. amovibles; polainas y articulos similares. y sus partes.</t>
  </si>
  <si>
    <t>Partes superiores</t>
  </si>
  <si>
    <t>De cuero vacuno</t>
  </si>
  <si>
    <t>Inferior o igual al nÃ¹mero 24. o sus equivalentes</t>
  </si>
  <si>
    <t>De cuero de reptil</t>
  </si>
  <si>
    <t>De cuero caprino</t>
  </si>
  <si>
    <t>Superior al numero 24 e inferior o igual al numero 34. o sus equivalenes</t>
  </si>
  <si>
    <t>Superior al numero 34 e inferior o igual al numero 40. o sus equivalenes</t>
  </si>
  <si>
    <t>Superior al numero 40 e inferior o igual al numero 45. o sus equivalenes</t>
  </si>
  <si>
    <t>De cuero de las demas especies</t>
  </si>
  <si>
    <t>De caucho o plastico</t>
  </si>
  <si>
    <t>De materias textiles</t>
  </si>
  <si>
    <t>De las demas materias</t>
  </si>
  <si>
    <t>Partes de partes superiores</t>
  </si>
  <si>
    <t>Cañas</t>
  </si>
  <si>
    <t>Palas o empeines</t>
  </si>
  <si>
    <t>Punteras</t>
  </si>
  <si>
    <t>De caucho o de plÃ stico</t>
  </si>
  <si>
    <t>- Suelas y tacos (tacones)*. de caucho o plastico</t>
  </si>
  <si>
    <t>Suelas</t>
  </si>
  <si>
    <t>Tacos (tacones)</t>
  </si>
  <si>
    <t>Suelas y tacos (tacones)*. de cuero natural o regenerado</t>
  </si>
  <si>
    <t>Plantillas</t>
  </si>
  <si>
    <t>De cuero natural o regenerado (R.134/96 ex-ANA)</t>
  </si>
  <si>
    <t>De cuero natural o regenerado (R134/96 ex-ANA)</t>
  </si>
  <si>
    <t>Polainas</t>
  </si>
  <si>
    <t>Palmillas</t>
  </si>
  <si>
    <t>Acoplamientos de partes que incluyan la suela</t>
  </si>
  <si>
    <t>Contrafuertes</t>
  </si>
  <si>
    <t>Punteras duras</t>
  </si>
  <si>
    <t>Cascos sin ahormado ni perfilado del ala. platos (discos) y cilindros aunque esten cortados en el sentido de la altura. de fieltro. para sombreros.</t>
  </si>
  <si>
    <t>Cascos</t>
  </si>
  <si>
    <t>Platos (discos)</t>
  </si>
  <si>
    <t>Cilindros</t>
  </si>
  <si>
    <t>Cascos para sombreros. trenzados o fabricados por union de tiras de cualquier materia. sin ahormado ni perfilado del ala y sin guarnecer.</t>
  </si>
  <si>
    <t>De paja fina (manila. panama y similares)</t>
  </si>
  <si>
    <t>De Toquilla o Mocora</t>
  </si>
  <si>
    <t>Trenzados</t>
  </si>
  <si>
    <t>De junco</t>
  </si>
  <si>
    <t>De rafia</t>
  </si>
  <si>
    <t>De ramio</t>
  </si>
  <si>
    <t>De cañamo</t>
  </si>
  <si>
    <t>De sisal</t>
  </si>
  <si>
    <t>Fabricados por union de tiras</t>
  </si>
  <si>
    <t>Sombreros y demas tocados. trenzados o fabricados por union de tiras de cualquier materia. incluso guarnecidos.</t>
  </si>
  <si>
    <t>Sombreros</t>
  </si>
  <si>
    <t>Sin ornamentar</t>
  </si>
  <si>
    <t>Los demas tocados</t>
  </si>
  <si>
    <t>Sombreros y demas tocados. de punto o confeccionados con encaje. fieltro u otro producto textil. en pieza (pero no en tiras). incluso guarnecidos; redecillas para el cabello. de cualquier materia. incluso guarnecidas.</t>
  </si>
  <si>
    <t>Gorras</t>
  </si>
  <si>
    <t>Ornamentados</t>
  </si>
  <si>
    <t>Gorros</t>
  </si>
  <si>
    <t>Descartables</t>
  </si>
  <si>
    <t>Redecillas para el cabello</t>
  </si>
  <si>
    <t>De cabello</t>
  </si>
  <si>
    <t>Boinas y similares</t>
  </si>
  <si>
    <t>Los demas. de fibras sinteticas o artificiales. descartables.</t>
  </si>
  <si>
    <t>Los demas sombreros y tocados. incluso guarnecidos.</t>
  </si>
  <si>
    <t>Cascos a prueba de bala (R.3115/94 ex-ANA)</t>
  </si>
  <si>
    <t>Para automovilismo o motociclismo. abiertos</t>
  </si>
  <si>
    <t>Reforzado con fibras de vidrio</t>
  </si>
  <si>
    <t>Reforzado con fibras de carbono</t>
  </si>
  <si>
    <t>Para automovilismo o motociclismo. cerrados</t>
  </si>
  <si>
    <t>Para automovilismo o motociclismo. mixtos</t>
  </si>
  <si>
    <t>Para la practica de otros deportes</t>
  </si>
  <si>
    <t>Gorros de baño</t>
  </si>
  <si>
    <t>DESUDADORES. FORROS. FUNDAS. ARMADURAS. VISERAS Y BARBOQUEJOS (BARBIJOS). PARA SOMBREROS Y DEMaS TOCADOS.</t>
  </si>
  <si>
    <t>Paraguas. sombrillas y quitasoles (incluidos los paraguas baston. los quitasoles toldo y articulos similares).</t>
  </si>
  <si>
    <t>Con cubierta de tejidos de seda o de materia textil sintetica o artificial</t>
  </si>
  <si>
    <t>Paraguas y sombrillas (R. 2506/93 ex-ANA)</t>
  </si>
  <si>
    <t>Paraguas y sombrillas (R.2506/93 ex-ANA)</t>
  </si>
  <si>
    <t>BASTONES. BASTONES ASIENTO. LaTIGOS. FUSTAS Y ARTÃCULOS SIMILARES.</t>
  </si>
  <si>
    <t>Partes. guarniciones y accesorios para los articulos de las partidas 66.01 o 66.02.</t>
  </si>
  <si>
    <t>Pieles y demas partes de ave con sus plumas o plumon; plumas. partes de plumas. plumon y articulos de estas materias. excepto los productos de la partida 05.05 y los cañones y astiles de plumas. trabajados.</t>
  </si>
  <si>
    <t>Pieles y demas partes de ave con sus plumas o plumon</t>
  </si>
  <si>
    <t>Plumas</t>
  </si>
  <si>
    <t>Articulos de estas materias</t>
  </si>
  <si>
    <t>Flores. follaje y frutos. artificiales. y sus partes; articulos confeccionados con flores. follaje o frutos. artificiales.</t>
  </si>
  <si>
    <t>Articulos confeccionados principalmente con follajes</t>
  </si>
  <si>
    <t>arboles o arbustos</t>
  </si>
  <si>
    <t>Articulos confeccionados principalmente con flores</t>
  </si>
  <si>
    <t>Articulos confeccionados principalmente con frutos</t>
  </si>
  <si>
    <t>CABELLO PEINADO. AFINADO. BLANQUEADO O PREPARADO DE OTRA FORMA; LANA. PELO U OTRA MATERIA TEXTIL. PREPARADOS PARA LA FABRICACION DE PELUCAS O ARTÃCULOS SIMILARES.</t>
  </si>
  <si>
    <t>Pelucas. barbas. cejas. pestañas. mechones y articulos analogos. de cabello. pelo o materia textil; manufacturas de cabello no expresadas ni comprendidas en otra parte.</t>
  </si>
  <si>
    <t>- De materias textiles sinteticas:</t>
  </si>
  <si>
    <t>Pelucas que cubran toda la cabeza</t>
  </si>
  <si>
    <t>ADOQUINES. ENCINTADOS (BORDILLOS)* Y LOSAS PARA PAVIMENTOS. DE PIEDRA NATURAL (EXCEPTO LA PIZARRA).</t>
  </si>
  <si>
    <t>Piedras de talla o de construccion trabajadas (excluida la pizarra) y sus manufacturas. excepto las de la partida 68.01; cubos. dados y articulos similares para mosaicos. de piedra natural (incluida la pizarra). aunque esten sobre soporte; granulos. tasquiles (fragmentos) y polvo de piedra natural (incluida la pizarra). coloreados artificialmente.</t>
  </si>
  <si>
    <t>- Losetas. cubos. dados y articulos similares. incluso de forma distinta a la cuadrada o rectangular. en los que la superficie mayor pueda inscribirse en un cuadrado de lado inferior a 7 cm; granulos. tasquiles (fragmentos) y polvo. coloreados artificialmente</t>
  </si>
  <si>
    <t>Granulos. tasquiles (fragmentos) y polvo. coloreados artificialmente</t>
  </si>
  <si>
    <t>Plaquitas</t>
  </si>
  <si>
    <t>De marmol</t>
  </si>
  <si>
    <t>De travertinos</t>
  </si>
  <si>
    <t>- Las demas piedras de talla o de construccion y sus manufacturas. simplemente talladas o aserradas. con superficie plana o lisa:</t>
  </si>
  <si>
    <t>Alabastro</t>
  </si>
  <si>
    <t>Planchas. losas o formas similares</t>
  </si>
  <si>
    <t>Objetos de adorno</t>
  </si>
  <si>
    <t>Guardas y listeles</t>
  </si>
  <si>
    <t>Bolas para molinos</t>
  </si>
  <si>
    <t>PIZARRA NATURAL TRABAJADA Y MANUFACTURAS DE PIZARRA NATURAL O AGLOMERADA.</t>
  </si>
  <si>
    <t>Muelas y articulos similares. sin bastidor. para moler. desfibrar. triturar. afilar. pulir. rectificar. cortar o trocear. piedras de afilar o pulir a mano. y sus partes. de piedra natural. de abrasivos naturales o artificiales aglomerados o de ceramica. incluso con partes de otras materias.</t>
  </si>
  <si>
    <t>- Las demas muelas y articulos similares:</t>
  </si>
  <si>
    <t>De diametro inferior a 53.34 cm</t>
  </si>
  <si>
    <t>Aglomerados con resina</t>
  </si>
  <si>
    <t>Abrasivos naturales o artificiales en polvo o granulos con soporte de materia textil. papel. carton u otras materias. incluso recortados. cosidos o unidos de otra forma.</t>
  </si>
  <si>
    <t>Tela esmeril (R.386/99 SICYM)</t>
  </si>
  <si>
    <t>En hojas de 225x275 mm</t>
  </si>
  <si>
    <t>De grano 36 a 320</t>
  </si>
  <si>
    <t>Lija antiempastante</t>
  </si>
  <si>
    <t>De grano 80 a 180</t>
  </si>
  <si>
    <t>De grano 220 a 600</t>
  </si>
  <si>
    <t>Lija al agua (impermeable) (R.386/99 SICYM)</t>
  </si>
  <si>
    <t>En hojas de 230x280 mm</t>
  </si>
  <si>
    <t>De grano 60 a 180</t>
  </si>
  <si>
    <t>Con soporte de papel o carton de gramaje superior a 200 gr/m2 (R.386/99 SICYM)</t>
  </si>
  <si>
    <t>De grano 40</t>
  </si>
  <si>
    <t>De grano 50 a 80</t>
  </si>
  <si>
    <t>De grano 100 a 320</t>
  </si>
  <si>
    <t>De grano 36 a 50</t>
  </si>
  <si>
    <t>De grano 60 a 80</t>
  </si>
  <si>
    <t>De grano 100 a 240</t>
  </si>
  <si>
    <t>Con soporte de papel o carton combinados con materias textiles</t>
  </si>
  <si>
    <t>Discos de fibra vulcanizada recubiertos con oxido de aluminio o carburo de silicio</t>
  </si>
  <si>
    <t>De diametro superior o igual a 178 mm pero inferior o igual 180 mm (R.386/99 SICYM)</t>
  </si>
  <si>
    <t>De grano 14 a 16</t>
  </si>
  <si>
    <t>De grano 24 a 36</t>
  </si>
  <si>
    <t>De grano 50 a 60</t>
  </si>
  <si>
    <t>De grano 80</t>
  </si>
  <si>
    <t>De grano 100 a 120</t>
  </si>
  <si>
    <t>Los demas (R.386/99 SICYM)</t>
  </si>
  <si>
    <t>Lana de escoria. de roca y lanas minerales similares; vermiculita dilatada. arcilla dilatada. espuma de escoria y productos minerales similares dilatados; mezclas y manufacturas de materias minerales para aislamiento termico o acustico o para la absorcion del sonido. excepto las de las partidas 68.11. 68.12 o del Capitulo 69.</t>
  </si>
  <si>
    <t>Aluminosos o sÃlicoaluminosos</t>
  </si>
  <si>
    <t>Manufacturas de asfalto o de productos similares (por ejemplo: pez de petroleo. brea).</t>
  </si>
  <si>
    <t>PANELES. PLACAS. LOSETAS. BLOQUES Y ARTÃCULOS SIMILARES. DE FIBRA VEGETAL. PAJA O VIRUTA. DE PLAQUITAS O PARTÃCULAS. O DE ASERRÃN O DEMaS DESPERDICIOS DE MADERA. AGLOMERADOS CON CEMENTO. YESO FRAGUABLE O DEMaS AGLUTINANTES MINERALES.</t>
  </si>
  <si>
    <t>Manufacturas de yeso fraguable o de preparaciones a base de yeso fraguable.</t>
  </si>
  <si>
    <t>- Placas. hojas. paneles. losetas y articulos similares. sin adornos:</t>
  </si>
  <si>
    <t>Manufacturas de cemento. hormigon o piedra artificial. incluso armadas.</t>
  </si>
  <si>
    <t>- Tejas. losetas. losas. ladrillos y articulos similares:</t>
  </si>
  <si>
    <t>- Las demas manufacturas:</t>
  </si>
  <si>
    <t>Manufacturas de amiantocemento. celulosacemento o similares.</t>
  </si>
  <si>
    <t>- Que no contengan amianto (asbesto):</t>
  </si>
  <si>
    <t>Amianto (asbesto) en fibras trabajado; mezclas a base de amianto o a base de amianto y carbonato de magnesio; manufacturas de estas mezclas o de amianto (por ejemplo: hilados. tejidos. prendas de vestir. sombreros y demas tocados. calzado. juntas). incluso armadas. excepto las de las partidas 68.11 o 68.13.</t>
  </si>
  <si>
    <t>--Prendas y complementos (accesorios). de vestir. calzado. sombreros y demas tocados</t>
  </si>
  <si>
    <t>Juntas y demas elementos con funcion similar de estanqueidad</t>
  </si>
  <si>
    <t>Amianto en fibras trabajado.</t>
  </si>
  <si>
    <t>Mezclas a base de amianto o a base de amianto y carbonato de magnesio.</t>
  </si>
  <si>
    <t>Guarniciones de friccion (por ejemplo: hojas. rollos. tiras. segmentos. discos. arandelas. plaquitas) sin montar. para frenos. embragues o cualquier organo de frotamiento. a base de amianto (asbesto). de otras sustancias minerales o de celulosa. incluso combinados con textiles o demas materias.</t>
  </si>
  <si>
    <t>-Que contengan amianto (asbesto).</t>
  </si>
  <si>
    <t>De los tipos utilizados en motocicletas</t>
  </si>
  <si>
    <t>Cintas de freno. de los tipos utilizados en vehiculos automoviles</t>
  </si>
  <si>
    <t>De peso. por unidad. superior a 300 g</t>
  </si>
  <si>
    <t>En bruto (tejas de friccion) cuyo espesor mayor sea superior o igual a 18 mm. de los tipos utilizados para la fabricacion de cintas o bloques de freno</t>
  </si>
  <si>
    <t>Guarniciones para embragues en forma de discos</t>
  </si>
  <si>
    <t>Mica trabajada y manufacturas de mica. incluida la aglomerada o reconstituida. incluso con soporte de papel. carton o demas materias.</t>
  </si>
  <si>
    <t>Manufacturas de piedra o demas materias minerales (incluidas las fibras de carbono y sus manufacturas y las manufacturas de turba). no expresadas ni comprendidas en otra parte.</t>
  </si>
  <si>
    <t>Fibras de carbono</t>
  </si>
  <si>
    <t>Tejidos de fibras de carbono</t>
  </si>
  <si>
    <t>Partes de inyeccion electronica. de motores de los tipos utilizados en vehiculos automoviles</t>
  </si>
  <si>
    <t>Aglomeradas con aglutinante quimico. sin cocer</t>
  </si>
  <si>
    <t>Electrofundidas</t>
  </si>
  <si>
    <t>Con un contenido de alumina (Al2O3) superior o igual al 90 % en peso</t>
  </si>
  <si>
    <t>Con un contenido de silice (SiO2) superior o igual al 90 % en peso</t>
  </si>
  <si>
    <t>Con un contenido de oxido de circonio (ZrO2) superior o igual al 50 % en peso. incluso con un contenido de alumina inferior al 45 % en peso</t>
  </si>
  <si>
    <t>Constituidas por una mezcla o combinacion de alumina (Al2O3). silice (SiO2) y oxido de circonio (ZrO2) con un contenido de alumina superior o igual al 45 % pero inferior al 90 %. en peso o con un contenido de oxido de circonio (ZrO2) superior o igual al 20 % pero inferior al 50 %. en peso</t>
  </si>
  <si>
    <t>LADRILLOS. PLACAS. BALDOSAS Y DEMaS PIEZAS CERaMICAS DE HARINAS SILÃCEAS FOSILES (POR EJEMPLO: "KIESELGUHR". TRIPOLITA. DIATOMITA) O DE TIERRAS SILÃCEAS ANaLOGAS.</t>
  </si>
  <si>
    <t>Ladrillos. placas. baldosas y piezas ceramicas analogas de construccion. refractarios. excepto los de harinas siliceas fosiles o de tierras siliceas analogas.</t>
  </si>
  <si>
    <t>- Con un contenido de los elementos Mg (magnesio). Ca (calcio) o Cr (cromo). considerados aislada o conjuntamente. superior al 50 % en peso. expresados en MgO (oxido de magnesio). CaO (oxido de calcio) u Cr2O3 (oxido cromico)</t>
  </si>
  <si>
    <t>Magnesianos o a base de oxido cromico</t>
  </si>
  <si>
    <t>Ladrillos o placas. con un contenido de trioxido de dicromo superior al 90% en peso</t>
  </si>
  <si>
    <t>Los demas ladrillos</t>
  </si>
  <si>
    <t>- Con un contenido de alumina (Al2O3). de silice (SiO2) o de una mezcla o combinacion de estos productos. superior al 50 % en peso</t>
  </si>
  <si>
    <t>Ladrillos silicoaluminosos</t>
  </si>
  <si>
    <t>Silicoaluminosos</t>
  </si>
  <si>
    <t>Siliceos. semisiliceos o de silice</t>
  </si>
  <si>
    <t>De silimanita</t>
  </si>
  <si>
    <t>De grafito</t>
  </si>
  <si>
    <t>Bloques y ladrillos con un contenido de carbono superior al 95%. en peso y hierro superior o igual al 0.05% pero inferior o igual al 0.30%. en peso. conductividad termica superior o igual a 35 W/mroK y una tension de rotura a la compresion superior o igual a 21 N/mm2. de los tipos utilizados en altos hornos</t>
  </si>
  <si>
    <t>Con un contenido de oxido de circonio (ZrO2) superior al 25 % en peso. sin fundir</t>
  </si>
  <si>
    <t>Con un contenido de carbono superior al 85 % en peso y un diametro medio de poro inferior o igual a 5 micrometros. de los tipos utilizados en altos hornos</t>
  </si>
  <si>
    <t>De carburo de silicio</t>
  </si>
  <si>
    <t>Bloques y ladrillos. con un contenido de carbono superior al 85%. en peso y un diametro medio de poro superior a 5 um pero inferior o igual a 8 um. de los tipos utilizados en altos hornos</t>
  </si>
  <si>
    <t>Los demas articulos ceramicos refractarios (por ejemplo: retortas. crisoles. muflas. toberas. tapones. soportes. copelas. tubos. fundas. varillas). excepto los de harinas siliceas fosiles o de tierras siliceas analogas.</t>
  </si>
  <si>
    <t>- Con un contenido de grafito u otro carbono o de una mezcla de estos productos. superior al 50 % en peso</t>
  </si>
  <si>
    <t>Crisoles</t>
  </si>
  <si>
    <t>De grafito. excepto los del item 6903.10.12</t>
  </si>
  <si>
    <t>Elaborados con una mezcla de grafito y carburo de silicio</t>
  </si>
  <si>
    <t>Retortas elaboradas con una mezcla de grafito y carburo de silicio</t>
  </si>
  <si>
    <t>Tapas y tapones</t>
  </si>
  <si>
    <t>- Con un contenido de alumina (Al2O3) o de una mezcla o combinacion de alumina y de silice (SiO2). superior al 50 % en peso</t>
  </si>
  <si>
    <t>De compuestos de circonio</t>
  </si>
  <si>
    <t>Ladrillos de construccion. bovedillas. cubrevigas y articulos similares. de ceramica.</t>
  </si>
  <si>
    <t>Tejas. elementos de chimenea. conductos de humo. ornamentos arquitectonicos y demas articulos ceramicos de construccion.</t>
  </si>
  <si>
    <t>TUBOS. CANALONES Y ACCESORIOS DE TUBERÃA. DE CERaMICA.</t>
  </si>
  <si>
    <t>PLACAS Y BALDOSAS. DE CERaMICA. PARA PAVIMENTACION O REVESTIMIENTO; CUBOS. DADOS Y ARTÃCULOS SIMILARES. DE CERaMICA. PARA MOSAICOS. INCLUSO CON SOPORTE; PIEZAS DE ACABADO DE CERaMICA.</t>
  </si>
  <si>
    <t>- Placas y baldosas. para pavimentacion o revestimiento. excepto las de las subpartidas 6907.30 y 6907.40:</t>
  </si>
  <si>
    <t>- - Con un coeficiente de absorcion de agua inferior o igual al 0.5 % en peso</t>
  </si>
  <si>
    <t>De gres fino "porcellanato".</t>
  </si>
  <si>
    <t>Natural o sin pulir</t>
  </si>
  <si>
    <t>Pulidas. incluso semipulidas</t>
  </si>
  <si>
    <t>Barnizadas o esmaltadas (incluso lapadas o pulidas). en los terminos del 9 de la Res. 77/18 MP</t>
  </si>
  <si>
    <t>Natural o sin pulir. o semipulidas</t>
  </si>
  <si>
    <t>Pulidas</t>
  </si>
  <si>
    <t>Las demas barnizadas o esmaltadas (incluso lapadas o pulidas)</t>
  </si>
  <si>
    <t>--Con un coeficiente de absorcion de agua superior al 0.5 % pero inferior o igual al 10 %. en peso</t>
  </si>
  <si>
    <t>--Con un coeficiente de absorcion de agua superior al 10 % en peso</t>
  </si>
  <si>
    <t>- Cubos. dados y articulos similares para mosaicos. excepto los de la subpartida 6907.40</t>
  </si>
  <si>
    <t>De porcelana</t>
  </si>
  <si>
    <t>Aparatos y articulos. de ceramica. para usos quimicos o demas usos tecnicos; abrevaderos. pilas y recipientes similares. de ceramica. para uso rural; cantaros y recipientes similares. de ceramica. para transporte o envasado.</t>
  </si>
  <si>
    <t>- Aparatos y articulos para usos quimicos o demas usos tecnicos:</t>
  </si>
  <si>
    <t>- - Articulos con una dureza equivalente a 9 o superior en la escala de Mohs</t>
  </si>
  <si>
    <t>Guiahilos para maquinaria textil</t>
  </si>
  <si>
    <t>Guias de agujas para cabezales de impresion</t>
  </si>
  <si>
    <t>Aros de carburo de silicio para juntas mecanicas de estanquiedad</t>
  </si>
  <si>
    <t>Bolas ceramicas de alta alumina</t>
  </si>
  <si>
    <t>Colmena de ceramica a base de alumina (Al2O3). silice (SiO2) y oxido de magnesio (MgO). de depuradores por conversion catalitica de gases de escape de vehiculos</t>
  </si>
  <si>
    <t>Fregaderos (piletas de lavar). lavabos. pedestales de lavabo. bañeras. bides. inodoros. cisternas (depositos de agua) para inodoros. urinarios y aparatos fijos similares. de ceramica. para usos sanitarios.</t>
  </si>
  <si>
    <t>Fregaderos (piletas de lavar)</t>
  </si>
  <si>
    <t>Blancos</t>
  </si>
  <si>
    <t>Pedestales</t>
  </si>
  <si>
    <t>Cisternas</t>
  </si>
  <si>
    <t>Vajilla y demas articulos de uso domestico. higiene o tocador. de porcelana.</t>
  </si>
  <si>
    <t>Juegos de mesa. cafe o te. presentados en un envase comun</t>
  </si>
  <si>
    <t>Juegos de mesa</t>
  </si>
  <si>
    <t>De hasta 8 piezas inclusive</t>
  </si>
  <si>
    <t>De 9 hasta 12 piezas inclusive</t>
  </si>
  <si>
    <t>De 13 hasta 15 piezas inclusive</t>
  </si>
  <si>
    <t>De 16 hasta 20 piezas inclusive</t>
  </si>
  <si>
    <t>De 21 hasta 30 piezas inclusive</t>
  </si>
  <si>
    <t>Juegos de cafe</t>
  </si>
  <si>
    <t>De 9 hasta 15 piezas inclusive</t>
  </si>
  <si>
    <t>De 16 hasta 30 piezas inclusive</t>
  </si>
  <si>
    <t>Juegos de te</t>
  </si>
  <si>
    <t>Vajilla y demas articulos de uso domestico. higiene o tocador. de ceramica. excepto porcelana.</t>
  </si>
  <si>
    <t>Vajilla y articulos similares para el servicio de mesa o cocina</t>
  </si>
  <si>
    <t>Juegos de mesa. presentadosa en un envase comun</t>
  </si>
  <si>
    <t>De 9 hasta 20 piezas inclusive</t>
  </si>
  <si>
    <t>De 31 hasta 60 piezas inclusive</t>
  </si>
  <si>
    <t>De 61 hasta 100 piezas inclusive</t>
  </si>
  <si>
    <t>Juegos de cafe. presentados en un envase comun</t>
  </si>
  <si>
    <t>Juegos de te. presentados en un envase comun</t>
  </si>
  <si>
    <t>Estatuillas y demas articulos para adorno. de ceramica.</t>
  </si>
  <si>
    <t>Las demas manufacturas de ceramica.</t>
  </si>
  <si>
    <t>Desperdicios y desechos de vidrio; vidrio en masa.</t>
  </si>
  <si>
    <t>Desperdicios y desechos de vidrio</t>
  </si>
  <si>
    <t>Vidrio en masa</t>
  </si>
  <si>
    <t>Vidrio en bolas (excepto las microesferas de la partida 70.18). barras. varillas o tubos. sin trabajar.</t>
  </si>
  <si>
    <t>- Tubos:</t>
  </si>
  <si>
    <t>- - De otro vidrio con un coeficiente de dilatacion lineal inferior o igual a 5 x 10-6 por Kelvin. entre 0 °C y 300 °C</t>
  </si>
  <si>
    <t>De borosilicato con un contenido de oxido de boro superior al 7 % pero inferior o igual al 15 %. en peso. y un limite de dilatacion lineal superior a 4x10-6 por Kelvin. entre 0 roC y 300 roC. de los tipos utilizados para la fabricacion de frascos viales y ampollas</t>
  </si>
  <si>
    <t>De borosilicato con un contenido de oxido de boro superior al 7 % pero inferior o igual al 15 %. en peso. y un limite de dilatacion lineal superior a 5x10-6 por Kelvin pero inferior o igual a 6x10-6 por kelvin. entre 0 roC y 300 roC. de los tipos utilizados para la fabricacion de frascos viales y ampollas</t>
  </si>
  <si>
    <t>Vidrio colado o laminado. en placas. hojas o perfiles. incluso con capa absorbente. reflectante o antirreflectante. pero sin trabajar de otro modo.</t>
  </si>
  <si>
    <t>- Placas y hojas. sin armar:</t>
  </si>
  <si>
    <t>De espesor inferior o igual a 2 mm</t>
  </si>
  <si>
    <t>De espesor superior a 2 mm pero inferior o igual 4 mm</t>
  </si>
  <si>
    <t>De espesor superior a 4 mm pero inferior o igual 6 mm</t>
  </si>
  <si>
    <t>De espesor superior a 6 mm pero inferior o igual 8 mm</t>
  </si>
  <si>
    <t>De espesor superior a 8 mm pero inferior o igual 10 mm</t>
  </si>
  <si>
    <t>Vidrio estirado o soplado. en hojas. incluso con capa absorbente. reflectante o antirreflectante. pero sin trabajar de otro modo.</t>
  </si>
  <si>
    <t>Vidrio flotado y vidrio desbastado o pulido por una o las dos caras. en placas u hojas. incluso con capa absorbente. reflectante o antirreflectante. pero sin trabajar de otro modo.</t>
  </si>
  <si>
    <t>- Los demas vidrios sin armar:</t>
  </si>
  <si>
    <t>Flotado coloreado</t>
  </si>
  <si>
    <t>De espesor inferior a 8 mm</t>
  </si>
  <si>
    <t>De espesor inferior a 2 mm</t>
  </si>
  <si>
    <t>De espesor superior o igual a 2 mm pero inferior a 3 mm</t>
  </si>
  <si>
    <t>De espesor superior o igual a 3 mm pero inferior a 4 mm</t>
  </si>
  <si>
    <t>De espesor superior o igual a 4 mm pero inferior a 5 mm</t>
  </si>
  <si>
    <t>De espesor superior o igual a 5 mm pero inferior a 6 mm</t>
  </si>
  <si>
    <t>De espesor superior o igual a 8 mm</t>
  </si>
  <si>
    <t>De espesor inferior a 10 mm</t>
  </si>
  <si>
    <t>De espesor superior o igual a 10 mm pero inferior a 12 mm</t>
  </si>
  <si>
    <t>De espesor superior o igual a 12 mm pero inferior a 15 mm</t>
  </si>
  <si>
    <t>De espesor superior o igual a 15 mm pero inferior a 19 mm</t>
  </si>
  <si>
    <t>De espesor superior o igual a 19 mm pero inferior a 20 mm</t>
  </si>
  <si>
    <t>Flotado</t>
  </si>
  <si>
    <t>VIDRIO DE LAS PARTIDAS 70.03. 70.04 O 70.05. CURVADO. BISELADO. GRABADO. TALADRADO. ESMALTADO O TRABAJADO DE OTRO MODO. PERO SIN ENMARCAR NI COMBINAR CON OTRAS MATERIAS.</t>
  </si>
  <si>
    <t>Vidrio de seguridad constituido por vidrio templado o contrachapado.</t>
  </si>
  <si>
    <t>- Vidrio templado:</t>
  </si>
  <si>
    <t>De los tipos utilizados en automoviles</t>
  </si>
  <si>
    <t>Parabrisas</t>
  </si>
  <si>
    <t>Lunetas</t>
  </si>
  <si>
    <t>De los tipos utilizados en barcos</t>
  </si>
  <si>
    <t>- Vidrio contrachapado:</t>
  </si>
  <si>
    <t>Vidrios de seguridad a prueba de balas (R. 3115/94 ex-ANA)</t>
  </si>
  <si>
    <t>Los demas. vidrios de seguridad a prueba de balas (R. 3115/94 ex-ANA)</t>
  </si>
  <si>
    <t>Vidrio de seguridad a prueba de balas (R. 3115/94 ex-ANA)</t>
  </si>
  <si>
    <t>Coloreado</t>
  </si>
  <si>
    <t>De espesor superior o igual a 6 mm pero inferior a 8 mm</t>
  </si>
  <si>
    <t>De espesor superior o igual a 8 mm pero inferior a 10 mm</t>
  </si>
  <si>
    <t>VIDRIERAS AISLANTES DE PAREDES MÃšLTIPLES.</t>
  </si>
  <si>
    <t>Espejos de vidrio. enmarcados o no. incluidos los espejos retrovisores.</t>
  </si>
  <si>
    <t>De los tipos utilizados en motocicletas o bicicletas</t>
  </si>
  <si>
    <t>De los tipos utilizados en bicicletas</t>
  </si>
  <si>
    <t>Solamente cortados o conformados en las dimensiones finales para utilizacion en vehiculos o autopartes</t>
  </si>
  <si>
    <t>De los tipos utilizados en retrovisores exteriores de vehiculos automoviles</t>
  </si>
  <si>
    <t>De los tipos utilizados en retrovisores interiores de vehiculos automoviles.</t>
  </si>
  <si>
    <t>Los demas espejos retrovisores para vehiculos automoviles</t>
  </si>
  <si>
    <t>Exteriores</t>
  </si>
  <si>
    <t>Interiores</t>
  </si>
  <si>
    <t>Coloreados</t>
  </si>
  <si>
    <t>Bombonas (damajuanas). botellas. frascos. bocales. tarros. envases tubulares. ampollas y demas recipientes para el transporte o envasado. de vidrio; bocales para conservas. de vidrio; tapones. tapas y demas dispositivos de cierre. de vidrio.</t>
  </si>
  <si>
    <t>De capacidad superior a 1 l</t>
  </si>
  <si>
    <t>Bombonas (damajuanas) y botellas</t>
  </si>
  <si>
    <t>Frascos. bocales. potes. envases tubulares y demas recipientes para el transporte o envasado; bocales para conservas</t>
  </si>
  <si>
    <t>De capacidad superior a 0.33 l pero inferior o igual a 1 l</t>
  </si>
  <si>
    <t>De capacidad inferior o igual a 0.1 l.</t>
  </si>
  <si>
    <t>Ampollas y envolturas tubulares. abiertas. y sus partes. de vidrio. sin guarniciones. para lamparas electricas. tubos catodicos o similares.</t>
  </si>
  <si>
    <t>Para lamparas o tubos de descarga. incluidos los de luz relampago</t>
  </si>
  <si>
    <t>Para lamparas de incandescencia</t>
  </si>
  <si>
    <t>Bulbos de diametro inferior o igual a 90 mm</t>
  </si>
  <si>
    <t>Articulos de vidrio para servicio de mesa. cocina. tocador. baño. oficina. adorno de interiores o usos similares (excepto los de las partidas 70.10 o 70.18).</t>
  </si>
  <si>
    <t>Vajilla. utensilios y articulos similares para el servicio de mesa o cocina</t>
  </si>
  <si>
    <t>- Recipientes con pie para beber. excepto los de vitroceramica:</t>
  </si>
  <si>
    <t>De pie alto. con una altura medida desde la base del pie a la base del recipiente. superior o igual a 5 cm</t>
  </si>
  <si>
    <t>- Los demas recipientes para beber. excepto los de vitroceramica:</t>
  </si>
  <si>
    <t>Presentados con la correspondiente tetina</t>
  </si>
  <si>
    <t>Vasos y jarros</t>
  </si>
  <si>
    <t>Jarros</t>
  </si>
  <si>
    <t>- Articulos para servicio de mesa (excluidos los recipientes para beber) o cocina. excepto los de vitroceramica:</t>
  </si>
  <si>
    <t>- - De vidrio con un coeficiente de dilatacion lineal inferior o igual a 5 x 10-6 por Kelvin. entre 0 °C y 300 °C</t>
  </si>
  <si>
    <t>Cafeteras y teteras</t>
  </si>
  <si>
    <t>Presentados en juegos</t>
  </si>
  <si>
    <t>De hasta 3 piezas inclusive</t>
  </si>
  <si>
    <t>De 4 hasta 7 piezas inclusive</t>
  </si>
  <si>
    <t>De 8 hasta 12 piezas inclusive</t>
  </si>
  <si>
    <t>De 13 hasta 20 piezas inclusive</t>
  </si>
  <si>
    <t>- Los demas articulos:</t>
  </si>
  <si>
    <t>Para adorno de interiores</t>
  </si>
  <si>
    <t>VIDRIO PARA SEÃ‘ALIZACION Y ELEMENTOS DE OPTICA DE VIDRIO (EXCEPTO LOS DE LA PARTIDA 70.15). SIN TRABAJAR OPTICAMENTE.</t>
  </si>
  <si>
    <t>Cristales para relojes y cristales analogos. cristales para gafas (anteojos). incluso correctores. abombados. curvados. ahuecados o similares. sin trabajar opticamente; esferas huecas y sus segmentos (casquetes esfericos). de vidrio. para la fabricacion de estos cristales.</t>
  </si>
  <si>
    <t>Fotocromaticos</t>
  </si>
  <si>
    <t>Cristales para relojes</t>
  </si>
  <si>
    <t>Cristales para caretas. gafas (anteojos) o antiparras. protectoras</t>
  </si>
  <si>
    <t>Cristales para las demas gafas (anteojos)</t>
  </si>
  <si>
    <t>Adoquines. baldosas. ladrillos. placas. tejas y demas articulos. de vidrio prensado o moldeado. incluso armado. para la construccion; cubos. dados y demas articulos similares. de vidrio. incluso con soporte. para mosaicos o decoraciones similares; vidrieras artisticas (vitrales. incluso de vidrios incoloros); vidrio multicelular o vidrio «espuma». en bloques. paneles. placas. coquillas o formas similares.</t>
  </si>
  <si>
    <t>Articulos de vidrio para laboratorio. higiene o farmacia. incluso graduados o calibrados.</t>
  </si>
  <si>
    <t>-De otro vidrio con un coeficiente de dilatacion lineal inferior o igual a 5x10-6 por Kelvin. entre 0 roC y 300 roC</t>
  </si>
  <si>
    <t>Tubos de vidrio de los tipos utilizados para toma de muestras de sangre (R.30/97 AFIP)</t>
  </si>
  <si>
    <t>Cuentas de vidrio. imitaciones de perlas. de piedras preciosas o semipreciosas y articulos similares de abalorio. y sus manufacturas. excepto la bisuteria; ojos de vidrio. excepto los de protesis; estatuillas y demas articulos de adorno. de vidrio trabajado al soplete (vidrio ahilado). excepto la bisuteria; microesferas de vidrio con un diametro inferior o igual a 1 mm.</t>
  </si>
  <si>
    <t>Cuentas de vidrio</t>
  </si>
  <si>
    <t>Imitaciones de perlas. de piedras preciosas o semipreciosas</t>
  </si>
  <si>
    <t>-Microesferas de vidrio con un diametro inferior o igual a 1 mm</t>
  </si>
  <si>
    <t>Fibra de vidrio (incluida la lana de vidrio) y manufacturas de esta materia (por ejemplo: hilados. tejidos).</t>
  </si>
  <si>
    <t>- Mechas. «rovings» e hilados. aunque esten cortados:</t>
  </si>
  <si>
    <t>--Hilados cortados ("chopped strands"). de longitud inferior o igual a 50 mm</t>
  </si>
  <si>
    <t>- - «Rovings»</t>
  </si>
  <si>
    <t>Impregnados o recubiertos con resina poliuretanica o caucho estireno-butadieno</t>
  </si>
  <si>
    <t>Mechas</t>
  </si>
  <si>
    <t>- Velos. napas. «mats». colchones. paneles y productos similares sin tejer:</t>
  </si>
  <si>
    <t>Napas</t>
  </si>
  <si>
    <t>Aglomeradas con resinas fenolicas termoendurecibles</t>
  </si>
  <si>
    <t>Sin revestimiento</t>
  </si>
  <si>
    <t>Colchones</t>
  </si>
  <si>
    <t>Aglomerados con resinas fenolicas termoendurecibles. sin revestimiento</t>
  </si>
  <si>
    <t>De espesor inferior a 27 mm</t>
  </si>
  <si>
    <t>De espesor superior o igual a 27 mm pero inferior a 36 mm</t>
  </si>
  <si>
    <t>De espesor superior o igual a 36 mm pero inferior a 46 mm</t>
  </si>
  <si>
    <t>De espesor superior o igual a 46 mm pero inferior a 67 mm</t>
  </si>
  <si>
    <t>Aglomerados con resinas fenolicas termoendurecibles. con revestimiento de aluminio</t>
  </si>
  <si>
    <t>Aglomerados con resinas fenolicas termoendurecibles. con revestimiento de polipropileno</t>
  </si>
  <si>
    <t>Aglomerados con resinas fenolicas termoendurecibles. con revestimiento de papel kraft</t>
  </si>
  <si>
    <t>Aglomerados con resinas fenolicas termoendurecibles</t>
  </si>
  <si>
    <t>Paneles</t>
  </si>
  <si>
    <t>Aglomerados con resinas fenolicas termoendurecibles. con revestimiento</t>
  </si>
  <si>
    <t>-Tejidos de "rovings"</t>
  </si>
  <si>
    <t>--De anchura inferior o igual a 30 cm</t>
  </si>
  <si>
    <t>- - De anchura superior a 30 cm. de ligamento tafetan. con peso inferior a 250 g/m 2. de filamentos de titulo inferior o igual a 136 tex por hilo sencillo</t>
  </si>
  <si>
    <t>Con un contenido de materia organica superior o igual al 0.075 % pero inferior o igual al 0.3 %. en peso. segun norma ANSI/IPC-EG-140. aptos para la fabricacion de placas para circuitos impresos (R.469/97 MEOSP)</t>
  </si>
  <si>
    <t>Discos. de diametro inferior o igual a 900 mm. impregnados con resina fenolica</t>
  </si>
  <si>
    <t>Red constituida por hilados paralelizados y superpuestos entre si en angulo de 90°. impregnados y soldados en sus puntos de cruce con resina termoplastica. con una densidad superior o igual a 3 pero inferior o igual a 7 hilos por centimetro</t>
  </si>
  <si>
    <t>Lana de vidrio a granel</t>
  </si>
  <si>
    <t>Laminas a base de fibra de vidrio. de los tipos utilizados para la fabricacion de tiras para diagnostico de COVID-19</t>
  </si>
  <si>
    <t>Las demas manufacturas de vidrio.</t>
  </si>
  <si>
    <t>Ampollas de vidrio para termos o demas recipientes isotermicos aislados por vacio</t>
  </si>
  <si>
    <t>De capacidad superior a 0.5 l pero inferior o igual a 1.5 l</t>
  </si>
  <si>
    <t>Perlas naturales (finas)* o cultivadas. incluso trabajadas o clasificadas. pero sin ensartar. montar ni engarzar; perlas naturales (finas)* o cultivadas. ensartadas temporalmente para facilitar el transporte.</t>
  </si>
  <si>
    <t>- Perlas naturales (finas)*</t>
  </si>
  <si>
    <t>Trabajadas</t>
  </si>
  <si>
    <t>Presentadas en tamaños uniformes</t>
  </si>
  <si>
    <t>- Perlas cultivadas:</t>
  </si>
  <si>
    <t>Diamantes. incluso trabajados. sin montar ni engarzar.</t>
  </si>
  <si>
    <t>- Industriales:</t>
  </si>
  <si>
    <t>Presentados en lotes</t>
  </si>
  <si>
    <t>- No industriales:</t>
  </si>
  <si>
    <t>Piedras preciosas (excepto los diamantes) o semipreciosas. naturales. incluso trabajadas o clasificadas. sin ensartar. montar ni engarzar; piedras preciosas (excepto los diamantes) o semipreciosas. naturales. sin clasificar. ensartadas temporalmente para facilitar el transporte.</t>
  </si>
  <si>
    <t>Marcasita (R.2289/92 ex-ANA)</t>
  </si>
  <si>
    <t>- Trabajadas de otro modo:</t>
  </si>
  <si>
    <t>Marcasita (R.2289/92 ANA)</t>
  </si>
  <si>
    <t>Piedras preciosas o semipreciosas. sinteticas o reconstituidas. incluso trabajadas o clasificadas. sin ensartar. montar ni engarzar; piedras preciosas o semipreciosas. sinteticas o reconstituidas. sin clasificar. ensartadas temporalmente para facilitar el transporte.</t>
  </si>
  <si>
    <t>Diamantes</t>
  </si>
  <si>
    <t>Polvo de piedras preciosas o semipreciosas. naturales o sinteticas.</t>
  </si>
  <si>
    <t>Plata (incluida la plata dorada y la platinada) en bruto. semilabrada o en polvo.</t>
  </si>
  <si>
    <t>Barras. alambre y perfiles de seccion maciza</t>
  </si>
  <si>
    <t>Chapas. laminas. hojas y tiras</t>
  </si>
  <si>
    <t>CHAPADO (PLAQUE) DE PLATA SOBRE METAL COMÃšN. EN BRUTO O SEMILABRADO.</t>
  </si>
  <si>
    <t>Oro (incluido el oro platinado) en bruto. semilabrado o en polvo.</t>
  </si>
  <si>
    <t>- Para uso no monetario:</t>
  </si>
  <si>
    <t>Aleacion dorada o bullon dorado</t>
  </si>
  <si>
    <t>CHAPADO (PLAQUE) DE ORO SOBRE METAL COMÃšN O SOBRE PLATA. EN BRUTO O SEMILABRADO.</t>
  </si>
  <si>
    <t>Platino en bruto. semilabrado o en polvo.</t>
  </si>
  <si>
    <t>- Platino:</t>
  </si>
  <si>
    <t>Que contenga plata</t>
  </si>
  <si>
    <t>- Paladio:</t>
  </si>
  <si>
    <t>- Rodio:</t>
  </si>
  <si>
    <t>- Iridio. osmio y rutenio:</t>
  </si>
  <si>
    <t>CHAPADO (PLAQUE) DE PLATINO SOBRE METAL COMÃšN. PLATA U ORO. EN BRUTO O SEMILABRADO.</t>
  </si>
  <si>
    <t>Desperdicios y desechos. de metal precioso o de chapado de metal precioso (plaque); demas desperdicios y desechos que contengan metal precioso o compuestos de metal precioso. de los tipos utilizados principalmente para la recuperacion del metal precioso.</t>
  </si>
  <si>
    <t>Que contengan oro. sin otro metal precioso</t>
  </si>
  <si>
    <t>Que contengan platino. sin otro metal precioso</t>
  </si>
  <si>
    <t>Que contengan plata. sin otro metal precioso</t>
  </si>
  <si>
    <t>De plata o de chapado (plaque) de plata. excepto las barreduras que contengan otro metal precioso</t>
  </si>
  <si>
    <t>Articulos de joyeria y sus partes. de metal precioso o de chapado de metal precioso (plaque).</t>
  </si>
  <si>
    <t>- De metal precioso. incluso revestido o chapado de metal precioso (plaque):</t>
  </si>
  <si>
    <t>De plata</t>
  </si>
  <si>
    <t>Sin combinar con otras materias</t>
  </si>
  <si>
    <t>Revestida o chapada con oro</t>
  </si>
  <si>
    <t>Revestida o chapada con platino</t>
  </si>
  <si>
    <t>De platino</t>
  </si>
  <si>
    <t>De chapado (plaque) de plata</t>
  </si>
  <si>
    <t>De chapado (plaque) de oro</t>
  </si>
  <si>
    <t>De chapado (plaque) de platino</t>
  </si>
  <si>
    <t>Articulos de orfebreria y sus partes. de metal precioso o de chapado de metal precioso (plaque).</t>
  </si>
  <si>
    <t>Las demas manufacturas de metal precioso o de chapado de metal precioso (plaque).</t>
  </si>
  <si>
    <t>Para uso tecnico o de laboratorio</t>
  </si>
  <si>
    <t>Manufacturas de perlas naturales (finas)* o cultivadas. de piedras preciosas o semipreciosas (naturales. sinteticas o reconstituidas).</t>
  </si>
  <si>
    <t>De diamantes sinteticos</t>
  </si>
  <si>
    <t>Guias de agujas. de rubi. para cabezales de impresion</t>
  </si>
  <si>
    <t>De piedras preciosas</t>
  </si>
  <si>
    <t>De piedras semipreciosas</t>
  </si>
  <si>
    <t>Bisuteria.</t>
  </si>
  <si>
    <t>- De metal comun. incluso plateado. dorado o platinado:</t>
  </si>
  <si>
    <t>Monedas.</t>
  </si>
  <si>
    <t>Destinadas a tener curso legal en el pais importador</t>
  </si>
  <si>
    <t>Fundicion en bruto y fundicion especular. en lingotes. bloques o demas formas primarias.</t>
  </si>
  <si>
    <t>-Fundicion en bruto sin alear con un contenido de fosforo inferior o igual al 0.5 % en peso</t>
  </si>
  <si>
    <t>-Fundicion en bruto sin alear con un contenido de fosforo superior al 0.5 % en peso</t>
  </si>
  <si>
    <t>Ferroaleaciones.</t>
  </si>
  <si>
    <t>- Ferromanganeso:</t>
  </si>
  <si>
    <t>--Con un contenido de carbono superior al 2 % en peso</t>
  </si>
  <si>
    <t>- Ferrosilicio:</t>
  </si>
  <si>
    <t>--Con un contenido de silicio superior al 55 % en peso</t>
  </si>
  <si>
    <t>Con un contenido de magnesio superior o igual al 2.5 % en peso</t>
  </si>
  <si>
    <t>- Ferrocromo:</t>
  </si>
  <si>
    <t>--Con un contenido de carbono superior al 4 % en peso</t>
  </si>
  <si>
    <t>Ferrofosforo</t>
  </si>
  <si>
    <t>Ferro-silico-magnesio</t>
  </si>
  <si>
    <t>Ferro-silico-calcio</t>
  </si>
  <si>
    <t>Productos ferreos obtenidos por reduccion directa de minerales de hierro y demas productos ferreos esponjosos. en trozos. «pellets» o formas similares; hierro con una pureza superior o igual al 99.94 % en peso. en trozos. «pellets» o formas similares.</t>
  </si>
  <si>
    <t>Desperdicios y desechos (chatarra). de fundicion. hierro o acero; lingotes de chatarra de hierro o acero.</t>
  </si>
  <si>
    <t>- Desperdicios y desechos. de aceros aleados:</t>
  </si>
  <si>
    <t>Austeniticos (Serie AISI 300 y equivalentes de otras normas)</t>
  </si>
  <si>
    <t>De acero rÃ pido</t>
  </si>
  <si>
    <t>- Los demas desperdicios y desechos:</t>
  </si>
  <si>
    <t>Granallas y polvos. de fundicion en bruto. de fundicion especular. de hierro o acero.</t>
  </si>
  <si>
    <t>De acero</t>
  </si>
  <si>
    <t>Inoxidable</t>
  </si>
  <si>
    <t>- Polvos:</t>
  </si>
  <si>
    <t>De acero inoxidable</t>
  </si>
  <si>
    <t>De hierro esponja. con un contenido de hierro superior o igual al 98 % en peso</t>
  </si>
  <si>
    <t>De hierro revestido con resina termoplastica. con un contenido de hierro superior o igual al 98 % en peso</t>
  </si>
  <si>
    <t>Hierro y acero sin alear. en lingotes o demas formas primarias. excepto el hierro de la partida 72.03.</t>
  </si>
  <si>
    <t>Productos intermedios de hierro o acero sin alear.</t>
  </si>
  <si>
    <t>- Con un contenido de carbono inferior al 0.25 % en peso:</t>
  </si>
  <si>
    <t>Palanquilla</t>
  </si>
  <si>
    <t>- Con un contenido de carbono superior o igual al 0.25 % en peso</t>
  </si>
  <si>
    <t>Productos laminados planos de hierro o acero sin alear. de anchura superior o igual a 600 mm. laminados en caliente. sin chapar ni revestir.</t>
  </si>
  <si>
    <t>De espesor inferior o igual a 12.7 mm</t>
  </si>
  <si>
    <t>Con un contenido de carbono superior o igual al 0.6 %. en peso (R.458/99 MEyOSP)</t>
  </si>
  <si>
    <t>- Los demas. enrollados. simplemente laminados en caliente. decapados:</t>
  </si>
  <si>
    <t>- - De espesor superior o igual a 4.75 mm</t>
  </si>
  <si>
    <t>Desbastes en rollos (coils) para relaminar en frio</t>
  </si>
  <si>
    <t>En calidades para fabricar caños soldados bajo normas del American Petroleum Institute</t>
  </si>
  <si>
    <t>Los demas. con un contenido de carbono superior o igual al 0.6 %. en peso (R.458/99 MEyOSP)</t>
  </si>
  <si>
    <t>- - De espesor superior o igual a 3 mm pero inferior a 4.75 mm</t>
  </si>
  <si>
    <t>Con un limite de elasticidad superior o igual a 355 MPa</t>
  </si>
  <si>
    <t>Los demas. con un contenido de carbono superior igual al 0.6 %. en peso (R.458/99 MEyOSP)</t>
  </si>
  <si>
    <t>- - De espesor inferior a 3 mm</t>
  </si>
  <si>
    <t>Con un limite de elasticidad superior o igual a 275 MPa</t>
  </si>
  <si>
    <t>- Los demas. enrollados. simplemente laminados en caliente:</t>
  </si>
  <si>
    <t>- - De espesor superior a 10 mm</t>
  </si>
  <si>
    <t>- - De espesor superior o igual a 4.75 mm pero inferior o igual a 10 mm</t>
  </si>
  <si>
    <t>Con un contenido de carbono superior o igual al 0.6 %. en peso (R.458/99 MEYOSP)</t>
  </si>
  <si>
    <t>Los demas. con un contenido de carbono superior o igual al 0.6 %. en peso (R.458/99 MEYOSP)</t>
  </si>
  <si>
    <t>De anchura inferior o igual a 1870 mm.</t>
  </si>
  <si>
    <t>- Los demas. sin enrollar. simplemente laminados en caliente:</t>
  </si>
  <si>
    <t>Con un contenido de carbono superior o igual al 0.6 % en peso (R.458/99 MEYOSP)</t>
  </si>
  <si>
    <t>De anchura inferior o igual a 1870 mm</t>
  </si>
  <si>
    <t>Con un contenido de carbono superior o igual al 0.6 % en peso(R.458/99 MEYOSP)</t>
  </si>
  <si>
    <t>Perforados con agujeros redondos segun norma ISO 10630 y equivalentes de otras normas</t>
  </si>
  <si>
    <t>De diametro del agujero inferior o igual a 10 mm</t>
  </si>
  <si>
    <t>De diametro del agujero superior a 10 mm pero inferior o igual a 30 mm</t>
  </si>
  <si>
    <t>Perforados con agujeros cuadrados segun norma ISO 10630 y equivalentes de otras normas</t>
  </si>
  <si>
    <t>De lado del agujero inferior o igual a 10 mm</t>
  </si>
  <si>
    <t>De lado del agujero superior a 10 mm pero inferior o igual a 30 mm</t>
  </si>
  <si>
    <t>Los demas. enrollados</t>
  </si>
  <si>
    <t>Perforados con agujeros redondos segun norma ISO 10630 y eqivalentes de otras normas</t>
  </si>
  <si>
    <t>Productos laminados planos de hierro o acero sin alear. de anchura superior o igual a 600 mm. laminados en frio. sin chapar ni revestir.</t>
  </si>
  <si>
    <t>- Enrollados. simplemente laminados en frio:</t>
  </si>
  <si>
    <t>- - De espesor superior o igual a 3 mm</t>
  </si>
  <si>
    <t>Con una dureza HRB (Hardness Rockwell B) superior a 85</t>
  </si>
  <si>
    <t>Los demas. con un contenido de carbono superior al 0.25 % en peso</t>
  </si>
  <si>
    <t>En las condiciones establecidas en la Disp.1/01 SS.G.C.E.</t>
  </si>
  <si>
    <t>- - De espesor superior a 1 mm pero inferior a 3 mm</t>
  </si>
  <si>
    <t>- - De espesor superior o igual a 0.5 mm pero inferior o igual a 1 mm</t>
  </si>
  <si>
    <t>- - De espesor inferior a 0.5 mm</t>
  </si>
  <si>
    <t>De espesor superior o igual a 0.3 mm</t>
  </si>
  <si>
    <t>- Sin enrollar. simplemente laminados en frio:</t>
  </si>
  <si>
    <t>En las condiciones establecidas en la Disp. 1/01 SS.G.C.E.</t>
  </si>
  <si>
    <t>De espesor superior o igual al 0.3 mm</t>
  </si>
  <si>
    <t>Productos laminados planos de hierro o acero sin alear. de anchura superior o igual a 600 mm. chapados o revestidos.</t>
  </si>
  <si>
    <t>- Estañados:</t>
  </si>
  <si>
    <t>--De espesor superior o igual a 0.5 mm</t>
  </si>
  <si>
    <t>De espesor inferior a 0.24 mm</t>
  </si>
  <si>
    <t>De espesor inferior a 0.16 mm</t>
  </si>
  <si>
    <t>De espesor superior o igual a 0.16 mm pero inferior a 0.18 mm</t>
  </si>
  <si>
    <t>De espesor superior o igual a 0.18 mm pero inferior a 0.20 mm</t>
  </si>
  <si>
    <t>De espesor superior o igual a 0.20 mm pero inferior a 0.22 mm</t>
  </si>
  <si>
    <t>De espesor superior o igual a 0.22 mm</t>
  </si>
  <si>
    <t>De espesor superior o igual a 0.24 mm</t>
  </si>
  <si>
    <t>De espesor inferior a 0.26 mm</t>
  </si>
  <si>
    <t>De espesor superior o igual a 0.26 mm pero inferior a 0.28 mm</t>
  </si>
  <si>
    <t>De espesor superior o igual a 0.28 mm pero inferior o igual a 0.30 mm</t>
  </si>
  <si>
    <t>De espesor inferior a 4.75 mm</t>
  </si>
  <si>
    <t>- Cincados de otro modo:</t>
  </si>
  <si>
    <t>De espesor inferior a 0.37 mm</t>
  </si>
  <si>
    <t>De espesor superior o igual a 0.37 mm pero inferior a 0.51 mm</t>
  </si>
  <si>
    <t>De espesor superior o igual a 0.51 mm pero inferior a 0.66 mm</t>
  </si>
  <si>
    <t>De espesor superior o igual a 0.66 mm pero inferior a 1.20 mm</t>
  </si>
  <si>
    <t>De espesor superior o igual a 1.20 mm pero inferior a 1.81 mm</t>
  </si>
  <si>
    <t>De espesor superior o igual a 0.30 mm</t>
  </si>
  <si>
    <t>Perforados con agujeros redondos segun norma ISO 10630</t>
  </si>
  <si>
    <t>De espesor superior o igual a 0.28 mm pero inferior a 0.30 mm</t>
  </si>
  <si>
    <t>- Revestidos de aluminio:</t>
  </si>
  <si>
    <t>De espesor inferior a 0.38 mm</t>
  </si>
  <si>
    <t>Lisos</t>
  </si>
  <si>
    <t>De espesor superior o igual a 0.38 mm pero inferior a 0.51 mm</t>
  </si>
  <si>
    <t>De espesor superior o igual a 0.66 mm pero inferior a 0.83 mm</t>
  </si>
  <si>
    <t>De espesor superior o igual a 0.83 mm pero inferior a 1.02 mm</t>
  </si>
  <si>
    <t>Revestidos de una aleacion de aluminio-silicio</t>
  </si>
  <si>
    <t>Con peso superior o igual a 120 g/m2 y un contenido de silicio superior o igual al 5 % pero inferior o igual al 11 %. en peso</t>
  </si>
  <si>
    <t>Pintados o barnizados</t>
  </si>
  <si>
    <t>De espesor inferior a 0.47 mm</t>
  </si>
  <si>
    <t>De espesor superior o igual a 0.47 mm pero inferior a 0.55 mm</t>
  </si>
  <si>
    <t>De espesor superior o igual a 0.55 mm pero inferior a 0.70 mm</t>
  </si>
  <si>
    <t>De espesor superior o igual a 0.70 mm pero inferior a 0.87 mm</t>
  </si>
  <si>
    <t>De espesor superior o igual a 0.87 mm pero inferior a 1.06 mm</t>
  </si>
  <si>
    <t>Revestidos de plastico</t>
  </si>
  <si>
    <t>Productos laminados planos de hierro o acero sin alear. de anchura inferior a 600 mm. sin chapar ni revestir.</t>
  </si>
  <si>
    <t>- Simplemente laminados en caliente:</t>
  </si>
  <si>
    <t>- - Laminados en las cuatro caras o en acanaladuras cerradas. de anchura superior a 150 mm y espesor superior o igual a 4 mm. sin enrollar y sin motivos en relieve</t>
  </si>
  <si>
    <t>Con un contenido de carbono superior o igual a 0.6 % en peso</t>
  </si>
  <si>
    <t>- - Los demas. de espesor superior o igual a 4.75 mm</t>
  </si>
  <si>
    <t>Los demas. con un contenido de carbono superior o igual al 0.6 % en peso</t>
  </si>
  <si>
    <t>- Simplemente laminados en frio:</t>
  </si>
  <si>
    <t>- - Con un contenido de carbono inferior al 0.25 % en peso</t>
  </si>
  <si>
    <t>Con un contenido de carbono superior o igual al 0.25 % pero inferior al 0.6 %. en peso</t>
  </si>
  <si>
    <t>Con un contenido de carbono superior o igual al 0.6 % en peso</t>
  </si>
  <si>
    <t>Laminados en caliente</t>
  </si>
  <si>
    <t>Productos laminados planos de hierro o acero sin alear. de anchura inferior a 600 mm. chapados o revestidos.</t>
  </si>
  <si>
    <t>Estañados por proceso electrolitico y barnizados en ambas caras. aptos para la fabricacion de casquillos para valvulas de aerosoles</t>
  </si>
  <si>
    <t>Con una capa intermedia de aleacion cobre-estaño o cobre-estaño-plomo. aplicada por sinterizacion.</t>
  </si>
  <si>
    <t>De anchura inferior a 240 mm y espesor superior o igual a 0.25 mm pero inferior o igual a 0.50. estañados o cromados por proceso electrolitico y revestidos de plastico incluso en ambas caras. aptos para la fabricacion de casquillos para valvulas de aerosoles</t>
  </si>
  <si>
    <t>Con una capa de aleacion cobre-estaño o cobre-estaño-plomo. aplicada por sinterizacion. incluso con revestimiento mixto metal-plastico o metal-plastico-fibra de carbono</t>
  </si>
  <si>
    <t>De espesor superior o igual a 0.16 mm pero inferior a 0.22 mm</t>
  </si>
  <si>
    <t>De espesor superior o igual a 0.22 mm pero inferior a 0.26 mm</t>
  </si>
  <si>
    <t>De espesor superior o igual a 0.26 mm pero inferior a 0.30 mm</t>
  </si>
  <si>
    <t>Lisos. revestidos de aleaciones de aluminio y cinc</t>
  </si>
  <si>
    <t>De espesor superior o igual a 0.38 mm</t>
  </si>
  <si>
    <t>De espesor inferior a 0.51 mm</t>
  </si>
  <si>
    <t>Alambron de hierro o acero sin alear.</t>
  </si>
  <si>
    <t>- - De seccion circular con diametro inferior a 14 mm</t>
  </si>
  <si>
    <t>Con un contenido de carbono inferior al 0.25 % en peso</t>
  </si>
  <si>
    <t>Barras de hierro o acero sin alear. simplemente forjadas. laminadas o extrudidas. en caliente. asi como las sometidas a torsion despues del laminado.</t>
  </si>
  <si>
    <t>Con un contenido de carbono inferior o igual al 0.6 % en peso</t>
  </si>
  <si>
    <t>De espesor inferior o igual a 3.2 mm</t>
  </si>
  <si>
    <t>De espesor superior a 3.2 mm</t>
  </si>
  <si>
    <t>De anchura inferior o igual a 76.2 mm</t>
  </si>
  <si>
    <t>De seccion circular</t>
  </si>
  <si>
    <t>De diametro inferior o igual a 11.2 mm</t>
  </si>
  <si>
    <t>De diametro superior a 11.2 mm pero inferior o igual a 19.1 mm</t>
  </si>
  <si>
    <t>De seccion transversal cuadrada</t>
  </si>
  <si>
    <t>De lado inferior o igual a 11.2 mm</t>
  </si>
  <si>
    <t>De lado superior a 11.2 mm pero inferior o igual a 22.3 mm</t>
  </si>
  <si>
    <t>Las demas barras de hierro o acero sin alear.</t>
  </si>
  <si>
    <t>Revestidas de cobre</t>
  </si>
  <si>
    <t>De diametro inferior o igual a 10 mm</t>
  </si>
  <si>
    <t>De diametro superior a 10 mm pero inferior o igual a 13 mm</t>
  </si>
  <si>
    <t>De diametro superior a 13 mm pero inferior o igual a 15 mm</t>
  </si>
  <si>
    <t>De diametro superior a 15 mm pero inferior o igual a 16 mm</t>
  </si>
  <si>
    <t>De seccion rectangular. chapadas en ambas caras (triples)</t>
  </si>
  <si>
    <t>Perfiles de hierro o acero sin alear.</t>
  </si>
  <si>
    <t>-Perfiles en U. en I o en H. simplemente laminados o extrudidos en caliente. de altura inferior a 80 mm</t>
  </si>
  <si>
    <t>- Perfiles en L o en T. simplemente laminados o extrudidos en caliente. de altura inferior a 80 mm:</t>
  </si>
  <si>
    <t>De lados iguales (Res. 336/00 SICYM)</t>
  </si>
  <si>
    <t>De altura inferior o igual a 63.5 mm</t>
  </si>
  <si>
    <t>De lados iguales (R.336/00 SICyM)</t>
  </si>
  <si>
    <t>- Perfiles en U. en I o en H. simplemente laminados o extrudidos en caliente. de altura superior o igual a 80 mm:</t>
  </si>
  <si>
    <t>De altura inferior o igual a 120 mm</t>
  </si>
  <si>
    <t>De altura inferior o igual a 100 mm</t>
  </si>
  <si>
    <t>- Perfiles en L o en T. simplemente laminados o extrudidos en caliente. de altura superior o igual a 80 mm</t>
  </si>
  <si>
    <t>De altura inferior o igual a 200 mm</t>
  </si>
  <si>
    <t>De altura superior a 80 mm</t>
  </si>
  <si>
    <t>Planos o en angulos. con bulbo</t>
  </si>
  <si>
    <t>Planos o en angulos. con bulbo. de altura inferior o igual a 80 mm</t>
  </si>
  <si>
    <t>- Perfiles simplemente obtenidos o acabados en frio:</t>
  </si>
  <si>
    <t>De altura inferior a 80 mm</t>
  </si>
  <si>
    <t>Perfiles en C</t>
  </si>
  <si>
    <t>De altura inferior o igual a 220 mm</t>
  </si>
  <si>
    <t>Perfiles en U</t>
  </si>
  <si>
    <t>Perfiles en I</t>
  </si>
  <si>
    <t>Perfiles en H</t>
  </si>
  <si>
    <t>Perfiles en T</t>
  </si>
  <si>
    <t>Perfiles en L</t>
  </si>
  <si>
    <t>Alambre de hierro o acero sin alear.</t>
  </si>
  <si>
    <t>Con un contenido de fosforo inferior al 0.035 % en peso y de azufre inferior al 0.035 % en peso. templado y revenido. flecha maxima sin carga de 1 cm en 1 m. resistencia a la traccion superior o igual a 1960 MPa y cuya mayor dimension de la seccion transversal sea inferior o igual a 2.25 mm</t>
  </si>
  <si>
    <t>De seccion transversal superior o igual a 3 mm. en su mayor dimension</t>
  </si>
  <si>
    <t>Con un contenido de carbono inferior o igual al 0.25 % en peso</t>
  </si>
  <si>
    <t>De seccion transversal superior a 10 mm en su mayor dimension</t>
  </si>
  <si>
    <t>En diametros de 0.80 mm. 0.82 mm y 1.16 mm. con tolerancia de 0.01 mm en mas o en menos. resistencia a la traccion superior o igual a 100 Kg/mm2. acondicionado en carreteles de peso neto superior o igual a 200 Kg pero inferior o igual a 250 Kg</t>
  </si>
  <si>
    <t>En diametros de 0.64 mm. 0.70 mm. 0.75 mm. 0.80 mm. 0.85 mm. 1.00 mm y 1.17 mm. con tolerancia de 0.01 mm en mas o en menos. resistencia a la traccion superior o igual a 100 kg/mm2. acondicionado en carreteles de peso neto superior o igual a 450 kg pero inferior o igual a 1150 kg</t>
  </si>
  <si>
    <t>Revestido con una aleacion a base de cobre-estaño (bronce). de diametro superior o igual a 0.89 mm pero inferior o igual a 1.60 mm y una carga minima de rotura superior o igual a 1270 N pero inferior o igual a 4180 N</t>
  </si>
  <si>
    <t>De seccion circular revestidos de cobre</t>
  </si>
  <si>
    <t>De diametro superior a 3 mm</t>
  </si>
  <si>
    <t>Con una conductividad inferior al 20 % de la correspondiente al cobre recocido patron segun norma IRAM 2002</t>
  </si>
  <si>
    <t>Con una conductividad superior o igual al 20 % pero inferior al 30 % de la correspondiente al cobre recocido patron segun norma IRAM 2002</t>
  </si>
  <si>
    <t>Con una conductividad superior o igual al 30 % pero inferior al 40 % de la correspondiente al cobre recocido patron segun norma IRAM 2002</t>
  </si>
  <si>
    <t>Con una conductividad superior o igual al 40 % de la correspondiente al cobre recocido patron segun norma IRAM 2002</t>
  </si>
  <si>
    <t>Acero inoxidable en lingotes o demas formas primarias; productos intermedios de acero inoxidable.</t>
  </si>
  <si>
    <t>Productos laminados planos de acero inoxidable. de anchura superior o igual a 600 mm.</t>
  </si>
  <si>
    <t>- Simplemente laminados en caliente. enrollados:</t>
  </si>
  <si>
    <t>--De espesor superior a 10 mm</t>
  </si>
  <si>
    <t>--De espesor superior o igual a 4.75 mm pero inferior o igual a 10 mm</t>
  </si>
  <si>
    <t>--De espesor superior o igual a 3 mm pero inferior a 4.75 mm</t>
  </si>
  <si>
    <t>--De espesor inferior a 3 mm</t>
  </si>
  <si>
    <t>- Simplemente laminados en caliente. sin enrollar:</t>
  </si>
  <si>
    <t>--De espesor superior o igual a 4.75 mm</t>
  </si>
  <si>
    <t>--De espesor superior a 1 mm pero inferior a 3 mm</t>
  </si>
  <si>
    <t>--De espesor superior o igual a 0.5 mm pero inferior o igual a 1 mm</t>
  </si>
  <si>
    <t>--De espesor inferior a 0.5 mm</t>
  </si>
  <si>
    <t>De espesor inferior a 4.75 mm y dureza superior o igual a 42 HRC</t>
  </si>
  <si>
    <t>PRODUCTOS LAMINADOS PLANOS DE ACERO INOXIDABLE. DE ANCHURA INFERIOR A 600 mm.</t>
  </si>
  <si>
    <t>- - De espesor inferior a 4.75 mm</t>
  </si>
  <si>
    <t>De espesor inferior o igual a 1.5 mm</t>
  </si>
  <si>
    <t>De espesor superior a 1.5 mm pero inferior o igual a 3 mm</t>
  </si>
  <si>
    <t>De anchura inferior o igual a 23 mm y espesor inferior o igual a 0.1 mm</t>
  </si>
  <si>
    <t>ALAMBRON DE ACERO INOXIDABLE.</t>
  </si>
  <si>
    <t>Barras y perfiles. de acero inoxidable.</t>
  </si>
  <si>
    <t>- Barras simplemente laminadas o extrudidas en caliente:</t>
  </si>
  <si>
    <t>Segun Norma AISI-Serie 200 y equivalentes de otras normas</t>
  </si>
  <si>
    <t>Segun Norma AISI-Serie 300 y equivalentes de otras normas</t>
  </si>
  <si>
    <t>Segun Norma AISI-Serie 400 y equivalentes de otras normas</t>
  </si>
  <si>
    <t>De seccion transversal rectangular</t>
  </si>
  <si>
    <t>Segun Norma IRAM-IAS U 500-604. con discrepancias h9. h11 o h12</t>
  </si>
  <si>
    <t>Segun Norma AISI EV8.EV12 y equivalentes de otras normas</t>
  </si>
  <si>
    <t>Segun Norma DIN 1-4882 y equivalentes de otras normas</t>
  </si>
  <si>
    <t>Segun Norma AISI EV8. EV12 y equivalentes de otras normas</t>
  </si>
  <si>
    <t>De altura superior o igual a 80 mm</t>
  </si>
  <si>
    <t>Alambre de acero inoxidable.</t>
  </si>
  <si>
    <t>Los demas aceros aleados en lingotes o demas formas primarias; productos intermedios de los demas aceros aleados.</t>
  </si>
  <si>
    <t>Segun Normas SAE 51XX y equivalentes de otras normas</t>
  </si>
  <si>
    <t>Segun Normas SAE 41XX y equivalentes de otras normas</t>
  </si>
  <si>
    <t>Segun Normas SAE 86XX y equivalentes de otras normas</t>
  </si>
  <si>
    <t>Segun Normas SAE 43XX y equivalentes de otras normas</t>
  </si>
  <si>
    <t>Productos laminados planos de los demas aceros aleados. de anchura superior o igual a 600 mm.</t>
  </si>
  <si>
    <t>- De acero al silicio llamado «magnetico» (acero magnetico al silicio)*:</t>
  </si>
  <si>
    <t>De acero rapido</t>
  </si>
  <si>
    <t>Los demas. de espesor inferior o igual a 12.7 mm.</t>
  </si>
  <si>
    <t>En calidades para fabricar caños soldados bajo normas del American Petroluem Institute</t>
  </si>
  <si>
    <t>De acero. segun normas AISI D2. D3 o D6. de espesor inferior o igual a 7 mm</t>
  </si>
  <si>
    <t>En las condiciones establecidas en la Disp.1/01 SS.G.CE.</t>
  </si>
  <si>
    <t>Revestidos de aluminio y cinc</t>
  </si>
  <si>
    <t>Productos laminados planos de los demas aceros aleados. de anchura inferior a 600 mm.</t>
  </si>
  <si>
    <t>De espesor superior o igual a 1 mm pero inferior o igual a 4 mm</t>
  </si>
  <si>
    <t>En calidades para fabricar caños soldado bajo normas del American Petroleum Institute</t>
  </si>
  <si>
    <t>Revestidos de cinc por inmersion en caliente (R.281/03 MP)</t>
  </si>
  <si>
    <t>De acero bimetal. de 12.5/12.7 mm de ancho y 0.6 mm de espesor. en rollos. de los tipos utilizados en la fabricacion de hojas de sierra</t>
  </si>
  <si>
    <t>Alambron de los demas aceros aleados.</t>
  </si>
  <si>
    <t>Barras y perfiles. de los demas aceros aleados; barras huecas para perforacion. de aceros aleados o sin alear.</t>
  </si>
  <si>
    <t>Simplemente laminadas o extrudidas en caliente</t>
  </si>
  <si>
    <t>Barras de acero rapido al molibdeno. de la siguiente composicion quimica: C (0.75 % a 0.95 %); Cr (3.5 % a 4.5 %); Mo (4.5 % a 5.5 %); V (1.6 % a 2.2 %); W (5.5 % a 7 %); Mn (0.25 % a 0.50 %); Si (0.20 % a 0.40 %); y P. S. Cu. Ni. Sn. Co (en cantidades residuales) (Anexo II-6)</t>
  </si>
  <si>
    <t>Cuyo contenido de manganeso sea superior al 1.2 % e inferior o igual al 1.9 %. en peso</t>
  </si>
  <si>
    <t>Aptas para herramientas</t>
  </si>
  <si>
    <t>Segun Normas AISI Hxx. 6F3. Dx. S1. P20. 6G y equivalentes de otras normas</t>
  </si>
  <si>
    <t>Segun Normas AISI L6. O1 y equivalentes de otras normas</t>
  </si>
  <si>
    <t>Aptas para valvulas</t>
  </si>
  <si>
    <t>Segun Normas AISI HNV3 y equivalentes de otras normas</t>
  </si>
  <si>
    <t>Segun Norma IRAM-IAS U 500-604 con discrepancias h9. h11 o h12</t>
  </si>
  <si>
    <t>Alambre de los demas aceros aleados.</t>
  </si>
  <si>
    <t>Tablestacas de hierro o acero. incluso perforadas o hechas con elementos ensamblados; perfiles de hierro o acero obtenidos por soldadura.</t>
  </si>
  <si>
    <t>Elementos para vias ferreas. de fundicion. hierro o acero: carriles (rieles). contracarriles (contrarrieles) y cremalleras. agujas. puntas de corazon. varillas para mando de agujas y otros elementos para cruce o cambio de vias. traviesas (durmientes). bridas. cojinetes. cuñas. placas de asiento. placas de union. placas y tirantes de separacion y demas piezas concebidas especialmente para la colocacion. union o fijacion de carriles (rieles).</t>
  </si>
  <si>
    <t>De acero. de peso lineal superior o igual a 44.5 kg/m</t>
  </si>
  <si>
    <t>Tubos y perfiles huecos. de fundicion.</t>
  </si>
  <si>
    <t>Tubos y perfiles huecos. sin soldadura (sin costura)*. de hierro o acero.</t>
  </si>
  <si>
    <t>- Tubos de los tipos utilizados en oleoductos o gasoductos:</t>
  </si>
  <si>
    <t>De diametro exterior inferior o igual a 406.4 mm y espesor inferior o igual a 12.7 mm. fabricados segun normas API5L/ISO 3183 o similares de otras normas</t>
  </si>
  <si>
    <t>-Tubos de entubacion ("casing") o de produccion ("tubing") y tubos de perforacion. de los tipos utilizados para la extraccion de petroleo o gas:</t>
  </si>
  <si>
    <t>De acero sin alear</t>
  </si>
  <si>
    <t>De entubacion ("casing") de diametro exterior igual a 339.7 mm (13 3/8")</t>
  </si>
  <si>
    <t>De acero grado J-55</t>
  </si>
  <si>
    <t>De acero grado N-80</t>
  </si>
  <si>
    <t>De acero grado H-40</t>
  </si>
  <si>
    <t>De entubacion ("casing") o de produccion ("tubing") de diametro exterior inferior o igual a 273.1 mm. fabricados segun normas API 5CT/ISO 11960 o similares de otras normas.</t>
  </si>
  <si>
    <t>De otros aceros aleados. sin revestir</t>
  </si>
  <si>
    <t>De diametro exterior inferior o igual a 229 mm</t>
  </si>
  <si>
    <t>- Los demas. de seccion circular. de hierro o acero sin alear:</t>
  </si>
  <si>
    <t>Tubos sin revestir</t>
  </si>
  <si>
    <t>Conformados. en dimensiones apropiadas como piezas de vehiculos automoviles</t>
  </si>
  <si>
    <t>Tubos sin revestir. de diametro exterior inferior o igual a 229 mm</t>
  </si>
  <si>
    <t>Tubos revestidos. de diametro exterior inferior o igual a 229 mm</t>
  </si>
  <si>
    <t>- Los demas. de seccion circular. de acero inoxidable:</t>
  </si>
  <si>
    <t>Tubos capilares de diametro exterior inferior o igual a 3 mm y diametro interior inferior o igual a 0.2 mm</t>
  </si>
  <si>
    <t>- Los demas. de seccion circular. de los demas aceros aleados:</t>
  </si>
  <si>
    <t>Tubos de diametro exterior inferior o igual a 229 mm</t>
  </si>
  <si>
    <t>Tubos capilares de diametro exterior inferior o igual a 3 mm y diametro interior inferior o igual a 0.2 mm.</t>
  </si>
  <si>
    <t>De los tipos utilizados para la fabricacion de rodamientos</t>
  </si>
  <si>
    <t>Los demas tubos (por ejemplo: soldados o remachados) de seccion circular con diametro exterior superior a 406.4 mm. de hierro o acero.</t>
  </si>
  <si>
    <t>-Tubos de entubacion ("casing") de los tipos utilizados para la extraccion de petroleo o gas</t>
  </si>
  <si>
    <t>- Los demas. soldados:</t>
  </si>
  <si>
    <t>Los demas tubos y perfiles huecos (por ejemplo: soldados. remachados. grapados o con los bordes simplemente aproximados). de hierro o acero.</t>
  </si>
  <si>
    <t>De diametro exterior superior o igual a 254 mm pero inferior o igual a 355.6 mm</t>
  </si>
  <si>
    <t>De espesor inferior o igual a 12.7 mm. fabricados segun normas API 5L/ISO 3183 o similares de otras normas</t>
  </si>
  <si>
    <t>- Tubos de entubacion («casing») o de produccion («tubing»). de los tipos utilizados para la extraccion de petroleo o gas:</t>
  </si>
  <si>
    <t>Obtenidos a partir de productos planos laminados en caliente. de espesor inferior o igual a 1.5 mm</t>
  </si>
  <si>
    <t>Sin revestir</t>
  </si>
  <si>
    <t>Con extremos biselados</t>
  </si>
  <si>
    <t>Revestidos</t>
  </si>
  <si>
    <t>Cincados. sin roscar</t>
  </si>
  <si>
    <t>Cincados. con rosca</t>
  </si>
  <si>
    <t>Con pintura epoxi</t>
  </si>
  <si>
    <t>Con polietileno extruido</t>
  </si>
  <si>
    <t>Obtenidos a partir de productos planos laminados en caliente. de espesor superior a 1.5 mm pero inferior o igual a 3.2 mm</t>
  </si>
  <si>
    <t>Obtenidos a partir de productos planos laminados en frio</t>
  </si>
  <si>
    <t>Aluminizados</t>
  </si>
  <si>
    <t>Esmaltados</t>
  </si>
  <si>
    <t>En rollos. de 4.76 mm de diametro exterior y 0.70 mm de espesor. segun norma ASTM A 214 M-85 (Anexo II-5)</t>
  </si>
  <si>
    <t>Obtenidos a partir de productos planos laminados en caliente. de espesor superior a 3.2 mm</t>
  </si>
  <si>
    <t>Sin revestir. de diametro exterior inferior a 254 mm</t>
  </si>
  <si>
    <t>Sin revestir. de diametro exterior superior o igual a 254 mm. pero inferior o igual a 355.6 mm</t>
  </si>
  <si>
    <t>Los demas. sin revestir</t>
  </si>
  <si>
    <t>Revestidos. de diametro exterior inferior a 254 mm</t>
  </si>
  <si>
    <t>Revestidos. de diametro exterior superior o igual a 254 mm. pero inferior o igual a 355.6 mm</t>
  </si>
  <si>
    <t>Los demas. revestidos</t>
  </si>
  <si>
    <t>Austenitico (Serie AISI 300 y equivalentes de otras normas). excepto los cortados en sus dimensiones finales para uso en productos englobados por el acuerdo ALADI/AAP.CE/14.44 Apendice I</t>
  </si>
  <si>
    <t>De diametro superior o igual a 19.05 mm pero inferior o igual a 114.3 mm</t>
  </si>
  <si>
    <t>De espesor superior o igual a 0.7 mm pero inferior o igual a 4 mm</t>
  </si>
  <si>
    <t>De diametro exterior inferior o igual a 38 mm</t>
  </si>
  <si>
    <t>De diametro exterior superior a 38 mm pero inferior o igual a 51 mm</t>
  </si>
  <si>
    <t>De diametro exterior superior o igual a 254 mm. pero inferior o igual a 355.6 mm</t>
  </si>
  <si>
    <t>- Los demas. soldados. excepto los de seccion circular:</t>
  </si>
  <si>
    <t>De acero inoxidable austenitico (Serie AISI 300 y equivalentes de otras normas)</t>
  </si>
  <si>
    <t>De seccion cuadrada. con lados superiores o iguales a 15 mm pero inferiores o iguales a 90 mm</t>
  </si>
  <si>
    <t>De seccion rectangular cuya mayor dimension de la seccion transversal sea superior o igual 22 mm pero inferior o igual 146 mm</t>
  </si>
  <si>
    <t>Los demas. obtenidos a partir de productos planos laminados en frio</t>
  </si>
  <si>
    <t>Los demas. obtenidos a partir de productos planos laminados en caliente</t>
  </si>
  <si>
    <t>Cincados</t>
  </si>
  <si>
    <t>De hierro o acero sin alear</t>
  </si>
  <si>
    <t>De acero. con revestimiento interno de cobre. soldados por proceso brazing. (soldadura fuerte) (Anexo II-4)</t>
  </si>
  <si>
    <t>Accesorios de tuberia (por ejemplo: empalmes (racores). codos. manguitos). de fundicion. hierro o acero.</t>
  </si>
  <si>
    <t>- Moldeados:</t>
  </si>
  <si>
    <t>Roscados</t>
  </si>
  <si>
    <t>De fundicion maleable. de diametro interior superior a 50.8 mm</t>
  </si>
  <si>
    <t>Con revestimiento epoxi. de diametro interior inferior a 600 mm</t>
  </si>
  <si>
    <t>Curvas</t>
  </si>
  <si>
    <t>De diametro interior igual a 59.6 mm (designacion 50) segÃ¹n norma IRAM 2548 y equivalentes de otras normas</t>
  </si>
  <si>
    <t>De diametro interior igual a 75.2 mm (designacion 65) segÃ¹n norma IRAM 2548 y equivalentes de otras normas</t>
  </si>
  <si>
    <t>De diametro interior igual a 87.9 mm (designacion 80) segÃ¹n norma IRAM 2548 y equivalentes de otras normas</t>
  </si>
  <si>
    <t>De diametro interior igual a 113 mm (designacion 100) segÃ¹n norma IRAM 2548 y equivalentes de otras normas</t>
  </si>
  <si>
    <t>De diametro interior igual a 163.8 mm (designacion 150) segÃ¹n norma IRAM 2548 y equivalentes de otras normas</t>
  </si>
  <si>
    <t>Las demas. roscadas</t>
  </si>
  <si>
    <t>Los demas. roscados</t>
  </si>
  <si>
    <t>Tes</t>
  </si>
  <si>
    <t>Cuplas</t>
  </si>
  <si>
    <t>Uniones dobles</t>
  </si>
  <si>
    <t>Cincados. de diametro interior inferior a 600 mm</t>
  </si>
  <si>
    <t>Sin revestir. de diametro interior inferior a 600 mm</t>
  </si>
  <si>
    <t>De diametro interior superior o igual a 600 mm</t>
  </si>
  <si>
    <t>Accesorios de acero sin alear para soldar a tope. de diametro exterior inferior o igual a 120 mm</t>
  </si>
  <si>
    <t>Codos de noventa grados (90ro) radio largo. segun normas IRAM 2607 o normas equivalentes (ASME B16.9 y ASTM A234)</t>
  </si>
  <si>
    <t>De diametro exterior igual a 60.3 mm (designacion 2) en espesores de 3.9 mm y 5.6 mm</t>
  </si>
  <si>
    <t>De diametro exterior igual a 73 mm (designacion 2 1/2) en espesores de 5.2 mm y 7 mm</t>
  </si>
  <si>
    <t>De diametro exterior igual a 88.9 mm (designacion 3) en espesores de 5.5 mm y 7.6 mm</t>
  </si>
  <si>
    <t>De diametro exterior igual a 101.6 mm (designacion 3 1/2) en espesores de 5.8 mm y 8.1 mm</t>
  </si>
  <si>
    <t>De diametro exterior igual a 114.3 mm (designacion 4) en espesores de 6 mm y 8.6 mm</t>
  </si>
  <si>
    <t>Codos de noventa grados (90ro) radio corto. segun norma IRAM 2647 o normas equivalentes (ASME B16.9 y ASTM A234)</t>
  </si>
  <si>
    <t>Codos de cuarenta y cinco grados (45ro) radio largo. segun norma IRAM 2607 o normas equivalentes (ASME B16.9 y ASTM A234)</t>
  </si>
  <si>
    <t>Codos de ciento ochenta grados (180°) radio largo. segun norma IRAM 2607 o normas equivalentes (ASME B16.9 y ASTM A234)</t>
  </si>
  <si>
    <t>Codos de ciento ochenta grados (180°) radio corto. segun norma IRAM 2647 o normas equivalentes (ASME B16.9 y ASTM A234)</t>
  </si>
  <si>
    <t>Codos de reduccion de radio largo. segun norma IRAM 2607 o normas equivalentes (ASME B16.9 y ASTM A234)</t>
  </si>
  <si>
    <t>De diametro exterior de la boca mayor igual a 60.5 mm en espesores 3.9 mm y 5.6 mm</t>
  </si>
  <si>
    <t>De diametro exterior de la boca mayor igual a 73.2 mm en espesores de 5.2 mm y 7 mm</t>
  </si>
  <si>
    <t>De diametro exterior de la boca mayor igual a 88.9 mm en espesores de 5.5 mm y 7.6 mm</t>
  </si>
  <si>
    <t>De diametro exterior de la boca mayor igual a 101.6 mm en espesores de 5.8 mm y 8.1 mm</t>
  </si>
  <si>
    <t>De diametro exterior de la boca mayor igual a 114.3 mm en espesores de 6 mm y 8.6 mm</t>
  </si>
  <si>
    <t>Tes normales. segun norma IRAM 2607 o normas equivalentes (ASME B16.9 y ASTM A234)</t>
  </si>
  <si>
    <t>De diametro exterior igual a 60.3 mm (designacion 2) en espesores 3.9 mm y 5.6 mm</t>
  </si>
  <si>
    <t>De diametro exterior igual a 73 mm (designacion 2 ½) en espesores de 5.2 mm y 7 mm</t>
  </si>
  <si>
    <t>Tes de reduccion. segun norma IRAM 2607 o normas equivalentes (ASME B16.9 y ASTM A234)</t>
  </si>
  <si>
    <t>Accesorios de acero sin alear para soldar a tope. de diametro exterior superior a 120 mm</t>
  </si>
  <si>
    <t>Codos de noventa grados (90ro) radio largo. segun norma IRAM 2607 o normas equivalentes (ASME B16.9 y ASTM A234)</t>
  </si>
  <si>
    <t>De diametro exterior igual a 141.3 mm (designacion 5) en espesores de 6.6 mm y 9.5 mm</t>
  </si>
  <si>
    <t>De diametro exterior igual a 168.3 mm (designacion 6) en espesores de 7.1 mm y 11 mm</t>
  </si>
  <si>
    <t>De diametro exterior igual a 219.1 mm (designacion 8) en espesores de 8.2 mm y 12.7 mm</t>
  </si>
  <si>
    <t>De diametro exterior igual a 273.1 mm (designacion 10) en espesores de 9.3 mm y 12.7 mm</t>
  </si>
  <si>
    <t>De diametro exterior igual a 323.8 mm (designacion 12) en espesores de 9.5 mm y 12.7 mm</t>
  </si>
  <si>
    <t>De diametro exterior de la boca mayor igual a 141.3 mm en espesores 6.6 mm y 9.5 mm</t>
  </si>
  <si>
    <t>De diametro exterior de la boca mayor igual a 168.1 mm en espesores de 7.1 mm y 11 mm</t>
  </si>
  <si>
    <t>De diametro exterior de la boca mayor igual a 218.9 mm en espesores de 8.2 mm y 12.7 mm</t>
  </si>
  <si>
    <t>De diametro exterior de la boca mayor igual a 273.1 mm en espesores de 9.3 mm y 12.7 mm</t>
  </si>
  <si>
    <t>De diametro exterior de la boca mayor igual a 323.8 mm en espesores de 9.5 mm y 12.7 mm</t>
  </si>
  <si>
    <t>De diametro exterior igual a 141.3 mm (designacion 5) en espesores 6.6 mm y 9.5 mm</t>
  </si>
  <si>
    <t>Los demas. para soldar a tope. de diametro exterior inferior o igual a 120 mm</t>
  </si>
  <si>
    <t>Codos de noventa grados (90°) radio largo. segun norma IRAM 2607 o normas equivalentes (ASME B16.9 Y ASTM A234)</t>
  </si>
  <si>
    <t>Codos de noventa grados (90°) radio corto. segun norma IRAM 2647 o normas equivalentes (ASME B16.9 Y ASTM A234)</t>
  </si>
  <si>
    <t>Codos de cuarenta y cinco grados (45°) radio largo. segun norma IRAM 2607 o normas equivalentes (ASME B16.9 Y ASTM A234)</t>
  </si>
  <si>
    <t>Codos de ciento ochenta grados (180°) radio largo. segun norma IRAM 2607 o normas equivalentes (ASME B16.9 Y ASTM A234)</t>
  </si>
  <si>
    <t>Codos de ciento ochenta grados (180°) radio corto. segun norma IRAM 2647 o normas equivalentes (ASME B16.9 Y ASTM A234)</t>
  </si>
  <si>
    <t>Codos de reduccion de radio largo. segun norma IRAM 2607 o normas equivalentes (ASME B16.9 Y ASTM A234)</t>
  </si>
  <si>
    <t>Tes normales. segun norma IRAM 2607 o normas equivalentes (ASME B16.9 Y ASTM A234)</t>
  </si>
  <si>
    <t>Tes de reduccion. segun norma IRAM 2607 o normas equivalentes (ASME B16.9 Y ASTM A234)</t>
  </si>
  <si>
    <t>Los demas. para soldar a tope. de diametro exterior superior a 120 mm</t>
  </si>
  <si>
    <t>De diametro exterior igual a 219.1 mm (designacion 8) en espesores de 8.2 mm y 127 mm</t>
  </si>
  <si>
    <t>Con revestimiento epoxi. excepto de fundicion nodular</t>
  </si>
  <si>
    <t>De diametro interior igual a 16.7 mm (designacion 10) segÃ¹n norma IRAM 2548 y equivalentes de otras normas</t>
  </si>
  <si>
    <t>De diametro interior igual a 21 mm (designacion 15) segÃ¹n norma IRAM 2548 y equivalentes de otras normas</t>
  </si>
  <si>
    <t>De diametro interior igual a 26.4 mm (designacion 20) segÃ¹n norma IRAM 2548 y equivalentes de otras normas</t>
  </si>
  <si>
    <t>De diametro interior igual a 33.3 mm (designacion 25) segÃ¹n norma IRAM 2548 y equivalentes de otras normas</t>
  </si>
  <si>
    <t>De diametro interior igual a 41.9 mm (designacion 32) segÃ¹n norma IRAM 2548 y equivalentes de otras normas</t>
  </si>
  <si>
    <t>De diametro interior igual a 47.8 mm (designacion 40) segÃ¹n norma IRAM 2548 y equivalentes de otras normas</t>
  </si>
  <si>
    <t>Cincados. excepto de fundicion nodular</t>
  </si>
  <si>
    <t>Sin revestir. excepto de fundicion nodular</t>
  </si>
  <si>
    <t>De fundicion nodular. de diametro interior superior o igual a 600 mm</t>
  </si>
  <si>
    <t>- Los demas. de acero inoxidable:</t>
  </si>
  <si>
    <t>Roscadas</t>
  </si>
  <si>
    <t>De acero sin alear. de diametro exterior inferior o igual a 120 mm</t>
  </si>
  <si>
    <t>Codos de noventa grados (90ro) radio corto. segun normas IRAM 2647 o normas equivalentes (ASME B16.9 y ASTM A234)</t>
  </si>
  <si>
    <t>Codos de cuarenta y cinco grados (45ro) radio largo. segun normas IRAM 2607 o normas equivalentes (ASME B16.9 y ASTM A234)</t>
  </si>
  <si>
    <t>De acero sin alear. de diametro exterior superior a 120 mm</t>
  </si>
  <si>
    <t>Los demas de diametro exterior inferior a 120 mm</t>
  </si>
  <si>
    <t>Codos de noventa grados (90°) radio largo. segun norma IRAM 2607 o normas equivalentes (ASME B16.9 y ASTM A234)</t>
  </si>
  <si>
    <t>Codos de noventa grados (90°) radio corto. segun norma IRAM 2607 o normas equivalentes (ASME B16.9 y ASTM A234)</t>
  </si>
  <si>
    <t>Codos de cuarenta y cinco grados (45°) radio largo. segun norma IRAM 2607 o normas equivalentes (ASME B16.9 y ASTM A234)</t>
  </si>
  <si>
    <t>De diametro exterior igual a 60.3 mm (designacion 2) en espesores de 3.9 mm y 5.6 mm.</t>
  </si>
  <si>
    <t>De diametro exterior igual a 73 mm (designacion 2 1/2) en espesores de 5.2 mm y 7 mm.</t>
  </si>
  <si>
    <t>De diametro exterior igual a 88.9 mm (designacion 3) en espesores de 5.5 mm y 7.6 mm.</t>
  </si>
  <si>
    <t>De diametro exterior igual a 101.6 mm (designacion 3 1/2) en espesores de 5.8 mm y 8.1 mm.</t>
  </si>
  <si>
    <t>De diametro exterior igual a 114.3 mm (designacion 4) en espesores de 6 mm y 8.6 mm.</t>
  </si>
  <si>
    <t>Codos de ciento ochenta grados (180°) radio corto. segun norma IRAM 2607 o normas equivalentes (ASME B16.9 y ASTM A234)</t>
  </si>
  <si>
    <t>Los demas. de diametro exterior superior a 120 mm.</t>
  </si>
  <si>
    <t>De diametro exterior igual a 141.3 mm (designacion 5) en espesores de 6.6 mm y 9.5 mm.</t>
  </si>
  <si>
    <t>De diametro exterior igual a 168.3 mm (designacion 6) en espesores de 7.1 mm y 11 mm.</t>
  </si>
  <si>
    <t>De diametro exterior igual a 219.1 mm (designacion 8) en espesores de 8.2 mm y 12.7 mm.</t>
  </si>
  <si>
    <t>De diametro exterior igual a 273.1 mm (designacion 10) en espesores de 9.3 mm y 12.7 mm.</t>
  </si>
  <si>
    <t>De diametro exterior igual a 326.8 mm (designacion 12) en espesores de 9.5 mm y 12.7 mm.</t>
  </si>
  <si>
    <t>De diametro exterior igual a 323.8 mm (designacion 12) en espesores de 9.5 mm y 12.7 mm.</t>
  </si>
  <si>
    <t>Construcciones y sus partes (por ejemplo: puentes y sus partes. compuertas de esclusas. torres. castilletes. pilares. columnas. armazones para techumbre. techados. puertas y ventanas y sus marcos. contramarcos y umbrales. cortinas de cierre. barandillas). de fundicion. hierro o acero. excepto las construcciones prefabricadas de la partida 94.06; chapas. barras. perfiles. tubos y similares. de fundicion. hierro o acero. preparados para la construccion.</t>
  </si>
  <si>
    <t>Puentes</t>
  </si>
  <si>
    <t>Partes</t>
  </si>
  <si>
    <t>Castilletes blindados (R.3115/94 ex-ANA)</t>
  </si>
  <si>
    <t>Torres para grupos electrogenos de energia eolica</t>
  </si>
  <si>
    <t>Puertas y sus marcos</t>
  </si>
  <si>
    <t>Puertas de acero. de peso superior o igual a 24 kg pero inferior o igual a 100 kg. excepto las puertas blindadas definidas en el punto 3.14 de la norma IRAM 11992.</t>
  </si>
  <si>
    <t>Ventanas y sus marcos</t>
  </si>
  <si>
    <t>Contramarcos</t>
  </si>
  <si>
    <t>Material de andamiaje</t>
  </si>
  <si>
    <t>Material de encofrado</t>
  </si>
  <si>
    <t>Chapas. barras. perfiles. tubos y similares. preparados para la construccion</t>
  </si>
  <si>
    <t>Chapas corrugadas. conformadas. aptas para el armado de conductos</t>
  </si>
  <si>
    <t>Chapas conformadas en apariencia de tejas. incluso revestidas o recubiertas. de los tipos utilizados en el techado de viviendas.</t>
  </si>
  <si>
    <t>Perfiles</t>
  </si>
  <si>
    <t>Obtenidos en frio a partir de productos laminados planos cincados. con espesor inferior o igual a 0.90 mm. de seccion en C. con perforaciones en el alma aptas para el pase de instalaciones</t>
  </si>
  <si>
    <t>Obtenidos en frio a partir de productos laminados planos cincados. con espesor superior a 0.90 mm. pero inferior o igual a 2.50 mm. de seccion en C. con perforaciones en el alma aptas para el pase de instalaciones</t>
  </si>
  <si>
    <t>Obtenidos en frio a partir de productos laminados planos cincados. con espesor inferior o igual a 0.50mm. de seccion en T</t>
  </si>
  <si>
    <t>De los tipos utilizados como guias para cabinas y contrapesos. de ascensores. segun Norma IRAM 3681-4 o similares de otras normas</t>
  </si>
  <si>
    <t>Escolleras</t>
  </si>
  <si>
    <t>Armazon para techumbre</t>
  </si>
  <si>
    <t>Estanterias fijas</t>
  </si>
  <si>
    <t>Defensas para seguridad vial</t>
  </si>
  <si>
    <t>Alcantarillas de acero</t>
  </si>
  <si>
    <t>Piso tecnico de altura regulable</t>
  </si>
  <si>
    <t>Bandejas portacables</t>
  </si>
  <si>
    <t>Paneles constituidos por dos paramentos de chapa y un alma aislante.</t>
  </si>
  <si>
    <t>Depositos. cisternas. cubas y recipientes similares para cualquier materia (excepto gas comprimido o licuado). de fundicion. hierro o acero. de capacidad superior a 300 l. sin dispositivos mecanicos ni termicos. incluso con revestimiento interior o calorifugo.</t>
  </si>
  <si>
    <t>Para almacenamiento de granos o demas materias solidas</t>
  </si>
  <si>
    <t>Recipientes isotermicos refrigerados a nitrogeno liquido. de los tipos utilizados para semen. sangre. tejidos biologicos y productos similares</t>
  </si>
  <si>
    <t>Depositos. barriles. tambores. bidones. latas o botes. cajas y recipientes similares. para cualquier materia (excepto gas comprimido o licuado). de fundicion. hierro o acero. de capacidad inferior o igual a 300 l. sin dispositivos mecanicos ni termicos. incluso con revestimiento interior o calorifugo.</t>
  </si>
  <si>
    <t>- De capacidad superior o igual a 50 l</t>
  </si>
  <si>
    <t>Tambores de acero de 200 l a 230 l de capacidad. con tapa desmontable. incluso presentados sin tapa.</t>
  </si>
  <si>
    <t>Tambores de acero de 200 l a 230 l de capacidad. con tapa desmontable. incluso presentados sin tapa</t>
  </si>
  <si>
    <t>- De capacidad inferior a 50 l:</t>
  </si>
  <si>
    <t>Aptos para el envasado de productos alimenticios</t>
  </si>
  <si>
    <t>De capacidad inferior o igual a 0.25 l</t>
  </si>
  <si>
    <t>De capacidad superior a 0.25 l pero inferior a 0.5 l</t>
  </si>
  <si>
    <t>De capacidad superior o igual a 0.5 l pero inferior a 1 l</t>
  </si>
  <si>
    <t>De capacidad superior o igual a 1 l pero inferior a 5 l</t>
  </si>
  <si>
    <t>De capacidad inferior o igual a 1 l</t>
  </si>
  <si>
    <t>De capacidad superior a 1 l pero inferior o igual a 5 l</t>
  </si>
  <si>
    <t>De capacidad superior a 5 l pero inferior o igual 25 l</t>
  </si>
  <si>
    <t>De capacidad superior a 0.25 l pero pero inferior o igual a 0.5 l</t>
  </si>
  <si>
    <t>De capacidad superior a 0.5 l pero inferior o igual a 1 l</t>
  </si>
  <si>
    <t>De capacidad inferior o igual a 0.3 l</t>
  </si>
  <si>
    <t>De capacidad superior a 0.3 l pero inferior o igual a 0.56 l</t>
  </si>
  <si>
    <t>De capacidad superior a 0.56 l pero inferior o igual a 0.98 l</t>
  </si>
  <si>
    <t>De capacidad superior a 0.98 l pero inferior o igual a 3.6 l</t>
  </si>
  <si>
    <t>De capacidad superior a 3.6 l pero inferior o igual a 4.3 l</t>
  </si>
  <si>
    <t>De capacidad superior a 4.3 l pero inferior o igual a 5.2 l</t>
  </si>
  <si>
    <t>Recipientes para gas comprimido o licuado. de fundicion. hierro o acero.</t>
  </si>
  <si>
    <t>Garrafas de chapa de acero utilizadas para el llenado de diez (10) kilogramos de una mezcla de propano y butano. con presion de llenado de quince - veinte (15-20) bar</t>
  </si>
  <si>
    <t>Con valvula incorporada (R.51/98 MEOSP)</t>
  </si>
  <si>
    <t>Las demas (R.51/98 MEOSP)</t>
  </si>
  <si>
    <t>Cilindros para gas natural comprimido. de los tipos utilizados en vehiculos automoviles</t>
  </si>
  <si>
    <t>Recipientes con acetona para el transporte de acetileno</t>
  </si>
  <si>
    <t>De capacidad inferior o igual a 0.5 l</t>
  </si>
  <si>
    <t>De capacidad superior a 5 l pero inferior o igual a 10 l</t>
  </si>
  <si>
    <t>De capacidad superior a 10 l pero inferior o igual a 20 l</t>
  </si>
  <si>
    <t>De capacidad superior a 20 l pero inferior o igual a 30 l</t>
  </si>
  <si>
    <t>De capacidad superior a 30 l pero inferior o igual a 50 l</t>
  </si>
  <si>
    <t>De capacidad superior a 50 l pero inferior o igual a 2000 l</t>
  </si>
  <si>
    <t>Cables. trenzas. eslingas y articulos similares. de hierro o acero. sin aislar para electricidad.</t>
  </si>
  <si>
    <t>De alambre de acero revestido con bronce o laton</t>
  </si>
  <si>
    <t>Monocordones</t>
  </si>
  <si>
    <t>Tipo de construccion 1x2</t>
  </si>
  <si>
    <t>Con un contenido de carbono inferior al 0.6 % en peso</t>
  </si>
  <si>
    <t>Tipo de construccion 1x3</t>
  </si>
  <si>
    <t>Tipo de construccion 1x7</t>
  </si>
  <si>
    <t>Revestidos de cobre con una conductividad inferior al 20 % de la correspondiente al cobre recocido patron segun norma IRAM 2002</t>
  </si>
  <si>
    <t>Revestidos de cobre con una conductividad superior o igual al 20 % pero inferior al 30 % de la correspondiente al cobre recocido patron segun norma IRAM 2002</t>
  </si>
  <si>
    <t>Revestidos de cobre con una conductividad superior o igual al 30 % pero inferior al 40 % de la correspondiente al cobre recocido patron segun norma IRAM 2002</t>
  </si>
  <si>
    <t>Revestidos de cobre con una conductividad superior o igual al 40 % de la correspondiente al cobre recocido patron segun norma IRAM 2002</t>
  </si>
  <si>
    <t>Sin revestir. de diametro nominal del cable inferior o igual a 3 mm</t>
  </si>
  <si>
    <t>Sin revestir. de diametro nominal del cable superior a 3 mm pero inferior o igual a 7.5 mm</t>
  </si>
  <si>
    <t>Tipo de construccion 1x12</t>
  </si>
  <si>
    <t>De diametro nominal del cable inferior o igual a 3 mm</t>
  </si>
  <si>
    <t>De diametro nominal del cable superior a 3 mm pero inferior o igual a 7.5 mm</t>
  </si>
  <si>
    <t>De diametro nominal del cable superior a 7.5 mm pero inferior o igual a 15 mm</t>
  </si>
  <si>
    <t>Tipo de construccion 1x19 y 1x37</t>
  </si>
  <si>
    <t>Sin revestir. de diametro nominal del cable superior a 7.5 mm pero inferior o igual a 15 mm</t>
  </si>
  <si>
    <t>Tipo de construccion 5x7 y 6x7</t>
  </si>
  <si>
    <t>De diametro nominal del cable superior a 15 mm pero inferior o igual a 30 mm</t>
  </si>
  <si>
    <t>Tipo de construccion 7x7 y 8x7</t>
  </si>
  <si>
    <t>Tipo de construccion 6x19. 6x24. 6x25 y 6x26</t>
  </si>
  <si>
    <t>Tipo de construccion 6x36. 6x37 y 6x41</t>
  </si>
  <si>
    <t>Tipo de construcciÃ²n 8x19</t>
  </si>
  <si>
    <t>Tipo de construcciÃ²n 19x7. 18x7. 17x7. 34x7 y 18x19</t>
  </si>
  <si>
    <t>ALAMBRE DE PÃšAS. DE HIERRO O ACERO; ALAMBRE (SIMPLE O DOBLE) Y FLEJE. TORCIDOS. INCLUSO CON PÃšAS. DE HIERRO O ACERO. DE LOS TIPOS UTILIZADOS PARA CERCAR.</t>
  </si>
  <si>
    <t>Telas metalicas (incluidas las continuas o sin fin). redes y rejas. de alambre de hierro o acero; chapas y tiras. extendidas (desplegadas). de hierro o acero.</t>
  </si>
  <si>
    <t>- Telas metalicas tejidas:</t>
  </si>
  <si>
    <t>Galvanizadas para mosquitero (R.1096/97 MEOSP)</t>
  </si>
  <si>
    <t>- Redes y rejas. soldadas en los puntos de cruce. de alambre cuya mayor dimension de la seccion transversal sea superior o igual a 3 mm y con malla de superficie superior o igual a 100 cm 2</t>
  </si>
  <si>
    <t>Con muescas. cordones. surcos o relieves</t>
  </si>
  <si>
    <t>- Las demas redes y rejas. soldadas en los puntos de cruce:</t>
  </si>
  <si>
    <t>- Las demas telas metalicas. redes y rejas:</t>
  </si>
  <si>
    <t>Cadenas y sus partes. de fundicion. hierro o acero.</t>
  </si>
  <si>
    <t>- Cadenas de eslabones articulados y sus partes:</t>
  </si>
  <si>
    <t>De 12.70 x 2.38 mm</t>
  </si>
  <si>
    <t>De 12.70 x 3.17 mm</t>
  </si>
  <si>
    <t>De paso corto. para transmision segun norma IRAM 5184. con paso superior o igual a 31.75 mm</t>
  </si>
  <si>
    <t>De paso largo. para transmision segun norma IRAM 5357. con paso superior o igual a 31.75 mm</t>
  </si>
  <si>
    <t>De los tipos utilizados en vehiculos o autopartes</t>
  </si>
  <si>
    <t>- Las demas cadenas:</t>
  </si>
  <si>
    <t>Tipo patente. con una tension minima de rotura inferior a 400 N/mm2</t>
  </si>
  <si>
    <t>De diametro del alambre del eslabon superior o igual a 2.5 mm pero inferior o igual a 25 mm</t>
  </si>
  <si>
    <t>Las demas. de diametro del alambre del eslabon inferior a 2.5 mm</t>
  </si>
  <si>
    <t>Galvanizadas</t>
  </si>
  <si>
    <t>Tipo patente</t>
  </si>
  <si>
    <t>ANCLAS. REZONES Y SUS PARTES. DE FUNDICION. HIERRO O ACERO.</t>
  </si>
  <si>
    <t>Puntas. clavos. chinchetas (chinches). grapas apuntadas. onduladas o biseladas. y articulos similares. de fundicion. hierro o acero. incluso con cabeza de otras materias. excepto de cabeza de cobre.</t>
  </si>
  <si>
    <t>Tachuelas</t>
  </si>
  <si>
    <t>Grapas de alambre curvado</t>
  </si>
  <si>
    <t>Puntas o dientes para maquinas textiles</t>
  </si>
  <si>
    <t>Tornillos. pernos. tuercas. tirafondos. escarpias roscadas. remaches. pasadores. clavijas. chavetas. arandelas (incluidas las arandelas de muelle (resorte)) y articulos similares. de fundicion. hierro o acero.</t>
  </si>
  <si>
    <t>- Articulos roscados:</t>
  </si>
  <si>
    <t>De uso ferroviario. con peso unitario superior o igual a 400 g</t>
  </si>
  <si>
    <t>Con tratamiento tÃ¨rmico</t>
  </si>
  <si>
    <t>De diametro mayor de rosca inferior o igual a 4.2 mm</t>
  </si>
  <si>
    <t>De acero sin alear. con un contenido de carbono inferior o igual a 0.25 % en peso</t>
  </si>
  <si>
    <t>Con tratamiento termico</t>
  </si>
  <si>
    <t>De diametro exterior de rosca inferior o igual a 4.2 mm</t>
  </si>
  <si>
    <t>Los demas. de acero sin alear</t>
  </si>
  <si>
    <t>Tornillos perforador-roscantes. de acero sin alear</t>
  </si>
  <si>
    <t>Con arandela ensamblada</t>
  </si>
  <si>
    <t>Tornillos perforador-roscantes. de acero inoxidable</t>
  </si>
  <si>
    <t>Pernos (bulones)</t>
  </si>
  <si>
    <t>Los demas. en U (U-bolt)</t>
  </si>
  <si>
    <t>Tipo clase 4.6 y 4.8. segun norma ISO 898 o equivalentes de otras normas</t>
  </si>
  <si>
    <t>Tipo clase 5.6 y 5.8. segun norma ISO 898 o equivalentes de otras normas</t>
  </si>
  <si>
    <t>Tipo clase 6.8 segun norma ISO 898 o equivalentes de otras normas</t>
  </si>
  <si>
    <t>Tipo clase 8.8. segun norma ISO 898 o equivalentes de otras normas</t>
  </si>
  <si>
    <t>Tipo clase 10.9. segun norma ISO 898 o equivalentes de otras normas</t>
  </si>
  <si>
    <t>Tipo clase 12.9. segun norma ISO 898 o equivalentes de otras normas</t>
  </si>
  <si>
    <t>Tornillos para metales</t>
  </si>
  <si>
    <t>De diametro exterior de rosca inferior o igual 4.2 mm</t>
  </si>
  <si>
    <t>De diametro exterior de rosca superior a 4.2 mm con cabeza cuadrada y punta copa</t>
  </si>
  <si>
    <t>Prisioneros</t>
  </si>
  <si>
    <t>De acero aleado. excepto acero inoxidable</t>
  </si>
  <si>
    <t>Con collar o arandela</t>
  </si>
  <si>
    <t>Autofrenantes. incluso con collar o arandela</t>
  </si>
  <si>
    <t>Hexagonales o cuadradas. lisas. sin collar o arandela. excepto las autofrenantes</t>
  </si>
  <si>
    <t>Sin tratamiento termico</t>
  </si>
  <si>
    <t>Barras totalmente roscadas. de longitud superior o igual a 1000 mm</t>
  </si>
  <si>
    <t>- Articulos sin rosca:</t>
  </si>
  <si>
    <t>Arandelas de muelle (resorte)</t>
  </si>
  <si>
    <t>Parcialmente huecos</t>
  </si>
  <si>
    <t>Agujas de coser. de tejer. pasacintas. agujas de ganchillo (croche). punzones para bordar y articulos similares. de uso manual. de hierro o acero; alfileres de gancho (imperdibles) y demas alfileres de hierro o acero. no expresados ni comprendidos en otra parte.</t>
  </si>
  <si>
    <t>Agujas de tejer</t>
  </si>
  <si>
    <t>Agujas de ganchillo (croche)</t>
  </si>
  <si>
    <t>Agujas de coser. zurcir o bordar</t>
  </si>
  <si>
    <t>Muelles (resortes). ballestas y sus hojas. de hierro o acero.</t>
  </si>
  <si>
    <t>En espiral plano</t>
  </si>
  <si>
    <t>Estufas. calderas con hogar. cocinas (incluidas las que puedan utilizarse accesoriamente para calefaccion central). barbacoas (parrillas)*. braseros. hornillos de gas. calientaplatos y aparatos no electricos similares. de uso domestico. y sus partes. de fundicion. hierro o acero.</t>
  </si>
  <si>
    <t>- Aparatos de coccion y calientaplatos:</t>
  </si>
  <si>
    <t>Cocinas con horno incorporado</t>
  </si>
  <si>
    <t>De ancho inferior o igual a 50 cm</t>
  </si>
  <si>
    <t>Sin parrilla. sin iluminacion interior ni encendido</t>
  </si>
  <si>
    <t>Sin parrilla. con iluminacion interior o encendido</t>
  </si>
  <si>
    <t>Con parrilla. sin iluminacion interior ni encendido</t>
  </si>
  <si>
    <t>Con parrilla. con iluminacion interior o encendido</t>
  </si>
  <si>
    <t>De ancho superior a 50 cm pero inferior o igual a 60 cm</t>
  </si>
  <si>
    <t>Sin parrilla. sin iluminacion interior. ni encendido</t>
  </si>
  <si>
    <t>Con parrilla. sin iluminacion interior. ni encendido</t>
  </si>
  <si>
    <t>Hornos de empotrar</t>
  </si>
  <si>
    <t>Con iluminacion interior o encendido</t>
  </si>
  <si>
    <t>Anafes</t>
  </si>
  <si>
    <t>De 2 hornallas</t>
  </si>
  <si>
    <t>Con encendido</t>
  </si>
  <si>
    <t>De 3 hornallas</t>
  </si>
  <si>
    <t>Sin tapa. con encendido</t>
  </si>
  <si>
    <t>Con tapa. con encendido</t>
  </si>
  <si>
    <t>Sin tapa. sin encendido</t>
  </si>
  <si>
    <t>Con tapa. sin encendido</t>
  </si>
  <si>
    <t>De 4 hornallas</t>
  </si>
  <si>
    <t>De combustibles solidos</t>
  </si>
  <si>
    <t>- Los demas aparatos:</t>
  </si>
  <si>
    <t>Sin ventilacion exterior</t>
  </si>
  <si>
    <t>De capacidad inferior o igual a 2500 Kcal/h</t>
  </si>
  <si>
    <t>De capacidad superior a 2500 Kcal/h pero inferior o igual a 4000 Kcal/h</t>
  </si>
  <si>
    <t>Con ventilacion exterior</t>
  </si>
  <si>
    <t>Tiro natural</t>
  </si>
  <si>
    <t>Tiro balanceado</t>
  </si>
  <si>
    <t>Radiadores para calefaccion central. de calentamiento no electrico. y sus partes. de fundicion. hierro o acero; generadores y distribuidores de aire caliente (incluidos los distribuidores que puedan funcionar tambien como distribuidores de aire fresco o acondicionado). de calentamiento no electrico. que lleven un ventilador o un soplador con motor. y sus partes. de fundicion. hierro o acero.</t>
  </si>
  <si>
    <t>- Radiadores y sus partes:</t>
  </si>
  <si>
    <t>Radiadores para calefaccion central. bimetalicos. con superficie exterior de aluminio y nucleo de acero</t>
  </si>
  <si>
    <t>Generadores de aire caliente. de combustible liquido. de capacidad superior o igual a 1.500 kcal/h pero inferior o igual a 10.400 kcal/h. de los tipos utilizados en vehiculos automoviles</t>
  </si>
  <si>
    <t>Articulos de uso domestico y sus partes. de fundicion. hierro o acero; lana de hierro o acero; esponjas. estropajos. guantes y articulos similares para fregar. lustrar o usos analogos. de hierro o acero.</t>
  </si>
  <si>
    <t>Lana de hierro o acero</t>
  </si>
  <si>
    <t>Acondicionada para la venta al por menor</t>
  </si>
  <si>
    <t>Impregnada con jabon</t>
  </si>
  <si>
    <t>Ollas y cacerolas</t>
  </si>
  <si>
    <t>Planchas (biferas)</t>
  </si>
  <si>
    <t>Acondicionados para la venta al por menor conteniendo dos o mas articulos</t>
  </si>
  <si>
    <t>De hasta 6 unidades inclusive</t>
  </si>
  <si>
    <t>De 7 y hasta 12 unidades inclusive</t>
  </si>
  <si>
    <t>De 13 y hasta 24 unidades inclusive</t>
  </si>
  <si>
    <t>Pavas. cafeteras y teteras</t>
  </si>
  <si>
    <t>Fuentes y ensaladeras</t>
  </si>
  <si>
    <t>Azucareros</t>
  </si>
  <si>
    <t>Vasos. copas y jarros</t>
  </si>
  <si>
    <t>Revestidas de antiadherente</t>
  </si>
  <si>
    <t>Sartenes</t>
  </si>
  <si>
    <t>Revestidos de antiadherente</t>
  </si>
  <si>
    <t>Tarros</t>
  </si>
  <si>
    <t>Articulos de higiene o tocador. y sus partes. de fundicion. hierro o acero.</t>
  </si>
  <si>
    <t>- Bañeras:</t>
  </si>
  <si>
    <t>Las demas manufacturas moldeadas de fundicion. hierro o acero.</t>
  </si>
  <si>
    <t>Aleado</t>
  </si>
  <si>
    <t>Las demas manufacturas de hierro o acero.</t>
  </si>
  <si>
    <t>- Forjadas o estampadas pero sin trabajar de otro modo:</t>
  </si>
  <si>
    <t>Arcos de los tipos utilizados en lenceria y corseteria</t>
  </si>
  <si>
    <t>Casquetes elipticos de acero al niquel segun Norma ASME SA 353. de los tipos utilizados en la fabricacion de recipientes para gas comprimido o licuado</t>
  </si>
  <si>
    <t>Cajas. estuches y similares</t>
  </si>
  <si>
    <t>Escaleras</t>
  </si>
  <si>
    <t>Manufacturas de los tipos utilizados como partes de cuadros u horquillas de bicicletas</t>
  </si>
  <si>
    <t>Bocas de acceso y tapas de inspeccion. de acero inoxidable. de los tipos utilizados en depositos. cisternas o recipientes a similares.</t>
  </si>
  <si>
    <t>Cajas aptas para utilizar en instalaciones electricas</t>
  </si>
  <si>
    <t>MATAS DE COBRE; COBRE DE CEMENTACION (COBRE PRECIPITADO).</t>
  </si>
  <si>
    <t>COBRE SIN REFINAR; ANODOS DE COBRE PARA REFINADO ELECTROLÃTICO.</t>
  </si>
  <si>
    <t>Cobre refinado y aleaciones de cobre. en bruto.</t>
  </si>
  <si>
    <t>- Cobre refinado:</t>
  </si>
  <si>
    <t>--Barras para alambron ("wire-bars")</t>
  </si>
  <si>
    <t>- Aleaciones de cobre:</t>
  </si>
  <si>
    <t>--Las demas aleaciones de cobre (excepto las aleaciones madre de la partida 74.05)</t>
  </si>
  <si>
    <t>Desperdicios y desechos. de cobre.</t>
  </si>
  <si>
    <t>De cobre refinado</t>
  </si>
  <si>
    <t>A base de cobre-cinc (laton)</t>
  </si>
  <si>
    <t>A base de cobre-estaño (bronce)</t>
  </si>
  <si>
    <t>ALEACIONES MADRE DE COBRE.</t>
  </si>
  <si>
    <t>Polvo y escamillas. de cobre.</t>
  </si>
  <si>
    <t>Barras y perfiles. de cobre.</t>
  </si>
  <si>
    <t>Barras</t>
  </si>
  <si>
    <t>Huecos</t>
  </si>
  <si>
    <t>- De aleaciones de cobre:</t>
  </si>
  <si>
    <t>Alambre de cobre.</t>
  </si>
  <si>
    <t>- De cobre refinado:</t>
  </si>
  <si>
    <t>--Con la mayor dimension de la seccion transversal superior a 6 mm</t>
  </si>
  <si>
    <t>Fosforoso</t>
  </si>
  <si>
    <t>Chapas y tiras. de cobre. de espesor superior a 0.15 mm.</t>
  </si>
  <si>
    <t>- De aleaciones a base de cobre-cinc (laton):</t>
  </si>
  <si>
    <t>- De aleaciones a base de cobre-estaño (bronce):</t>
  </si>
  <si>
    <t>Revestidas de plastico</t>
  </si>
  <si>
    <t>Con una capa intermedia de aleacion cobre-estaño o cobre-estaño-plomo. aplicada por sinterizacion</t>
  </si>
  <si>
    <t>Enrolladas</t>
  </si>
  <si>
    <t>Hojas y tiras. delgadas. de cobre (incluso impresas o fijadas sobre papel. carton. plastico o soportes similares). de espesor inferior o igual a 0.15 mm (sin incluir el soporte).</t>
  </si>
  <si>
    <t>- Sin soporte:</t>
  </si>
  <si>
    <t>En hojas de espesor inferior o igual a 0.07 mm y de pureza superior o igual al 99.85 %. en peso</t>
  </si>
  <si>
    <t>De espesor inferior o igual a 0.04 mm y una resistividad electrica inferior o igual a 0.017241 ohm.mm²/m</t>
  </si>
  <si>
    <t>Las demas. de espesor inferior o iguala a 0.04 mm</t>
  </si>
  <si>
    <t>- Con soporte:</t>
  </si>
  <si>
    <t>Con soporte aislante de resina epoxi y fibra de vidrio. de los tipos utilizados para circuitos impresos</t>
  </si>
  <si>
    <t>Con espesor superior a 0.012 mm. sobre soporte de poliester o poliimida y con espesor total. incluido el soporte. inferior o igual a 0.195 mm</t>
  </si>
  <si>
    <t>Con soporte aislante de resina fenolica y papel. de los tipos utilizados para circuitos impresos</t>
  </si>
  <si>
    <t>Tubos de cobre.</t>
  </si>
  <si>
    <t>Sin aletas ni ranuras</t>
  </si>
  <si>
    <t>Accesorios de tuberia (por ejemplo: empalmes (racores). codos. manguitos) de cobre.</t>
  </si>
  <si>
    <t>Empalmes (racores)</t>
  </si>
  <si>
    <t>Codos y curvas</t>
  </si>
  <si>
    <t>CABLES. TRENZAS Y ARTÃCULOS SIMILARES. DE COBRE. SIN AISLAR PARA ELECTRICIDAD.</t>
  </si>
  <si>
    <t>Puntas. clavos. chinchetas (chinches). grapas apuntadas y articulos similares. de cobre. o con espiga de hierro o acero y cabeza de cobre; tornillos. pernos. tuercas. escarpias roscadas. remaches. pasadores. clavijas. chavetas y arandelas (incluidas las arandelas de muelle (resorte)) y articulos similares. de cobre.</t>
  </si>
  <si>
    <t>- Puntas y clavos. chinchetas (chinches). grapas apuntadas y articulos similares</t>
  </si>
  <si>
    <t>Puntas y clavos</t>
  </si>
  <si>
    <t>Chinchetas (chinches)</t>
  </si>
  <si>
    <t>- Los demas articulos sin rosca:</t>
  </si>
  <si>
    <t>Arandelas de muelle (resorte) y las demas de seguridad</t>
  </si>
  <si>
    <t>Remaches parcialmente huecos</t>
  </si>
  <si>
    <t>- Los demas articulos roscados:</t>
  </si>
  <si>
    <t>Tuercas</t>
  </si>
  <si>
    <t>Articulos de uso domestico. higiene o tocador. y sus partes. de cobre; esponjas. estropajos. guantes y articulos similares para fregar. lustrar o usos analogos. de cobre.</t>
  </si>
  <si>
    <t>Esponjas. estropajos. guantes y articulos similares para fregar. lustrar o usos analogos</t>
  </si>
  <si>
    <t>Las demas manufacturas de cobre.</t>
  </si>
  <si>
    <t>Telas metalicas de alambre de cobre</t>
  </si>
  <si>
    <t>Redes y rejas. de alambre de cobre; chapas y tiras. extendidas (desplegadas)</t>
  </si>
  <si>
    <t>Chapas y tiras. extendidas (desplegadas)</t>
  </si>
  <si>
    <t>Muelles (resortes)</t>
  </si>
  <si>
    <t>anodos</t>
  </si>
  <si>
    <t>Depositos. barriles. cubas y recipientes similares. y sus partes</t>
  </si>
  <si>
    <t>Aptos para contener alimentos</t>
  </si>
  <si>
    <t>Discos y cospeles</t>
  </si>
  <si>
    <t>Aptos para la acuñacion de monedas</t>
  </si>
  <si>
    <t>Matas de niquel. «sinters» de oxidos de niquel y demas productos intermedios de la metalurgia del niquel.</t>
  </si>
  <si>
    <t>-"Sinters" de oxidos de niquel y demas productos intermedios de la metalurgia del niquel</t>
  </si>
  <si>
    <t>Niquel en bruto.</t>
  </si>
  <si>
    <t>Catodos</t>
  </si>
  <si>
    <t>DESPERDICIOS Y DESECHOS. DE NÃQUEL.</t>
  </si>
  <si>
    <t>Polvo y escamillas. de niquel.</t>
  </si>
  <si>
    <t>Sin alear</t>
  </si>
  <si>
    <t>Barras. perfiles y alambre. de niquel.</t>
  </si>
  <si>
    <t>- Barras y perfiles:</t>
  </si>
  <si>
    <t>- Alambre:</t>
  </si>
  <si>
    <t>Chapas. hojas y tiras. de niquel.</t>
  </si>
  <si>
    <t>Tubos y accesorios de tuberia (por ejemplo: empalmes (racores). codos. manguitos). de niquel.</t>
  </si>
  <si>
    <t>Cortados en dimensiones finales para uso automotriz</t>
  </si>
  <si>
    <t>Las demas manufacturas de niquel.</t>
  </si>
  <si>
    <t>Cilindros huecos de seccion variable. obtenidos por centrifugacion. de los tipos utilizados en reformadores estequiometricos de gas natural</t>
  </si>
  <si>
    <t>Tornillos; pernos y tuercas</t>
  </si>
  <si>
    <t>anodos de los tipos utilizados para niquelar</t>
  </si>
  <si>
    <t>Aluminio en bruto.</t>
  </si>
  <si>
    <t>Con un contenido de aluminio superior o igual al 99.7% en peso. hierro inferior o igual al 0.20% en peso y silicio inferior o igual al 0.10% en peso</t>
  </si>
  <si>
    <t>Desperdicios y desechos. de aluminio.</t>
  </si>
  <si>
    <t>Manufacturas inservibles</t>
  </si>
  <si>
    <t>Polvo y escamillas. de aluminio.</t>
  </si>
  <si>
    <t>De grano esferico que presente una distribucion de particulas inferior o igual a 60 micrometros. con un contenido de aluminio superior o igual al 99% en peso (Dto. 437/00).</t>
  </si>
  <si>
    <t>Barras y perfiles. de aluminio.</t>
  </si>
  <si>
    <t>De seccion transversal abierta y cuyo espesor maximo sea inferior a 1.30 mm. que sean utilizados con destino decorativo. en muebles o con otro uso no estructural</t>
  </si>
  <si>
    <t>- De aleaciones de aluminio:</t>
  </si>
  <si>
    <t>Forjadas. de seccion transversal circular. de diametro superior o igual a 400 mm pero inferior o igual a 760 mm</t>
  </si>
  <si>
    <t>Alambre de aluminio.</t>
  </si>
  <si>
    <t>- De aluminio sin alear:</t>
  </si>
  <si>
    <t>- - Con la mayor dimension de la seccion transversal superior a 7 mm</t>
  </si>
  <si>
    <t>Con un contenido de aluminio superior o igual al 99.45 % en peso y una resistividad electrica inferior o igual a 0.0283 ohm.mm2/m</t>
  </si>
  <si>
    <t>Con un contenido de aluminio superior o igual al 98.45 % en peso y de magnesio y silicio considerados individualmente. superior o igual al 0.45 % pero inferior o igual al 0.55 %. en peso y una resistividad electrica inferior o igual a 0.0328 ohm.mm2/m</t>
  </si>
  <si>
    <t>Chapas y tiras. de aluminio. de espesor superior a 0.2 mm.</t>
  </si>
  <si>
    <t>- Cuadradas o rectangulares:</t>
  </si>
  <si>
    <t>Con un contenido de silicio superior o igual al 0.05 % pero inferior o igual al 0.20 %. en peso. hierro superior o igual al 0.20 % pero inferior o igual al 0.40 %. en peso. cobre inferior o igual al 0.05 % en peso. cinc inferior o igual al 0.05 % en peso. manganeso inferior o igual al 0.1 % en peso y otros elementos. cada uno. inferior o igual al 0.1 % en peso. de espesor inferior o iguala a 0.4 mm. en bobinas de ancho superior a 900 mm. relacion entre las rugosidades maxima y media aritmetica superior o igual a 1.25 pero inferior o igual a 1.30 en cada una de las caras y un limite de resistencia a la traccion superior o igual a 115 MPa.</t>
  </si>
  <si>
    <t>Con un contenido de magnesio superior o igual al 4 % pero inferior o igual al 5 %. en peso. manganeso superior o igual al 0.20 % pero inferior o igual al 0.50 %. en peso. hierro inferior o igual al 0.35 % en peso. silicio inferior o igual al 0.20 % en peso y otros metales. en conjunto. inferior o igual al 0.75 % en peso. de espesor inferior o igual a 0.3 mm y ancho superior o igual a 1.450 mm. barnizadas en ambas caras</t>
  </si>
  <si>
    <t>Con un contenido de aluminio superior o igual al 99 % en peso y de magnesio superior al 0.10 % en peso. de espesor inferior o igual a 0.40 mm. con un limite de resistencia a la traccion superior o igual a 140 MPa pero inferior o igual a 240 MPa y alargamiento superior o igual al 0.90 % pero inferior o igual al 7 %</t>
  </si>
  <si>
    <t>Con un contenido de magnesio superior o igual al 0.80 % pero inferior o igual al 1.30 %. en peso. manganeso superior o igual al 0.80 % pero inferior o igual al 1.50 %. en peso. hierro inferior o igual al 0.80 % en peso. silicio inferior o igual al 0.60 % en peso. cobre inferior o igual al 0.25 % en peso y otros metales. en conjunto. inferior al 0.50 % en peso. de espesor inferior a 0.32 mm y ancho superior a 1.400 mm</t>
  </si>
  <si>
    <t>Con un contenido de magnesio superior o igual al 4% pero inferior o igual al 5%. en peso. manganeso superior o igual al 0.20% pero inferior o igual al 0.50%. en peso. hierro inferior o igual al 0.35% en peso. silicio inferior o igual al 0.20% en peso. y otros metales. en conjunto. inferior o igual al 0.75% en peso. de espesor inferior o igual a 0.3mm y ancho superior o igual a 68.1 mm pero inferior o igual a 68.3 mm</t>
  </si>
  <si>
    <t>Chapa. de diametro superior o igual a sesenta (60) mm pero inferior o igual a mil (1.000) mm y de espesor superior o igual a cero coma tres (0.3) mm pero inferior o igual a cinco (5) mm</t>
  </si>
  <si>
    <t>Chapa. de la Serie 3xxx segun Norma IRAM 681. de diametro superior o igual a sesenta (60) mm pero inferior o igual a mil (1.000) mm y de espesor superior o igual a cero coma tres (0.3) mm pero inferior o igual a cinco (5) mm</t>
  </si>
  <si>
    <t>Hojas y tiras. delgadas. de aluminio (incluso impresas o fijadas sobre papel. carton. plastico o soportes similares). de espesor inferior o igual a 0.2 mm (sin incluir el soporte).</t>
  </si>
  <si>
    <t>Con un contenido de aluminio superior o igual al 99 % en peso y de magnesio superior al 0.06 % en peso. de espesor superior o igual a 0.12 mm. con un limite de resistencia a la traccion superior o igual a 140 MPa pero inferior o igual a 240 MPa y alargamiento superior o igual al 0.90 % pero inferior o igual al 7 %</t>
  </si>
  <si>
    <t>Lisas. con un contenido de aluminio superior o igual al 99.2%. en peso. de espesor inferior o igual a 6 micrometros. en bobinas de ancho inferior o igual a 500 mm. segun norma ASTM B 373-95</t>
  </si>
  <si>
    <t>De anchura inferior o igual a 1300 mm</t>
  </si>
  <si>
    <t>De espesor superior o igual a 0.006 mm</t>
  </si>
  <si>
    <t>Grabadas. incluso con capa de oxido de aluminio. de espesor inferior o igual a 110 micrometros y un contenido de aluminio superior o igual al 99.9 % en peso</t>
  </si>
  <si>
    <t>Revestidas de cera</t>
  </si>
  <si>
    <t>Revestidas de polimeros acrilicos o vinilicos. en una cara. y de nitrocelulosa. polimeros vinilicos o poliesteres en la otra cara. de espesor superior o igual a 0.015 mm pero inferior o igual a 0.030 mm. en bobinas de ancho superior o igual a 50 mm pero inferior o igual a 2000 mm y un limite de resistencia a la traccion superior o igual a 120 MPa. de los tipos utilizados en la industria farmaceutica para la fabricacion de envases tipo blister</t>
  </si>
  <si>
    <t>Ãšnicamente de papel revestido de cera</t>
  </si>
  <si>
    <t>De poliamida biorientada. en una cara. y de poli(cloruro de vinilo). en la otra cara. de los tipos utilizados en la industria farmaceutica para la fabricacion de envases tipo blister</t>
  </si>
  <si>
    <t>Tubos de aluminio.</t>
  </si>
  <si>
    <t>Sin conformar. de diametro exterior inferior o igual a 130 mm. incluso presentados en rollo.</t>
  </si>
  <si>
    <t>Sin costura. extrudidos y trefilados segun norma ASTM B210. de seccion circular. de aleacion AA 6061 ("Aluminium Association") con limite elastico aparente de Johnson ("JAEL") superior a 3.000 Nm segun norma SAE AE7. diametro exterior superior o igual a 85 mm pero inferior o igual a 105 mm y espesor superior o igual a 1.9 mm e inferior o igual a 2.3 mm</t>
  </si>
  <si>
    <t>Solamente cortado o conformados. en dimensiones apropiadas como piezas de vehiculos automoviles</t>
  </si>
  <si>
    <t>Tubo de aluminio (ALMn1 segun DIN 1725). con recubrimiento de poliamida-12(PA12) de espesor superior o igual a 150 micrometros</t>
  </si>
  <si>
    <t>De las series 3xxx o 6xxx. sin conformar. de diametro exterior inferior o igual a 130 mm. incluso presentados en rollo.</t>
  </si>
  <si>
    <t>De la serie 3xxx. de precision trefilados comercialmente conocidos como PDT (Precision drawn tubing) con tratamiento termico de recocido (en linea) que responden a las normas DIN EN 573-3. similar a su homologo IRAM 681 (composicion quimica). DIN EN 754-2 (propiedades mecanicas) y DIN EN 754-7 (tolerancias dimensionales) de los tipos utilizados para la produccion de conjuntos o subconjuntos de sistemas de fluidos para la aplicacion automotriz y agrovial. en los terminos de la resolucion 596/2020.</t>
  </si>
  <si>
    <t>Con microcapa de aleacion de aluminio-silicio (R.67/18 SI)</t>
  </si>
  <si>
    <t>Presentados en rollos (R.67/18 SI)</t>
  </si>
  <si>
    <t>ACCESORIOS DE TUBERIA (POR EJEMPLO: EMPALMES (RACORES). CODOS. MANGUITOS) DE ALUMINIO</t>
  </si>
  <si>
    <t>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construccion.</t>
  </si>
  <si>
    <t>Chapas. barras. perfiles. tubos y similares preparados para la construccion</t>
  </si>
  <si>
    <t>Armazones para techumbre</t>
  </si>
  <si>
    <t>Depositos. cisternas. cubas y recipientes similares para cualquier materia (excepto gas comprimido o licuado). de aluminio. de capacidad superior a 300 l. sin dispositivos mecanicos ni termicos. incluso con revestimiento interior o calorifugo.</t>
  </si>
  <si>
    <t>De capacidad inferior o igual a 500 l</t>
  </si>
  <si>
    <t>De capacidad superior a 500 l pero inferior o igual a 1.000 l</t>
  </si>
  <si>
    <t>De capacidad superior a 1.000 l pero inferior o igual a 5.000 l</t>
  </si>
  <si>
    <t>De capacidad superior a 5.000 l pero inferior o igual a 10.000 l</t>
  </si>
  <si>
    <t>De capacidad superior a 10.000 l pero inferior o igual a 20.000 l</t>
  </si>
  <si>
    <t>Depositos. barriles. tambores. bidones. botes. cajas y recipientes similares. de aluminio (incluidos los envases tubulares rigidos o flexibles). para cualquier materia (excepto gas comprimido o licuado). de capacidad inferior o igual a 300 l. sin dispositivos mecanicos ni termicos. incluso con revestimiento interior o calorifugo.</t>
  </si>
  <si>
    <t>De capacidad inferior o igual a 0.15 l</t>
  </si>
  <si>
    <t>De capacidad superior a 0.15 l pero inferior o igual a 0.25 l</t>
  </si>
  <si>
    <t>De capacidad superior a 0.25 l pero inferior o igual a 0.5 l</t>
  </si>
  <si>
    <t>De capacidad superior a 0.5 l pero inferior o igual a 0.75 l</t>
  </si>
  <si>
    <t>Envases tubulares</t>
  </si>
  <si>
    <t>Para aerosoles. de capacidad inferior o igual a 700 cm3</t>
  </si>
  <si>
    <t>Isotermicos refrigerados a nitrogeno liquido. de los tipos utilizados para semen. sangre. tejidos biologicos y productos similares</t>
  </si>
  <si>
    <t>De los tipos utilizados para bebidas</t>
  </si>
  <si>
    <t>De capacidad inferior o igual a 50 l</t>
  </si>
  <si>
    <t>De capacidad superior a 50 l pero inferior o igual a 100 l</t>
  </si>
  <si>
    <t>Recipientes para gas comprimido o licuado. de aluminio.</t>
  </si>
  <si>
    <t>Cables. trenzas y similares. de aluminio. sin aislar para electricidad.</t>
  </si>
  <si>
    <t>Cables</t>
  </si>
  <si>
    <t>De seccion nominal inferior a 150/25 mm2. segun norma IRAM 2187 y equivalentes de otras normas (R.308/96 MEOSP)</t>
  </si>
  <si>
    <t>Inferior a 50/8 mm2</t>
  </si>
  <si>
    <t>Superior o igual a 50/8 mm2 pero inferior a 70/12 mm2</t>
  </si>
  <si>
    <t>Superior o igual a 70/12 mm2 pero inferior a 95/15 mm2</t>
  </si>
  <si>
    <t>Superior o igual a 95/15 mm2 pero inferior a 120/20 mm2</t>
  </si>
  <si>
    <t>Superior o igual a 120/20 mm2 pero inferior a 150/25 mm2</t>
  </si>
  <si>
    <t>De seccion nominal superior o igual a 150/25 mm2 segun norma IRAM 2187 y equivalentes de otras normas (R.308/96 MEOSP)</t>
  </si>
  <si>
    <t>Inferior a 185/30 mm2</t>
  </si>
  <si>
    <t>Superior o igual a 185/30 mm2 pero inferior a 240/40 mm2</t>
  </si>
  <si>
    <t>Superior o igual a 240/40 mm2 pero inferior a 300/50 mm2</t>
  </si>
  <si>
    <t>Superior o igual a 300/50 mm2 pero inferior a 317/28 mm2</t>
  </si>
  <si>
    <t>Superior o igual a 317/28 mm2 pero inferior a 435/55 mm2</t>
  </si>
  <si>
    <t>De aleacion de aluminio</t>
  </si>
  <si>
    <t>De seccion nominal inferior a 70 mm2 (R.308/96 MEOSP)</t>
  </si>
  <si>
    <t>Inferior a 16 mm2</t>
  </si>
  <si>
    <t>Superior o igual a 16 mm2 pero inferior a 25 mm2</t>
  </si>
  <si>
    <t>Superior o igual a 25 mm2 pero inferior a 35 mm2</t>
  </si>
  <si>
    <t>Superior o igual a 35 mm2 pero inferior a 50 mm2</t>
  </si>
  <si>
    <t>Superior o igual a 50 mm2 pero inferior a 70 mm2</t>
  </si>
  <si>
    <t>De seccion nominal superior o igual a 70 mm2</t>
  </si>
  <si>
    <t>Inferior a 95 mm2</t>
  </si>
  <si>
    <t>Superior o igual a 95 mm2 pero inferior a 120 mm2</t>
  </si>
  <si>
    <t>Superior o igual a 120 mm2 pero inferior a 150 mm2</t>
  </si>
  <si>
    <t>Superior o igual a 150 mm2 pero inferior a 185 mm2</t>
  </si>
  <si>
    <t>Superior o igual a 185 mm2 pero inferior a 240 mm2</t>
  </si>
  <si>
    <t>De seccion nominal superior o igual a 70 mm2 (R.308/96 MEOSP)</t>
  </si>
  <si>
    <t>Articulos de uso domestico. higiene o tocador. y sus partes. de aluminio; esponjas. estropajos. guantes y articulos similares para fregar. lustrar o usos analogos. de aluminio.</t>
  </si>
  <si>
    <t>Radiadores para calefaccion central. de calentamiento no electrico. incluidos los elementos radiadores presentados aisladamente</t>
  </si>
  <si>
    <t>Las demas manufacturas de aluminio.</t>
  </si>
  <si>
    <t>Remaches</t>
  </si>
  <si>
    <t>Capuchones de aleacion de aluminio (R.67/18 SI)</t>
  </si>
  <si>
    <t>Plomo en bruto.</t>
  </si>
  <si>
    <t>Electrolitico</t>
  </si>
  <si>
    <t>En lingotes</t>
  </si>
  <si>
    <t>DESPERDICIOS Y DESECHOS. DE PLOMO.</t>
  </si>
  <si>
    <t>Chapas. hojas y tiras. de plomo; polvo y escamillas. de plomo.</t>
  </si>
  <si>
    <t>- Chapas. hojas y tiras:</t>
  </si>
  <si>
    <t>--Hojas y tiras. de espesor inferior o igual a 0.2 mm (sin incluir el soporte)</t>
  </si>
  <si>
    <t>Las demas manufacturas de plomo.</t>
  </si>
  <si>
    <t>Barras. perfiles y alambre</t>
  </si>
  <si>
    <t>Tubos y accesorios de tuberia</t>
  </si>
  <si>
    <t>Cinc en bruto.</t>
  </si>
  <si>
    <t>- Cinc sin alear:</t>
  </si>
  <si>
    <t>- - Con un contenido de cinc superior o igual al 99.99 % en peso</t>
  </si>
  <si>
    <t>- - Con un contenido de cinc inferior al 99.99 % en peso</t>
  </si>
  <si>
    <t>En panes</t>
  </si>
  <si>
    <t>DESPERDICIOS Y DESECHOS. DE CINC.</t>
  </si>
  <si>
    <t>Polvo y escamillas. de cinc.</t>
  </si>
  <si>
    <t>Barras. perfiles y alambre. de cinc.</t>
  </si>
  <si>
    <t>Alambre</t>
  </si>
  <si>
    <t>CHAPAS. HOJAS Y TIRAS. DE CINC.</t>
  </si>
  <si>
    <t>Las demas manufacturas de cinc.</t>
  </si>
  <si>
    <t>Estaño en bruto.</t>
  </si>
  <si>
    <t>DESPERDICIOS Y DESECHOS. DE ESTAÃ‘O.</t>
  </si>
  <si>
    <t>Barras. perfiles y alambre. de estaño.</t>
  </si>
  <si>
    <t>Las demas manufacturas de estaño.</t>
  </si>
  <si>
    <t>Chapas. hojas y tiras</t>
  </si>
  <si>
    <t>Polvo y escamillas</t>
  </si>
  <si>
    <t>Volframio (tungsteno) y sus manufacturas. incluidos los desperdicios y desechos.</t>
  </si>
  <si>
    <t>De pureza superior o igual al 97% en peso y diametro de particula inferior o igual a 500 micrometros</t>
  </si>
  <si>
    <t>De los tipos utilizados para la fabricacion de contactos electricos</t>
  </si>
  <si>
    <t>Molibdeno y sus manufacturas. incluidos los desperdicios y desechos.</t>
  </si>
  <si>
    <t>Tantalio y sus manufacturas. incluidos los desperdicios y desechos.</t>
  </si>
  <si>
    <t>Magnesio y sus manufacturas. incluidos los desperdicios y desechos.</t>
  </si>
  <si>
    <t>- Magnesio en bruto:</t>
  </si>
  <si>
    <t>- - Con un contenido de magnesio superior o igual al 99.8 % en peso</t>
  </si>
  <si>
    <t>Lingotes</t>
  </si>
  <si>
    <t>Polvo</t>
  </si>
  <si>
    <t>Barras con alma de alambre de acero</t>
  </si>
  <si>
    <t>anodos galvanicos para proteccion catodica</t>
  </si>
  <si>
    <t>Matas de cobalto y demas productos intermedios de la metalurgia del cobalto; cobalto y sus manufacturas. incluidos los desperdicios y desechos.</t>
  </si>
  <si>
    <t>De aleaciones a base de cobalto-cromo-volframio (tungsteno) (estelitas)</t>
  </si>
  <si>
    <t>Chapas. hojas. tiras. alambre. varillas. pastillas y plaquetas</t>
  </si>
  <si>
    <t>Bismuto y sus manufacturas. incluidos los desperdicios y desechos.</t>
  </si>
  <si>
    <t>Desperdicios y desechos</t>
  </si>
  <si>
    <t>Cadmio y sus manufacturas. incluidos los desperdicios y desechos.</t>
  </si>
  <si>
    <t>Titanio y sus manufacturas. incluidos los desperdicios y desechos.</t>
  </si>
  <si>
    <t>Circonio y sus manufacturas. incluidos los desperdicios y desechos.</t>
  </si>
  <si>
    <t>Antimonio y sus manufacturas. incluidos los desperdicios y desechos.</t>
  </si>
  <si>
    <t>Manganeso y sus manufacturas. incluidos los desperdicios y desechos.</t>
  </si>
  <si>
    <t>Berilio. cromo. germanio. vanadio. galio. hafnio (celtio). indio. niobio (colombio). renio y talio. asi como las manufacturas de estos metales. incluidos los desperdicios y desechos.</t>
  </si>
  <si>
    <t>- Berilio:</t>
  </si>
  <si>
    <t>- Cromo:</t>
  </si>
  <si>
    <t>- Talio:</t>
  </si>
  <si>
    <t>Galio</t>
  </si>
  <si>
    <t>Hafnio (celtio)</t>
  </si>
  <si>
    <t>Indio</t>
  </si>
  <si>
    <t>Niobio (colombio)</t>
  </si>
  <si>
    <t>Renio</t>
  </si>
  <si>
    <t>Germanio</t>
  </si>
  <si>
    <t>Vanadio</t>
  </si>
  <si>
    <t>Cermet y sus manufacturas. incluidos los desperdicios y desechos.</t>
  </si>
  <si>
    <t>Layas. palas. azadas. picos. binaderas. horcas de labranza. rastrillos y raederas; hachas. hocinos y herramientas similares con filo; tijeras de podar de cualquier tipo; hoces y guadañas. cuchillos para heno o para paja. cizallas para setos. cuñas y demas herramientas de mano. agricolas. horticolas o forestales.</t>
  </si>
  <si>
    <t>Con mango de madera</t>
  </si>
  <si>
    <t>De largo total inferior o igual a 300 mm</t>
  </si>
  <si>
    <t>De largo total superior a 300 mm pero inferior o igual a 1000 mm</t>
  </si>
  <si>
    <t>De largo total superior a 1000 mm pero inferior o igual a 1500 mm</t>
  </si>
  <si>
    <t>Con mango de plastico</t>
  </si>
  <si>
    <t>Con mango de metal</t>
  </si>
  <si>
    <t>Sin mango</t>
  </si>
  <si>
    <t>Azadas</t>
  </si>
  <si>
    <t>Con mango</t>
  </si>
  <si>
    <t>Picos</t>
  </si>
  <si>
    <t>Rastrillos</t>
  </si>
  <si>
    <t>De tipo escoba</t>
  </si>
  <si>
    <t>Regulable</t>
  </si>
  <si>
    <t>Con rienda</t>
  </si>
  <si>
    <t>Escardillos</t>
  </si>
  <si>
    <t>Hachas</t>
  </si>
  <si>
    <t>De peso inferior o igual a 500 g</t>
  </si>
  <si>
    <t>De peso superior a 500 g pero inferior o igual a 800 g</t>
  </si>
  <si>
    <t>De peso superior a 800 g pero inferior o igual a 1200 g</t>
  </si>
  <si>
    <t>Machetes</t>
  </si>
  <si>
    <t>Forjadas</t>
  </si>
  <si>
    <t>Con empuñadura de plastico</t>
  </si>
  <si>
    <t>Cuyo largo de hoja sea inferior o igual a 200 mm</t>
  </si>
  <si>
    <t>Cuyo largo de hoja sea superior a 200 mm pero inferior o igual a 255 mm</t>
  </si>
  <si>
    <t>Cuyo largo de hoja sea superior a 255 mm pero inferior o igual a 305 mm</t>
  </si>
  <si>
    <t>Horcas de labranza</t>
  </si>
  <si>
    <t>Sierras de mano; hojas de sierra de cualquier clase (incluidas las fresas sierra y las hojas sin dentar).</t>
  </si>
  <si>
    <t>De arco</t>
  </si>
  <si>
    <t>Para hojas de 155 mm de largo</t>
  </si>
  <si>
    <t>Para hojas de 300 mm de largo</t>
  </si>
  <si>
    <t>Serruchos</t>
  </si>
  <si>
    <t>Cuyo largo de hoja sea inferior o igual a 150 mm</t>
  </si>
  <si>
    <t>Cuyo largo de hoja sea superior a 150 mm pero inferior o igual a 300 mm</t>
  </si>
  <si>
    <t>Cuyo largo de hoja sea superior a 300 mm pero inferior o igual a 450 mm</t>
  </si>
  <si>
    <t>Cuyo largo de hoja sea superior a 450 mm pero inferior o igual a 600 mm</t>
  </si>
  <si>
    <t>- Hojas de sierra circulares (incluidas las fresas sierra):</t>
  </si>
  <si>
    <t>Con sectores postizos</t>
  </si>
  <si>
    <t>- Las demas hojas de sierra:</t>
  </si>
  <si>
    <t>Manuales (R. 520/97 MEOSP)</t>
  </si>
  <si>
    <t>Para serrucho mecanico cuyo largo de hoja sea inferior o igual a 500 mm</t>
  </si>
  <si>
    <t>De 300 mm de largo x 25 mm de ancho x 1.25 mm de espesor</t>
  </si>
  <si>
    <t>De 350 mm de largo x 25 mm de ancho x 1.25 mm de espesor</t>
  </si>
  <si>
    <t>De 350 mm de largo x 32 mm de ancho x 1.5 mm de espesor</t>
  </si>
  <si>
    <t>De 400 mm de largo x 32 mm de ancho x 1.5 mm de espesor</t>
  </si>
  <si>
    <t>De 425 mm de largo x 32 mm de ancho x 1.5 mm de espesor</t>
  </si>
  <si>
    <t>De 450 mm de largo x 32 mm de ancho x 1.5 mm de espesor</t>
  </si>
  <si>
    <t>De 450 mm de largo x 38 mm de ancho x 2 mm de espesor</t>
  </si>
  <si>
    <t>Para serrucho mecanico cuyo largo de hoja sea superior a 500 mm</t>
  </si>
  <si>
    <t>De 525 mm de largo x 38 mm de ancho x 2 mm de espesor</t>
  </si>
  <si>
    <t>De 600 mm de largo x 45 mm de ancho x 2.5 mm de espesor</t>
  </si>
  <si>
    <t>De 600 mm de largo x 50 mm de ancho x 2.5 mm de espesor</t>
  </si>
  <si>
    <t>De 650 mm de largo x 50 mm de ancho x 2.5 mm de espesor</t>
  </si>
  <si>
    <t>De 700 mm de largo x 55 mm de ancho x 2.5 mm de espesor</t>
  </si>
  <si>
    <t>De 750 mm de largo x 63 mm de ancho x 2.5 mm de espesor</t>
  </si>
  <si>
    <t>De acero bimetal</t>
  </si>
  <si>
    <t>Manuales</t>
  </si>
  <si>
    <t>De acero aleado. manuales. con un contenido total de molibdeno. volframio (tungsteno) y vanadio. considerados en conjunto. inferior al 7 %. en peso. y un contenido de cromo inferior al 3 %. en peso (R.1109/97 MEOSP)</t>
  </si>
  <si>
    <t>De acero sin alear cuyo largo de hoja es de 155 mm</t>
  </si>
  <si>
    <t>Rectas. sin dentar. para aserrar piedras</t>
  </si>
  <si>
    <t>Rectas. manuales. de acero rapido (R.520/97 MEOSP)</t>
  </si>
  <si>
    <t>Rectas. manuales. de acero bimetal</t>
  </si>
  <si>
    <t>Rectas. manuales. para trabajar metales. de acero aleado. con un contenido total de molibdeno. volframio (tungsteno) y vanadio. considerados en conjunto. inferior al 7 %. en peso. y un contenido de cromo inferior al 3 %. en peso (R.1109/97 MEOSP)</t>
  </si>
  <si>
    <t>Limas. escofinas. alicates (incluso cortantes). tenazas. pinzas. cizallas para metales. cortatubos. cortapernos. sacabocados y herramientas similares. de mano.</t>
  </si>
  <si>
    <t>Limas y escofinas</t>
  </si>
  <si>
    <t>Limas</t>
  </si>
  <si>
    <t>Escofinas</t>
  </si>
  <si>
    <t>- Alicates (incluso cortantes). tenazas. pinzas y herramientas similares</t>
  </si>
  <si>
    <t>Alicates (incluso cortantes)</t>
  </si>
  <si>
    <t>Pinza universal</t>
  </si>
  <si>
    <t>De 160 mm de longitud</t>
  </si>
  <si>
    <t>De 180 mm de longitud</t>
  </si>
  <si>
    <t>Pinza articulada de 2 posiciones</t>
  </si>
  <si>
    <t>Cortantes</t>
  </si>
  <si>
    <t>De 130 mm de longitud</t>
  </si>
  <si>
    <t>Tenazas</t>
  </si>
  <si>
    <t>Pinzas de depilar</t>
  </si>
  <si>
    <t>Cortatubos</t>
  </si>
  <si>
    <t>Cortapernos</t>
  </si>
  <si>
    <t>Sacabocados</t>
  </si>
  <si>
    <t>Llaves de ajuste de mano (incluidas las llaves dinamometricas); cubos (vasos)* de ajuste intercambiables. incluso con mango.</t>
  </si>
  <si>
    <t>- Llaves de ajuste de mano:</t>
  </si>
  <si>
    <t>Dinamometrica (torquimetro)</t>
  </si>
  <si>
    <t>De aguja</t>
  </si>
  <si>
    <t>Con rango de medicion 0-120 Nm ( 0-12 kgm )</t>
  </si>
  <si>
    <t>Con rango de medicion 0-250 Nm (0-25 kgm)</t>
  </si>
  <si>
    <t>Con rango de medicion 0-500 Nm (0-50 kgm)</t>
  </si>
  <si>
    <t>De nonio</t>
  </si>
  <si>
    <t>Con rango de medicion 10-50 Nm (1-5 kgm)</t>
  </si>
  <si>
    <t>Con rango de medicion 10-100 Nm (1-10 kgm)</t>
  </si>
  <si>
    <t>Con rango de medicion 20-200 Nm (2-20 kgm)</t>
  </si>
  <si>
    <t>Con rango de medicion 100-400 Nm (10-40 kgm)</t>
  </si>
  <si>
    <t>Con rango de medicion 250-700 Nm (25-70 kgm)</t>
  </si>
  <si>
    <t>Con rango de medicion 400-1200 Nm (40-120 kgm)</t>
  </si>
  <si>
    <t>Llaves combinadas con trinquetes en uno de sus extremos</t>
  </si>
  <si>
    <t>Llaves de impacto</t>
  </si>
  <si>
    <t>Acondicionadas para la venta al por menor que contengan dos o mas articulos del desarrollo de primer nivel 8204.11.00.9. incluso combinadas con articulos de los desarrollos de primer nivel 8204.11.00.2 y 8204.11.00.3</t>
  </si>
  <si>
    <t>Cuyo largo sea inferior o igual a 130 mm. excepto: llaves de pipa. llaves de tubo y llaves de cubo (vaso)</t>
  </si>
  <si>
    <t>Cuyo largo sea superior a 130 mmm pero inferior o igual a 240 mm. excepto: llaves de pipa. llaves de tubo y llaves de cubo (vaso)</t>
  </si>
  <si>
    <t>Cuyo largo sea superior a 240 mmm pero inferior o igual a 350 mm. excepto: llaves de pipa. llaves de tubo y llaves de cubo (vaso)</t>
  </si>
  <si>
    <t>Cuyo largo sea superior a 350 mmm pero inferior o igual a 510 mm. excepto: llaves de pipa. llaves de tubo y llaves de cubo (vaso)</t>
  </si>
  <si>
    <t>Llave tubo. de los tipos utilizados para bulones de ruedas en vehiculos automoviles</t>
  </si>
  <si>
    <t>De diametro exterior de la boca inferior o igual a 19 mm</t>
  </si>
  <si>
    <t>De diametro exterior de la boca superior a 19 mm pero inferior o igual a 28 mm</t>
  </si>
  <si>
    <t>De diametro exterior de la boca superior a 28 mm pero inferior o igual a 46 mm</t>
  </si>
  <si>
    <t>Barras de extension</t>
  </si>
  <si>
    <t>Adaptadores</t>
  </si>
  <si>
    <t>Acondicionadas para la venta al por menor que contengan dos o mas articulos de las posiciones SIM anteriores</t>
  </si>
  <si>
    <t>De hasta 10 unidades inclusive</t>
  </si>
  <si>
    <t>De 11 y hasta 40 unidades inclusive</t>
  </si>
  <si>
    <t>HERRAMIENTAS DE MANO (INCLUIDOS LOS DIAMANTES DE VIDRIERO) NO EXPRESADAS NI COMPRENDIDAS EN OTRA PARTE; LaMPARAS DE SOLDAR Y SIMILARES; TORNILLOS DE BANCO. PRENSAS DE CARPINTERO Y SIMILARES. EXCEPTO LOS QUE SEAN ACCESORIOS O PARTES DE MaQUINAS HERRAMIENTA O DE MaQUINAS PARA CORTAR POR CHORRO DE AGUA; YUNQUES; FRAGUAS PORTaTILES; MUELAS DE MANO O PEDAL. CON BASTIDOR.</t>
  </si>
  <si>
    <t>Berbiquies</t>
  </si>
  <si>
    <t>Terrajas</t>
  </si>
  <si>
    <t>Martillos</t>
  </si>
  <si>
    <t>Mazas</t>
  </si>
  <si>
    <t>Cepillos</t>
  </si>
  <si>
    <t>Formones</t>
  </si>
  <si>
    <t>Gubias</t>
  </si>
  <si>
    <t>Unicamente con punta tipo Torx</t>
  </si>
  <si>
    <t>De hasta 4 unidades inclusive</t>
  </si>
  <si>
    <t>De 5 y hasta 6 unidades inclusive</t>
  </si>
  <si>
    <t>Ãšnicamente de los tipos utilizados para tornillos de cabeza con hueco hexagonal. tipo "Allen"</t>
  </si>
  <si>
    <t>Ãšnicamente de los tipos utilizados para tornillos de cabeza con hueco hexagonal. con mango en T</t>
  </si>
  <si>
    <t>De 7 y hasta 10 unidades inclusive</t>
  </si>
  <si>
    <t>De 11 y hasta 15 unidades inclusive</t>
  </si>
  <si>
    <t>Con buscapolo</t>
  </si>
  <si>
    <t>Con punta tipo Torx</t>
  </si>
  <si>
    <t>De los tipos utilizados para tornillos de cabeza con hueco hexagonal</t>
  </si>
  <si>
    <t>Tipo "Allen"</t>
  </si>
  <si>
    <t>Con mango en T</t>
  </si>
  <si>
    <t>De punta esferica</t>
  </si>
  <si>
    <t>Con varilla de diametro inferior o igual a 4 mm</t>
  </si>
  <si>
    <t>De largo de varilla inferior o igual a 125 mm</t>
  </si>
  <si>
    <t>Con varilla de diametro superior a 4 mm pero inferior o igual a 5 mm</t>
  </si>
  <si>
    <t>Con varilla de diametro superior a 5 mm pero inferior o igual a 6 mm</t>
  </si>
  <si>
    <t>Con varilla de diametro superior a 6 mm pero inferior o igual a 8 mm</t>
  </si>
  <si>
    <t>Con varilla de diametro superior a 8 mm pero inferior o igual a 10 mm</t>
  </si>
  <si>
    <t>- Las demas herramientas de mano (incluidos los diamantes de vidriero):</t>
  </si>
  <si>
    <t>Chairas</t>
  </si>
  <si>
    <t>Abrelatas</t>
  </si>
  <si>
    <t>Ralladores</t>
  </si>
  <si>
    <t>Sacacorchos</t>
  </si>
  <si>
    <t>Cucharas de albañil</t>
  </si>
  <si>
    <t>Tornillos de banco</t>
  </si>
  <si>
    <t>Juegos de articulos de dos o mas de las subpartidas anteriores</t>
  </si>
  <si>
    <t>De hasta 3 unidades inclusive</t>
  </si>
  <si>
    <t>De 4 y hasta 7 unidades inclusive</t>
  </si>
  <si>
    <t>De 8 y hasta 12 unidades inclusive</t>
  </si>
  <si>
    <t>Yunques</t>
  </si>
  <si>
    <t>Fraguas portatiles</t>
  </si>
  <si>
    <t>Herramientas de dos o mas de las partidas 82.02 a 82.05. acondicionadas en juegos para la venta al por menor.</t>
  </si>
  <si>
    <t>De 25 y hasta 50 unidades inclusive</t>
  </si>
  <si>
    <t>De 51 y hasta 75 unidades inclusive</t>
  </si>
  <si>
    <t>De 76 y hasta 100 unidades inclusive</t>
  </si>
  <si>
    <t>De 101 y hasta 200 unidades inclusive</t>
  </si>
  <si>
    <t>Ãštiles intercambiables para herramientas de mano. incluso mecanicas. o para maquinas herramienta (por ejemplo: de embutir. estampar. punzonar. roscar (incluso aterrajar). taladrar. escariar. brochar. fresar. tornear. atornillar). incluidas las hileras de extrudir o de trefilar (estirar)* metal. asi como los utiles de perforacion o sondeo.</t>
  </si>
  <si>
    <t>- Ãštiles de perforacion o sondeo:</t>
  </si>
  <si>
    <t>Trepanos</t>
  </si>
  <si>
    <t>Barrenas</t>
  </si>
  <si>
    <t>Coronas</t>
  </si>
  <si>
    <t>Hileras de extrudir</t>
  </si>
  <si>
    <t>De estampar en caliente ("Hot Stamping"). con dispositivos de refrigeracion</t>
  </si>
  <si>
    <t>De roscar internamente</t>
  </si>
  <si>
    <t>Machos de roscar de acero rapido</t>
  </si>
  <si>
    <t>De diametros de la zona roscada de 2.0 a 2.6 mm (1/16" y 3/32")</t>
  </si>
  <si>
    <t>De diametros de la zona roscada de 2.7 a 6.9 mm (1/8". 5/32". 3/16". 7/32". 1/4")</t>
  </si>
  <si>
    <t>De diamtros de la zona roscada de 7 a 8.9 mm (5/16")</t>
  </si>
  <si>
    <t>De diametro de la zona roscada de 9.0 a 13.9 mm (3/8". 7/16" y 1/2")</t>
  </si>
  <si>
    <t>De diametros de la zona roscada de 14.0 a 17.9 mm (9/16". 5/8". y 11/16")</t>
  </si>
  <si>
    <t>De diametros de la zona roscada de 18.0 a 23.9 mm (3/4" y 7/8")</t>
  </si>
  <si>
    <t>De diametros de la zona roscada de 24.0 a 29.9 mm (1" y 1 1/8")</t>
  </si>
  <si>
    <t>De diametros de la zona roscada de 30 mm y mayores (1 1/4" y mayores)</t>
  </si>
  <si>
    <t>Machos de roscar de acero sin alear</t>
  </si>
  <si>
    <t>De diametros de la zona roscada de 3.0 a 5.9 mm (1/8". 5/32". 3/16" y 7/32")</t>
  </si>
  <si>
    <t>De diametros de la zona roscada de 6.0 a 8.9 mm (1/4" y 5/16")</t>
  </si>
  <si>
    <t>De diametros de la zona roscada de 9.0 a 15.9 mm (3/8". 7/16" y 5/8")</t>
  </si>
  <si>
    <t>De diametros de la zona roscada de 16.0 a 21.9 mm (11/16". 3/4"y 13/16")</t>
  </si>
  <si>
    <t>De diametros de la zona roscada de 22.0 a 23.9 mm (7/8")</t>
  </si>
  <si>
    <t>De diametros de la zona roscada de 24.0 mm y mayores ( 1" y mayores)</t>
  </si>
  <si>
    <t>De roscar externamente</t>
  </si>
  <si>
    <t>Brocas. incluso diamantadas</t>
  </si>
  <si>
    <t>Helicoidales. de diametro inferior o igual a 52 mm</t>
  </si>
  <si>
    <t>Con vastago cono morse normal. segun Norma DIN 345 (R.1111/98 MEOSP)</t>
  </si>
  <si>
    <t>De acero rapido. tipo AISI M2. M7 o de similar composicion quimica. de diametros inferiores a 23.25 mm (Res. 19/00 MEOSP)</t>
  </si>
  <si>
    <t>De diametros inferiores a 10 mm</t>
  </si>
  <si>
    <t>De diametros superiores o iguales a 10 mm pero inferiores o iguales a 13 mm</t>
  </si>
  <si>
    <t>De diametros superiores a 13 mm pero inferiores a 14.25 mm</t>
  </si>
  <si>
    <t>De diametros superiores o iguales a 14.25 mm pero inferiores o iguales a 16 mm</t>
  </si>
  <si>
    <t>De diametros superiores a 16 mm pero inferiores o iguales a 21 mm</t>
  </si>
  <si>
    <t>De diametros superiores a 21 mm pero inferiores o iguales a 22 mm</t>
  </si>
  <si>
    <t>De diametros superiores a 22 mm pero inferiores o iguales a 23 mm</t>
  </si>
  <si>
    <t>De diametros superiores a 23 mm</t>
  </si>
  <si>
    <t>De acero rapido tipo AISI M2. M7 o de similar composicion quimica. de diametros superiores o iguales a 23.25 mm pero inferiores o iguales a 36 mm (Res. 19/00 MEOSP)</t>
  </si>
  <si>
    <t>De diametros inferiores o iguales a 26 mm</t>
  </si>
  <si>
    <t>De diametros superiores a 26 mm pero inferiores o iguales a 29 mm</t>
  </si>
  <si>
    <t>De diametros superiores a 29 mm pero inferiores o iguales a 31 mm</t>
  </si>
  <si>
    <t>De diametros superiores a 31 mm pero inferiores a 32 mm</t>
  </si>
  <si>
    <t>De diametros superiores o iguales a 32 mm pero inferiores o iguales a 33 mm</t>
  </si>
  <si>
    <t>De diametros superiores a 33 mm</t>
  </si>
  <si>
    <t>De acero rapido tipo AISI M2. M7 o de similar composicion quimica. de diametros superiores a 36 mm (Res. 19/00 MEOSP)</t>
  </si>
  <si>
    <t>De diametros inferiores o iguales a 39 mm</t>
  </si>
  <si>
    <t>De diametros superiores a 39 mm pero inferiores o iguales a 45 mm</t>
  </si>
  <si>
    <t>De diametros superiores a 45 mm pero inferiores o iguales a 50 mm</t>
  </si>
  <si>
    <t>De diametros superiores a 50 mm pero inferiores o iguales a 51 mm</t>
  </si>
  <si>
    <t>De diametros superiores a 51 mm</t>
  </si>
  <si>
    <t>De diametros superiores o iguales a 10 mm pero inferiores a 14.25 mm</t>
  </si>
  <si>
    <t>De diametros superiores o iguales a 14.25 mm pero inferiores a 23.25 mm</t>
  </si>
  <si>
    <t>De diametros superiores o iguales a 23.25 mm pero inferiores a 32 mm</t>
  </si>
  <si>
    <t>De diametros superiores o iguales a 32 mm pero inferiores o iguales a 50 mm</t>
  </si>
  <si>
    <t>Con vastago cilindrico segun Norma DIN 338 de acero rapido tipo AISI M2. M7 o de similar composicion quimica (Res. 388/99 SICyM)</t>
  </si>
  <si>
    <t>Laminadas. sin revestir</t>
  </si>
  <si>
    <t>De diametros inferiores o iguales a 3 mm</t>
  </si>
  <si>
    <t>De diametros superiores a 3 mm pero inferiores o iguales a 5 mm</t>
  </si>
  <si>
    <t>De diametros superiores a 5 mm pero inferiores o iguales a 7 mm</t>
  </si>
  <si>
    <t>De diametros superiores a 7 mm pero inferiores o iguales a 9 mm</t>
  </si>
  <si>
    <t>De diametros superiores a 9 mm pero inferiores o iguales a 11 mm</t>
  </si>
  <si>
    <t>Rectificadas. sin revestir</t>
  </si>
  <si>
    <t>De diametros superiores 9 mm pero inferiores o iguales a 11 mm</t>
  </si>
  <si>
    <t>Revestidas con titanio</t>
  </si>
  <si>
    <t>Con vastago cilindrico. con inserto de metal duro. segun Norma DIN 8039. conocidas como para muros. mamposteria y cementicios no estructurales (Res.388/99 SICyM)</t>
  </si>
  <si>
    <t>De diametro inferior a 3 mm</t>
  </si>
  <si>
    <t>De diametro superior o igual a 3 mm pero inferior a 5 mm</t>
  </si>
  <si>
    <t>De diametro superior o igual a 5 mm pero inferior a 6 mm</t>
  </si>
  <si>
    <t>De diametro superior o igual a 6 mm pero inferior a 8 mm</t>
  </si>
  <si>
    <t>De diametro superior o igual a 8 mm pero inferior a 14 mm</t>
  </si>
  <si>
    <t>Las demas. con vastago cilindrico</t>
  </si>
  <si>
    <t>Integramente de carburo metalico</t>
  </si>
  <si>
    <t>Con parte operante diamantada</t>
  </si>
  <si>
    <t>De acero rapido. tipo AISI M 30 a M 48 o de similar composicion quimica. sin revestir</t>
  </si>
  <si>
    <t>De diametro inferior a 2.5 mm</t>
  </si>
  <si>
    <t>De diametro superior o igual a 2.5 mm pero inferior a 5 mm</t>
  </si>
  <si>
    <t>De diametro superior o igual a 5 mm pero inferior a 7 mm</t>
  </si>
  <si>
    <t>De diametro superior o igual a 7 mm pero inferior a 9 mm</t>
  </si>
  <si>
    <t>De diametro superior o igual a 9 mm pero inferior a 11 mm</t>
  </si>
  <si>
    <t>De diametro superior o igual a 11 mm pero inferior a 13 mm</t>
  </si>
  <si>
    <t>De diametro superior o igual a 13 mm pero inferior a 16 mm</t>
  </si>
  <si>
    <t>De diametro superior o igual a 16 mm pero inferior a 20 mm</t>
  </si>
  <si>
    <t>De acero rapido. tipo AISI M 30 a M 48 o de similar composicion quimica. con revestimiento</t>
  </si>
  <si>
    <t>De diametro superior o igual a 11 mm pero inferior 13 mm</t>
  </si>
  <si>
    <t>Para madera</t>
  </si>
  <si>
    <t>Acondicionadas para la venta al por menor conteniendo dos o mas articulos de las posiciones SIM anteriores</t>
  </si>
  <si>
    <t>Que contengan 2 o mas articulos de los desarrollos de segundo nivel 8207.50.11.11. 8207.50.11.12. 8207.50.11.13. 8207.50.11.21. 8207.50.11.22. 8207.50.11.23 o del desarrollo de primer nivel 8207.50.11.3</t>
  </si>
  <si>
    <t>De hasta 5 unidades inclusive</t>
  </si>
  <si>
    <t>De 6 y hasta 13 unidades inclusive</t>
  </si>
  <si>
    <t>De 14 y hasta 19 unidades inclusive</t>
  </si>
  <si>
    <t>Helicoidales con vastago cono morse normal. segÃ¹n norma DIN 345 (R. 19/00 MEOSP)</t>
  </si>
  <si>
    <t>De acero rÃ pido tipo AISI M2. M7 o de similar composiciÃ²n quÃ¬mica</t>
  </si>
  <si>
    <t>De centrar</t>
  </si>
  <si>
    <t>Frontales</t>
  </si>
  <si>
    <t>De tallar engranajes</t>
  </si>
  <si>
    <t>Fresas-tornillo (Creadores)</t>
  </si>
  <si>
    <t>De modulo inferior o igual a 3</t>
  </si>
  <si>
    <t>De modulo superior a 3 pero inferior o igual a 5</t>
  </si>
  <si>
    <t>De modulo superior a 5 pero inferior o igual a 8</t>
  </si>
  <si>
    <t>Afeitadores</t>
  </si>
  <si>
    <t>De espesor inferior o igual a 24 mm</t>
  </si>
  <si>
    <t>De diametro inferior a 210 mm</t>
  </si>
  <si>
    <t>De diametro superior o igual a 210 mm pero inferior o igual a 250 mm</t>
  </si>
  <si>
    <t>De espesor superior a 24 mm pero inferior o igual a 32 mm</t>
  </si>
  <si>
    <t>De espesor superior a 32 mm pero inferior o igual a 45 mm</t>
  </si>
  <si>
    <t>Chaflanadores</t>
  </si>
  <si>
    <t>De espesor inferior a 7 mm</t>
  </si>
  <si>
    <t>De espesor superior o igual a 7 mm pero inferior o igual a 10 mm</t>
  </si>
  <si>
    <t>De diametro inferior a 145 mm</t>
  </si>
  <si>
    <t>De diametro superior o igual a 145 mm pero inferior o igual a 165 mm</t>
  </si>
  <si>
    <t>Moletas roladoras de engranajes</t>
  </si>
  <si>
    <t>De espesor inferior a 15 mm</t>
  </si>
  <si>
    <t>De espesor superior o igual a 15 mm pero inferior o igual a 25 mm</t>
  </si>
  <si>
    <t>De diametro inferior a 45 mm</t>
  </si>
  <si>
    <t>De diametro superior o igual a 45 mm pero inferior o igual a 60 mm</t>
  </si>
  <si>
    <t>Vastagos de destornilladores</t>
  </si>
  <si>
    <t>Cuchillas y hojas cortantes. para maquinas o aparatos mecanicos.</t>
  </si>
  <si>
    <t>Cuchillas para fresas dentadoras presentadas en juegos</t>
  </si>
  <si>
    <t>De hasta 8 unidades inclusive</t>
  </si>
  <si>
    <t>De 9 y hasta 19 unidades inclusive</t>
  </si>
  <si>
    <t>De 20 y hasta 32 unidades inclusive</t>
  </si>
  <si>
    <t>De 33 y hasta 40 unidades inclusive</t>
  </si>
  <si>
    <t>Para maquinas agricolas</t>
  </si>
  <si>
    <t>Plaquitas. varillas. puntas y articulos similares para utiles. sin montar. de cermet.</t>
  </si>
  <si>
    <t>Plaquitas o pastillas</t>
  </si>
  <si>
    <t>Intercambiables</t>
  </si>
  <si>
    <t>Aparatos mecanicos accionados a mano. de peso inferior o igual a 10 kg. utilizados para preparar. acondicionar o servir alimentos o bebidas.</t>
  </si>
  <si>
    <t>Molinos</t>
  </si>
  <si>
    <t>Para picar carne</t>
  </si>
  <si>
    <t>Para rallar</t>
  </si>
  <si>
    <t>Para fabricar pastas alimenticias</t>
  </si>
  <si>
    <t>Abrelatas mecanicos</t>
  </si>
  <si>
    <t>Exprimidor de citricos</t>
  </si>
  <si>
    <t>Cuchillos con hoja cortante o dentada. incluidas las navajas de podar. y sus hojas (excepto los de la partida 82.08).</t>
  </si>
  <si>
    <t>De cubiertos integramente de acero inoxidable distinto de los de cocina y de servir (R.180/98 MEOSP)</t>
  </si>
  <si>
    <t>De cuchillos de mesa de hoja fija. de acero inoxidable. con mango de madera o de plastico (Res. SC N° 316-E/16)</t>
  </si>
  <si>
    <t>Monobloque para plato principal (R.180/98 MEOSP)</t>
  </si>
  <si>
    <t>Monobloque para postre (R.180/98 MEOSP)</t>
  </si>
  <si>
    <t>De mango hueco para plato principal integramente de acero inoxidable (R.180/98 MEOSP)</t>
  </si>
  <si>
    <t>De mango hueco para postre integramente de acero inoxidable (R.180/98 MEOSP)</t>
  </si>
  <si>
    <t>Para cocina y carniceria</t>
  </si>
  <si>
    <t>Para caza</t>
  </si>
  <si>
    <t>Navajas de podar y sus partes</t>
  </si>
  <si>
    <t>Cortaplumas. con una o varias hojas u otras piezas</t>
  </si>
  <si>
    <t>Con menos de 4 elementos</t>
  </si>
  <si>
    <t>Con 4 y hasta 8 elementos inclusive</t>
  </si>
  <si>
    <t>Con 9 y hasta 15 elementos inclusive</t>
  </si>
  <si>
    <t>Navajas y maquinas de afeitar y sus hojas (incluidos los esbozos en fleje).</t>
  </si>
  <si>
    <t>Navajas</t>
  </si>
  <si>
    <t>Maquinas y maquinillas</t>
  </si>
  <si>
    <t>De cabezal fijo</t>
  </si>
  <si>
    <t>Con parte operante de acero sin alear</t>
  </si>
  <si>
    <t>Con parte operante de acero inoxidable</t>
  </si>
  <si>
    <t>Hojas</t>
  </si>
  <si>
    <t>Esbozos en fleje</t>
  </si>
  <si>
    <t>Tijeras y sus hojas.</t>
  </si>
  <si>
    <t>Aptas para ser usadas en alimentos</t>
  </si>
  <si>
    <t>Los demas articulos de cuchilleria (por ejemplo: maquinas de cortar el pelo o de esquilar. cuchillas para picar carne. tajaderas de carniceria o cocina y cortapapeles); herramientas y juegos de herramientas de manicura o de pedicuro (incluidas las limas para uñas).</t>
  </si>
  <si>
    <t>Sacapuntas</t>
  </si>
  <si>
    <t>Juegos</t>
  </si>
  <si>
    <t>De manicura</t>
  </si>
  <si>
    <t>Limas para uñas</t>
  </si>
  <si>
    <t>Alicates para uñas</t>
  </si>
  <si>
    <t>Maquinas de esquilar y sus partes</t>
  </si>
  <si>
    <t>Aptos para ser usados en alimentos</t>
  </si>
  <si>
    <t>Cucharas. tenedores. cucharones. espumaderas. palas para tarta. cuchillos para pescado o manteca (mantequilla)*. pinzas para azucar y articulos similares.</t>
  </si>
  <si>
    <t>De cubiertos integramente de acero inoxidable. distinto de los de cocina y de servir. que incluyen cuchillos de acero inoxidable (R.180/98 MEOSP)</t>
  </si>
  <si>
    <t>De cubiertos integramente de acero inoxidable. distinto de los de cocina y de servir. que no incluyan cuchillos (R.180/98 MEOSP)</t>
  </si>
  <si>
    <t>Cucharas</t>
  </si>
  <si>
    <t>Para plato principal. integramente de acero inoxidable (R.180/98 MEOSP)</t>
  </si>
  <si>
    <t>Para postre. integramente de acero inoxidable (R.180/98 MEOSP)</t>
  </si>
  <si>
    <t>Para te. integramente de acero inoxidable (R.180/98 MEOSP)</t>
  </si>
  <si>
    <t>Para cafe. integramente de acero inoxidable (R.180/98 MEOSP)</t>
  </si>
  <si>
    <t>Tenedores</t>
  </si>
  <si>
    <t>Para pescado. integramente de acero inoxidable (R.180/98 MEOSP)</t>
  </si>
  <si>
    <t>Cuchillos para pescado. integramente de acero inoxidable (R.180/98 MEOSP)</t>
  </si>
  <si>
    <t>Candados. cerraduras y cerrojos (de llave. combinacion o electricos). de metal comun; cierres y monturas cierre. con cerradura incorporada. de metal comun; llaves de metal comun para estos articulos.</t>
  </si>
  <si>
    <t>De bronce a cilindro. traba doble</t>
  </si>
  <si>
    <t>Desde 20 mm hasta 30 mm inclusive. de ancho de caja</t>
  </si>
  <si>
    <t>Mayores de 30 mm hasta 40 mm inclusive. de ancho de caja</t>
  </si>
  <si>
    <t>Mayores de 40 mm hasta 65 mm de ancho de caja</t>
  </si>
  <si>
    <t>De llave fresada</t>
  </si>
  <si>
    <t>De llave punto</t>
  </si>
  <si>
    <t>Las demas cerraduras</t>
  </si>
  <si>
    <t>Multianclaje</t>
  </si>
  <si>
    <t>De llave cruz</t>
  </si>
  <si>
    <t>De pomo</t>
  </si>
  <si>
    <t>De llave incluso con traba</t>
  </si>
  <si>
    <t>De traba solamente</t>
  </si>
  <si>
    <t>Electricas (incluso electronicas)</t>
  </si>
  <si>
    <t>De activacion por tarjeta</t>
  </si>
  <si>
    <t>De activacion por teclado</t>
  </si>
  <si>
    <t>De llave doble paleta</t>
  </si>
  <si>
    <t>Cerrojos</t>
  </si>
  <si>
    <t>Los demas. de embutir</t>
  </si>
  <si>
    <t>Para candados</t>
  </si>
  <si>
    <t>Guarniciones. herrajes y articulos similares. de metal comun. para muebles. puertas. escaleras. ventanas. persianas. carrocerias. articulos de guarnicioneria. baules. arcas. cofres y demas manufacturas de esta clase; colgadores. perchas. soportes y articulos similares. de metal comun; ruedas con montura de metal comun; cierrapuertas automaticos de metal comun.</t>
  </si>
  <si>
    <t>Pomelas</t>
  </si>
  <si>
    <t>De acero sin alear. forjadas</t>
  </si>
  <si>
    <t>Cuyo espesor de ala sea inferior o igual a 1 mm</t>
  </si>
  <si>
    <t>Cuyo espesor de ala sea superior a 1 mm pero inferior o igual a 6 mm</t>
  </si>
  <si>
    <t>Cuyo espesor de ala sea superior a 6 mm pero inferior o igual a 8 mm</t>
  </si>
  <si>
    <t>Cuyo espesor de ala sea superior a 8 mm pero inferior o igual a 13 mm</t>
  </si>
  <si>
    <t>Las demas. de acero sin alear</t>
  </si>
  <si>
    <t>Cuyo espesor de ala sea inferior o igual a 3 mm</t>
  </si>
  <si>
    <t>Cuyo espesor de ala sea superior a 3 mm pero inferior o igual a 10 mm</t>
  </si>
  <si>
    <t>De laton</t>
  </si>
  <si>
    <t>Con municion o rodamiento. del tipo para soldar (excepto las de doble accion)</t>
  </si>
  <si>
    <t>De los demas aceros</t>
  </si>
  <si>
    <t>Las demas. con municion o rodamiento (excepto las de doble accion)</t>
  </si>
  <si>
    <t>Cuyo espesor de ala sea inferior o igual a 2.5 mm</t>
  </si>
  <si>
    <t>Cuyo espesor de ala sea superior a 2.5 mm pero inferior o igual a 8 mm</t>
  </si>
  <si>
    <t>De doble accion</t>
  </si>
  <si>
    <t>De accionamiento a muelle (resorte) (excepto las de doble accion)</t>
  </si>
  <si>
    <t>De los tipos utilizados en muebles</t>
  </si>
  <si>
    <t>Con bandaje de plastico</t>
  </si>
  <si>
    <t>Carros de los tipos utilizados en puertas y portones corredizos</t>
  </si>
  <si>
    <t>De dos elementos rodantes</t>
  </si>
  <si>
    <t>De tres elementos rodantes</t>
  </si>
  <si>
    <t>De cuatro elementos rodantes</t>
  </si>
  <si>
    <t>- Las demas guarniciones. herrajes y articulos similares:</t>
  </si>
  <si>
    <t>Fallebas</t>
  </si>
  <si>
    <t>Pasadores y cerrojos</t>
  </si>
  <si>
    <t>Mirillas</t>
  </si>
  <si>
    <t>Picaportes. manijas. pomos y articulos similares</t>
  </si>
  <si>
    <t>Dispositivo de enclavamiento de los tipos utilizados en puertas de acceso a piso para ascensores</t>
  </si>
  <si>
    <t>Picaportes. manijas. pomos y artÃ¬culos similares</t>
  </si>
  <si>
    <t>De bronce</t>
  </si>
  <si>
    <t>De piso</t>
  </si>
  <si>
    <t>De accionamiento hidraulico</t>
  </si>
  <si>
    <t>Con regulador de posicion y caja protectora</t>
  </si>
  <si>
    <t>De accionamiento a resorte</t>
  </si>
  <si>
    <t>Con regulador de posiciÃ²n y caja protectora</t>
  </si>
  <si>
    <t>Cajas de caudales. puertas blindadas y compartimientos para camaras acorazadas. cofres y cajas de seguridad y articulos similares. de metal comun.</t>
  </si>
  <si>
    <t>Puertas blindadas</t>
  </si>
  <si>
    <t>CLASIFICADORES. FICHEROS. CAJAS DE CLASIFICACION. BANDEJAS DE CORRESPONDENCIA. PLUMEROS (VASOS O CAJAS PARA PLUMAS DE ESCRIBIR). PORTASELLOS Y MATERIAL SIMILAR DE OFICINA. DE METAL COMÃšN. EXCEPTO LOS MUEBLES DE OFICINA DE LA PARTIDA 94.03.</t>
  </si>
  <si>
    <t>Mecanismos para encuadernacion de hojas intercambiables o para clasificadores. sujetadores. cantoneras. clips. indices de señal y articulos similares de oficina. de metal comun; grapas en tiras (por ejemplo: de oficina. tapiceria o envase). de metal comun.</t>
  </si>
  <si>
    <t>Clips</t>
  </si>
  <si>
    <t>Campanas. campanillas. gongos y articulos similares. que no sean electricos. de metal comun; estatuillas y demas articulos de adorno. de metal comun; marcos para fotografias. grabados o similares. de metal comun; espejos de metal comun.</t>
  </si>
  <si>
    <t>- Estatuillas y demas articulos de adorno:</t>
  </si>
  <si>
    <t>Espejos</t>
  </si>
  <si>
    <t>Tubos flexibles de metal comun. incluso con sus accesorios.</t>
  </si>
  <si>
    <t>De los tipos utilizados en la explotacion submarina de petroleo o gas. constituidos por capas flexibles de acero y capas de plastico. de diametro interior superior a 254 mm</t>
  </si>
  <si>
    <t>De acero inoxidable con pared continua. de los tipo utilizados para instalaciones domiciliarias de artefactos que utilizan gas natural o gas licuado de petroleo. segun norma NAG 254 o equivalente de otras normas</t>
  </si>
  <si>
    <t>De cobre. provisto de accesorios roscados. de los tipos utilizados en instalaciones sanitarias.</t>
  </si>
  <si>
    <t>CIERRES. MONTURAS CIERRE. HEBILLAS. HEBILLAS CIERRE. CORCHETES. GANCHOS. ANILLOS PARA OJETES Y ARTÃCULOS SIMILARES. DE METAL COMÃšN. DE LOS TIPOS UTILIZADOS PARA PRENDAS DE VESTIR O SUS COMPLEMENTOS (ACCESORIOS). CALZADO. BISUTERÃA. RELOJES DE PULSERA. LIBROS. TOLDOS. MARROQUINERÃA. TALABARTERÃA. ARTÃCULOS DE VIAJE O DEMaS ARTÃCULOS CONFECCIONADOS; REMACHES TUBULARES O CON ESPIGA HENDIDA. DE METAL COMÃšN; CUENTAS Y LENTEJUELAS. DE METAL COMÃšN.</t>
  </si>
  <si>
    <t>Ganchos macho y hembra. montados sobre sendas partes de tejido. de los tipos utilizados para abrochar prendas de corseteria</t>
  </si>
  <si>
    <t>De acero sin alear con espiga de acero</t>
  </si>
  <si>
    <t>De acero inoxidable con espiga de acero</t>
  </si>
  <si>
    <t>De cobre con espiga de acero</t>
  </si>
  <si>
    <t>De cobre con espiga de cobre</t>
  </si>
  <si>
    <t>De aluminio con espiga de acero</t>
  </si>
  <si>
    <t>De aluminio con espiga de aluminio</t>
  </si>
  <si>
    <t>Tubulares</t>
  </si>
  <si>
    <t>Hebillas</t>
  </si>
  <si>
    <t>Cuentas y lentejuelas</t>
  </si>
  <si>
    <t>Traba de cordon para prendas de vestir</t>
  </si>
  <si>
    <t>Tapones y tapas (incluidas las tapas corona. las tapas roscadas y los tapones vertedores). capsulas para botellas. tapones roscados. sobretapas. precintos y demas accesorios para envases. de metal comun.</t>
  </si>
  <si>
    <t>Tapas roscadas</t>
  </si>
  <si>
    <t>Sobretapas precintadoras apta para tambores</t>
  </si>
  <si>
    <t>Tapas del tipo abrefacil</t>
  </si>
  <si>
    <t>Sujetadores de alambre para tapones</t>
  </si>
  <si>
    <t>PLACAS INDICADORAS. PLACAS ROTULO. PLACAS DE DIRECCIONES Y PLACAS SIMILARES. CIFRAS. LETRAS Y SIGNOS DIVERSOS. DE METAL COMÃšN. EXCEPTO LOS DE LA PARTIDA 94.05.</t>
  </si>
  <si>
    <t>Alambres. varillas. tubos. placas. electrodos y articulos similares. de metal comun o de carburo metalico. recubiertos o rellenos de decapantes o de fundentes. para soldadura o deposito de metal o de carburo metalico; alambres y varillas. de polvo de metal comun aglomerado. para la metalizacion por proyeccion.</t>
  </si>
  <si>
    <t>-Alambre "relleno" para soldadura de arco. de metal comun</t>
  </si>
  <si>
    <t>-Varillas recubiertas y alambre "relleno" de soldar al soplete. de metal comun</t>
  </si>
  <si>
    <t>Reactores nucleares; elementos combustibles (cartuchos) sin irradiar para reactores nucleares; maquinas y aparatos para la separacion isotopica.</t>
  </si>
  <si>
    <t>Maquinas y aparatos</t>
  </si>
  <si>
    <t>Calderas de vapor (generadores de vapor). excepto las de calefaccion central concebidas para producir agua caliente y tambien vapor a baja presion; calderas denominadas «de agua sobrecalentada».</t>
  </si>
  <si>
    <t>- Calderas de vapor:</t>
  </si>
  <si>
    <t>--Calderas acuotubulares con una produccion de vapor superior a 45 t por hora</t>
  </si>
  <si>
    <t>--Calderas acuotubulares con una produccion de vapor inferior o igual a 45 t por hora</t>
  </si>
  <si>
    <t>-Calderas denominadas "de agua sobrecalentada"</t>
  </si>
  <si>
    <t>Calderas para calefaccion central. excepto las de la partida 84.02.</t>
  </si>
  <si>
    <t>Con capacidad inferior o igual a 200.000 kcal/h</t>
  </si>
  <si>
    <t>Tiraje natural</t>
  </si>
  <si>
    <t>Para calefaccion unicamente</t>
  </si>
  <si>
    <t>Para calefaccion y agua sanitaria</t>
  </si>
  <si>
    <t>Tiraje forzado</t>
  </si>
  <si>
    <t>Alimentadas unicamente mediante pellets de madera</t>
  </si>
  <si>
    <t>Aparatos auxiliares para las calderas de las partidas 84.02 u 84.03 (por ejemplo: economizadores. recalentadores. deshollinadores o recuperadores de gas); condensadores para maquinas de vapor.</t>
  </si>
  <si>
    <t>- Aparatos auxiliares para las calderas de las partidas 84.02 u 84.03</t>
  </si>
  <si>
    <t>De la partida 84.02</t>
  </si>
  <si>
    <t>De la partida 84.03</t>
  </si>
  <si>
    <t>De aparatos auxiliares para las calderas de la partida 84.02</t>
  </si>
  <si>
    <t>Generadores de gas pobre (gas de aire) o de gas de agua. incluso con sus depuradores; generadores de acetileno y generadores similares de gases. por via humeda. incluso con sus depuradores.</t>
  </si>
  <si>
    <t>Turbinas de vapor.</t>
  </si>
  <si>
    <t>- Las demas turbinas:</t>
  </si>
  <si>
    <t>--De potencia superior a 40 MW</t>
  </si>
  <si>
    <t>--De potencia inferior o igual a 40 MW</t>
  </si>
  <si>
    <t>Rotores</t>
  </si>
  <si>
    <t>De turbinas de reaccion. de multiples etapas</t>
  </si>
  <si>
    <t>alabes</t>
  </si>
  <si>
    <t>Fijos (de estator)</t>
  </si>
  <si>
    <t>Motores de embolo (piston) alternativo y motores rotativos. de encendido por chispa (motores de explosion).</t>
  </si>
  <si>
    <t>- Motores para la propulsion de barcos:</t>
  </si>
  <si>
    <t>Monocilindricos</t>
  </si>
  <si>
    <t>Monocilidricos</t>
  </si>
  <si>
    <t>- Motores de embolo (piston) alternativo de los tipos utilizados para la propulsion de vehiculos del Capitulo 87:</t>
  </si>
  <si>
    <t>- - De cilindrada inferior o igual a 50 cm 3</t>
  </si>
  <si>
    <t>--De cilindrada superior a 50 cm3 pero inferior o igual a 250 cm3.</t>
  </si>
  <si>
    <t>- - De cilindrada superior a 250 cm 3 pero inferior o igual a 1.000 cm 3</t>
  </si>
  <si>
    <t>- - De cilindrada superior a 1.000 cm 3</t>
  </si>
  <si>
    <t>De cilindrada superior o igual a 2.500 cm3 pero inferior o igual a 10.000 cm3. aptos para ser alimentados a gas (GNC. GNV o GNL). de los tipos utilizados para la propulsion de vehiculos automoviles de la Partida S.A. 87.02</t>
  </si>
  <si>
    <t>Los demas motores de hasta 270 HP. segun Norma DIN 6271 o equivalente. excepto los con eje vertical(R.21/99 MEOSP)</t>
  </si>
  <si>
    <t>Los demas motores. de eje vertical</t>
  </si>
  <si>
    <t>MOTORES DE Ã‰MBOLO (PISTON) DE ENCENDIDO POR COMPRESION (MOTORES DIÃ‰SEL O SEMI-DIÃ‰SEL).</t>
  </si>
  <si>
    <t>Del tipo fueraborda</t>
  </si>
  <si>
    <t>- Motores de los tipos utilizados para la propulsion de vehiculos del Capitulo 87</t>
  </si>
  <si>
    <t>De cilindrada inferior o igual a 1.500 cm 3</t>
  </si>
  <si>
    <t>De vehiculos para transporte de pasajeros. que no contengan mas de ocho asientos ademas del asiento del conductor y que. cargado. no exceda de un peso maximo de 3.500 kg.. incluidos los vehiculos del tipo "Van" o "Jeep todo terreno" que no cuenten con caja de carga separada del habitaculo (Ley 24.674 y modif.)</t>
  </si>
  <si>
    <t>De cilindrada superior a 1.500 cm 3 pero inferior o igual a 2.500 cm 3</t>
  </si>
  <si>
    <t>De vehiculos para transporte de pasajeros. que no contengan mas de ocho asientos ademas del asiento del conductor y que. cargado no exceda de un peso maximo de 3.500 Kg.. incluidos los vehiculos del tipo "Van" o "Jeep todo terreno". que no cuenten con caja de carga separada del habitaculo (Ley 24.674 y modif.)</t>
  </si>
  <si>
    <t>De cilindrada superior a 2.500 cm 3 pero inferior o igual a 3.500 cm 3</t>
  </si>
  <si>
    <t>De vehiculos para transporte de pasajeros. que no contengan mas de ocho asientos ademas del asiento del conductor y que. cargado. no exceda de un peso maximo de 3500 kg.. incluidos los vehiculos del tipo "Van" o "Jeep todo terreno". que no cuenten con caja de carga separada del habitaculo (Ley 24674 y modif.)</t>
  </si>
  <si>
    <t>De vehiculos para transporte de pasajeros. que no contengan mas de ocho asientos ademas del asiento del conductor y que. cargado. no exceda de un peso maximo de 3500 Kg. incluidos los vehiculos del tipo "Van" o "Jeep todo terreno". que no cuenten con caja de carga separada del habitaculo (Ley 24674 y modif.)</t>
  </si>
  <si>
    <t>Estacionarios. de potencia normal ISO. superior a 497.5 KW (663 HP). segun norma ISO 3046/1</t>
  </si>
  <si>
    <t>Los demas motores de potencia maxima inferior o igual a 360 HP. segun Norma DIN 6271 o equivalente. a mas de 1.000 rpm (R.21/99 MEOSP)</t>
  </si>
  <si>
    <t>Partes identificables como destinadas. exclusiva o principalmente. a los motores de las partidas 84.07 u 84.08.</t>
  </si>
  <si>
    <t>Bielas. bloques. culatas. carteres. carburadores. valvulas de admision o de escape. tubos multiples de admision o de escape. aros de embolo (piston) y guias de valvulas</t>
  </si>
  <si>
    <t>Bielas</t>
  </si>
  <si>
    <t>Bloques. culatas y carteres</t>
  </si>
  <si>
    <t>Bloques</t>
  </si>
  <si>
    <t>Carburadores con bomba y dispositivo de compensacion de nivel de combustible incorporados. ambos a menbrana. de diametro de venturi inferior o igual a 22.8 mm y peso inferior o igual a 280 g</t>
  </si>
  <si>
    <t>Valvulas de admision o de escape</t>
  </si>
  <si>
    <t>Tubos multiples de admision o de escape</t>
  </si>
  <si>
    <t>Aros de embolo (piston)</t>
  </si>
  <si>
    <t>Guias de valvulas</t>
  </si>
  <si>
    <t>Los demas carburadores</t>
  </si>
  <si>
    <t>Embolos (pistones)</t>
  </si>
  <si>
    <t>Camisas de cilindro</t>
  </si>
  <si>
    <t>Inyeccion electronica</t>
  </si>
  <si>
    <t>Dispositivo de inyeccion de combustible. del tipo Common Rail. constituido por conducto comun. valvula reguladora y sensor de presion. inyectores de comando electronico y tuberias de interconexion</t>
  </si>
  <si>
    <t>Ajustador hidraulico de valvulas (botador)</t>
  </si>
  <si>
    <t>Bloques. carteres. valvulas de admision o de escape. tubos multiples de admision o de escape y guias de valvulas</t>
  </si>
  <si>
    <t>Bloques y carteres</t>
  </si>
  <si>
    <t>Ã‰mbolos (pistones)</t>
  </si>
  <si>
    <t>Con diametro superior o igual a 200 mm</t>
  </si>
  <si>
    <t>Camisas de cilindros</t>
  </si>
  <si>
    <t>Con peso superior o igual a 30 kg</t>
  </si>
  <si>
    <t>Culatas</t>
  </si>
  <si>
    <t>Inyectores (incluidos los portainyectores)</t>
  </si>
  <si>
    <t>Con diametro superior o igual a 20 mm</t>
  </si>
  <si>
    <t>Camisas de cilindro soldadas a culatas. con diametro superior o igual a 200 mm</t>
  </si>
  <si>
    <t>Dispositivo de inyeccion de combustible. del tipo "Common Rail" constituido por conducto comun de alta presion con su valvula reguladora y sensor de presion. inyectores de comando electronico y tuberias de interconexion</t>
  </si>
  <si>
    <t>Actuador mecanico. a rodillo. activado mediante el arbol de levas. de los tipos utilizados para el accionamiento de bombas inyectoras</t>
  </si>
  <si>
    <t>Amortiguador de vibraciones torsionales del cigueñal. mediante fluido viscoso. en motores de embolo (piston) de encendido por compresion</t>
  </si>
  <si>
    <t>Turbinas hidraulicas. ruedas hidraulicas y sus reguladores.</t>
  </si>
  <si>
    <t>- Turbinas y ruedas hidraulicas:</t>
  </si>
  <si>
    <t>--De potencia inferior o igual a 1.000 kW</t>
  </si>
  <si>
    <t>--De potencia superior a 1.000 kW pero inferior o igual a 10.000 kW</t>
  </si>
  <si>
    <t>--De potencia superior a 10.000 kW</t>
  </si>
  <si>
    <t>Turborreactores. turbopropulsores y demas turbinas de gas.</t>
  </si>
  <si>
    <t>- Turborreactores:</t>
  </si>
  <si>
    <t>--De empuje inferior o igual a 25 kN</t>
  </si>
  <si>
    <t>--De empuje superior a 25 kN</t>
  </si>
  <si>
    <t>- Turbopropulsores:</t>
  </si>
  <si>
    <t>--De potencia inferior o igual a 1.100 kW</t>
  </si>
  <si>
    <t>--De potencia superior a 1.100 kW</t>
  </si>
  <si>
    <t>- Las demas turbinas de gas:</t>
  </si>
  <si>
    <t>--De potencia inferior o igual a 5.000 kW</t>
  </si>
  <si>
    <t>--De potencia superior a 5.000 kW</t>
  </si>
  <si>
    <t>- Partes:</t>
  </si>
  <si>
    <t>Camaras de combustion</t>
  </si>
  <si>
    <t>Toberas</t>
  </si>
  <si>
    <t>Coronas de estator</t>
  </si>
  <si>
    <t>Alabes</t>
  </si>
  <si>
    <t>Inyectores</t>
  </si>
  <si>
    <t>Los demas motores y maquinas motrices.</t>
  </si>
  <si>
    <t>- Motores hidraulicos:</t>
  </si>
  <si>
    <t>Cilindros hidraulicos</t>
  </si>
  <si>
    <t>Sistemas hidraulicos para el movimiento de ascensores (R.451/95 MEOSP)</t>
  </si>
  <si>
    <t>Dispositivo tensor. de los tipos utilizados en correas de distribucion de motores para la propulsion de vehiculos del Capitulo 87</t>
  </si>
  <si>
    <t>- Motores neumaticos:</t>
  </si>
  <si>
    <t>Cilindros neumaticos</t>
  </si>
  <si>
    <t>Actuador neumatico. incluso con sus valvulas de control. de los tipos utilizados para el cambio de relacion en ejes con diferencial</t>
  </si>
  <si>
    <t>Molinos de viento</t>
  </si>
  <si>
    <t>De propulsores a reaccion</t>
  </si>
  <si>
    <t>De maquinas de vapor con movimiento rectilineo (cilindros)</t>
  </si>
  <si>
    <t>Otras. de maquinas de las subpartidas 8412.21 u 8412.31</t>
  </si>
  <si>
    <t>Bombas para liquidos. incluso con dispositivo medidor incorporado; elevadores de liquidos.</t>
  </si>
  <si>
    <t>- Bombas con dispositivo medidor incorporado o concebidas para llevarlo:</t>
  </si>
  <si>
    <t>Para uso en bombeo de fluidos sanguineos o infusiones hospitalarias</t>
  </si>
  <si>
    <t>Peristaltica</t>
  </si>
  <si>
    <t>-Bombas manuales. excepto las de las subpartidas 8413.11 u 8413.19</t>
  </si>
  <si>
    <t>Para gasolina o alcohol</t>
  </si>
  <si>
    <t>Con motor electrico incorporado</t>
  </si>
  <si>
    <t>Modulo de alimentacion de gasolina. constituido por: bomba. regulador de presion. sensor de nivel y filtro. de los tipos utilizados en depositos de combustible de vehiculos automoviles</t>
  </si>
  <si>
    <t>Inyectoras de combustible para motores de encendido por compresion</t>
  </si>
  <si>
    <t>Para aceite lubricante</t>
  </si>
  <si>
    <t>Para refrigerante. de caudal superior o igual a 33.33 l/min (2 m3) pero inferior o igual a 300 l/min (18 m3) y de peso superior o igual a 0.5 kg pero inferior o igual a 18 kg excepto las para motores de uso ferroviario o aereo</t>
  </si>
  <si>
    <t>De combustible diesel. con sensor de nivel. de los tipos utilizados en depositos de combustible de vehiculos automoviles</t>
  </si>
  <si>
    <t>De potencia superior a 3.73 kW (5 HP) e inferior o igual a 447.42 kW (600 HP). excluidas las para oxigeno liquido</t>
  </si>
  <si>
    <t>Con motor de accionamiento de potencia superior a 5 HP pero inferior o igual a 100 HP</t>
  </si>
  <si>
    <t>Con motor de accionamiento de potencia superior a 100 HP pero inferior o igual a 300 HP</t>
  </si>
  <si>
    <t>Con motor de accionamiento de potencia superior a 300 HP pero inferior o igual a 500 HP</t>
  </si>
  <si>
    <t>De caudal inferior o igual a 300 l/min</t>
  </si>
  <si>
    <t>De engranajes</t>
  </si>
  <si>
    <t>De caudal inferior o igual a 50 l/min</t>
  </si>
  <si>
    <t>De caudal inferior o igual a 5 l/min. con motor electrico de accionamiento y deposito de fluido hidraulico. de los tipos utilizados en cajas de direccion asistida de vehiculos automoviles</t>
  </si>
  <si>
    <t>De caudal superior a 50 l/min pero inferior o igual a 100 l/min</t>
  </si>
  <si>
    <t>De caudal superior a 100 l/min pero inferior o igual a 200 l/min</t>
  </si>
  <si>
    <t>De pistones. con polea. de los tipos utilizados en los sistemas de direccion hidraulica de vehiculos automoviles</t>
  </si>
  <si>
    <t>Electrobombas sumergibles</t>
  </si>
  <si>
    <t>Con motor de accionamiento de potencia inferior a 2 HP</t>
  </si>
  <si>
    <t>Con motor de accionamiento de potencia igual a 2 HP pero inferior o igual a 5 HP</t>
  </si>
  <si>
    <t>Con motor de potencia superior a 3.75 kW (5 HP) pero inferior o igual a 7.5 kW (10 HP)</t>
  </si>
  <si>
    <t>Con motor de potencia inferior o igual a 5 kW (6.66 HP)</t>
  </si>
  <si>
    <t>Con motor de potencia superior a 10 HP pero inferior o igual a 25 HP</t>
  </si>
  <si>
    <t>Con motor de potencia superior a 25 HP pero inferior o igual a 50 HP</t>
  </si>
  <si>
    <t>Las demas. de caudal inferior o igual a 300 l/min</t>
  </si>
  <si>
    <t>Con motor de corriente continua tipo "brushless". de los tipos utilizados en aparatos climatizadores de aire de cabinas de vehiculos automoviles</t>
  </si>
  <si>
    <t>Electrobombas. no autocebantes. de caudal superior o igual a 100 l/min</t>
  </si>
  <si>
    <t>Con motor de potencia superior o igual a 0.1875 kW (0.25 HP) pero inferior o igual a 0.375 kW (0.5 HP)</t>
  </si>
  <si>
    <t>Con motor de potencia superior a 0.375 kW (0.5 HP) pero inferior o igual a 0.5625 kW (0.75 HP)</t>
  </si>
  <si>
    <t>Con motor de potencia superior a 0.5625 kW (0.75 HP) pero inferior o igual a 1.5 kW (2 HP)</t>
  </si>
  <si>
    <t>Con motor de potencia superior a 1.5 kW (2 HP) pero inferior o igual a 3.75 kW (5 HP)</t>
  </si>
  <si>
    <t>Con motor de potencia superior a 3.75 kW (5 HP) pero inferior o igual a 5.625 kW (7.5 HP)</t>
  </si>
  <si>
    <t>Con motor de accionamiento de potencia inferior o igual a 1.5 kW (2 HP)</t>
  </si>
  <si>
    <t>Electrobombas. no autocebantes. de caudal inferior o igual a 1000 l/min</t>
  </si>
  <si>
    <t>Con motor de potencia superior a 0.375 kW (0.5 HP) pero inferior o igual a 0.5625kW (0.75 HP)</t>
  </si>
  <si>
    <t>Con motor de potencia superior a 0.5625 kW (0.75 HP)</t>
  </si>
  <si>
    <t>De caudal superior a 300 l/min pero inferior o igual a 600 l/min</t>
  </si>
  <si>
    <t>Con motor de accionamiento de potencia superior a 1.5 kW (2 HP) pero inferior o igual a 3.75 kW (5 HP)</t>
  </si>
  <si>
    <t>Con motor de accionamiento de potencia superior a 3.75 kW (5 HP) pero inferior o igual a 5.625 kW (7.5 HP)</t>
  </si>
  <si>
    <t>Con motor de accionamiento de potencia superior a 5.625 kW (7.5 HP) pero inferior o igual a 18.75 kW (25 HP)</t>
  </si>
  <si>
    <t>Con motor de accionamiento de potencia superior a 18.75 kW (25 HP) pero inferior o igual a 37.5 kW (50 HP)</t>
  </si>
  <si>
    <t>- Las demas bombas; elevadores de liquidos:</t>
  </si>
  <si>
    <t>Con motor de accionamiento de potencia igual a 3.75 kW (5 HP) pero inferior o igual a 5 kW (10 HP)</t>
  </si>
  <si>
    <t>Con motor de accionamiento inferior o igual a 5 kW (6.66 HP)</t>
  </si>
  <si>
    <t>Con motor de accionamiento de potencia igual a 10 HP pero inferior o igual a 25 HP</t>
  </si>
  <si>
    <t>Con motor de accionamiento de potencia superior a 25 HP pero inferior o igual a 50 HP</t>
  </si>
  <si>
    <t>Varillas de bombeo de los tipos utilizados para extraccion de petroleo</t>
  </si>
  <si>
    <t>De la subpartida 8413.11</t>
  </si>
  <si>
    <t>De la subpartida 8413.19</t>
  </si>
  <si>
    <t>De circulacion extracorporea</t>
  </si>
  <si>
    <t>De contrapulsacion</t>
  </si>
  <si>
    <t>De infusion</t>
  </si>
  <si>
    <t>De la subpartida 8413.20</t>
  </si>
  <si>
    <t>De la subpartida 8413.30</t>
  </si>
  <si>
    <t>De la subpartida 8413.40</t>
  </si>
  <si>
    <t>De la subpartida 8413.50</t>
  </si>
  <si>
    <t>De la subpartida 8413.60</t>
  </si>
  <si>
    <t>Bombas de aire o de vacio. compresores de aire u otros gases y ventiladores; campanas aspirantes para extraccion o reciclado. con ventilador incorporado. incluso con filtro.</t>
  </si>
  <si>
    <t>De los tipos utilizados en vehiculos de las partidas 87.01 a 87.05</t>
  </si>
  <si>
    <t>Rotativas accionadas mediante arbol de levas de motores de combustion interna</t>
  </si>
  <si>
    <t>De acople por eje de bomba de diametro inferior a 17 mm</t>
  </si>
  <si>
    <t>De acople por disco de arrastre. de diametro superior o igual a 17 mm. pero inferior a 26 mm</t>
  </si>
  <si>
    <t>De acople por disco de arrastre. de diametro superior o igual a 26 mm. pero inferior a 34 mm</t>
  </si>
  <si>
    <t>Alternativas</t>
  </si>
  <si>
    <t>De membrana. accionadas electricamente</t>
  </si>
  <si>
    <t>Las demas. de membrana</t>
  </si>
  <si>
    <t>Las demas. rotativas</t>
  </si>
  <si>
    <t>Con accionamiento mediante engranajes</t>
  </si>
  <si>
    <t>De accionamiento mediante correas</t>
  </si>
  <si>
    <t>De los tipos utilizados para tratamiento de la disfuncion erectil</t>
  </si>
  <si>
    <t>Motocompresores hermeticos</t>
  </si>
  <si>
    <t>Con capacidad inferior a 4.700 frigorias/h</t>
  </si>
  <si>
    <t>Con capacidad inferior o igual a 16.000 frigorias/h</t>
  </si>
  <si>
    <t>De los tipos de los utilizados en equipos de acondicionamiento de aire en vehiculos del Capitulo 87</t>
  </si>
  <si>
    <t>Con un desplazamiento inferior a 170 cm3</t>
  </si>
  <si>
    <t>Con un desplazamiento superior o igual a 170 cm3 pero inferior o igual a 380 cm3</t>
  </si>
  <si>
    <t>Con un desplazamiento superior a 380 cm3</t>
  </si>
  <si>
    <t>De tornillo. con capacidad de desplazamiento volumetrico mayor o igual a doscientos metros cubicos por hora (200m3/h). incluso con tablero y motor de accionamiento</t>
  </si>
  <si>
    <t>De desplazamiento alternativo</t>
  </si>
  <si>
    <t>De tornillo</t>
  </si>
  <si>
    <t>Propulsados con motor electrico. de potencia superior a 9 kW (12 HP) [Res.346/2006 S.I.C. y P.y M.E.]</t>
  </si>
  <si>
    <t>- Ventiladores:</t>
  </si>
  <si>
    <t>- - Ventiladores de mesa. suelo. pared. cielo raso. techo o ventana. con motor electrico incorporado de potencia inferior o igual a 125 W</t>
  </si>
  <si>
    <t>De mesa</t>
  </si>
  <si>
    <t>De diametro inferior o igual a 225 mm inclusive. entre extremos de aspas</t>
  </si>
  <si>
    <t>Conectable a red electrica</t>
  </si>
  <si>
    <t>Con "timer"</t>
  </si>
  <si>
    <t>De diametro superior a 225 mm pero inferior o igual a 400 mm. inclusive entre extremos de aspas</t>
  </si>
  <si>
    <t>De diametro superior a 400 mm pero inferior o igual a 500 mm. inclusive entre extremos de aspas</t>
  </si>
  <si>
    <t>De techo</t>
  </si>
  <si>
    <t>Con aspas de madera</t>
  </si>
  <si>
    <t>Combinados con artefactos de iluminacion</t>
  </si>
  <si>
    <t>De diametro entre extremos de aspas inferior a 900 mm</t>
  </si>
  <si>
    <t>De diametro entre extremos de aspas superior o igual a 900 mm pero inferior a 1.200 mm</t>
  </si>
  <si>
    <t>De diametro entre extremos de aspas igual o superior a 1.200 mm pero inferior a 1.500 mm</t>
  </si>
  <si>
    <t>Con aspas de metal</t>
  </si>
  <si>
    <t>Con aspas de plastico</t>
  </si>
  <si>
    <t>Ventiladores de pie con caño extensible</t>
  </si>
  <si>
    <t>Ventiladores de pared</t>
  </si>
  <si>
    <t>Microventiladores con area de carcaza inferior a 90 cm2</t>
  </si>
  <si>
    <t>Ventiladores de mesa. de pared. de pie y turbo. con motor electrico incorporado. conectable a la red electrica</t>
  </si>
  <si>
    <t>Ventilador accionado mediante motor electrico de corriente continua para una tension de 24 V. de los tipos utilizados en evaporadores o condensadores de aparatos de aire acondicionado de vehiculos automoviles.</t>
  </si>
  <si>
    <t>Los demas ventiladores axiales. con motor electrico incorporado. de potencia superior o igual a 0.0375 kW (0.05HP) pero inferior o igual a 1.125 kW (1.5HP). excepto los accionados con motor electrico de tecnologia inverter o de conmutacion electronica ("EC")</t>
  </si>
  <si>
    <t>Los demas ventiladores. axiales o centrifugos. con motor electrico de conmutacion electronica ("EC"). de los tipos utilizados en aparatos para acondicionamiento de aire</t>
  </si>
  <si>
    <t>- Campanas aspirantes en las que el mayor lado horizontal sea inferior o igual a 120 cm</t>
  </si>
  <si>
    <t>Equipos profesionales con tension de alimentacion de 380 VCA</t>
  </si>
  <si>
    <t>Compresores de aire</t>
  </si>
  <si>
    <t>Estacionarios. de embolo (piston)</t>
  </si>
  <si>
    <t>Propulsados con motor electrico. de potencia superior a 9 kW (12 HP)[Res.346/2006 S.I.C.yP.y M.E.]</t>
  </si>
  <si>
    <t>De lobulos paralelos (tipo "Roots")</t>
  </si>
  <si>
    <t>Turbocompresores de aire</t>
  </si>
  <si>
    <t>Turboalimentadores de aire. de peso inferior o igual a 50 kg para motores de las partidas 84.07 u 84.08. accionados por los gases de escape de los mismos</t>
  </si>
  <si>
    <t>Turboalimentadores de aire. de peso superior a 50 kg para motores de las partidas 84.07 u 84.08. accionados por los gases de escape de los mismos</t>
  </si>
  <si>
    <t>De los tipos utilizados en productos englobados por el acuerdo ALADI/AAP.CE/14.44. del Apendice I.</t>
  </si>
  <si>
    <t>Compresores de gases (excepto aire)</t>
  </si>
  <si>
    <t>De embolo (piston)</t>
  </si>
  <si>
    <t>Cuerpo compresor de gas con sus correspondientes cilindros para unidades compresoras de gas. sin motor. sin aeroenfriador intercambiador de calor. sin recipientes para gas comprimido de fundicion hierro o acero. sin bastidor. sin tableros de control. sin tuberias de conexion</t>
  </si>
  <si>
    <t>Con capacidad de desplazamiento volumetrico mayor o igual a doscientos metros cubicos por hora (200 m3/h). incluso con tablero y motor de accionamiento</t>
  </si>
  <si>
    <t>Centrifugos. de caudal maximo inferior a 22.000 m3/h</t>
  </si>
  <si>
    <t>Los demas compresores centrifugos</t>
  </si>
  <si>
    <t> De bombas</t>
  </si>
  <si>
    <t>De ventiladores o campanas aspirantes</t>
  </si>
  <si>
    <t>De ventiladores</t>
  </si>
  <si>
    <t>Rejillas metalicas de proteccion. de diametro superior a 400 mm</t>
  </si>
  <si>
    <t>De campanas aspirantes</t>
  </si>
  <si>
    <t>De compresores</t>
  </si>
  <si>
    <t>Valvulas</t>
  </si>
  <si>
    <t>Maquinas y aparatos para acondicionamiento de aire que comprendan un ventilador con motor y los dispositivos adecuados para modificar la temperatura y la humedad. aunque no regulen separadamente el grado higrometrico.</t>
  </si>
  <si>
    <t>- De los tipos concebidos para ser montados sobre una ventana. pared. techo o suelo. formando un solo cuerpo o del tipo sistema de elementos separados («split-system»)</t>
  </si>
  <si>
    <t>Con capacidad inferior o igual a 30.000 frigorias/h</t>
  </si>
  <si>
    <t>Del tipo sistema de elementos separados («split-system»)</t>
  </si>
  <si>
    <t>Con capacidad inferior o igual a 2.500 frigorias/h</t>
  </si>
  <si>
    <t>Con tecnologia "Inverter"</t>
  </si>
  <si>
    <t>Con capacidad superior a 2.500 frigorias/h pero inferior o igual a 5.000 frigorias/h</t>
  </si>
  <si>
    <t>Con capacidad superior a 5.000 frigorias/h pero inferior o igual a 10.000 frigorias/h</t>
  </si>
  <si>
    <t>Con capacidad superior a 5.000 frigorias/h pero inferior o igual a 6.500 frigorias/h con tecnologia "Inverter"</t>
  </si>
  <si>
    <t>Con capacidad superior a 5.000 frigorias/h pero inferior o igual a 6.000 frigorias/h</t>
  </si>
  <si>
    <t>Los demas. con capacidad superior a 5.000 frigorias/h pero inferior o igual a 6.500 frigorias/h</t>
  </si>
  <si>
    <t>Con capacidad superior a 10.000 frigorias/h pero inferior o igual a 15.000 frigorias/h</t>
  </si>
  <si>
    <t>Con capacidad superior a 15.000 frigarias/h pero inferior o igual a 18.056 frigorias/h (21 kW)</t>
  </si>
  <si>
    <t>Con capacidad superior a 2.500 frigorias/h pero inferior o igual a 3.500 frigorias/h</t>
  </si>
  <si>
    <t>Del tipo sistema de elementos separados ("split-system")</t>
  </si>
  <si>
    <t>Con capacidad inferior o igual a 10.000 frigorias/h</t>
  </si>
  <si>
    <t>Con capacidad inferior o igual a 15.000 frigorias/h (R.92/98 SIC Y M). excepto los portatiles</t>
  </si>
  <si>
    <t>Con capacidad superior a 2500 frigorias/h pero inferior o igual a 5000 frigorias/h</t>
  </si>
  <si>
    <t>Con capacidad superior a 6.000 frigorias/h pero inferior o igual a 6.500 frigorias/h</t>
  </si>
  <si>
    <t>Portatiles. con capacidad inferior o igual a 5.000 frigorias/h.</t>
  </si>
  <si>
    <t>Con capacidad inferior o igual a 20000 frigorias/h</t>
  </si>
  <si>
    <t>Con capacidad inferior o igual a 18.056 frigorias/h (21 kW)</t>
  </si>
  <si>
    <t>Con capacidad superior a 20.000 frigorias/h pero inferior o igual a 25.000 frigorias/h</t>
  </si>
  <si>
    <t>Con capacidad inferior o igual a 35.000 frigorias/h</t>
  </si>
  <si>
    <t>Con capacidad superior a 35.000 frigorias/h pero inferior o igual a 40.000 frigorias/h</t>
  </si>
  <si>
    <t>Con capacidad superior a 40.000 frigorias/h pero inferior o igual a 45.000 frigorias/h</t>
  </si>
  <si>
    <t>Con capacidad superior a 45.000 frigorias/h pero inferior o igual a 50.000 frigorias/h</t>
  </si>
  <si>
    <t>Con capacidad inferior o igual a 15.000 frigorias/hora (Res. 92/98SICyM)</t>
  </si>
  <si>
    <t>Con capacidad inferior o igual a 20.000 frigorias/h</t>
  </si>
  <si>
    <t>Unidades compactas prefabricadas. sin unidad condensadora</t>
  </si>
  <si>
    <t>Con capacidad inferior o igual a 15.000 frigorias/h</t>
  </si>
  <si>
    <t>Unidades de la subpartida 8415.20</t>
  </si>
  <si>
    <t>Con capacidad de refrigeracion inferior o igual a 10.000 friforias/h</t>
  </si>
  <si>
    <t>Unidades evaporadoras (internas) de aparatos para acondicionamiento de aire del tipo sistema de elementos separados («split-system»). con capacidad inferior o igual a 30.000 frigorias/h</t>
  </si>
  <si>
    <t>Con capacidad superior a 2.500 frigorias/h pero inferior o igual a 6.000 frigorias/h</t>
  </si>
  <si>
    <t>Con capacidad superior a 6.500 frigorias/h pero inferior o igual a 30.000 frigorias/h</t>
  </si>
  <si>
    <t>Unidades condensadoras (externas) de aparatos para acondicionamiento de aire del tipo sistema de elementos separados («split-system»). con capacidad inferior o igual a 30.000 frigorias/h</t>
  </si>
  <si>
    <t>Con capacidad superior a 6.500 frigorias/h pero inferior o igual a 15.000 frigorias/h</t>
  </si>
  <si>
    <t>Con capacidad superior a 15.000 frigorias/h pero inferior o igual a 30.000 frigorias/h</t>
  </si>
  <si>
    <t>De la subpartida 8415.10. excepto las unidades evaporadoras (internas) y unidades condensadoras (externas) de aparatos para acondicionamiento de aire del tipo sistema de elementos separados ("split-system")</t>
  </si>
  <si>
    <t>De la subpartida 8415.20</t>
  </si>
  <si>
    <t>De la subpartida 8415.81</t>
  </si>
  <si>
    <t>De la subpartida 8415.82</t>
  </si>
  <si>
    <t>Quemadores para la alimentacion de hogares. de combustibles liquidos o solidos pulverizados o de gases; alimentadores mecanicos de hogares. parrillas mecanicas. descargadores mecanicos de cenizas y demas dispositivos mecanicos auxiliares empleados en hogares.</t>
  </si>
  <si>
    <t>De gases</t>
  </si>
  <si>
    <t>De pellets de madera. con potencia de superior a 20 kW</t>
  </si>
  <si>
    <t>Alimentadores mecanicos de hogares</t>
  </si>
  <si>
    <t>Parrillas mecanicas</t>
  </si>
  <si>
    <t>Hornos industriales o de laboratorio. incluidos los incineradores. que no sean electricos.</t>
  </si>
  <si>
    <t>Hornos industriales para fusion de metales</t>
  </si>
  <si>
    <t>Hornos industriales para tratamiento termico de metales</t>
  </si>
  <si>
    <t>De recocido</t>
  </si>
  <si>
    <t>De temple</t>
  </si>
  <si>
    <t>De cementacion</t>
  </si>
  <si>
    <t>De panaderia o pasteleria</t>
  </si>
  <si>
    <t>Horno de panaderia. a fuego directo. con capacidad de producir 8.700 unidades de panes de molde y 32.000 unidades de bolleria por hora.(R.5/99 MEOSP).</t>
  </si>
  <si>
    <t>Hornos industriales para ceramica</t>
  </si>
  <si>
    <t>De esmaltado</t>
  </si>
  <si>
    <t>Monostrato (de una sola capa). modular</t>
  </si>
  <si>
    <t>Hornos industriales para fusion de vidrio</t>
  </si>
  <si>
    <t>Refrigeradores. congeladores y demas material. maquinas y aparatos para produccion de frio. aunque no sean electricos; bombas de calor. excepto las maquinas y aparatos para acondicionamiento de aire de la partida 84.15.</t>
  </si>
  <si>
    <t>De volumen bruto total superior a 250 l pero inferior o igual a 400 l. segun norma IRAM 2120-2:1997</t>
  </si>
  <si>
    <t>De volumen bruto total superior a 400 l pero inferior o igual a 450 l. segun norma IRAM 2120-2:1997</t>
  </si>
  <si>
    <t>De volumen bruto total superior a 450 l pero inferior o igual a 800 l. segun norma IRAM 2120-2:1997</t>
  </si>
  <si>
    <t>- Refrigeradores domesticos:</t>
  </si>
  <si>
    <t>De volumen bruto total inferior o igual a 180 l. segun norma IRAM 2120-2:1997</t>
  </si>
  <si>
    <t>De volumen bruto total superior a 180 l pero inferior o igual a 400 l. segun norma IRAM 2120-2:1997</t>
  </si>
  <si>
    <t>Electricos</t>
  </si>
  <si>
    <t>De absorcion</t>
  </si>
  <si>
    <t>- Congeladores horizontales del tipo arcon (cofre). de capacidad inferior o igual a 800 l</t>
  </si>
  <si>
    <t>De capacidad inferior o igual a 250 l</t>
  </si>
  <si>
    <t>De capacidad superior a 250 l pero inferior o igual a 350 l</t>
  </si>
  <si>
    <t>De capacidad superior a 350 l pero inferior o igual a 550 l</t>
  </si>
  <si>
    <t>De capacidad superior a 550 l pero inferior o igual a 650 l</t>
  </si>
  <si>
    <t>- Congeladores verticales del tipo armario. de capacidad inferior o igual a 900 l</t>
  </si>
  <si>
    <t>De capacidad inferior o igual a 300 l</t>
  </si>
  <si>
    <t>De capacidad superior a 300 l pero inferior o igual a 500 l</t>
  </si>
  <si>
    <t>De capacidad superior a 500 l pero inferior o igual a 700 l</t>
  </si>
  <si>
    <t>- Los demas muebles (armarios. arcones (cofres). vitrinas. mostradores y similares) para la conservacion y exposicion de productos. que incorporen un equipo para refrigerar o congelar</t>
  </si>
  <si>
    <t>Congeladores</t>
  </si>
  <si>
    <t>De los tipos utilizados para almacenar. exclusivamente. vino en botellas (cavas climatizadas)</t>
  </si>
  <si>
    <t>De los tipos utilizados para almacenar alimentos y bebidas. con fines comerciales. excepto las denominadas "cavas".</t>
  </si>
  <si>
    <t>- Los demas materiales. maquinas y aparatos para produccion de frio; bombas de calor:</t>
  </si>
  <si>
    <t>--Bombas de calor. excepto las maquinas y aparatos para acondicionamiento de aire de la partida 84.15</t>
  </si>
  <si>
    <t>Maquinas para la fabricacion de helados. excluidas las domesticas</t>
  </si>
  <si>
    <t>Enfriadores de leche</t>
  </si>
  <si>
    <t>Unidades surtidoras de agua. jugos o bebidas carbonatadas</t>
  </si>
  <si>
    <t>De agua o jugos</t>
  </si>
  <si>
    <t>De bebidas carbonatadas</t>
  </si>
  <si>
    <t>Grupos frigorificos de compresion con capacidad inferior o igual a 30.000 frigorias/h</t>
  </si>
  <si>
    <t>Diseñados para refrigeracion (Res.101/01 ME)</t>
  </si>
  <si>
    <t>Unidades condensadoras cuyos componentes se encuentran montados en un basamento comun. con capacidad inferior o igual a 15.000 frigorias/h (Res.101/01 ME)</t>
  </si>
  <si>
    <t>Con capacidad inferior o igual a 3.500 frigorias/h (Res.101/01 ME)</t>
  </si>
  <si>
    <t>Con capacidad superior a 3.500 frigorias pero inferior o igual a 7.000 frigorias/h (Res.101/01 ME)</t>
  </si>
  <si>
    <t>Unidades condensadoras cuyos componentes se encuentran montados en un basamento comun. con capacidad superior a 15.000 frigorias/h (Res.101/01 ME)</t>
  </si>
  <si>
    <t>Con capacidad inferior o igual a 20.000 frigorias/h (Res.101/01 ME)</t>
  </si>
  <si>
    <t>Con capacidad superior a 20.000 frigorias/h pero inferior o igual a 25.000 frigorias/h (Res.101/01 ME)</t>
  </si>
  <si>
    <t>Con capacidad superior a 3.500 frigorias/h pero inferior o igual a 7.000 frigorias/h (Res.101/01 ME)</t>
  </si>
  <si>
    <t>Con capacidad superior a 7.000 frigorias/h pero inferior o igual a 15.000 frigorias/h (Res.101/01 ME)</t>
  </si>
  <si>
    <t>Con capacidad superior a 15.000 frigorias/h pero inferior o igual a 20.000 frigorias/h (Res.101/01 ME)</t>
  </si>
  <si>
    <t>Enfriadores de agua. de absorcion por bromuro de litio</t>
  </si>
  <si>
    <t>Con capacidad inferior o igual a 3500 frigorias/h</t>
  </si>
  <si>
    <t>Con capacidad superior a 3500 frigorias/h pero inferior o igual a 7000 frigorias/h</t>
  </si>
  <si>
    <t>Con capacidad superior a 7000 frigorias/h pero inferior o igual a 15000 frigorias/h</t>
  </si>
  <si>
    <t>Con capacidad superior a 15000 frigorias/h pero inferior o igual a 30000 frigorias/h</t>
  </si>
  <si>
    <t>Grupos frigorificos de compresion. con compresor de tornillo o centrifugo. condensador y evaporador. de capacidad superior a 500.000 frigorias/hora. de los tipos utilizados para el enfriamiento de liquidos (chiller) en instalaciones de aire acondicionado</t>
  </si>
  <si>
    <t>Evaporadores. de los tipos utilizados en aparatos para acondicionamiento de aire de vehiculos automoviles</t>
  </si>
  <si>
    <t>Condensadores. de los tipos utilizados en aparatos para acondicionamiento de aire de vehiculos automoviles</t>
  </si>
  <si>
    <t>APARATOS. DISPOSITIVOS O EQUIPOS DE LABORATORIO. AUNQUE SE CALIENTEN ELÃ‰CTRICAMENTE (EXCEPTO LOS HORNOS Y DEMaS APARATOS DE LA PARTIDA 85.14). PARA EL TRATAMIENTO DE MATERIAS MEDIANTE OPERACIONES QUE IMPLIQUEN UN CAMBIO DE TEMPERATURA. TALES COMO CALENTAMIENTO. COCCION. TORREFACCION. DESTILACION. RECTIFICACION. ESTERILIZACION. PASTEURIZACION. BAÃ‘O DE VAPOR DE AGUA. SECADO. EVAPORACION. VAPORIZACION. CONDENSACION O ENFRIAMIENTO. EXCEPTO LOS APARATOS DOMÃ‰STICOS; CALENTADORES DE AGUA DE CALENTAMIENTO INSTANTaNEO O DE ACUMULACION. EXCEPTO LOS ELÃ‰CTRICOS.</t>
  </si>
  <si>
    <t>- Calentadores de agua de calentamiento instantaneo o de acumulacion. excepto los electricos:</t>
  </si>
  <si>
    <t>Con valvula termostatica</t>
  </si>
  <si>
    <t>De caudal inferior o igual a 7 l/min</t>
  </si>
  <si>
    <t>De caudal superior a 7 l/min pero inferior o igual a 13 l/m</t>
  </si>
  <si>
    <t>De caudal superior a 13 l/min pero inferior o igual a 18 l/min</t>
  </si>
  <si>
    <t>Calentadores solares de agua</t>
  </si>
  <si>
    <t>De capacidad superior a 50 l pero inferior o igual a 80 l</t>
  </si>
  <si>
    <t>De capacidad superior a 80 l pero inferior o igual a 130 l</t>
  </si>
  <si>
    <t>De capacidad superior a 130 l pero inferior o igual a 160 l</t>
  </si>
  <si>
    <t>- Secadores:</t>
  </si>
  <si>
    <t>Tuneles de radiadores infrarrojos de longitud de onda media aptos para el secado de molduras y perfiles</t>
  </si>
  <si>
    <t>Secadero continuo en contraflujo. con capacidad de camara superior o igual a 400 m3</t>
  </si>
  <si>
    <t>Para papel o carton</t>
  </si>
  <si>
    <t>Por cilindros calentados a vapor</t>
  </si>
  <si>
    <t>Por radiacion infrarroja</t>
  </si>
  <si>
    <t>Para pasta para papel</t>
  </si>
  <si>
    <t>Aparatos de liofilizacion o criodesecacion</t>
  </si>
  <si>
    <t>De destilacion de agua</t>
  </si>
  <si>
    <t>De destilacion o rectificacion de alcoholes y demas fluidos volatiles. y los de hidrocarburos</t>
  </si>
  <si>
    <t>De placas</t>
  </si>
  <si>
    <t>Intercambiadores de calor agua-aceite. de placas de acero inoxidable. con cuerpo de aluminio inyectado. de los tipos utilizados en motores de vehiculos automoviles</t>
  </si>
  <si>
    <t>Metalicos</t>
  </si>
  <si>
    <t>De los tipos utilizados en productos englobados por el acuerdo ALADI/AAP.CE/14.44. del Apendice I. (De uso automotriz)</t>
  </si>
  <si>
    <t>- Los demas aparatos y dispositivos:</t>
  </si>
  <si>
    <t>Autoclaves</t>
  </si>
  <si>
    <t>Para preparar cafe</t>
  </si>
  <si>
    <t>Cocedores</t>
  </si>
  <si>
    <t>Freidores</t>
  </si>
  <si>
    <t>Esterilizadores</t>
  </si>
  <si>
    <t>De alimentos. mediante ultra alta temperatura (UHT-"Ultra High Temperature") por inyeccion directa de vapor. de capacidad superior o igual a 6.500 l/h</t>
  </si>
  <si>
    <t>Estufas</t>
  </si>
  <si>
    <t>De torrefaccion</t>
  </si>
  <si>
    <t>Evaporadores</t>
  </si>
  <si>
    <t>Recipiente refrigerador con dispositivo de circulacion de fluido refrigerante</t>
  </si>
  <si>
    <t>Equipo continuo. para producir el leudo de la masa de pan. con capacidad de producir 32.000 unidades de bolleria y 4.800 unidades de panes de moldes. por hora (R.1635/98 MEOSP)</t>
  </si>
  <si>
    <t>Aparato de enfriamiento de laminas de caucho. de ancho inferior o igual a 1.000 mm. constituido por transportador de banda. sopladores de aire y tablero de control y mando</t>
  </si>
  <si>
    <t>Aparato de enfriamiento de perfiles de caucho. constituido por transportador de banda de velocidad variable. rociadores de agua. ventiladores para la extraccion de agua remanente y tablero de control y mando</t>
  </si>
  <si>
    <t>Aparato de enfriamiento de perfiles de caucho. constituido por una batea con transportador de banda de velocidad variable sumergido. ventiladores para la extraccion de agua remanente y tablero de control y mando</t>
  </si>
  <si>
    <t>Tunel de enfriamiento de laminas de caucho con transportador. dispositivos de control de tension de lamina. ventiladores. mecanismos de toma. enhebrado y empalme y tablero de control y mando.</t>
  </si>
  <si>
    <t>Aparato de enfriamiento constituido por cilindros refrigerados por circulacion de agua. con velocidad variable de 0 a 60 m/min con una tolerancia inferior o igual a 0.5 %</t>
  </si>
  <si>
    <t>Maquinas para calentar (replastificar) superficies bituminosas de carreteras. autopropulsadas</t>
  </si>
  <si>
    <t>De calentadores de agua de las subpartidas 8419.11 u 8419.19</t>
  </si>
  <si>
    <t>De columnas de destilacion o rectificacion</t>
  </si>
  <si>
    <t>Rellenos e internos ordenados</t>
  </si>
  <si>
    <t>De intercambiadores de calor de placas</t>
  </si>
  <si>
    <t>Placas corrugadas de acero inoxidable o de aluminio. con superficie de intercambio termico de un area superior a 0.4 m2</t>
  </si>
  <si>
    <t>De aparatos o dispositivos de las subpartidas 8419.81 u 8419.89</t>
  </si>
  <si>
    <t>De autoclaves</t>
  </si>
  <si>
    <t>De preparar cafe</t>
  </si>
  <si>
    <t>De cocedores</t>
  </si>
  <si>
    <t>De freidores</t>
  </si>
  <si>
    <t>De esterilizadores</t>
  </si>
  <si>
    <t>De estufas</t>
  </si>
  <si>
    <t>De evaporadores</t>
  </si>
  <si>
    <t>Calandrias y laminadores. excepto para metal o vidrio. y cilindros para estas maquinas.</t>
  </si>
  <si>
    <t>Con cilindros de presion hidraulica</t>
  </si>
  <si>
    <t>De ancho de banda inferior o igual a 900 mm</t>
  </si>
  <si>
    <t>Peso del cilindro mayor. superior a 7 t</t>
  </si>
  <si>
    <t>Para panaderia y pasteleria</t>
  </si>
  <si>
    <t>Laminadores. con cilindros de diametro inferior o igual a 750 mm y ancho util de trabajo inferior o igual a 1.800 mm. refrigerados mediante circulacion de agua. con tablero de control y mando</t>
  </si>
  <si>
    <t>Combinacion de maquinas destinadas al calandrado de telas de caucho reforzados con malla metalica o cordones textiles. constituida por calandria de 4 rodillos de diametro inferior o igual a 750 mm y ancho util de trabajo inferior o igual a 1.800 mm. molinos precalentadores y alimentadores de caucho. desenrollador empalmador de tela textil sin engomar. acumuladores. dispositivo de traccion. fileta de alimentacion. aparato para control automatico de espesores de engomado. aparato de enfriamiento.dispositivo automatico de corte transversal y empalme de tela engomada. enrollador final y tablero de control y mando</t>
  </si>
  <si>
    <t>Centrifugadoras. incluidas las secadoras centrifugas; aparatos para filtrar o depurar liquidos o gases.</t>
  </si>
  <si>
    <t>- Centrifugadoras. incluidas las secadoras centrifugas:</t>
  </si>
  <si>
    <t>Con capacidad de procesamiento de leche superior o igual a 30.000 l/h</t>
  </si>
  <si>
    <t>De capacidad de procesamiento de leche inferior o igual a 5.000 l/h</t>
  </si>
  <si>
    <t>De capacidad de procesamiento de leche superior a 5.000 l/h pero inferior o igual a 10.000 l/h</t>
  </si>
  <si>
    <t>Con tambor de capacidad inferior o igual a 23 litros</t>
  </si>
  <si>
    <t>Con tambor de acero inoxidable</t>
  </si>
  <si>
    <t>Con tambor de plastico</t>
  </si>
  <si>
    <t>Centrifugadoras para laboratorios de analisis. ensayos o investigacion cientifica</t>
  </si>
  <si>
    <t>Centrifuga con descarga continua o discontinua de solidos durante la marcha (R.564/95 MEOSP)</t>
  </si>
  <si>
    <t>De los tipos de platillos (R.564/95 MEOSP)</t>
  </si>
  <si>
    <t>- Aparatos para filtrar o depurar liquidos:</t>
  </si>
  <si>
    <t>De uso domestico</t>
  </si>
  <si>
    <t>Hemodializadores</t>
  </si>
  <si>
    <t>Capilares</t>
  </si>
  <si>
    <t>Aparatos de osmosis inversa</t>
  </si>
  <si>
    <t>Filtros prensa</t>
  </si>
  <si>
    <t>Para fluidos corporales.(R.460/95 ANA).</t>
  </si>
  <si>
    <t>Oxigenadores de sangre</t>
  </si>
  <si>
    <t>Filtros para leucorreduccion de la sangre</t>
  </si>
  <si>
    <t>- Aparatos para filtrar o depurar gases:</t>
  </si>
  <si>
    <t>Filtros electrostaticos</t>
  </si>
  <si>
    <t>Depuradores por conversion catalitica de gases de escape de vehiculos</t>
  </si>
  <si>
    <t>Concentradores de oxigeno por depuracion de aire. con capacidad de salida inferior o igual a 6 l/min</t>
  </si>
  <si>
    <t>Filtro de aire por medio de mangas. con una superficie filtrante de 8.143 m2. capacidad maxima de procesamiento de 350.000 m3/h y transportadores a tornillo incorporados para descarga de material solido retenido</t>
  </si>
  <si>
    <t>Ciclon depurador de aire. con motor electrico incorporado de 7.5 kw y una capacidad de procesamiento maximo igual a 2.000 m3/h</t>
  </si>
  <si>
    <t>De secadoras de ropa del item 8421.12.10</t>
  </si>
  <si>
    <t>Freno</t>
  </si>
  <si>
    <t>Tambor</t>
  </si>
  <si>
    <t>Tambores rotativos con platos o discos separadores. de peso superior a 300 kg</t>
  </si>
  <si>
    <t>Para microhematocritos</t>
  </si>
  <si>
    <t>De aparatos para filtrar o depurar gases. de la subpartida 8421.39</t>
  </si>
  <si>
    <t>Cartuchos de membrana de aparatos de osmosis inversa</t>
  </si>
  <si>
    <t>Elementos filtrantes de aparatos para filtrar o depurar agua. de uso domestico.</t>
  </si>
  <si>
    <t>Modulos multitubos (membranas). de los tipos utilizados en filtros de membranas tubulares</t>
  </si>
  <si>
    <t>Maquinas para lavar vajilla; maquinas y aparatos para limpiar o secar botellas o demas recipientes; maquinas y aparatos para llenar. cerrar. tapar. taponar o etiquetar botellas. botes o latas. cajas. sacos (bolsas) o demas continentes; maquinas y aparatos de capsular botellas. tarros. tubos y continentes analogos; las demas maquinas y aparatos para empaquetar o envolver mercancias (incluidas las de envolver con pelicula termorretractil); maquinas y aparatos para gasear bebidas.</t>
  </si>
  <si>
    <t>- Maquinas para lavar vajilla:</t>
  </si>
  <si>
    <t>De ampollas y frascos</t>
  </si>
  <si>
    <t>De botellas</t>
  </si>
  <si>
    <t>De esqueletos para botellas</t>
  </si>
  <si>
    <t>Maquinas y aparatos de llenar. cerrar. capsular. tapar. taponar o etiquetar botellas</t>
  </si>
  <si>
    <t>Maquinas y aparatos de llenar. cerrar. tapar. taponar o etiquetar botes o latas. cajas. sacos (bolsas) o demas continentes; maquinas y aparatos de capsular tarros. tubos y continentes analogos</t>
  </si>
  <si>
    <t>Llenadora de cajas o sacos (bolsas). con polvos o granulados</t>
  </si>
  <si>
    <t>De llenar y cerrar envases confeccionados con papel o carton de los item 4811.51.22 o 4811.59.23. incluso con dispositivo de etiquetar</t>
  </si>
  <si>
    <t>De llenar y cerrar envases tubulares flexibles. de capacidad superior o igual a 100 unidades por minuto</t>
  </si>
  <si>
    <t>Del tipo domestico. con dispositivo de soldar laminas de plastico para cerrar envases</t>
  </si>
  <si>
    <t>Llenadora de maples o cajas. con huevos</t>
  </si>
  <si>
    <t>De gasear bebidas</t>
  </si>
  <si>
    <t>Horizontales. aptas para el empaquetado de pastas alimenticias largas (largo superior a 200 mm) en paquetes tipo almohada («pillow- pack»). con capacidad de produccion superior a 100 paquetes por minuto y controlador logico programable (PLC)</t>
  </si>
  <si>
    <t>Automatica. de embalar tubos o barras de metal. en atados de peso inferior o igual a 2.000 kg y largo inferior o igual a 12 m</t>
  </si>
  <si>
    <t>De empaquetar envases confecionados con papel o carton de los item 4811.51.22 o 4811.59.23 en cajas o bandejas de papel o carton plegables. con una capacidad superior o igual a 5.000 envases por hora</t>
  </si>
  <si>
    <t>Modulos para compactar algodon (R.1653/93 ANA)</t>
  </si>
  <si>
    <t>Enfardadoras de papel horizontales continuas con atado automatico (R.564/95 MEOSP)</t>
  </si>
  <si>
    <t>Embolsadora de pan rebanado. incluso con dispositivo de cierre. con capacidad de trabajar hasta 120 panes rebanados por minuto y atador automatico de bolsas (R.1635/98 MEOSP)</t>
  </si>
  <si>
    <t>Embolsadora de pan de bolleria. incluso con dispositivo de cierre con una capacidad de 120 bollos por minuto (R.1635/98 MEOSP)</t>
  </si>
  <si>
    <t>De maquinas lavavajilla de uso domestico</t>
  </si>
  <si>
    <t>De las subpartida 8422.20</t>
  </si>
  <si>
    <t>De la subpartida 8422.30</t>
  </si>
  <si>
    <t>Aparatos e instrumentos de pesar. incluidas las basculas y balanzas para comprobar o contar piezas fabricadas. excepto las balanzas sensibles a un peso inferior o igual a 5 cg; pesas para toda clase de basculas o balanzas.</t>
  </si>
  <si>
    <t>De lectura analogica</t>
  </si>
  <si>
    <t>Para pesar personas. incluidos los pesabebes</t>
  </si>
  <si>
    <t>Las demas de hasta 3 kg de capacidad</t>
  </si>
  <si>
    <t>Dosificadoras</t>
  </si>
  <si>
    <t>Con aparatos perifericos. que constituyan unidad funcional</t>
  </si>
  <si>
    <t>De una tolva</t>
  </si>
  <si>
    <t>De dos tolvas o mas</t>
  </si>
  <si>
    <t>Con descarga mediante transportador de accion continua de tornillo y tablero de control y mando</t>
  </si>
  <si>
    <t>Con valvula de descarga y tablero de control y mando</t>
  </si>
  <si>
    <t>Dosificadoras diferenciales automaticas. para la medicion o control de caudal de cereales. con capacidad de hasta 80 t/h de trigo limpio y deposito previo de producto hasta 200 litros</t>
  </si>
  <si>
    <t>Dosificadoras diferenciales automaticas. para la medicion o control de caudal de cereales o sus harinas. con capacidad de hasta 45 t/h y deposito previo de producto hasta 350 litros</t>
  </si>
  <si>
    <t>Balanza para pesada constante de solidos presentados en forma de polvos o granulos</t>
  </si>
  <si>
    <t>- Los demas aparatos e instrumentos de pesar:</t>
  </si>
  <si>
    <t>- - Con capacidad inferior o igual a 30 kg</t>
  </si>
  <si>
    <t>De mostrador. con dispositivo registrador o impresor de etiquetas</t>
  </si>
  <si>
    <t>Electronicas</t>
  </si>
  <si>
    <t>De capacidad inferior o igual a 2 kg</t>
  </si>
  <si>
    <t>De capacidad superior a 2 kg pero inferior o igual a 5 kg</t>
  </si>
  <si>
    <t>De capacidad superior a 5 kg pero inferior o igual a 10 kg</t>
  </si>
  <si>
    <t>De capacidad superior a 10 kg pero inferior o igual a 15 kg</t>
  </si>
  <si>
    <t>De capacidad superior a 15 kg pero inferior o igual a 20 kg</t>
  </si>
  <si>
    <t>De capacidad inferior a 2 kg</t>
  </si>
  <si>
    <t>- - Con capacidad superior a 30 kg pero inferior o igual a 5.000 kg</t>
  </si>
  <si>
    <t>Pesas</t>
  </si>
  <si>
    <t>De aparatos o instrumentos de la subpartida 8423.10</t>
  </si>
  <si>
    <t>Indicadores electronicos de pesada</t>
  </si>
  <si>
    <t>De aparatos o instrumentos de la subpartida 8423.20</t>
  </si>
  <si>
    <t>De aparatos o instrumentos de la subpartida 8423.30</t>
  </si>
  <si>
    <t>De aparatos o instrumentos de la subpartida 8423.81</t>
  </si>
  <si>
    <t>De aparatos o instrumentos de la subpartida 8423.82</t>
  </si>
  <si>
    <t>De aparatos o instrumentos de la subpartida 8423.89</t>
  </si>
  <si>
    <t>Aparatos mecanicos (incluso manuales) para proyectar. dispersar o pulverizar materias liquidas o en polvo; extintores. incluso cargados; pistolas aerograficas y aparatos similares; maquinas y aparatos de chorro de arena o de vapor y aparatos de chorro similares.</t>
  </si>
  <si>
    <t>Cargados</t>
  </si>
  <si>
    <t>A espuma</t>
  </si>
  <si>
    <t>De capacidad inferior o igual a 1 kg</t>
  </si>
  <si>
    <t>De capacidad superior a 1 kg pero inferior o igual a 5 kg</t>
  </si>
  <si>
    <t>De dioxido de carbono (CO2) comprimido</t>
  </si>
  <si>
    <t>De capacidad superior a 5 kg pero inferior o igual a 15 kg</t>
  </si>
  <si>
    <t>De vapor</t>
  </si>
  <si>
    <t>De bromoclorodifluorometano (Halon 1211). bromotrifluorometano (Halon 1301) o dibromotetrafluoroetanos (Halon 2402). incluso mezclados entre si</t>
  </si>
  <si>
    <t>Halon 1211. unicamente</t>
  </si>
  <si>
    <t>Halon 1301. unicamente</t>
  </si>
  <si>
    <t>Halon 2402. unicamente</t>
  </si>
  <si>
    <t>De diclorotrifluoroetano (HCFC-123). unicamente</t>
  </si>
  <si>
    <t>De monoclorotrifluoroetano (HCFC-124). unicamente</t>
  </si>
  <si>
    <t>De diclorotrifluoroetano (HCFC-123). en mezclas</t>
  </si>
  <si>
    <t>A base de mezclas de dihidrogenoortofosfato de amonio (fosfato monoamonico) y sulfato de amonio</t>
  </si>
  <si>
    <t>Pistolas metalizadoras</t>
  </si>
  <si>
    <t>Equipos de desobstruccion de cañerias o de limpieza por chorro de agua</t>
  </si>
  <si>
    <t>Hidrolavadoras portatiles</t>
  </si>
  <si>
    <t>De desobstruccion de cañerias</t>
  </si>
  <si>
    <t>De chorro de arena aptas para el desgaste localizado de prendas de vestir</t>
  </si>
  <si>
    <t>Perforadoras por chorro de agua con presion de trabajo maxima superior o igual a 10 MPa</t>
  </si>
  <si>
    <t>De limpieza por chorro a vapor</t>
  </si>
  <si>
    <t>Granalladoras de microesferas de vidrio</t>
  </si>
  <si>
    <t>De grabar el vidrio mediante chorro abrasivo</t>
  </si>
  <si>
    <t>De chorro de arena</t>
  </si>
  <si>
    <t>Para piezas metalicas</t>
  </si>
  <si>
    <t>Para limpieza de frentes</t>
  </si>
  <si>
    <t>- Pulverizadores para agricultura u horticultura:</t>
  </si>
  <si>
    <t>De mochila</t>
  </si>
  <si>
    <t>Autopropulsados (D.N. 849/96 y D.N. 1034/96 DNRNPAyCP)</t>
  </si>
  <si>
    <t>De caudal de la bomba inferior o igual a 150 l/min</t>
  </si>
  <si>
    <t>Aparato de pulverizar herbicidas para la eliminacion de malezas. a partir de la deteccion optica de clorofila activa. constituido por: consola de usuario; aparato de control y alimentacion electrica; sensores; conductores electricos provistos de piezas de conexion; compresor; valvula de diafragma para regulacion de presion y bloques sensores y dispositivos pulverizadores. diseñados para ser montados en barras de pulverizacion</t>
  </si>
  <si>
    <t>Irrigadores y sistemas de riego</t>
  </si>
  <si>
    <t>Por aspersion</t>
  </si>
  <si>
    <t>De avance frontal</t>
  </si>
  <si>
    <t>De carretel</t>
  </si>
  <si>
    <t>De los utilizados en jardineria</t>
  </si>
  <si>
    <t>De doble brazo</t>
  </si>
  <si>
    <t>Ajustable en distintas posiciones</t>
  </si>
  <si>
    <t>Oscilador</t>
  </si>
  <si>
    <t>De rotor sectoriable</t>
  </si>
  <si>
    <t>De impacto</t>
  </si>
  <si>
    <t>De los utilizados en agricultura</t>
  </si>
  <si>
    <t>A martillo</t>
  </si>
  <si>
    <t>A rotor sectoriable</t>
  </si>
  <si>
    <t>De rotor a circulo completo</t>
  </si>
  <si>
    <t>Irrigadores y sistemas de riego por goteo (R.609/96 MEOSP)</t>
  </si>
  <si>
    <t>Autopropulsados (D.N.849/96 y D.N.1034/96 DNRNPAyCP)</t>
  </si>
  <si>
    <t>Autopropulsados</t>
  </si>
  <si>
    <t>Aparatos de pulverizacion constituidos por pulsador. valvula del tipo para aerosol. junta de estanqueidad y tubo de inmersion. ensamblados sobre un cuerpo metalico. de los tipos utilizados para ser montados en el cuello de envases. para proyectar liquidos. polvos o espumas</t>
  </si>
  <si>
    <t>Aparatos automaticos para proyectar lubricantes sobre neumaticos. que contengan una estacion de secado por aire precalentado y dispositivos de sujecion y traslado de neumaticos</t>
  </si>
  <si>
    <t>Autopropulsados ( D.N. 849/96 y D.N. 1034/96 DNRNPA y CP)</t>
  </si>
  <si>
    <t>Aparatos electroestaticos para pintar</t>
  </si>
  <si>
    <t>Robots industriales</t>
  </si>
  <si>
    <t>Rociador para parabrisas de vehiculos automoviles.</t>
  </si>
  <si>
    <t>De aparatos de la subpartida 8424.10 o del item 8424.89.10</t>
  </si>
  <si>
    <t>De la subpartida 8424.20</t>
  </si>
  <si>
    <t>De la subpartida 8424.30</t>
  </si>
  <si>
    <t>De la subpartida 8424.82</t>
  </si>
  <si>
    <t>Polipastos; tornos y cabrestantes; gatos.</t>
  </si>
  <si>
    <t>- Polipastos:</t>
  </si>
  <si>
    <t>Con capacidad inferior o igual a 10 t</t>
  </si>
  <si>
    <t>Con capacidad superior a 10 t pero inferior o igual a 20 t</t>
  </si>
  <si>
    <t>Con capacidad superior a 20 t pero inferior o igual a 30 t</t>
  </si>
  <si>
    <t>Polipastos manuales</t>
  </si>
  <si>
    <t>Con capacidad inferior o igual a 1t</t>
  </si>
  <si>
    <t>Con capacidad superior a 1 t pero inferior o igual a 2 t</t>
  </si>
  <si>
    <t>Con capacidad superior a 2 t pero inferior o igual a 3 t</t>
  </si>
  <si>
    <t>- Tornos; cabrestantes:</t>
  </si>
  <si>
    <t>De capacidad inferior o igual a 100 t</t>
  </si>
  <si>
    <t>Mecanismo motor para ascensores y montacargas. provisto de polea y dispositivo de freno</t>
  </si>
  <si>
    <t>Con motor de accionamiento de potencia superior o igual a 2.25 kW (3 HP) pero inferior a 3.38 kW (4.5 HP)</t>
  </si>
  <si>
    <t>Con motor de accionamiento de potencia superior o igual a 3.38 kW (4.5 HP) pero inferior o igual a 5.63 kW (7.5 HP)</t>
  </si>
  <si>
    <t>Con motor de accionamiento de potencia superior a 5.63 kW (7.5 HP) pero inferior o igual a 12 kW (16 HP)</t>
  </si>
  <si>
    <t>Con motor de accionamiento de potencia superior a 12 kW (16 HP) pero inferior o igual a 37.5 kW (50 HP)</t>
  </si>
  <si>
    <t>Con capacidad inferior o igual a 25 t</t>
  </si>
  <si>
    <t>Con capacidad superior a 25 t pero inferior o igual a 50 t</t>
  </si>
  <si>
    <t>Con capacidad superior a 50 t pero inferior o igual a 75 t</t>
  </si>
  <si>
    <t>- Gatos:</t>
  </si>
  <si>
    <t>Con capacidad inferior o igual a 2 t</t>
  </si>
  <si>
    <t>Con capacidad superior a 2 t pero inferior o igual a 5 t</t>
  </si>
  <si>
    <t>Con capacidad superior a 5 t pero inferior o igual a 10 t</t>
  </si>
  <si>
    <t>Hidraulicos. con capacidad igual a 10 t</t>
  </si>
  <si>
    <t>Hidraulicos</t>
  </si>
  <si>
    <t>De los tipos utilizados en talleres de reparaciones</t>
  </si>
  <si>
    <t>Con capacidad igual a 10 t</t>
  </si>
  <si>
    <t>Con capacidad superior a 20 t pero inferior o igual a 50 t</t>
  </si>
  <si>
    <t>Con capacidad inferior o igual a 1 t</t>
  </si>
  <si>
    <t>Gruas y aparatos de elevacion sobre cable aereo; puentes rodantes. porticos de descarga o manipulacion. puentes grua. carretillas puente y carretillas grua.</t>
  </si>
  <si>
    <t>- Puentes (incluidas las vigas) rodantes. porticos. puentes grua y carretillas puente:</t>
  </si>
  <si>
    <t>Con capacidad de izaje superior o igual a 40 t</t>
  </si>
  <si>
    <t>Puentes gruas de hasta 300 t de levante</t>
  </si>
  <si>
    <t>- Las demas maquinas y aparatos. autopropulsados:</t>
  </si>
  <si>
    <t>Con desplazamiento en sentido longitudinal. transversal y diagonal (tipo cangrejo) y capacidad de carga superior o igual a 60 t</t>
  </si>
  <si>
    <t>Sobre orugas. con capacidad de izaje superior o igual a 70 t</t>
  </si>
  <si>
    <t>Sobre orugas. de capacidad de izaje superior o igual a 30 t pero inferior a 70 t</t>
  </si>
  <si>
    <t>- Las demas maquinas y aparatos:</t>
  </si>
  <si>
    <t>Gruas del tipo de las utilizadas para el acarreo de vehiculos</t>
  </si>
  <si>
    <t>Pluma rotativa</t>
  </si>
  <si>
    <t>Carretillas apiladoras; las demas carretillas de manipulacion con dispositivo de elevacion incorporado.</t>
  </si>
  <si>
    <t>Apiladoras</t>
  </si>
  <si>
    <t>Con capacidad de carga superior a 6.5 t</t>
  </si>
  <si>
    <t>Con capacidad de carga inferior a 10 t</t>
  </si>
  <si>
    <t>De torre doble</t>
  </si>
  <si>
    <t>De torre triple</t>
  </si>
  <si>
    <t>De torre cuadruple</t>
  </si>
  <si>
    <t>Con capacidad de carga inferior o igual a 1 t</t>
  </si>
  <si>
    <t>Con capacidad de carga superior a 1 t pero inferior o igual a 2.5 t</t>
  </si>
  <si>
    <t>Con capacidad de carga superior a 2.5 t pero inferior o igual a 3.5 t</t>
  </si>
  <si>
    <t>Con capacidad de carga superior a 3.5 t pero inferior o igual a 5 t</t>
  </si>
  <si>
    <t>Con capacidad de carga superior a 5 t pero inferior o igual a 6.5 t</t>
  </si>
  <si>
    <t>Con capacidad de carga superior a 6.5 t pero inferior o igual a 10 t</t>
  </si>
  <si>
    <t>Apiladoras con capacidad de carga superior a 6.5 t</t>
  </si>
  <si>
    <t>Manual para la manipulacion de cargas dotada de un dispositivo hidraulico de elevacion</t>
  </si>
  <si>
    <t>Las demas maquinas y aparatos de elevacion. carga. descarga o manipulacion (por ejemplo: ascensores. escaleras mecanicas. transportadores. telefericos).</t>
  </si>
  <si>
    <t>Ascensores</t>
  </si>
  <si>
    <t>Electromecanicos</t>
  </si>
  <si>
    <t>De hasta cinco paradas y velocidad inferior o igual a 1 m/s</t>
  </si>
  <si>
    <t>De seis y hasta diez paradas y velocidad superior a 0.75 m/s pero inferior o igual a 1.5 m/s</t>
  </si>
  <si>
    <t>De once y hasta quince paradas y velocidad superior a 0.75 m/s pero inferior a 1 m/s</t>
  </si>
  <si>
    <t>De dieciseis y hasta veinte paradas y velocidad superior a 1 m/s pero inferior o igual a 1.5 m/s</t>
  </si>
  <si>
    <t>De veinte y hasta veinticinco paradas y velocidad superior a 1.5 m/s</t>
  </si>
  <si>
    <t>De once y hasta quince paradas y velocidad igual o superior a 1 m/s. pero inferior o igual a 1.5 m/s</t>
  </si>
  <si>
    <t>De once y hasta quince paradas y velocidad superior a 1.5 m/s</t>
  </si>
  <si>
    <t>De hasta dos paradas</t>
  </si>
  <si>
    <t>Montacargas electromecanicos</t>
  </si>
  <si>
    <t>De capacidad de carga inferior o igual a 100 kg</t>
  </si>
  <si>
    <t>De capacidad de carga superior a 100 kg pero inferior o igual a 500 kg</t>
  </si>
  <si>
    <t>De capacidad de carga superior a 500 kg pero inferior o igual a 1.500 kg</t>
  </si>
  <si>
    <t>De capacidad de carga superior a 1.500 kg pero inferior o igual a 5.000 kg</t>
  </si>
  <si>
    <t>De tres paradas y hasta cinco</t>
  </si>
  <si>
    <t>Los demas montacargas</t>
  </si>
  <si>
    <t>Trasvasadores moviles para cereales. accionados con motor de potencia superior a 90 kW (120 HP)</t>
  </si>
  <si>
    <t>Zonda neumatica para muestreo de granos. compuesta por: zonda de muestreo. estructura metalica. camara de recepcion. unidad de control. sistema neumatico. brazo con dos cilindros hidraulicos.</t>
  </si>
  <si>
    <t>- Los demas aparatos elevadores o transportadores. de accion continua. para mercancias:</t>
  </si>
  <si>
    <t>De banda. de ancho util inferior o igual a 900 mm. con detector de metales. dispositivo de marcacion de zonas contaminadas y tablero de control y mando</t>
  </si>
  <si>
    <t>De banda. con dispositivo de derivacion. lector de codigo de barra y tablero de control y mando. de los tipos utilizados en el proceso de clasificacion de neumaticos</t>
  </si>
  <si>
    <t>De banda. de velocidad desde 0 a 60 m/min y tolerancia inferior o igual a 0.5 %. con tablero de control y mando</t>
  </si>
  <si>
    <t>De cadena</t>
  </si>
  <si>
    <t>De rodillos motores</t>
  </si>
  <si>
    <t>De pinzas laterales. de los tipos utilizados para el trasporte de diarios</t>
  </si>
  <si>
    <t>Transportador de accion continua del tipo rejilla metalica. utilizada en el enfriamiento de panes. con capacidad de transportar 9.600 unidades de panes de molde y 40.000 unidades de bolleria por hora (R.1635/98 MEOSP)</t>
  </si>
  <si>
    <t>Telesillas</t>
  </si>
  <si>
    <t>Telesquis</t>
  </si>
  <si>
    <t>Funiculares</t>
  </si>
  <si>
    <t>Telecabinas</t>
  </si>
  <si>
    <t>De los tipos utilizados para el desembarco de botes salvavidas motorizados o provistos de dispositivos de inclinacion</t>
  </si>
  <si>
    <t>Transportadores-elevadores (transelevadores) automaticos. de desplazamiento horizontal sobre guias</t>
  </si>
  <si>
    <t>Maquina utilizada en la formacion de pilas de periodicos. dispuestos en sentido alternado. de capacidad superior o igual a 80.000 ejemplares/h</t>
  </si>
  <si>
    <t>Plataforma de accionamiento hidraulico para descarga por inclinacion de vehiculos. remolques y semiremolques</t>
  </si>
  <si>
    <t>Maquina para el cambio automatico de buzas en cucharas de colada. accionada en forma neumatica</t>
  </si>
  <si>
    <t>Desmoldador automatico de panes. con capacidad de 160 unidades de panes de molde y 600 unidades de bolleria. por minuto (R.1635/98 MEOSP)</t>
  </si>
  <si>
    <t>Equipo apilador y desapilador de moldes de pan. con capacidad de 1.400 unidades de bolleria y 2.000 unidades de panes de molde por hora (R.1635/98 MEOSP)</t>
  </si>
  <si>
    <t>Los demas. maquinas y aparatos de manipulacion de los tipos utilizados en la fabricacion de neumaticos</t>
  </si>
  <si>
    <t>Manipulador - enrollador de laminas de capa hermetica para neumaticos. con tablero de control y mando</t>
  </si>
  <si>
    <t>Manipulador - enrollador de perfiles de caucho. con dispositivo para control de tension. velocidad y diametro de rollo y tablero de control y mando</t>
  </si>
  <si>
    <t>Manipulador de tiras de caucho para colocacion sobre tambor de armado. con tablero de control y mando</t>
  </si>
  <si>
    <t>Manipulador para colocar en carros perfiles de caucho cortados en dimensiones apropiadas para la fabricacion de neumaticos. con dispositivo de cintas transversales. posicionador de rodados en carros. secuenciador de apertura de bandejas de los carros portacargadores. controlador de la secuencia de colocacion de rodados y tablero de control y mando</t>
  </si>
  <si>
    <t>Manipulador para carga/descarga de neumaticos o de tiras. perfiles o laminas para su elaboracion. con tablero de control y mando</t>
  </si>
  <si>
    <t>Plegadora longitudinal sobre paletas ("pallets"). de laminas continuas de caucho de ancho inferior o igual a 1.000 mm</t>
  </si>
  <si>
    <t>Topadoras frontales (buldoceres). topadoras angulares («angledozers»). niveladoras. traillas («scrapers»). palas mecanicas. excavadoras. cargadoras. palas cargadoras. compactadoras y apisonadoras (aplanadoras). autopropulsadas.</t>
  </si>
  <si>
    <t>- Topadoras frontales (buldoceres) y topadoras angulares («angledozers»):</t>
  </si>
  <si>
    <t>De potencia en el volante superior o igual a 387.76 kW (520 HP)</t>
  </si>
  <si>
    <t>Topadoras frontales («bulldozers») de potencia en el volante superior o igual a 234.9 kW (315 HP)</t>
  </si>
  <si>
    <t>Articuladas. de potencia en el volante superior o igual a 205.07 kW (275 HP)</t>
  </si>
  <si>
    <t>-Traillas («scrapers»)</t>
  </si>
  <si>
    <t>- Palas mecanicas. excavadoras. cargadoras y palas cargadoras:</t>
  </si>
  <si>
    <t>Cargadoras transportadoras</t>
  </si>
  <si>
    <t>De los tipos utilizados en minas subterraneas</t>
  </si>
  <si>
    <t>Infraestructuras motrices aptas para montarles aparatos de la subpartida regional 8430.69.1</t>
  </si>
  <si>
    <t>De potencia en el volante superior o igual a 454.13 kW (609 HP)</t>
  </si>
  <si>
    <t>De potencia en volante superior o igual a 297.5 kW (399 HP)</t>
  </si>
  <si>
    <t>De potencia en volante inferior o igual a 43.99 kW (59 HP)</t>
  </si>
  <si>
    <t>- - Maquinas cuya superestructura pueda girar 360°</t>
  </si>
  <si>
    <t>Excavadoras</t>
  </si>
  <si>
    <t>De potencia en volante superior o igual a 484.7 kW (650 HP)</t>
  </si>
  <si>
    <t>De potencia en volante inferior o igual a 40.3 kW (54 HP)</t>
  </si>
  <si>
    <t>Infraestructuras motrices. aptas para montarles aparatos de las subpartidas 8430.49. 8430.61 u 8430.69. incluso con dispositivo para el desplazamiento sobre vias ferreas</t>
  </si>
  <si>
    <t>Palas mecanicas</t>
  </si>
  <si>
    <t>Las demas maquinas y aparatos para explanar. nivelar. traillar («scraping»). excavar. compactar. apisonar (aplanar). extraer o perforar tierra o minerales; martinetes y maquinas para arrancar pilotes. estacas o similares; quitanieves.</t>
  </si>
  <si>
    <t>Autopropulsadas</t>
  </si>
  <si>
    <t>- Cortadoras y arrancadoras. de carbon o rocas. y maquinas para hacer tuneles o galerias:</t>
  </si>
  <si>
    <t>Cortadoras de carbon o de roca</t>
  </si>
  <si>
    <t>- Las demas maquinas de sondeo o perforacion:</t>
  </si>
  <si>
    <t>Perforadoras de percusion</t>
  </si>
  <si>
    <t>Perforadoras rotativas</t>
  </si>
  <si>
    <t>Maquinas de sondeo. rotativas</t>
  </si>
  <si>
    <t>- Las demas maquinas y aparatos. sin propulsion:</t>
  </si>
  <si>
    <t>Rodillos apisonadores</t>
  </si>
  <si>
    <t>De pata de cabra</t>
  </si>
  <si>
    <t>Neumaticos</t>
  </si>
  <si>
    <t>Vibratorios</t>
  </si>
  <si>
    <t>Apisonadora vibratoria</t>
  </si>
  <si>
    <t>Equipamientos frontales para excavadoras. cargadoras o palas cargadoras</t>
  </si>
  <si>
    <t>Con capacidad de carga superior a 4 m3</t>
  </si>
  <si>
    <t>Equipamiento topadador compuesto por hoja. cilindros hidraulicos y bastidor</t>
  </si>
  <si>
    <t>Partes identificables como destinadas. exclusiva o principalmente. a las maquinas o aparatos de las partidas 84.25 a 84.30.</t>
  </si>
  <si>
    <t>- De maquinas o aparatos de la partida 84.25</t>
  </si>
  <si>
    <t>Del item 8425.19.10 o de las subpartidas 8425.39. 8425.42 u 8425.49</t>
  </si>
  <si>
    <t>- De maquinas o aparatos de la partida 84.27</t>
  </si>
  <si>
    <t>De apiladoras</t>
  </si>
  <si>
    <t>De apiladoras autopropulsadas</t>
  </si>
  <si>
    <t>Horquillas</t>
  </si>
  <si>
    <t>De las demas apiladoras</t>
  </si>
  <si>
    <t>- De maquinas o aparatos de la partida 84.28:</t>
  </si>
  <si>
    <t>De ascensores</t>
  </si>
  <si>
    <t>Cabinas</t>
  </si>
  <si>
    <t>Plataformas</t>
  </si>
  <si>
    <t>Paracaidas</t>
  </si>
  <si>
    <t>Contrapesos</t>
  </si>
  <si>
    <t>Jaulas</t>
  </si>
  <si>
    <t>Escalones</t>
  </si>
  <si>
    <t>- De maquinas o aparatos de las partidas 84.26. 84.29 u 84.30:</t>
  </si>
  <si>
    <t>--Hojas de topadoras frontales («bulldozers») o de topadoras angulares («angledozers»)</t>
  </si>
  <si>
    <t>- - De maquinas de sondeo o perforacion de las subpartidas 8430.41 u 8430.49</t>
  </si>
  <si>
    <t>De maquinas de sondeo rotativas</t>
  </si>
  <si>
    <t>De maquinas o aparatos de la partida 84.26</t>
  </si>
  <si>
    <t>Para maquinas o aparatos de las partidas 84.29 u 84.30</t>
  </si>
  <si>
    <t>De maquinas o aparatos de la partida 84.29</t>
  </si>
  <si>
    <t>Orugas</t>
  </si>
  <si>
    <t>Depositos de combustible y demas recipientes</t>
  </si>
  <si>
    <t>Maquinas. aparatos y artefactos agricolas. horticolas o silvicolas. para la preparacion o el trabajo del suelo o para el cultivo; rodillos para cesped o terrenos de deporte.</t>
  </si>
  <si>
    <t>- Gradas (rastras). escarificadores. cultivadores. extirpadores. azadas rotativas (rotocultores). escardadoras y binadoras:</t>
  </si>
  <si>
    <t>Escarificadores</t>
  </si>
  <si>
    <t>Cultivadores de hileras</t>
  </si>
  <si>
    <t>Extirpadores</t>
  </si>
  <si>
    <t>Azadas rotativas (rotocultores)</t>
  </si>
  <si>
    <t>Escardadoras</t>
  </si>
  <si>
    <t>Rastras de dientes</t>
  </si>
  <si>
    <t>Binadoras</t>
  </si>
  <si>
    <t>- Sembradoras. plantadoras y trasplantadoras:</t>
  </si>
  <si>
    <t>Sembradoras-abonadoras</t>
  </si>
  <si>
    <t>Sembradoras (D.N. 849/96 y D.N. 1034/96 DNRNPAyCP)</t>
  </si>
  <si>
    <t>- Esparcidores de estiercol y distribuidores de abonos:</t>
  </si>
  <si>
    <t>Discos de acero</t>
  </si>
  <si>
    <t>De diametro superior a 554.8 mm pero inferior o igual a 561.3 mm (Resolucion 317/2001ME)</t>
  </si>
  <si>
    <t>De diametro superior a 603.8 mm pero inferior o igual a 612.8 mm (Resolucion 317/2001 ME)</t>
  </si>
  <si>
    <t>De diametro superior a 654.4 mm pero inferior o igual a 663.4 mm (Resolucion 317/2001 ME)</t>
  </si>
  <si>
    <t>Maquinas. aparatos y artefactos de cosechar o trillar. incluidas las prensas para paja o forraje; cortadoras de cesped y guadañadoras; maquinas para limpieza o clasificacion de huevos. frutos o demas productos agricolas. excepto las de la partida 84.37.</t>
  </si>
  <si>
    <t>- Cortadoras de cesped:</t>
  </si>
  <si>
    <t>Con dispositivo acondicionador en andanas (hileras) constituido por rotor de dedos y peine</t>
  </si>
  <si>
    <t>Guadañadoras (segadoras)</t>
  </si>
  <si>
    <t>Guadañadoras (segadoras) con dispositivo acondicionador</t>
  </si>
  <si>
    <t>Maquina de confeccionar fardos (enfardadora). prismaticos de volumen superior o igual a 0.5 m3</t>
  </si>
  <si>
    <t>- Las demas maquinas y aparatos de cosechar; maquinas y aparatos de trillar:</t>
  </si>
  <si>
    <t>Cosechadoras-atadoras de ajo</t>
  </si>
  <si>
    <t>Cosechadoras para algodon</t>
  </si>
  <si>
    <t>Con capacidad de trabajar hasta dos surcos de cosecha y potencia en el volante inferior o igual a 59.7 kW (80 HP)</t>
  </si>
  <si>
    <t>Del tipo "picker"</t>
  </si>
  <si>
    <t>De forraje</t>
  </si>
  <si>
    <t>De potencia en el volante superior o igual a 300 kW (400 HP)</t>
  </si>
  <si>
    <t>De mani</t>
  </si>
  <si>
    <t>De uvas</t>
  </si>
  <si>
    <t>Vibradoras de arboles de los tipos utilizados para la recoleccion de frutos secos u olivas</t>
  </si>
  <si>
    <t>De tomates</t>
  </si>
  <si>
    <t>Cosechadoras de caña de azucar</t>
  </si>
  <si>
    <t>Cabezal cosechador (picador) de forraje</t>
  </si>
  <si>
    <t>Clasificadoras de frutos</t>
  </si>
  <si>
    <t>Para limpieza o clasificacion de huevos</t>
  </si>
  <si>
    <t>De capacidad superior o igual a 36.000 huevos/h</t>
  </si>
  <si>
    <t>Clasificadoras</t>
  </si>
  <si>
    <t>De papas</t>
  </si>
  <si>
    <t>Maquinas para la limpieza de nueces</t>
  </si>
  <si>
    <t>De cortadoras de cesped</t>
  </si>
  <si>
    <t>Mecanismos de orugas. con banda de goma. de los tipos utilizados para traccion en cosechadoras</t>
  </si>
  <si>
    <t>Maquinas de ordeñar y maquinas y aparatos para la industria lechera.</t>
  </si>
  <si>
    <t>Automaticas. con brazo robotizado. dispositivos electronicos. bombas. lavadora y medidores de leche.</t>
  </si>
  <si>
    <t>Para el tratamiento de la leche</t>
  </si>
  <si>
    <t>Para la fabricacion de manteca</t>
  </si>
  <si>
    <t>Mantequeras</t>
  </si>
  <si>
    <t>Malaxadoras</t>
  </si>
  <si>
    <t>Mantequera-malaxadora</t>
  </si>
  <si>
    <t>De moldear</t>
  </si>
  <si>
    <t>Para la fabricacion de quesos</t>
  </si>
  <si>
    <t>Homogeneizadoras</t>
  </si>
  <si>
    <t>Prensas</t>
  </si>
  <si>
    <t>Prensas. estrujadoras y maquinas y aparatos analogos para la produccion de vino. sidra. jugos de frutos o bebidas similares.</t>
  </si>
  <si>
    <t>De sidreria</t>
  </si>
  <si>
    <t>Continuas</t>
  </si>
  <si>
    <t>De banda. de los tipos utilizados para la extraccion de jugos</t>
  </si>
  <si>
    <t>Discontinuas</t>
  </si>
  <si>
    <t>De extraccion de jugos</t>
  </si>
  <si>
    <t>Trituradoras</t>
  </si>
  <si>
    <t>Estrujadoras de uvas</t>
  </si>
  <si>
    <t>Despalilladoras de uvas</t>
  </si>
  <si>
    <t>Estrujadora-depalilladora de uvas</t>
  </si>
  <si>
    <t>Las demas maquinas y aparatos para la agricultura. horticultura. silvicultura. avicultura o apicultura. incluidos los germinadores con dispositivos mecanicos o termicos incorporados y las incubadoras y criadoras avicolas.</t>
  </si>
  <si>
    <t>- Maquinas y aparatos para la avicultura. incluidas las incubadoras y criadoras:</t>
  </si>
  <si>
    <t>Desplumadoras</t>
  </si>
  <si>
    <t>Baterias automaticas de crianza o de puesta. conformadas por celulas yuxtapuestas. equipadas con dispositivos automaticos. entre otros. para llenar los comederos y recoger los huevos.</t>
  </si>
  <si>
    <t>Trituradoras de abonos</t>
  </si>
  <si>
    <t>Mezcladoras de abonos</t>
  </si>
  <si>
    <t>Para la apicultura</t>
  </si>
  <si>
    <t>Bebederos automaticos</t>
  </si>
  <si>
    <t>Sobre neumaticos con cabezal talador - apilador de arboles enteros</t>
  </si>
  <si>
    <t>Sobre neumaticos. articuladas. para cortar arboles. quitar ramas y seccionar troncos. con cabina. mandibulas para transportar y apilar. cabezal de corte circular y pinza agarra troncos</t>
  </si>
  <si>
    <t>Las demas equipadas con neumaticos/orugas</t>
  </si>
  <si>
    <t>Maquina para cortar arboles. quitar ramas y seccionar troncos. aptas para ser montadas en unidades tractoras</t>
  </si>
  <si>
    <t>Maquinas para limpieza. clasificacion o cribado de semillas. granos u hortalizas de vaina secas; maquinas y aparatos para molienda o tratamiento de cereales u hortalizas de vaina secas. excepto las de tipo rural.</t>
  </si>
  <si>
    <t>Aventadoras</t>
  </si>
  <si>
    <t>Zarandeadoras</t>
  </si>
  <si>
    <t>Maquinas para la clasificacion de granos mediante camaras (espectro visible. infrarrojo. ultravioleta)</t>
  </si>
  <si>
    <t>Para trituracion o molienda de granos</t>
  </si>
  <si>
    <t>Molinos de muelas</t>
  </si>
  <si>
    <t>Molinos de cilindros. de simple o doble pasada</t>
  </si>
  <si>
    <t>Para el tratamiento de cereales u hortalizas de vainas secas</t>
  </si>
  <si>
    <t>Para descascarillar</t>
  </si>
  <si>
    <t>Para partir</t>
  </si>
  <si>
    <t>Para aplastar</t>
  </si>
  <si>
    <t>Molinos y trituradores</t>
  </si>
  <si>
    <t>Para desbarbar o despuntar</t>
  </si>
  <si>
    <t>Cernedores</t>
  </si>
  <si>
    <t>Maquinas y aparatos. no expresados ni comprendidos en otra parte de este Capitulo. para la preparacion o fabricacion industrial de alimentos o bebidas. excepto las maquinas y aparatos para extraccion o preparacion de aceites o grasas. animales o vegetales fijos.</t>
  </si>
  <si>
    <t>Maquinas y aparatos para panaderia. pasteleria o galleteria</t>
  </si>
  <si>
    <t>Amasadoras</t>
  </si>
  <si>
    <t>Divisoras de masas</t>
  </si>
  <si>
    <t>Divisora de masas. con una capacidad de produccion de 10.800 panes/hora (R.1635/98 MEOSP)</t>
  </si>
  <si>
    <t>Moldeadora de masa para la fabricacion de pan</t>
  </si>
  <si>
    <t>Rebanadoras</t>
  </si>
  <si>
    <t>Rebamadora de pan. con capacidad de procesar hasta 60 panes por minuto (R.1635/98 MEOSP)</t>
  </si>
  <si>
    <t>Maquinas y aparatos para la fabricacion de pastas alimenticias</t>
  </si>
  <si>
    <t>Artesas</t>
  </si>
  <si>
    <t>Cortadora estampadora de pasta laminada</t>
  </si>
  <si>
    <t>De rellenar</t>
  </si>
  <si>
    <t>De enrollar</t>
  </si>
  <si>
    <t>Para confiteria</t>
  </si>
  <si>
    <t>Elaboradora de bombones de chocolate por moldeo. de capacidad de produccion superior o igual a 150 kg/h</t>
  </si>
  <si>
    <t>Estiradoras de la masa de azucar</t>
  </si>
  <si>
    <t>Batidoras de azucar</t>
  </si>
  <si>
    <t>Turbinadoras para confites</t>
  </si>
  <si>
    <t>Elaboradoras de caramelos</t>
  </si>
  <si>
    <t>Para la elaboracion de cacao</t>
  </si>
  <si>
    <t>Descascarilladoras</t>
  </si>
  <si>
    <t>Trituradora-mezcladora</t>
  </si>
  <si>
    <t>Trituradora para afinado de pasta de cacao</t>
  </si>
  <si>
    <t>Molinos para afinado de pasta de cacao</t>
  </si>
  <si>
    <t>Prensa extractora de manteca de la pasta de cacao</t>
  </si>
  <si>
    <t>Fabricadora de polvo de cacao</t>
  </si>
  <si>
    <t>Para la fabricacion de chocolate</t>
  </si>
  <si>
    <t>Mezcladora de pasta de chocolate</t>
  </si>
  <si>
    <t>Trituradores-amasadores ("conchas")</t>
  </si>
  <si>
    <t>Prensas extruidoras</t>
  </si>
  <si>
    <t>Moldeadoras</t>
  </si>
  <si>
    <t>De recubrir</t>
  </si>
  <si>
    <t>Cortadoras de fiambres</t>
  </si>
  <si>
    <t>Picadoras de carne</t>
  </si>
  <si>
    <t>Maquinas para sacrificar. desplumar o eviscerar aves</t>
  </si>
  <si>
    <t>Maquinas de quitar el ruezno (desrueznador). quebrantar o pelar. nueces. incluso combinadas entre si</t>
  </si>
  <si>
    <t>Maquinas para la extraccion del aceite esencial de agrios (citricos)</t>
  </si>
  <si>
    <t>Automatica. de descabezar. cortar la cola y eviscerar el pescado. de capacidad superior a 350 unidades por minuto</t>
  </si>
  <si>
    <t>Maquinas y aparatos para la fabricacion de pasta de materias fibrosas celulosicas o para la fabricacion o acabado de papel o carton.</t>
  </si>
  <si>
    <t>Para el tratamiento preliminar de materias primas</t>
  </si>
  <si>
    <t>Cortadoras</t>
  </si>
  <si>
    <t>Desfibradoras</t>
  </si>
  <si>
    <t>Trituradores</t>
  </si>
  <si>
    <t>Clasificadoras y clasificadoras-depuradoras de pasta</t>
  </si>
  <si>
    <t>Refinadores</t>
  </si>
  <si>
    <t>Cajas de alimentacion</t>
  </si>
  <si>
    <t>Mesas de fabricacion plana</t>
  </si>
  <si>
    <t>Cilindros formadores</t>
  </si>
  <si>
    <t>Prensas humedas de dos rollos</t>
  </si>
  <si>
    <t>Prensas encoladoras de dos rollos</t>
  </si>
  <si>
    <t>Enrrolladoras horizontales</t>
  </si>
  <si>
    <t>De carton corrugado</t>
  </si>
  <si>
    <t>De muestras de papel para ensayo</t>
  </si>
  <si>
    <t>Bobinadoras-estiradoras</t>
  </si>
  <si>
    <t>Impregnadoras</t>
  </si>
  <si>
    <t>Onduladoras</t>
  </si>
  <si>
    <t>Encoladoras</t>
  </si>
  <si>
    <t>Satinadoras</t>
  </si>
  <si>
    <t>Gofradoras</t>
  </si>
  <si>
    <t>Estucadoras</t>
  </si>
  <si>
    <t>Rodillos. corrugadores o de presion. de maquinas onduladoras. con un ancho util superior o igual a 2.500 mm</t>
  </si>
  <si>
    <t>Rodillos afiligranadores</t>
  </si>
  <si>
    <t>Maquinas y aparatos para encuadernacion. incluidas las maquinas para coser pliegos.</t>
  </si>
  <si>
    <t>De coser pliegos</t>
  </si>
  <si>
    <t>Con alimentacion automatica</t>
  </si>
  <si>
    <t>Maquinas de fabricar tapas de carton. con dispositivo de encolado y capacidad de produccion superior a 60 unidades por minuto</t>
  </si>
  <si>
    <t>Abrochadoras</t>
  </si>
  <si>
    <t>Plegadoras</t>
  </si>
  <si>
    <t>Redondeadoras de lomos</t>
  </si>
  <si>
    <t>Taladradoras</t>
  </si>
  <si>
    <t>De dorar o colorear</t>
  </si>
  <si>
    <t>De alzar pliegos. con una produccion maxima de 5000 ejemplares/hora. incluso con capacidad de trabajar conjuntamente con encuadernadoras sin cosido</t>
  </si>
  <si>
    <t>Las demas maquinas y aparatos para el trabajo de la pasta de papel. del papel o carton. incluidas las cortadoras de cualquier tipo.</t>
  </si>
  <si>
    <t>Cortadoras-bobinadoras con velocidad de bobinado superior a 2.000 m/min</t>
  </si>
  <si>
    <t>Guillotina</t>
  </si>
  <si>
    <t>Cortadora en hojas. de papeles y cartones acondicionados en bobinas</t>
  </si>
  <si>
    <t>Cortadoras rotativas transversales de planchas de carton corrugado</t>
  </si>
  <si>
    <t>-Maquinas para la fabricacion de sacos (bolsas). bolsitas o sobres</t>
  </si>
  <si>
    <t>Plegadoras y encoladoras para fabricacion de cajas</t>
  </si>
  <si>
    <t>Troqueladoras</t>
  </si>
  <si>
    <t>Rebobinadoras</t>
  </si>
  <si>
    <t>Fabricadoras de servilletas</t>
  </si>
  <si>
    <t>MaQUINAS. APARATOS Y MATERIAL (EXCEPTO LAS MaQUINAS DE LAS PARTIDAS 84.56 A 84.65) PARA PREPARAR O FABRICAR CLISÃ‰S. PLANCHAS. CILINDROS O DEMaS ELEMENTOS IMPRESORES; CLISÃ‰S. PLANCHAS. CILINDROS Y DEMaS ELEMENTOS IMPRESORES; PIEDRAS LITOGRaFICAS. PLANCHAS. PLACAS Y CILINDROS. PREPARADOS PARA LA IMPRESION (POR EJEMPLO: APLANADOS. GRANEADOS. PULIDOS).</t>
  </si>
  <si>
    <t>De componer por procedimiento fotografico</t>
  </si>
  <si>
    <t>De componer caracteres por otros procedimientos. incluso con dispositivos de fundir</t>
  </si>
  <si>
    <t>Montadoras de clises</t>
  </si>
  <si>
    <t>Para maquinas del item 8442.30.10</t>
  </si>
  <si>
    <t>Para maquinas del item 8442.30.20</t>
  </si>
  <si>
    <t>Clises</t>
  </si>
  <si>
    <t>Tipograficos</t>
  </si>
  <si>
    <t>Para fotograbado</t>
  </si>
  <si>
    <t>Planchas</t>
  </si>
  <si>
    <t>Para la impresion offset</t>
  </si>
  <si>
    <t>De huecograbado</t>
  </si>
  <si>
    <t>Maquinas y aparatos para imprimir mediante planchas. cilindros y demas elementos impresores de la partida 84.42; las demas maquinas impresoras. copiadoras y de fax. incluso combinadas entre si; partes y accesorios.</t>
  </si>
  <si>
    <t>- Maquinas y aparatos para imprimir mediante planchas. cilindros y demas elementos impresores de la partida 84.42:</t>
  </si>
  <si>
    <t>Para la impresion multicolor de diarios. alimentados con bobinas de ancho superior o igual a 900 mm. con unidades de impresion en configuracion torre y empalmadoras automaticas</t>
  </si>
  <si>
    <t>Impresoras offset alimentada con bobinas. modulares automaticas. multimedidas y numerado. para impresion en frente y dorso y en una sola pasada. de toda clase de formularios continuos originales o duplicados. con papel carbonico intercalado y pegado. asi como valores. cheques. etiquetas. papeles comerciales en general. cuadernillos. libros de texto y comerciales. publicaciones periodicas. sobres. formularios cortados intercalados con papel carbonico pegado. con perforado con sacabocados rotativos. de ancho util hasta 700 mm. con una velocidad de bobina a bobina de hasta 300 m/min y de bobina a zig-zag o cortado de hasta 260 m/min</t>
  </si>
  <si>
    <t>Alimentadas con bobinas de ancho inferior o igual a 110 cm. para la impresion en dos o mas colores simultaneamente</t>
  </si>
  <si>
    <t>--Maquinas y aparatos de oficina para imprimir. offset. alimentados con hojas en las que un lado sea inferior o igual a 22 cm y el otro sea inferior o igual a 36 cm. medidas sin plegar</t>
  </si>
  <si>
    <t>Para la impresion multicolor de envases de materias plasticas. cilindricos. conicos o de caras planas</t>
  </si>
  <si>
    <t>Alimentados con hojas de formato inferior o igual a 37.5 cm x 51 cm</t>
  </si>
  <si>
    <t>Con velocidad de impresion superior o igual a 12.000 hojas por hora</t>
  </si>
  <si>
    <t>Alimentados con hojas para la impresion en 3 o mas colores simultaneamente (R.501/99MEOSP)</t>
  </si>
  <si>
    <t>Las demas. alimentadas con hojas de formato inferior o igual a 72 cm x 102 cm. para la impresion en dos o mas colores simultaneamente</t>
  </si>
  <si>
    <t>Para la impresion en cinco o mas colores</t>
  </si>
  <si>
    <t>Rotativas para huecograbado</t>
  </si>
  <si>
    <t>Para serigrafia</t>
  </si>
  <si>
    <t>- Las demas maquinas impresoras. copiadoras y de fax. incluso combinadas entre si:</t>
  </si>
  <si>
    <t>Alimentadas con hojas. con velocidad de impresion. medida en formato A4 (210 mm x 297 mm). inferior o igual a 45 paginas por minuto (ppm)</t>
  </si>
  <si>
    <t>A chorro de tinta liquida. con ancho de impresion inferior o igual a 420 mm</t>
  </si>
  <si>
    <t>De tranferencia termica de cera solida (por ejemplo: &lt;&lt;solid ink&gt;&gt; y &lt;&lt;dye sublimation&gt;&gt;</t>
  </si>
  <si>
    <t>A laser. LED (Diodos Emisores de Luz) o LCS (Sistema de Cristal Liquido). monocromaticas. con ancho de impresion inferior o igual a 280 mm</t>
  </si>
  <si>
    <t>A laser. LED (Diodos Emisores de Luz) o LCS (Sistema de Cristal Liquido). monocromaticas. con ancho de impresion superior a 280 mm pero inferior o igual a 420 mm</t>
  </si>
  <si>
    <t>A laser. LED (Diodos Emisores de Luz) o LCS (Sistema de Cristal Liquido). policromaticas</t>
  </si>
  <si>
    <t>Las demas. con ancho de impresion superior a 420 mm</t>
  </si>
  <si>
    <t>Con impresion por sistema termico</t>
  </si>
  <si>
    <t>Impresoras de impacto</t>
  </si>
  <si>
    <t>Que operen linea a linea</t>
  </si>
  <si>
    <t>De caracteres «Braille»</t>
  </si>
  <si>
    <t>Las demas matriciales (por puntos)</t>
  </si>
  <si>
    <t>Las demas impresoras. alimentadas con hojas. con velocidad de impresion. medida en formato A4 (210 mm x 297 mm). inferior o igual a 45 paginas por minuto (ppm)</t>
  </si>
  <si>
    <t>De transferencia termica de cera solida (por ejemplo: «solid ink» y «dye sublimation»)</t>
  </si>
  <si>
    <t>A laser. LED (Diodos Emisores de Luz) o LCS (Sistema de Cristal Liquido). policromaticas. con velocidad de impresion inferior o igual a 20 paginas por minuto (ppm)</t>
  </si>
  <si>
    <t>A laser. LED (Diodos Emisores de Luz) o LCS (Sistema de Cristal Liquido). policromaticas. con velocidad de impresion superior a 20 paginas por minuto (ppm)</t>
  </si>
  <si>
    <t>Termicas. de los tipos utilizados en la impresion de imagenes para diagnostico medico en hojas revestidas con capa termosensible</t>
  </si>
  <si>
    <t>Las demas impresoras alimentadas con hojas</t>
  </si>
  <si>
    <t>Graficadores («plotters»)</t>
  </si>
  <si>
    <t>Con impresion por medio de puntas trazadoras</t>
  </si>
  <si>
    <t>Los demas. con ancho de impresion superior a 580 mm</t>
  </si>
  <si>
    <t>Impresoras de codigo de barras postales. tipo 3 en 5. a chorro de tinta fluorescente. con velocidad de hasta 4.5 m/s y paso de 1.4 mm</t>
  </si>
  <si>
    <t>Maquinas de imprimir por chorro de tinta</t>
  </si>
  <si>
    <t>Maquinas copiadoras electrostaticas</t>
  </si>
  <si>
    <t>Por procedimiento indirecto (reproduccion del original mediante soporte intermedio). monocromaticas. para copias de superficie inferior o igual a 1 m2. con velocidad inferior a 100 copias por minuto</t>
  </si>
  <si>
    <t>Las demas. por procedimiento indirecto</t>
  </si>
  <si>
    <t>Las demas maquinas copiadoras</t>
  </si>
  <si>
    <t>- Partes y accesorios:</t>
  </si>
  <si>
    <t>- - Partes y accesorios de maquinas y aparatos para imprimir por medio de planchas. cilindros y demas elementos impresores de la partida 84.42</t>
  </si>
  <si>
    <t>Partes de maquinas o aparatos de la subpartida 8443.12</t>
  </si>
  <si>
    <t>Numeradoras automaticas</t>
  </si>
  <si>
    <t>Mecanismos de impresion por impacto. sus partes y accesorios</t>
  </si>
  <si>
    <t>Mecanismos de impresion. incluso sin cabezal de impresion incorporado</t>
  </si>
  <si>
    <t>Cabezales de impresion</t>
  </si>
  <si>
    <t>Mecanismos de impresion a chorro de tinta. sus partes y accesorios</t>
  </si>
  <si>
    <t>Cartuchos de tinta</t>
  </si>
  <si>
    <t>Accesorios</t>
  </si>
  <si>
    <t>Partes (R.909/94 MEOSP)</t>
  </si>
  <si>
    <t>Mecanismos de impresion laser. LED (Diodos Emisores de Luz) o LCS (Sistema de Cristal Liquido). sus partes y accesorios</t>
  </si>
  <si>
    <t>Mecanismos de impresion. incluso sin cilindro fotosensible incorporado</t>
  </si>
  <si>
    <t>Cilindros recubiertos de materia semicondutora fotoelectrica</t>
  </si>
  <si>
    <t>Cartuchos de revelador ("toner")</t>
  </si>
  <si>
    <t>Mecanismos de impresion por sistema termico. sus partes y accesorios</t>
  </si>
  <si>
    <t>Los demas mecanismos de impresion. sus partes y accesorios</t>
  </si>
  <si>
    <t>Circuitos impresos con componentes electricos o electronicos. montados</t>
  </si>
  <si>
    <t>Bandejas y gavetas. sus partes y accesorios</t>
  </si>
  <si>
    <t>Mecanismos de alimentacion o de clasificacion de papeles o documentos. sus partes y accesorios</t>
  </si>
  <si>
    <t>Maquinas para extrudir. estirar. texturar o cortar materia textil sintetica o artificial.</t>
  </si>
  <si>
    <t>Para la extrusion</t>
  </si>
  <si>
    <t>Para el corte o rotura de fibras</t>
  </si>
  <si>
    <t>Maquinas para la preparacion de materia textil; maquinas para hilar. doblar o retorcer materia textil y demas maquinas y aparatos para la fabricacion de hilados textiles; maquinas para bobinar (incluidas las canilleras) o devanar materia textil y maquinas para la preparacion de hilados textiles para su utilizacion en las maquinas de las partidas 84.46 u 84.47.</t>
  </si>
  <si>
    <t>- Maquinas para la preparacion de materia textil:</t>
  </si>
  <si>
    <t>Para lana</t>
  </si>
  <si>
    <t>Para fibras del Capitulo 53</t>
  </si>
  <si>
    <t>Maquinas para la preparacion de la seda</t>
  </si>
  <si>
    <t>Maquinas para la preparacion de otras materias textiles</t>
  </si>
  <si>
    <t>Para la recuperacion de cuerdas. hilos. trapos o cualquier otro desperdicio. transformandolos en fibras adecuadas para el cardado</t>
  </si>
  <si>
    <t>Desmotadoras y deslintadoras de algodon</t>
  </si>
  <si>
    <t>De desgrasar. lavar. blanquear o teñir fibras textiles en masa o en rama</t>
  </si>
  <si>
    <t>Abridoras de fibras de lana</t>
  </si>
  <si>
    <t>Abridoras de fibras del Capitulo 53</t>
  </si>
  <si>
    <t>De carbonizar lana</t>
  </si>
  <si>
    <t>Para el estirado de lana</t>
  </si>
  <si>
    <t>Retorcedoras</t>
  </si>
  <si>
    <t>Bobinadoras automaticas</t>
  </si>
  <si>
    <t>Canilleras</t>
  </si>
  <si>
    <t>Para hilados elastomericos</t>
  </si>
  <si>
    <t>Las demas con dispositivo anudador o empalmador automatico</t>
  </si>
  <si>
    <t>Bobinadoras no automaticas</t>
  </si>
  <si>
    <t>Con velocidad de bobinado superior o igual a 4.000 m/min</t>
  </si>
  <si>
    <t>Madejadoras</t>
  </si>
  <si>
    <t>Con control de longitud o peso y anudado automatico</t>
  </si>
  <si>
    <t>Ovilladoras automaticas</t>
  </si>
  <si>
    <t>Urdidoras</t>
  </si>
  <si>
    <t>Para el enhebrado de lizos o peines</t>
  </si>
  <si>
    <t>De anudar la urdimbre</t>
  </si>
  <si>
    <t>Automaticas. de colocar laminillas</t>
  </si>
  <si>
    <t>Telares.</t>
  </si>
  <si>
    <t>- Para tejidos de anchura inferior o igual a 30 cm</t>
  </si>
  <si>
    <t>Con mecanismo Jacquard</t>
  </si>
  <si>
    <t>- Para tejidos de anchura superior a 30 cm. de lanzadera:</t>
  </si>
  <si>
    <t>- Para tejidos de anchura superior a 30 cm. sin lanzadera</t>
  </si>
  <si>
    <t>A chorro de aire</t>
  </si>
  <si>
    <t>A chorro de agua</t>
  </si>
  <si>
    <t>De proyectil</t>
  </si>
  <si>
    <t>De pinzas</t>
  </si>
  <si>
    <t>Maquinas de tricotar. de coser por cadeneta. de entorchar. de fabricar tul. encaje. bordados. pasamaneria. trenzas. redes o de insertar mechones.</t>
  </si>
  <si>
    <t>- Maquinas circulares de tricotar:</t>
  </si>
  <si>
    <t>--Con cilindro de diametro inferior o igual a 165 mm</t>
  </si>
  <si>
    <t>--Con cilindro de diametro superior a 165 mm</t>
  </si>
  <si>
    <t>Telares manuales</t>
  </si>
  <si>
    <t>Telares con motor</t>
  </si>
  <si>
    <t>Para fabricacion de tejidos de punto por urdimbre</t>
  </si>
  <si>
    <t>Maquinas de costura por cadeneta</t>
  </si>
  <si>
    <t>Maquinas para la fabricacion de redes. tul o tul-bobinot</t>
  </si>
  <si>
    <t>Maquinas automaticas de bordar</t>
  </si>
  <si>
    <t>Maquinas y aparatos auxiliares para las maquinas de las partidas 84.44. 84.45. 84.46 u 84.47 (por ejemplo: maquinitas para lizos. mecanismos Jacquard. para urdimbres y para tramas. mecanismos de cambio de lanzadera); partes y accesorios identificables como destinados. exclusiva o principalmente. a las maquinas de esta partida o de las partidas 84.44. 84.45. 84.46 u 84.47 (por ejemplo: husos. aletas. guarniciones de cardas. peines. barretas. hileras. lanzaderas. lizos y cuadros de lizos. agujas. platinas. ganchos).</t>
  </si>
  <si>
    <t>- Maquinas y aparatos auxiliares para las maquinas de las partidas 84.44. 84.45. 84.46 u 84.47</t>
  </si>
  <si>
    <t>Maquinitas para lizos (ligamentos)</t>
  </si>
  <si>
    <t>Mecanismos Jacquard</t>
  </si>
  <si>
    <t>- Partes y accesorios de las maquinas de la partida 84.44 o de sus maquinas o aparatos auxiliares</t>
  </si>
  <si>
    <t>Hileras para la extrusion</t>
  </si>
  <si>
    <t>Las demas partes y accesorios de maquinas para la extrusion</t>
  </si>
  <si>
    <t>De maquinas para el corte o rotura de fibras</t>
  </si>
  <si>
    <t>- Partes y accesorios de las maquinas de la partida 84.45 o de sus maquinas o aparatos auxiliares:</t>
  </si>
  <si>
    <t>De cardas</t>
  </si>
  <si>
    <t>Chapones</t>
  </si>
  <si>
    <t>Para peinadoras</t>
  </si>
  <si>
    <t>Para mecheras</t>
  </si>
  <si>
    <t>De maquinas para la preparacion de la seda</t>
  </si>
  <si>
    <t>Para maquinas de carbonizar lana</t>
  </si>
  <si>
    <t>Cursores</t>
  </si>
  <si>
    <t>De maquinas para el hilado. doblado o retorcido</t>
  </si>
  <si>
    <t>Para hiladoras intermitentes (selfactinas)</t>
  </si>
  <si>
    <t>Para maquinas del tipo «tow to yarn»</t>
  </si>
  <si>
    <t>Para las demas hiladoras</t>
  </si>
  <si>
    <t>Para maquinas de bobinar o devanar</t>
  </si>
  <si>
    <t>Para canilleras</t>
  </si>
  <si>
    <t>De bobinadoras automaticas para hilados elastomericos o con dispositivo anudador o empalmador automatico</t>
  </si>
  <si>
    <t>Las demas. de bobinadoras automaticas</t>
  </si>
  <si>
    <t>Para urdidoras</t>
  </si>
  <si>
    <t>De maquinas para el enhebrado de lizos o peines</t>
  </si>
  <si>
    <t>- Partes y accesorios de telares o de sus maquinas o aparatos auxiliares:</t>
  </si>
  <si>
    <t>Para maquinas o aparatos auxiliares de telares</t>
  </si>
  <si>
    <t>De telares para tejidos de anchura superior a 30 cm. sin lanzadera. a chorro de agua o proyectil</t>
  </si>
  <si>
    <t>- Partes y accesorios de maquinas o aparatos de la partida 84.47 o de sus maquinas o aparatos auxiliares:</t>
  </si>
  <si>
    <t>Platinas</t>
  </si>
  <si>
    <t>Para maquinas circulares de tricotar</t>
  </si>
  <si>
    <t>Para maquinas rectilineas de tricotar</t>
  </si>
  <si>
    <t>Para la fabricacion de tejidos de punto por urdimbre</t>
  </si>
  <si>
    <t>De maquinas para la fabricacion de redes. tul o tul-bobinot o automaticas para bordar</t>
  </si>
  <si>
    <t>Para maquinas del item 8447.90.90</t>
  </si>
  <si>
    <t>Maquinas y aparatos para la fabricacion o acabado del fieltro o tela sin tejer. en pieza o con forma. incluidas las maquinas y aparatos para la fabricacion de sombreros de fieltro; hormas de sombrereria.</t>
  </si>
  <si>
    <t>Maquinas y aparatos para la fabricacion o acabado del fieltro</t>
  </si>
  <si>
    <t>Maquinas y aparatos para la fabricacion de tela sin tejer</t>
  </si>
  <si>
    <t>De maquinas y aparatos para la fabricacion de tela sin tejer</t>
  </si>
  <si>
    <t>Maquinas para lavar ropa. incluso con dispositivo de secado.</t>
  </si>
  <si>
    <t>- Maquinas de capacidad unitaria. expresada en peso de ropa seca. inferior o igual a 10 kg:</t>
  </si>
  <si>
    <t>De eje horizontal. sin dispositivo de secado. excepto con dispositivo de accionamiento por fichas o concebidas para llevarlo</t>
  </si>
  <si>
    <t>De carga frontal</t>
  </si>
  <si>
    <t>Con velocidad de centrifugado inferior o igual a 550 rpm y capacidad expresada en peso de ropa seca. menor o igual a 7 kg.</t>
  </si>
  <si>
    <t>Con velocidad de centrifugado inferior o igual a 550 rpm y capacidad expresada en peso de ropa seca. superior a 7 kg.</t>
  </si>
  <si>
    <t>Con velocidad de centrifugado superior a 550 rpm pero inferior o igual a 800 rpm y capacidad expresada en peso de ropa seca. menor o igual a 7 kg.</t>
  </si>
  <si>
    <t>De carga superior</t>
  </si>
  <si>
    <t>Con velocidad de centrifugado inferior o igual a 550 rpm</t>
  </si>
  <si>
    <t>De eje horizontal. con dispositivo de secado. excepto con dispositivo de accionamiento por fichas o concebidas para llevarlo</t>
  </si>
  <si>
    <t>Con velocidad de centrifugado inferior o igual a 550 rpm y capacidad expresada en peso de ropa seca menor o igual a 7 kg</t>
  </si>
  <si>
    <t>Con velocidad de centrifugado inferior o igual a 550 rpm y capacidad expresada en peso de ropa seca superior a 7 kg</t>
  </si>
  <si>
    <t>Con velocidad de centrifugado superior a 550 rpm pero inferior o igual a 800 rpm y capacidad expresada en peso de ropa seca. menor o igual a 7 kg</t>
  </si>
  <si>
    <t>De eje vertical. excepto por sistema de chorro de agua o con dispositivo de accionamiento por fichas o concebidas para llevarlo</t>
  </si>
  <si>
    <t>Con dispositivo de accionamiento por fichas o concebidas para llevarlo y de peso en vacio superior a 74 Kg</t>
  </si>
  <si>
    <t>Por sistema de chorro de agua. con agitador plano</t>
  </si>
  <si>
    <t>- Maquinas de capacidad unitaria. expresada en peso de ropa seca. superior a 10 kg</t>
  </si>
  <si>
    <t>Tuneles continuos</t>
  </si>
  <si>
    <t>De capacidad unitaria. expresada en peso de ropa seca. superior a 10 kg pero inferior o igual a 12.5 kg</t>
  </si>
  <si>
    <t>De eje horizontal. sin dispositivo de secado</t>
  </si>
  <si>
    <t>De eje horizontal. con dispositivo de secado</t>
  </si>
  <si>
    <t>De eje vertical. excepto por sistema de chorro de agua</t>
  </si>
  <si>
    <t>Los demas de capacidad unitaria pesada en peso de ropa seca inferior o igual a 13 kg</t>
  </si>
  <si>
    <t>De capacidad unitaria. expresada en peso de ropa seca. superior a 20 kg y peso superior a 200 kg. accionada mediante motor electrico trifasico</t>
  </si>
  <si>
    <t>Para maquinas de la subpartida 8450.20</t>
  </si>
  <si>
    <t>Maquinas y aparatos (excepto las maquinas de la partida 84.50) para lavar. limpiar. escurrir. secar. planchar. prensar (incluidas las prensas para fijar). blanquear. teñir. aprestar. acabar. recubrir o impregnar hilados. telas o manufacturas textiles y maquinas para el revestimiento de telas u otros soportes utilizados en la fabricacion de cubresuelos. tales como linoleo; maquinas para enrollar. desenrollar. plegar. cortar o dentar telas.</t>
  </si>
  <si>
    <t>- Maquinas para secar:</t>
  </si>
  <si>
    <t>--De capacidad unitaria. expresada en peso de ropa seca. inferior o igual a 10 kg</t>
  </si>
  <si>
    <t>Que funcionen por medio de ondas electromagneticas (microondas). cuya produccion sea superior o igual a 120 kg/h de producto seco</t>
  </si>
  <si>
    <t>Por volteo continuo y discontinuo (tumbler)</t>
  </si>
  <si>
    <t>Automaticas</t>
  </si>
  <si>
    <t>Prensas de planchar de peso inferior o igual a 14 kg</t>
  </si>
  <si>
    <t>Electricas</t>
  </si>
  <si>
    <t>Prensas de planchar electricas</t>
  </si>
  <si>
    <t>De peso superior a 14 kg pero inferior o igual a 51 kg</t>
  </si>
  <si>
    <t>Las demas prensas de planchar</t>
  </si>
  <si>
    <t>De lavar</t>
  </si>
  <si>
    <t>De blanquear o teñir hilados o tejidos</t>
  </si>
  <si>
    <t>De teñir tejidos en cuerda; de teñir a presion estatica. con molinete. a chorro de agua («jet») o combinadas</t>
  </si>
  <si>
    <t>De blanquear tejidos</t>
  </si>
  <si>
    <t>De blanquear hilados</t>
  </si>
  <si>
    <t>Para inspeccionar tejidos</t>
  </si>
  <si>
    <t>Automaticas. de apilar o cortar</t>
  </si>
  <si>
    <t>Para maquinas de la subpartida 8451.21</t>
  </si>
  <si>
    <t>Maquinas de coser. excepto las de coser pliegos de la partida 84.40; muebles. basamentos y tapas o cubiertas especialmente concebidos para maquinas de coser; agujas para maquinas de coser.</t>
  </si>
  <si>
    <t>De cama plana. de aguja simple unicamente</t>
  </si>
  <si>
    <t>De costura recta. unicamente</t>
  </si>
  <si>
    <t>De costura recta y zig-zag</t>
  </si>
  <si>
    <t>Con bordado automatico. con levas incorporadas</t>
  </si>
  <si>
    <t>Con bordado automatico. con levas intercambiables manualmente</t>
  </si>
  <si>
    <t>De cama plana. de aguja intercambiable (simple o doble)</t>
  </si>
  <si>
    <t>De brazo libre</t>
  </si>
  <si>
    <t>- Las demas maquinas de coser:</t>
  </si>
  <si>
    <t>De coser cueros o pieles</t>
  </si>
  <si>
    <t>De coser tejidos</t>
  </si>
  <si>
    <t>Remalladoras</t>
  </si>
  <si>
    <t>De ribetear ojales</t>
  </si>
  <si>
    <t>Del tipo zig-zag para insertar elastico</t>
  </si>
  <si>
    <t>De costura recta</t>
  </si>
  <si>
    <t>Collaretas</t>
  </si>
  <si>
    <t>Muebles. basamentos y tapas o cubiertas para maquinas de coser. y sus partes</t>
  </si>
  <si>
    <t>Muebles. basamentos y tapas o cubiertas</t>
  </si>
  <si>
    <t>Las demas partes para maquinas de coser domesticas</t>
  </si>
  <si>
    <t>Guia hilos. lanzaderas y portabobinas</t>
  </si>
  <si>
    <t>Guia hilos. lanzaderas no rotativas y portabobinas</t>
  </si>
  <si>
    <t>Para remalladoras</t>
  </si>
  <si>
    <t>Lanzaderas rotativas</t>
  </si>
  <si>
    <t>Cuerpos moldeados por fundicion</t>
  </si>
  <si>
    <t>Maquinas y aparatos para la preparacion. curtido o trabajo de cuero o piel o para la fabricacion o reparacion de calzado u otras manufacturas de cuero o piel. excepto las maquinas de coser.</t>
  </si>
  <si>
    <t>Maquinas de dividir cueros de ancho util inferior o igual a 3.000 mm. con cuchilla sin fin y mando electronico programable</t>
  </si>
  <si>
    <t>Descarnadoras</t>
  </si>
  <si>
    <t>De pelar</t>
  </si>
  <si>
    <t>De rebajar</t>
  </si>
  <si>
    <t>Fulon</t>
  </si>
  <si>
    <t>Escurridoras</t>
  </si>
  <si>
    <t>Defloradoras</t>
  </si>
  <si>
    <t>Prensa para planchar</t>
  </si>
  <si>
    <t>Para depilar</t>
  </si>
  <si>
    <t>Otras maquinas de dividir</t>
  </si>
  <si>
    <t>Convertidores. cucharas de colada. lingoteras y maquinas de colar (moldear). para metalurgia. acerias o fundiciones.</t>
  </si>
  <si>
    <t>Lingoteras</t>
  </si>
  <si>
    <t>De seccion cuadrada de 120 o 160 mm. una longitud de 1.000 mm. un espesor de pared del 10% del lado y un recubrimiento de cromo de 0.1 mm de espesor</t>
  </si>
  <si>
    <t>A presion</t>
  </si>
  <si>
    <t>Por centrifugacion</t>
  </si>
  <si>
    <t>Para maquinas de colar (moldear) por centrifugacion</t>
  </si>
  <si>
    <t>Laminadores para metal y sus cilindros.</t>
  </si>
  <si>
    <t>- Los demas laminadores:</t>
  </si>
  <si>
    <t>De cilindros lisos</t>
  </si>
  <si>
    <t>Fundidos. de acero o fundicion nodular</t>
  </si>
  <si>
    <t>Forjados. de acero rapido con un contenido de carbono superior o igual al 0.80% pero inferior o igual al 0.90% en peso. cromo superior o igual al 4% en peso. vanadio superior o igual al 1.60% pero inferior o igual al 2.30% en peso. molibdeno inferior o igual al 8.50% en peso y volframio (tungsteno) inferior o igual al 7% en peso</t>
  </si>
  <si>
    <t>Maquinas herramienta que trabajen por arranque de cualquier materia mediante laser u otros haces de luz o de fotones. por ultrasonido. electroerosion. procesos electroquimicos. haces de electrones. haces ionicos o chorro de plasma; maquinas para cortar por chorro de agua.</t>
  </si>
  <si>
    <t>- Que operen mediante laser u otros haces de luz o de fotones:</t>
  </si>
  <si>
    <t>De control numerico</t>
  </si>
  <si>
    <t>Para corte de chapas metalicas de espesor superior a 8 mm</t>
  </si>
  <si>
    <t>Para corte de chapas metalicas de espesor superior a 8mm</t>
  </si>
  <si>
    <t>De texturizar superficies cilindricas</t>
  </si>
  <si>
    <t>De mando tridimencional con movimiento planetario</t>
  </si>
  <si>
    <t>De corte por hilo</t>
  </si>
  <si>
    <t>Centros de mecanizado. maquinas de puesto fijo y maquinas de puestos multiples. para trabajar metal.</t>
  </si>
  <si>
    <t>Tornos (incluidos los centros de torneado) que trabajen por arranque de metal.</t>
  </si>
  <si>
    <t>- Tornos horizontales:</t>
  </si>
  <si>
    <t>Revolver</t>
  </si>
  <si>
    <t>De 6 o mas husillos portapiezas</t>
  </si>
  <si>
    <t>- Los demas tornos:</t>
  </si>
  <si>
    <t>Maquinas (incluidas las unidades de mecanizado de correderas) de taladrar. escariar. fresar o roscar (incluso aterrajar). metal por arranque de materia. excepto los tornos (incluidos los centros de torneado) de la partida 84.58.</t>
  </si>
  <si>
    <t>- Las demas maquinas de taladrar:</t>
  </si>
  <si>
    <t>De mas de un cabezal mono o multihusillo</t>
  </si>
  <si>
    <t>Taladradoras de bancadas de dieciseis milimetros (16 mm). de diametro maximo de perforacion (R.1110/97 MEOSP)</t>
  </si>
  <si>
    <t>Taladradoras de bancadas de diecinueve milimetros (19 mm). de diametro maximo de perforacion (R.1110/97 MEOSP)</t>
  </si>
  <si>
    <t>- Las demas escariadoras-fresadoras:</t>
  </si>
  <si>
    <t>- Las demas escariadoras:</t>
  </si>
  <si>
    <t>- Maquinas de fresar de consola:</t>
  </si>
  <si>
    <t>- Las demas maquinas de fresar:</t>
  </si>
  <si>
    <t>Verticales de torreta (R.1518/97 MEOSP)</t>
  </si>
  <si>
    <t>Horizontales</t>
  </si>
  <si>
    <t>Universales</t>
  </si>
  <si>
    <t>Maquinas de desbarbar. afilar. amolar. rectificar. lapear (bruñir). pulir o hacer otras operaciones de acabado. para metal o cermet. mediante muelas. abrasivos o productos para pulir. excepto las maquinas para tallar o acabar engranajes de la partida 84.61.</t>
  </si>
  <si>
    <t>- Maquinas de rectificar superficies planas:</t>
  </si>
  <si>
    <t>- Las demas maquinas de rectificar:</t>
  </si>
  <si>
    <t>- Maquinas de afilar:</t>
  </si>
  <si>
    <t>Bruñidoras para cilindros de diametro inferior o igual a 312 mm</t>
  </si>
  <si>
    <t>De pulir. con cinco o mas cabezales y portapiezas rotativo</t>
  </si>
  <si>
    <t>De esmerilar. con dos o mas cabezales y portapiezas rotativo</t>
  </si>
  <si>
    <t>Amoladoras</t>
  </si>
  <si>
    <t>Pulidoras</t>
  </si>
  <si>
    <t>Maquinas de cepillar. limar. mortajar. brochar. tallar o acabar engranajes. aserrar. trocear y demas maquinas herramienta que trabajen por arranque de metal o cermet. no expresadas ni comprendidas en otra parte.</t>
  </si>
  <si>
    <t>De mortajar</t>
  </si>
  <si>
    <t>Redondeadora de dientes</t>
  </si>
  <si>
    <t>De cinta sin fin</t>
  </si>
  <si>
    <t>Maquinas (incluidas las prensas) de forjar o estampar. martillos pilon y otras maquinas de martillar. para trabajar metal; maquinas (incluidas las prensas) de enrollar. curvar. plegar. enderezar. aplanar. cizallar. punzonar o entallar. metal; prensas para trabajar metal o carburos metalicos. no expresadas anteriormente.</t>
  </si>
  <si>
    <t>Maquinas de estampar</t>
  </si>
  <si>
    <t>De forjar</t>
  </si>
  <si>
    <t>De estampar</t>
  </si>
  <si>
    <t>Martillos pilon</t>
  </si>
  <si>
    <t>Martinetes</t>
  </si>
  <si>
    <t>- Maquinas (incluidas las prensas) de enrollar. curvar. plegar. enderezar o aplanar:</t>
  </si>
  <si>
    <t>De curvar</t>
  </si>
  <si>
    <t>De plegar</t>
  </si>
  <si>
    <t>Maquina automatica de plegar. por encima y por debajo. paneles. con brazo manipulador para rotacion y desplazamiento. en el plano horizontal. del panel y capacidad para trabajar dimensiones que no exceden los 1.600 mm de ancho y 2.500 mm de longitud con un espesor de metal superior o igual a 0.4 mm pero inferior o igual a 4 mm</t>
  </si>
  <si>
    <t>De enderezar o aplanar</t>
  </si>
  <si>
    <t>Chapas</t>
  </si>
  <si>
    <t>- Maquinas (incluidas las prensas) de cizallar. excepto las combinadas de cizallar y punzonar:</t>
  </si>
  <si>
    <t>Del tipo guillotina</t>
  </si>
  <si>
    <t>- Maquinas (incluidas las prensas) de punzonar o entallar. incluso las combinadas de cizallar y punzonar:</t>
  </si>
  <si>
    <t>Cizalla</t>
  </si>
  <si>
    <t>Punzonadora</t>
  </si>
  <si>
    <t>De capacidad inferior o igual a 35.000 kN</t>
  </si>
  <si>
    <t>De moldear polvos metalicos por sinterizacion</t>
  </si>
  <si>
    <t>Prensas de moldear polvos metalicos por sinterizacion</t>
  </si>
  <si>
    <t>Prensas de extruir</t>
  </si>
  <si>
    <t>Las demas maquinas herramienta para trabajar metal o cermet. que no trabajen por arranque de materia.</t>
  </si>
  <si>
    <t>De estirar tubos</t>
  </si>
  <si>
    <t>De peine plano. con capacidad de produccion superior o igual a 160 unidades por minuto. de diametro de rosca comprendido entre 3mm y 10mm</t>
  </si>
  <si>
    <t>Maquinas herramienta para trabajar piedra. ceramica. hormigon. amiantocemento o materias minerales similares. o para trabajar el vidrio en frio.</t>
  </si>
  <si>
    <t>Para vidrio</t>
  </si>
  <si>
    <t>Para ceramica</t>
  </si>
  <si>
    <t>De pulir baldosas para pavimentacion o revestimiento. con ocho o mas cabezales</t>
  </si>
  <si>
    <t>De control numerico. de rectificar. fresar y perforar</t>
  </si>
  <si>
    <t>Maquinas herramienta (incluidas las de clavar. grapar. encolar o ensamblar de otro modo) para trabajar madera. corcho. hueso. caucho endurecido. plastico rigido o materias duras similares.</t>
  </si>
  <si>
    <t>Con motor de accionamiento de potencia inferior o igual a 5 kW (6.66 HP)</t>
  </si>
  <si>
    <t>Fresadoras</t>
  </si>
  <si>
    <t>Espigadoras con cargador automatico</t>
  </si>
  <si>
    <t>Garlopa</t>
  </si>
  <si>
    <t>Lijadoras</t>
  </si>
  <si>
    <t>De taladrar</t>
  </si>
  <si>
    <t>Gillotinas</t>
  </si>
  <si>
    <t>Juntadoras de chapa</t>
  </si>
  <si>
    <t>Tornos</t>
  </si>
  <si>
    <t>Pegadoras de canto recto o recto/curva. automaticas</t>
  </si>
  <si>
    <t>PARTES Y ACCESORIOS IDENTIFICABLES COMO DESTINADOS. EXCLUSIVA O PRINCIPALMENTE. A LAS MaQUINAS DE LAS PARTIDAS 84.56 A 84.65. INCLUIDOS LOS PORTAPIEZAS Y PORTAÃšTILES. DISPOSITIVOS DE ROSCAR DE APERTURA AUTOMaTICA. DIVISORES Y DEMaS DISPOSITIVOS ESPECIALES PARA MONTAR EN MaQUINAS HERRAMIENTA; PORTAÃšTILES PARA HERRAMIENTAS DE MANO DE CUALQUIER TIPO.</t>
  </si>
  <si>
    <t>De maquinas herramienta de las partidas 84.56 a 84.65</t>
  </si>
  <si>
    <t>Para tornos</t>
  </si>
  <si>
    <t>- - Para maquinas de la partida 84.64</t>
  </si>
  <si>
    <t>- - Para maquinas de la partida 84.65</t>
  </si>
  <si>
    <t>- - Para maquinas de las partidas 84.56 a 84.61</t>
  </si>
  <si>
    <t>Para maquinas de la partida 84.56</t>
  </si>
  <si>
    <t>Para maquinas de la subpartida 8456.20</t>
  </si>
  <si>
    <t>Accesorios (R.761/95 MEOSP)</t>
  </si>
  <si>
    <t>Para maquinas de la partida 84.57</t>
  </si>
  <si>
    <t>Para maquinas de la partida 84.58</t>
  </si>
  <si>
    <t>Para maquinas de la partida 84.59</t>
  </si>
  <si>
    <t>Para maquinas de la partida 84.60</t>
  </si>
  <si>
    <t>Para maquinas de la partida 84.61</t>
  </si>
  <si>
    <t>- - Para maquinas de las partidas 84.62 u 84.63</t>
  </si>
  <si>
    <t>Para maquinas de la subpartida 8462.10</t>
  </si>
  <si>
    <t>Para maquinas de las subpartidas 8462.21 u 8462.29</t>
  </si>
  <si>
    <t>Para prensas de extruir</t>
  </si>
  <si>
    <t>Herramientas neumaticas. hidraulicas o con motor incorporado. incluso electrico. de uso manual.</t>
  </si>
  <si>
    <t>- Neumaticas:</t>
  </si>
  <si>
    <t>Perforadoras o agujereadoras</t>
  </si>
  <si>
    <t>Colocadora de tuercas y tornillos</t>
  </si>
  <si>
    <t>Pulidoras y amoladoras</t>
  </si>
  <si>
    <t>Martillo cuya herramienta se acciona por percusion rotativa</t>
  </si>
  <si>
    <t>Grapadoras y clavadoras neumaticas (R.451/95 MEOSP)</t>
  </si>
  <si>
    <t>Remachadores</t>
  </si>
  <si>
    <t>Punzonadores</t>
  </si>
  <si>
    <t>Rompepavimentos</t>
  </si>
  <si>
    <t>Apisonadores</t>
  </si>
  <si>
    <t>Perforadores de roca</t>
  </si>
  <si>
    <t>- Con motor electrico incorporado:</t>
  </si>
  <si>
    <t>Tijeras</t>
  </si>
  <si>
    <t>Cortadoras de tejidos</t>
  </si>
  <si>
    <t>Destornilladoras y roscadoras</t>
  </si>
  <si>
    <t>Cepilladoras</t>
  </si>
  <si>
    <t>Limadoras</t>
  </si>
  <si>
    <t>Cizallas para cortar setos</t>
  </si>
  <si>
    <t>Sopladores de aire caliente</t>
  </si>
  <si>
    <t>Desherbadoras de los tipos utilizadas para el acabado del cesped</t>
  </si>
  <si>
    <t>- Las demas herramientas:</t>
  </si>
  <si>
    <t>Remachadora portatil hidraulica u oleodinamica</t>
  </si>
  <si>
    <t>De los tipos utilizados para el acabado del cesped</t>
  </si>
  <si>
    <t>Espadas o barras guias para cadenas de motosierras</t>
  </si>
  <si>
    <t>De herramientas con motor electrico incorporado (Decreto 690/02 - Anexo V-6)</t>
  </si>
  <si>
    <t>Maquinas y aparatos para soldar. aunque puedan cortar. excepto los de la partida 85.15; maquinas y aparatos de gas para temple superficial.</t>
  </si>
  <si>
    <t>De soldar por friccion</t>
  </si>
  <si>
    <t>Para sopletes manuales</t>
  </si>
  <si>
    <t>Para maquinas y aparatos de soldar por friccion</t>
  </si>
  <si>
    <t>Maquinas de calcular y maquinas de bolsillo registradoras. reproductoras y visualizadoras de datos. con funcion de calculo; maquinas de contabilidad. de franquear. expedir boletos (tiques) y maquinas similares. con dispositivo de calculo incorporado; cajas registradoras.</t>
  </si>
  <si>
    <t>Calculadoras electronicas</t>
  </si>
  <si>
    <t>De hasta treinta y dos (32) teclas. sin dispositivo de impresion</t>
  </si>
  <si>
    <t>Con capacidad de comunicacion bidireccional con computadores u otras maquinas numericas (digitales)</t>
  </si>
  <si>
    <t>Las demas de bolsillo. en los terminos de la Nota 8 del Capitulo 84</t>
  </si>
  <si>
    <t>De hasta treinta y seis (36) teclas. con dispositivo de impresion incorporado</t>
  </si>
  <si>
    <t>Con funciones graficas y capacidad de comunicacion bidireccional con computadores u otras maquinas numericas (digitales)</t>
  </si>
  <si>
    <t>Con funciones graficas</t>
  </si>
  <si>
    <t>Maquinas de bolsillo registradoras; reproductoras y visualizadoras de datos. con funciones de calculo</t>
  </si>
  <si>
    <t>Con reconocimiento de escritura. entrada de datos y de comandos a traves de la pantalla ("display")</t>
  </si>
  <si>
    <t>- Las demas maquinas de calcular electronicas:</t>
  </si>
  <si>
    <t>Ãšnicamente terminales de pago mediante tarjetas con tira magnetica o chip. incorporados</t>
  </si>
  <si>
    <t>Maquinas de franquear correspondencia</t>
  </si>
  <si>
    <t>Maquina de pago mediante tarjetas magneticas o dinero. para medios de transporte. con o sin emision de boleto. de una o varias terminales de validacion. una unidad de control y modulo de memoria</t>
  </si>
  <si>
    <t>Maquinas automaticas para tratamiento o procesamiento de datos y sus unidades; lectores magneticos u opticos. maquinas para registro de datos sobre soporte en forma codificada y maquinas para tratamiento o procesamiento de estos datos. no expresados ni comprendidos en otra parte.</t>
  </si>
  <si>
    <t>- Maquinas automaticas para tratamiento o procesamiento de datos. portatiles. de peso inferior o igual a 10 kg. que esten constituidas. al menos. por una unidad central de proceso. un teclado y un visualizador</t>
  </si>
  <si>
    <t>Capaces de funcionar sin fuente externa de energia</t>
  </si>
  <si>
    <t>De peso inferior a 350 g. con teclado alfanumerico de por lo menos 70 teclas y con una pantalla («display») de area inferior a 140 cm2</t>
  </si>
  <si>
    <t>De peso inferior a 3.5 kg. con teclado alfanumerico de por lo menos 70 teclas y con una pantalla ("display") de area superior a 140 cm2 e inferior a 560 cm2</t>
  </si>
  <si>
    <t>De valor FOB inferior o igual a 600 U$S. por unidad</t>
  </si>
  <si>
    <t>De los tipos denominadas comercialmente tabletas.</t>
  </si>
  <si>
    <t>De los tipos denominadas comercialmente tabletas</t>
  </si>
  <si>
    <t>De valor FOB inferior o igual a 1100 U$S. por unidad</t>
  </si>
  <si>
    <t>- Las demas maquinas automaticas para tratamiento o procesamiento de datos:</t>
  </si>
  <si>
    <t>De peso inferior a 750 g. sin teclado. con reconocimiento de escritura. entrada de datos y de comandos a traves de una pantalla («display») de area inferior a 280 cm2</t>
  </si>
  <si>
    <t>De los tipos denominados comercialmente "All In One"</t>
  </si>
  <si>
    <t>Constituidos por una unidad central de proceso. un teclado y un visualizador. incluso presentada con indicadores o apuntadores (por ejemplo: "mouse" y "trackball")</t>
  </si>
  <si>
    <t>- Unidades de proceso. excepto las de las subpartidas 8471.41 u 8471.49. aunque incluyan en la misma envoltura uno o dos de los tipos siguientes de unidades: unidad de memoria. unidad de entrada y unidad de salida</t>
  </si>
  <si>
    <t>De pequeña capacidad. basadas en microprocesadores. con capacidad de instalacion dentro del mismo gabinete de unidades de memoria de la subpartida 8471.70. pudiendo contener multiples conectores de expansion («slots»). y valor FOB inferior o igual a u$s 12.500. por unidad</t>
  </si>
  <si>
    <t>Del tipo comercialmente denominado "torre"</t>
  </si>
  <si>
    <t>De valor FOB inferior o igual a U$S 1.000 por unidad</t>
  </si>
  <si>
    <t>Provistas de fuente de alimentacion redundante y diseñadas para ser montadas en gabinetes normalizados ("rackeable")</t>
  </si>
  <si>
    <t>De media capacidad. pudiendo contener como maximo una unidad de entrada y otra de salida de la subpartida 8471.60. con capacidad de instalacion dentro del mismo gabinete. de unidades de memoria de la subpartida 8471.70. pudiendo contener multiples conectores de expansion («slots»). y valor FOB superior a u$s 12.500 e inferior o igual a u$s 46.000. por unidad</t>
  </si>
  <si>
    <t>De gran capacidad. pudiendo contener como maximo una unidad de entrada y otra de salida de la subpartida 8471.60. con capacidad de instalacion interna o en modulos separados del gabinete del procesador central de unidades de memoria de la subpartida 8471.70. y valor FOB superior a u$s 46.000 e inferior o igual a u$s 100.000. por unidad</t>
  </si>
  <si>
    <t>De muy grande capacidad. pudiendo contener como maximo una unidad de entrada y otra de salida de la subpartida 8471.60. con capacidad de instalacion interna o en modulos separados del gabinete del procesador central de unidades de memoria de la subpartida 8471.70. y valor FOB superior a u$s 100.000. por unidad</t>
  </si>
  <si>
    <t>Unidades de entrada</t>
  </si>
  <si>
    <t>Teclados</t>
  </si>
  <si>
    <t>Indicadores o apuntadores (por ejemplo: «mouse» y «trackball»)</t>
  </si>
  <si>
    <t>Mesas digitalizadoras</t>
  </si>
  <si>
    <t>Aparatos terminales que tengan. al menos. una unidad de entrada por teclado alfanumerico y una unidad de salida por video (terminales)</t>
  </si>
  <si>
    <t>Con unidad de salida por video monocromatico</t>
  </si>
  <si>
    <t>Con unidad de salida por video policromatico</t>
  </si>
  <si>
    <t>Terminales de autoatencion bancaria</t>
  </si>
  <si>
    <t>Unidades de discos magneticos</t>
  </si>
  <si>
    <t>Para discos flexibles</t>
  </si>
  <si>
    <t>Para discos rigidos. con un solo conjunto cabezas disco («HDA[Head Disc Assembly]»)</t>
  </si>
  <si>
    <t>Con grabacion de datos o instrucciones (software) aptas para ser utilizadas en maquinas automaticas de procesamiento de datos. incluso acompañadas por libros. manuales u otra documentacion tecnica complementaria</t>
  </si>
  <si>
    <t>Unidades de discos para lectura o grabacion de datos por medios opticos</t>
  </si>
  <si>
    <t>Exclusivamente para lectura</t>
  </si>
  <si>
    <t>Unidades de cintas magneticas</t>
  </si>
  <si>
    <t>Para cartuchos</t>
  </si>
  <si>
    <t>Para casetes</t>
  </si>
  <si>
    <t>Unidades a base de semiconductores con interfaz SATA ("Serial Advanced Technology Attachment"). de los tipo denominados discos de estado solido ("Solid-State Disk")</t>
  </si>
  <si>
    <t>Lectores o grabadores</t>
  </si>
  <si>
    <t>De tarjetas magneticas</t>
  </si>
  <si>
    <t>Lectores de codigos de barras</t>
  </si>
  <si>
    <t>Lectores de caracteres magnetizables</t>
  </si>
  <si>
    <t>Digitalizadores de imagenes («scanners»)</t>
  </si>
  <si>
    <t>Las demas maquinas y aparatos de oficina (por ejemplo: copiadoras hectograficas. mimeografos. maquinas de imprimir direcciones. distribuidores automaticos de billetes de banco. maquinas de clasificar. contar o encartuchar monedas. sacapuntas. perforadoras. grapadoras).</t>
  </si>
  <si>
    <t>Maquinas automaticas de obliterar sellos postales</t>
  </si>
  <si>
    <t>Maquinas automaticas para seleccion de correspondencia por formato y clasificacion y de distribucion de la misma por lectura optica del codigo postal</t>
  </si>
  <si>
    <t>Maquinas automaticas para seleccion y distribucion de encomiendas. con lectura optica del codigo postal</t>
  </si>
  <si>
    <t>Distribuidores (dispensadores) automaticos de billetes de banco. incluidos los que puedan efectuar otras operaciones bancarias</t>
  </si>
  <si>
    <t>Maquinas de los tipos utilizados en cajas de banco. con dispositivo de autenticar</t>
  </si>
  <si>
    <t>Electronicas. con capacidad de comunicacion bidireccional con computadoras u otras maquinas numericas (digitales)</t>
  </si>
  <si>
    <t>Maquinas de clasificar y contar monedas o billetes de banco</t>
  </si>
  <si>
    <t>Sacapuntas. perforadoras. grapadoras (abrochadoras) y desgrapadoras (desabrochadoras)</t>
  </si>
  <si>
    <t>Perforadoras</t>
  </si>
  <si>
    <t>Grapadoras</t>
  </si>
  <si>
    <t>Clasificadoras automaticas de documentos. con lectores o grabadores de la subpartida regional 8471.90.1 incorporados</t>
  </si>
  <si>
    <t>Con capacidad de clasificacion superior a 400 documentos por minuto</t>
  </si>
  <si>
    <t>Maquinas de imprimir direcciones o estampar placas de direcciones</t>
  </si>
  <si>
    <t>Destructora de documentos</t>
  </si>
  <si>
    <t>PARTES Y ACCESORIOS (EXCEPTO LOS ESTUCHES. FUNDAS Y SIMILARES) IDENTIFICABLES COMO DESTINADOS. EXCLUSIVA O PRINCIPALMENTE. A LAS MaQUINAS O APARATOS DE LAS PARTIDAS 84.70 A 84.72.</t>
  </si>
  <si>
    <t>- Partes y accesorios de maquinas de la partida 84.70:</t>
  </si>
  <si>
    <t>- - De maquinas de calcular electronicas de las subpartidas 8470.10. 8470.21 u 8470.29</t>
  </si>
  <si>
    <t>Circuitos impresos con componentes electricos o electronicos montados. de cajas registradoras</t>
  </si>
  <si>
    <t>De maquinas de las subpartidas 8470.30</t>
  </si>
  <si>
    <t>- Partes y accesorios de maquinas de la partida 84.71</t>
  </si>
  <si>
    <t>Gabinetes. incluso con modulo «display» numerico. fuente de alimentacion incorporada o ambas</t>
  </si>
  <si>
    <t>Con fuente de alimentacion. incluso con modulo «display» numerico</t>
  </si>
  <si>
    <t>De unidades de discos o cintas magneticas. excepto los de la subpartida regional 8473.30.4</t>
  </si>
  <si>
    <t>Conjuntos cabeza disco montados («HDA (Head Disk Assembly)») de unidades de discos rigidos</t>
  </si>
  <si>
    <t>Brazos posicionadores de cabeza magnetica</t>
  </si>
  <si>
    <t>Cabezales magneticos</t>
  </si>
  <si>
    <t>Mecanismo bobinador para unidades de cintas magneticas («magnetic tape transporter»)</t>
  </si>
  <si>
    <t>Circuitos impresos con componentes electricos o electronicos montados</t>
  </si>
  <si>
    <t>Placas madre («mother boards»)</t>
  </si>
  <si>
    <t>Placas (modulos) de memoria con una superficie inferior o igual a 50 cm2</t>
  </si>
  <si>
    <t>Placas de microprocesamiento. incluso con dispositivo de disipacion de calor</t>
  </si>
  <si>
    <t>Pantallas («display») para maquinas automaticas para tratamiento o procesamiento de datos. portatiles</t>
  </si>
  <si>
    <t>De aparatos para monitoreo y programacion de estimuladores cardiacos (marcapasos) implantados</t>
  </si>
  <si>
    <t>- Partes y accesorios de maquinas de la partida 84.72</t>
  </si>
  <si>
    <t>Las demas partes y accesorios de maquinas de los item 8472.90.10. 8472.90.21 u 8472.90.29</t>
  </si>
  <si>
    <t>- Partes y accesorios que puedan utilizarse indistintamente con maquinas o aparatos de varias de las partidas 84.70 a 84.72</t>
  </si>
  <si>
    <t>Maquinas y aparatos de clasificar. cribar. separar. lavar. quebrantar. triturar. pulverizar. mezclar. amasar o sobar. tierra. piedra u otra materia mineral solida (incluidos el polvo y la pasta); maquinas de aglomerar. formar o moldear combustibles minerales solidos. pastas ceramicas. cemento. yeso o demas materias minerales en polvo o pasta; maquinas de hacer moldes de arena para fundicion.</t>
  </si>
  <si>
    <t>Maquinas de cribar. propulsadas mediante orugas. con capacidad superior o igual a 200 t/h</t>
  </si>
  <si>
    <t>De bolas</t>
  </si>
  <si>
    <t>Quebrantadores</t>
  </si>
  <si>
    <t>Giratorios de conos</t>
  </si>
  <si>
    <t>De mandibulas</t>
  </si>
  <si>
    <t>De tambor</t>
  </si>
  <si>
    <t>De cilindros</t>
  </si>
  <si>
    <t>Maquinas de triturar. propulsadas mediante orugas. con capacidad superior o igual a 240 t/h</t>
  </si>
  <si>
    <t>Los demas trituradores</t>
  </si>
  <si>
    <t>De martillo</t>
  </si>
  <si>
    <t>De muela</t>
  </si>
  <si>
    <t>- Maquinas y aparatos de mezclar. amasar o sobar:</t>
  </si>
  <si>
    <t>De capacidad superior a 120t/h. fijos o moviles</t>
  </si>
  <si>
    <t>Mezcladora de minerales</t>
  </si>
  <si>
    <t>Mezcladora para la preparacion de arena de fundicion</t>
  </si>
  <si>
    <t>Mezcladora-amasadora de arcilla</t>
  </si>
  <si>
    <t>Mezcladora de polvo de carbon con aglutinantes</t>
  </si>
  <si>
    <t>De hacer moldes de arena para fundicion</t>
  </si>
  <si>
    <t>De aglomerar y conformar pasta ceramica</t>
  </si>
  <si>
    <t>De aglomerar combustibles minerales solidos</t>
  </si>
  <si>
    <t>De maquinas de la subpartida 8474.10</t>
  </si>
  <si>
    <t>De maquinas de la subpartida 8474.20</t>
  </si>
  <si>
    <t>De maquinas de la subpartida 8474.31</t>
  </si>
  <si>
    <t>De maquinas de la subpartida 8474.32</t>
  </si>
  <si>
    <t>De maquinas de la subpartida 8474.39</t>
  </si>
  <si>
    <t>Maquinas para montar lamparas. tubos o valvulas electricos o electronicos o lamparas de destello. que tengan envoltura de vidrio; maquinas para fabricar o trabajar en caliente el vidrio o sus manufacturas.</t>
  </si>
  <si>
    <t>- Maquinas para fabricar o trabajar en caliente el vidrio o sus manufacturas:</t>
  </si>
  <si>
    <t>Para fabricar recipientes de la partida 70.10. excepto ampollas</t>
  </si>
  <si>
    <t>Maquinas automaticas para la venta de productos (por ejemplo: sellos (estampillas). cigarrillos. alimentos. bebidas). incluidas las maquinas para cambiar moneda.</t>
  </si>
  <si>
    <t>- Maquinas automaticas para venta de bebidas:</t>
  </si>
  <si>
    <t>Maquinas automaticas para venta de sellos postales</t>
  </si>
  <si>
    <t>Maquinas y aparatos para trabajar caucho o plastico o para fabricar productos de estas materias. no expresados ni comprendidos en otra parte de este Capitulo.</t>
  </si>
  <si>
    <t>Horizontales. de control numerico</t>
  </si>
  <si>
    <t>Monocolor para materiales termoplasticos. con capacidad de inyeccion inferior o igual a 5.000 g y fuerza de cierre inferior o igual a 12.000 kN</t>
  </si>
  <si>
    <t>Con fuerza de cierre inferior o igual a 800 kN</t>
  </si>
  <si>
    <t>Con fuerza de cierre superior a 800 kN pero inferior o igual a 1.200 kN</t>
  </si>
  <si>
    <t>Con fuerza de cierre superior a 1.200 kN pero inferior o igual a 1.800 kN</t>
  </si>
  <si>
    <t>Con fuerza de cierre superior a 1.800 kN pero inferior o igual a 2.600 kN</t>
  </si>
  <si>
    <t>Con fuerza de cierre superior a 2.600 kN pero inferior o igual a 3.500 kN</t>
  </si>
  <si>
    <t>Con fuerza de cierre superior a 3.500 kN pero inferior o igual a 4.500 kN</t>
  </si>
  <si>
    <t>Las demas horizontales</t>
  </si>
  <si>
    <t>Para materiales termoplasticos con diametro de tornillo inferior o igual a 300 mm</t>
  </si>
  <si>
    <t>De co-extrusion plana. con capacidad de 1.000 kg/h de poliestireno. polietileno tereftalato. polietileno tereftalato glicol y polipropileno. incluso con aplicador de siliconas y sistema de laminacion en linea de films de barrera</t>
  </si>
  <si>
    <t>Combinacion de maquinas destinada a la extrusion de perfiles de caucho. constituida por: extrusora de diametro de tornillo inferior o igual a 250 mm. con dispositivo alimentador y dosificador automatico de caucho. calandria de dos cilindros. enfriador por rodillos y cinta. manipulador y tablero de control y mando</t>
  </si>
  <si>
    <t>Combinacion de maquinas destinada a la extrusion de perfiles de refuerzo. constituida por: extrusora. maquina de aplicar perfiles de refuerzo en aros de talon y tablero de control y mando</t>
  </si>
  <si>
    <t>Extrusora para trabajar caucho. de diametro de tornillo superior o igual a 90 mm; incluso con dispositivo alimentador. dosificador automatico de caucho. cabezal con filtro de malla metalica. tablero de control y mando</t>
  </si>
  <si>
    <t>Para la fabricacion de envases de materiales termoplasticos de capacidad inferior o igual a 5 l. con una produccion inferior o igual a 1.000 unidades por hora referida a envases de 1 l de capacidad</t>
  </si>
  <si>
    <t>De moldear en vacio poliestireno expandido (EPS) o polipropileno expandido (EPP)</t>
  </si>
  <si>
    <t>Otras de moldear en vacio</t>
  </si>
  <si>
    <t>- Las demas maquinas y aparatos de moldear o formar:</t>
  </si>
  <si>
    <t>De moldear neumaticos</t>
  </si>
  <si>
    <t>Con calefaccion por vapor indirecto. dispositivo de apertura/cierre de moldes. vejigas para presurizacion interna de los neumaticos y tablero de control y mando.</t>
  </si>
  <si>
    <t>Con una capacidad inferior o igual a 30.000 kN</t>
  </si>
  <si>
    <t>Combinacion de maquinas destinada a la formacion de talones para neumaticos. constituida por: extrusora de caucho utilizada para recubrir alambres. formadoras de talones de geometria hexagonal o rectangular. alimentador de alambre y tablero de control y mando</t>
  </si>
  <si>
    <t>Combinacion de maquinas destinada a conformar carcasas de neumaticos. constituida por: alimentadores de rodado. cinturas. costados. capa hermetica. pliegos y talones; dispositivo de transferencia y ensamble; extractor de neumaticos y tablero de control y mando</t>
  </si>
  <si>
    <t>Maquinas de ensamblar laminas de caucho entre si o con telas cauchutadas. para la fabricacion de neumaticos</t>
  </si>
  <si>
    <t>Combinacion de maquinas destinada al corte de telas de caucho reforzadas con malla metalica o cordones textiles. para pliegos. constituida por: debobinador. cortadora del tipo gillotina (corte de 90°).empalmador automatico. transportador. bobinador y tablero de control y mando</t>
  </si>
  <si>
    <t>Cortadora transversal de perfiles de caucho en longitudes predeterminadas entre 900 mm y 4.000 mm. con separador de perfiles cortados. balanza de pesada continua sobre transportador. dispositivo enrollador y tablero de control y mando</t>
  </si>
  <si>
    <t>Maquina de cortar perfiles continuos de caucho de ancho inferior o igual a 500 mm. de tolerancia de corte inferior a + /- 2 mm. con transportador de velocidad variable. carro portacuchillas para corte biselado con avance sincronizado al transportador y tablero de control y mando</t>
  </si>
  <si>
    <t>Maquina para fabricacion de articulos en tres dimensiones. de los tipos denominados comunmente "Impresoras 3D"</t>
  </si>
  <si>
    <t>Maquinas y aparatos para preparar o elaborar tabaco. no expresados ni comprendidos en otra parte de este Capitulo.</t>
  </si>
  <si>
    <t>Batidoras-separadoras automaticas de tallos y hojas</t>
  </si>
  <si>
    <t>Maquinas y aparatos mecanicos con funcion propia. no expresados ni comprendidos en otra parte de este Capitulo.</t>
  </si>
  <si>
    <t>Autopropulsados para esparcir y apisonar revestimientos bituminosos</t>
  </si>
  <si>
    <t>Maquinas para reciclar en caliente capas superiores de carreteras asfalticas. equipadas con calentadores infrarrojos. picadoras de superficie asfaltica. camara de mezcla y dispositivos para esparcir y compactar</t>
  </si>
  <si>
    <t>Maquinas para trazar lineas de circulacion en vias publicas (demarcadoras)</t>
  </si>
  <si>
    <t>Esparcidor de aglutinantes</t>
  </si>
  <si>
    <t>Prensas continuas para semillas oleaginosas</t>
  </si>
  <si>
    <t>Equipos de extraccion de aceite por solventes</t>
  </si>
  <si>
    <t>Equipo para la elaboracion de margarina</t>
  </si>
  <si>
    <t>Molinos trituradores</t>
  </si>
  <si>
    <t>Molinos laminadores</t>
  </si>
  <si>
    <t>Hidrogenizadores</t>
  </si>
  <si>
    <t>Trocedoras</t>
  </si>
  <si>
    <t>Trenzadoras</t>
  </si>
  <si>
    <t>Cableadoras</t>
  </si>
  <si>
    <t>- Pasarelas de embarque para pasajeros:</t>
  </si>
  <si>
    <t>Diferenciadores de las tensiones de traccion de entrada y salida de la chapa. en instalaciones de galvanizado</t>
  </si>
  <si>
    <t>Mezcladores</t>
  </si>
  <si>
    <t>Mezclador de compuesto de caucho reforzado y negro de humo y silice. con recipiente de capacidad superior a 270 l. con control de temperatura por circulacion periferica de fluido refrigerante. motores de accionamiento de potencia superior a 1.500 kW y tablero de control y mando</t>
  </si>
  <si>
    <t>Prensas; distribuidores y dosificadores de solidos o liquidos</t>
  </si>
  <si>
    <t>Distribuidores y dosificadores de solidos o liquidos</t>
  </si>
  <si>
    <t>Maquinas y aparatos para cesteria o esparteria; maquinas y aparatos para la fabricacion de cepillos. brochas o pinceles</t>
  </si>
  <si>
    <t>Maquinas y aparatos para cesteria o esparteria</t>
  </si>
  <si>
    <t>Maquinas y aparatos para la fabricacion de cepillos. brochas o pinceles</t>
  </si>
  <si>
    <t>Limpiaparabrisas electricos y acumuladores hidraulicos. para aeronaves</t>
  </si>
  <si>
    <t>Limpiaparabrisas</t>
  </si>
  <si>
    <t>Acumuladores</t>
  </si>
  <si>
    <t>Silos metalicos para cereales. fijos (no transportables). incluidas las baterias. con equipos elevadores o extractores incorporados</t>
  </si>
  <si>
    <t>Aparatos para limpieza por ultrasonido</t>
  </si>
  <si>
    <t>Aparatos de timonear</t>
  </si>
  <si>
    <t>LLaves hidraulicas para enroscar cañerias de perforacion y entubacion de pozos de petroleo (R.21/99 MEOSP)</t>
  </si>
  <si>
    <t>Bocinas de aire comprimido. de los tipos utilizados en vehiculos automoviles</t>
  </si>
  <si>
    <t>Maquinas para generacion y soplado de nieve artificial (cañones); sistemas de produccion de nieve artificial (innivacion). de los tipos utilizados en pistas de esqui</t>
  </si>
  <si>
    <t>Maquinas para generacion y soplado de nieve artificial (cañones)</t>
  </si>
  <si>
    <t>Sistemas de produccion de nieve artificial (innivacion). de los tipos utilizados en pistas de esqui</t>
  </si>
  <si>
    <t>Maquina de posicionar y girar neumaticos. de los tipos utilizados en vehiculos automoviles. con sistema de iluminacion y espejos para inspeccion visual</t>
  </si>
  <si>
    <t>Maquinas para elaborar capsulas. tabletas o comprimidos. incluso las de accionamiento manual.</t>
  </si>
  <si>
    <t>De limpiaparabrisas electricos o acumuladores hidraulicos. para aeronaves</t>
  </si>
  <si>
    <t>De maquinas lavadoras de microcubetas</t>
  </si>
  <si>
    <t>Cajas de fundicion; placas de fondo para moldes; modelos para moldes; moldes para metal (excepto las lingoteras). carburos metalicos. vidrio. materia mineral. caucho o plastico.</t>
  </si>
  <si>
    <t>- Moldes para metales o carburos metalicos:</t>
  </si>
  <si>
    <t>Coquillas</t>
  </si>
  <si>
    <t>- Moldes para caucho o plastico:</t>
  </si>
  <si>
    <t>Para vulcanizacion de neumaticos</t>
  </si>
  <si>
    <t>De los tipos utilizados en automoviles de turismo. incluidos los del tipo familiar ("break" o "station wagon")</t>
  </si>
  <si>
    <t>Articulos de griferia y organos similares para tuberias. calderas. depositos. cubas o continentes similares. incluidas las valvulas reductoras de presion y las valvulas termostaticas.</t>
  </si>
  <si>
    <t>Valvulas reductoras de presion de aire comprimido. para presiones de entrada inferior o igual a 20 bar y de salida comprendida entre 0.50 bar y 16 bar. con cuerpo de plastico. aluminio. zinc o de sus aleaciones</t>
  </si>
  <si>
    <t>Rotativas. de cajas de direccion hidraulicas</t>
  </si>
  <si>
    <t>Con piñon</t>
  </si>
  <si>
    <t>Actuador para sistema antibloqueo de frenos (ABS). con controlador electronico incorporado</t>
  </si>
  <si>
    <t>Valvulas de control para transmision de aire comprimido. de 2 o mas vias con 2 o 3 posiciones de mando. para una presion de trabajo inferior o igual a 10 bar. incluso accionadas mediante solenoide. con cuerpo de aluminio. zinc o de sus aleaciones</t>
  </si>
  <si>
    <t>Valvulas para transmisiones oleohidraulicas. de los tipos utilizados para regular el flujo de lubricante en circuito de refrigeracion de embolos (pistones) de motores de vehiculos automoviles</t>
  </si>
  <si>
    <t>Valvulas para transmisiones hidraulicas. accionadas por brazo articulado. con sensor de carga. de los tipos utilizados para regular la intensidad de frenado en las ruedas traseras de vehiculos automoviles</t>
  </si>
  <si>
    <t>Valvula distribuidora. de los tipos utilizados en sistemas de freno neumatico de vehiculos automoviles</t>
  </si>
  <si>
    <t>Para una presion superior o igual a 1054.6 kg/cm2 (15.000 psi)</t>
  </si>
  <si>
    <t>De los tipos utilizados en lineas de combustible de vehiculos automoviles</t>
  </si>
  <si>
    <t>Valvulas de seguridad. de los tipos utilizados en vehiculos automoviles. para el corte de suministro de combustible en caso de vuelco</t>
  </si>
  <si>
    <t>De los tipos utilizados en baños o cocinas</t>
  </si>
  <si>
    <t>Valvulas de evacuacion</t>
  </si>
  <si>
    <t>Juegos de griferia sanitaria para baño</t>
  </si>
  <si>
    <t>Para lavatorio dos llaves. sin sistema de cierre ceramico</t>
  </si>
  <si>
    <t>De peso inferior o igual a 1.69 kg.</t>
  </si>
  <si>
    <t>Para lavatorio monocomando. sin sistema de cierre ceramico</t>
  </si>
  <si>
    <t>De peso inferior o igual a 1.64 kg</t>
  </si>
  <si>
    <t>Para bide dos llaves. sin sistema de cierre ceramico</t>
  </si>
  <si>
    <t>De peso inferior o igual a 1.76 kg</t>
  </si>
  <si>
    <t>Para bide monocomando. sin sistema de cierre ceramico</t>
  </si>
  <si>
    <t>De peso inferior o igual a 1.95 kg</t>
  </si>
  <si>
    <t>Para ducha con transferencia dos llaves. sin sistema de cierre ceramico</t>
  </si>
  <si>
    <t>De peso inferior o igual a 2.54 kg</t>
  </si>
  <si>
    <t>Para ducha con transferencia monocomando. sin sistema de cierre ceramico</t>
  </si>
  <si>
    <t>De peso inferior o igual a 2.44 kg</t>
  </si>
  <si>
    <t>Juego de griferia sanitaria para cocina</t>
  </si>
  <si>
    <t>Dos llaves. sin sistema de cierre ceramico</t>
  </si>
  <si>
    <t>De peso inferior o igual a 1.60 kg</t>
  </si>
  <si>
    <t>Monocomando. sin sistema de cierre ceramico</t>
  </si>
  <si>
    <t>De peso inferior o igual a 1.42 kg</t>
  </si>
  <si>
    <t>Valvulas con sistema de cierre ceramico</t>
  </si>
  <si>
    <t>De los tipos utilizados en refrigeracion</t>
  </si>
  <si>
    <t>Valvulas de expansion termostatica o presostatica</t>
  </si>
  <si>
    <t>De los tipos utilizados en aparatos de aire acondicionado de vehiculos automoviles</t>
  </si>
  <si>
    <t>De los tipos utilizados en artefactos a gas</t>
  </si>
  <si>
    <t>Con una presion de trabajo inferior o igual a 50 mbar y dispositivo de seguridad termoelectrico incorporado. aptos para ser utilizadas en artefactos de uso domestico</t>
  </si>
  <si>
    <t>Valvulas del tipo para aerosol</t>
  </si>
  <si>
    <t>Valvulas solenoides</t>
  </si>
  <si>
    <t>Valvulas esclusas</t>
  </si>
  <si>
    <t>Valvulas globo</t>
  </si>
  <si>
    <t>Valvulas esfericas</t>
  </si>
  <si>
    <t>Valvulas macho</t>
  </si>
  <si>
    <t>Valvulas mariposa</t>
  </si>
  <si>
    <t>De diametro interior superior o igual a 900 mm y presion de trabajo inferior o igual a 22 kg/cm2 (R.748/95 MEOSP)</t>
  </si>
  <si>
    <t>Con motor electrico de accionamiento y sensor de posicion incorporados. de los tipos utilizados para regular la entrada de aire en motores de encendido por compresion</t>
  </si>
  <si>
    <t>Construidas esencialmente en acero inoxidable. de diametro interior inferior o igual a 100 mm</t>
  </si>
  <si>
    <t>De dos o tres vias. diseñadas para conectarse a tubuladuras de material plastico. del tipo de las utilizadas en acceso de fluidos de uso medico y en alimentacion enteral</t>
  </si>
  <si>
    <t>Valvulas de los tipos utilizados para incorporar en recipientes para gas licuado</t>
  </si>
  <si>
    <t>Valvula de recirculacion de gases de escape ("EGR"). de motores de combustion de encendido por compresion</t>
  </si>
  <si>
    <t>Valvulas de los tipos utilizados en extintores</t>
  </si>
  <si>
    <t>Para camaras de aire o para neumaticos sin camara (llantas neumaticas)</t>
  </si>
  <si>
    <t>Con sensor de presion de neumatico</t>
  </si>
  <si>
    <t>Valvulas de prevencion "BOP" y equipos para operaciones de fractura hidraulica compuestos por tuberias y valvulas especialmente concebidas para regular el paso de fluidos a una presion superior o igual a 1054.6 kg/cm2 (15.000 psi)</t>
  </si>
  <si>
    <t>De los tipos utilizados para la carga de gas refrigerante en aparatos de aire acondicionado de vehiculos automoviles</t>
  </si>
  <si>
    <t>Las demas. de tres vias</t>
  </si>
  <si>
    <t>Compuertas para canalizaciones de riego. accionada por motor electrico. con caudalimetros. tablero de control y mando. acumuladores electricos y panel solar</t>
  </si>
  <si>
    <t>De valvulas del tipo para aerosol o de los articulos de griferia u organos similares de la subpartida regional 8481.80.1</t>
  </si>
  <si>
    <t>Mecanismo interior de valvulas. de los tipos utilizados para la carga de gas refrigerante en aparatos de aire acondicionado de vehiculos automoviles</t>
  </si>
  <si>
    <t>De valvulas de expansion para aparatos de aire acondicionado de vehiculos automoviles: cuerpo. mecanismo interior y parte superior</t>
  </si>
  <si>
    <t>Rodamientos de bolas. de rodillos o de agujas.</t>
  </si>
  <si>
    <t>De una hilera de bolas. de diametro exterior superior o igual a 30 mm pero inferior o igual a 120 mm. excepto los tipificados como RST y los de aro interior extendido</t>
  </si>
  <si>
    <t>De mas de 0.025 kg/un. hasta 0.040 kg/un</t>
  </si>
  <si>
    <t>De diametro interior igual a 12 mm y diametro exterior igual a 32 mm (Serie 6201 o designacion equivalente a esa serie)</t>
  </si>
  <si>
    <t>De mas de 0.040 kg/un. hasta 0.060 kg/un</t>
  </si>
  <si>
    <t>De diametro interior igual a 15 mm y diametro exterior igual a 35 mm (Serie 6202 o designacion equivalente a esa serie)</t>
  </si>
  <si>
    <t>De mas de 0.060 kg/un. hasta 0.100 kg/un</t>
  </si>
  <si>
    <t>De diametro interior igual a 17 mm y diametro exterior igual a 40 mm (Serie 6203 o designacion equivalente a esa serie)</t>
  </si>
  <si>
    <t>De diametro interior igual a 20 mm y diametro exterior igual a 42 mm (Serie 6004 o designacion equivalente a esa serie)</t>
  </si>
  <si>
    <t>De diametro interior igual a 25 mm y diametro exterior igual a 47 mm (Serie 6005 o designacion equivalente a esa serie)</t>
  </si>
  <si>
    <t>De mas de 0.100 kg/un. hasta 0.150 kg/un</t>
  </si>
  <si>
    <t>De diametro interior igual a 20 mm y diametro exterior igual a 47 mm (Serie 6204 o designacion equivalente a esa serie)</t>
  </si>
  <si>
    <t>De diametro interior igual a 20 mm y diametro exterior igual a 52 mm (Serie 6304 o designacion equivalente a esa serie)</t>
  </si>
  <si>
    <t>De diametro interior igual a 25 mm y diametro exterior igual a 52 mm (Serie 6205 o designacion equivalente a esa serie)</t>
  </si>
  <si>
    <t>De diametro interior igual a 30 mm y diametro exterior igual a 55 mm (Serie 6006 o designacion equivalente a esa serie)</t>
  </si>
  <si>
    <t>De diametro interior igual a 35 mm y diametro exterior igual a 62 mm (Serie 6007 o designacion equivalente a esa serie)</t>
  </si>
  <si>
    <t>De mas de 0.150 kg/un. hasta 0.250 kg/un</t>
  </si>
  <si>
    <t>De diametro interior igual a 25 mm y diametro exterior igual a 62 mm (Serie 6305 o designacion equivalente a esa serie)</t>
  </si>
  <si>
    <t>De diametro interior igual a 30 mm y diametro exterior igual a 62 mm (Serie 6206 o designacion equivalente a esa serie)</t>
  </si>
  <si>
    <t>De diametro interior igual a 40 mm y diametro exterior igual a 68 mm (Serie 6008 o designacion equivalente a esa serie)</t>
  </si>
  <si>
    <t>De mas de 0.250 kg/un</t>
  </si>
  <si>
    <t>De diametro interior igual a 30 mm y diametro exterior igual a 72 mm (Serie 6306 o designacion equivalente a esa serie)</t>
  </si>
  <si>
    <t>De diametro interior igual a 35 mm y diametro exterior igual a 72 mm (Serie 6207 o designacion equivalente a esa serie)</t>
  </si>
  <si>
    <t>De diametro interior igual a 35 mm y diametro exterior igual a 80 mm (Serie 6307 o designacion equivalente a esa serie)</t>
  </si>
  <si>
    <t>De diametro interior igual a 40 mm y diametro exterior igual a 80 mm (Serie 6208 o designacion equivalente a esa serie)</t>
  </si>
  <si>
    <t>De diametro interior igual a 40 mm y diametro exterior igual a 90 mm (Serie 6308 o designacion equivalente a esa serie)</t>
  </si>
  <si>
    <t>Los demas de una hilera de bolas</t>
  </si>
  <si>
    <t>Tipificados como RST</t>
  </si>
  <si>
    <t>Con aro exterior de superficie esferica y aro interior extendido. incluso con dispositivos de fijacion (bloqueo)</t>
  </si>
  <si>
    <t>De una hilera de bolas</t>
  </si>
  <si>
    <t>Axiales de simple efecto. incluso con blindaje</t>
  </si>
  <si>
    <t>Axiales de doble efecto. incluso con blindaje</t>
  </si>
  <si>
    <t>A contacto angular</t>
  </si>
  <si>
    <t>De dos hileras de bolas</t>
  </si>
  <si>
    <t>Rodamientos de rodillos conicos. de los tipos utilizados en ejes con diferencial o en cajas de transmision de vehiculos automoviles</t>
  </si>
  <si>
    <t>Rodamientos de rodillos conicos. incluso sin aro exterior</t>
  </si>
  <si>
    <t>De diametro interior superior o igual a 14 mm pero inferior o igual a 35 mm. de los tipos utilizados en pedaleras de vehiculos automoviles de la Partida S.A. 87.04</t>
  </si>
  <si>
    <t>Bolas de acero calibradas</t>
  </si>
  <si>
    <t>Para boligrafos</t>
  </si>
  <si>
    <t>De acero SAE 52.100. grados 5. 10 y 16. segun Norma ISO 3290 (Anexo II-12)</t>
  </si>
  <si>
    <t>Rodillos cilindricos</t>
  </si>
  <si>
    <t>Rodillos conicos</t>
  </si>
  <si>
    <t>Sellos. tapas y jaulas de acero</t>
  </si>
  <si>
    <t>Aros terminados</t>
  </si>
  <si>
    <t>Exterior</t>
  </si>
  <si>
    <t>De la posicion SIM 8482.10.10.111</t>
  </si>
  <si>
    <t>De las posiciones SIM 8482.10.10.131- 8482.10.10.132 -8482.10.10.133</t>
  </si>
  <si>
    <t>De las posiciones SIM 8482.10.10.142 -8482.10.10.143 -8482.10.10.144 -8482.10.10.145</t>
  </si>
  <si>
    <t>De las posiciones SIM 8482.10.10.152 -8482.10.10.153</t>
  </si>
  <si>
    <t>De las posiciones SIM 8482.10.10.162 -8482.10.10.163 -8482.10.10.164</t>
  </si>
  <si>
    <t>De rodamientos de rodillos conicos</t>
  </si>
  <si>
    <t>Interior</t>
  </si>
  <si>
    <t>De la posicion SIM 8482.10.10.121</t>
  </si>
  <si>
    <t>De las posiciones SIM 8482.10.10.131 -8482.10.10.132 -8482.10.10.133</t>
  </si>
  <si>
    <t>De las posiciones SIM 8482.10.10.141 -8482.10.10.142 -8482.10.10.143 -8482.10.10.144 -8484.10.10.145</t>
  </si>
  <si>
    <t>De las posiciones SIM 8482.10.10.151 -8482.10.10.152 -8482.10.10.153</t>
  </si>
  <si>
    <t>De las posiciones SIM 8482.10.10.161 -8482.10.10.162 -8482.10.10.163 -8482.10.10.164 -8482.10.10.165</t>
  </si>
  <si>
    <t>Los demas aros</t>
  </si>
  <si>
    <t>arboles de transmision (incluidos los de levas y los cigÃ¼eñales) y manivelas; cajas de cojinetes y cojinetes; engranajes y ruedas de friccion; husillos fileteados de bolas o rodillos; reductores. multiplicadores y variadores de velocidad. incluidos los convertidores de par; volantes y poleas. incluidos los motones; embragues y organos de acoplamiento. incluidas las juntas de articulacion.</t>
  </si>
  <si>
    <t>CigÃ¼eñales</t>
  </si>
  <si>
    <t>Forjados. de peso superior o igual a 900 kg y longitud superior o igual a 2.000 mm</t>
  </si>
  <si>
    <t>arboles de levas para comando de valvulas</t>
  </si>
  <si>
    <t>De largo total superior a 200 mm pero inferior o igual a 520 mm</t>
  </si>
  <si>
    <t>arboles de 3 levas por cilindro. incluso con engranaje de mando. de los tipos utilizados en motores de embolo (piston) de encendido por compresion de 6 cilindros</t>
  </si>
  <si>
    <t>arboles flexibles</t>
  </si>
  <si>
    <t>Manivelas</t>
  </si>
  <si>
    <t>arboles de transmision provistos de acoplamientos dentados con entallas de protecion a sobrecargas. de longitud superior o igual a 1.500 mm y diametro del eje superior o igual a 400 mm</t>
  </si>
  <si>
    <t>Montados con cojinetes de metal antifriccion</t>
  </si>
  <si>
    <t>Cojinetes</t>
  </si>
  <si>
    <t>Con diametro interior superior o igual a 200 mm</t>
  </si>
  <si>
    <t>Reductores. multiplicadores y variadores de velocidad. incluidos los convertidores de par</t>
  </si>
  <si>
    <t>Conjunto de transmision sobre base estructural compuesto por reductor. bielas. viga balancin. contrapesos y torre. apto para equipo de bombeo de pozos petroliferos.</t>
  </si>
  <si>
    <t>Con torque inferior o igual a 36.17 kNm.</t>
  </si>
  <si>
    <t>Con torque superior a 36.17 kNm. pero inferior o igual a 72.34 kNm.</t>
  </si>
  <si>
    <t>Con torque superior a 72.34 kNm. pero inferior o igual 207 kNm.</t>
  </si>
  <si>
    <t>Reductores de velocidad de doble reduccion con engranajes doble helicoidales-de espina de pescado-. con torque superior o igual a 4 kNm pero inferior o igual a 206 kNm. aptos para equipos de bombeo de pozos petroliferos. (VI-7)(R.683/99 MEOSP)</t>
  </si>
  <si>
    <t>Caja de transmision de potencia del motor a los elementos moviles. en maquinas de cosechar</t>
  </si>
  <si>
    <t>Engranajes</t>
  </si>
  <si>
    <t>Poleas. excepto las tensoras con rodamientos</t>
  </si>
  <si>
    <t>Tipo tambor</t>
  </si>
  <si>
    <t>Tipo cono</t>
  </si>
  <si>
    <t>Polea de perfil poli-"V" con dispositivo de embrague para acoplamiento de giro unidireccional</t>
  </si>
  <si>
    <t>Polea de acero. de 4 a 12 canales. diametro superior o igual a 90 mm pero inferior o igual a 210 mm y un peso superior o igual a 3 kg. de los tipos utilizados en compresores de aire acondicionado de vehiculos del Capitulo 87</t>
  </si>
  <si>
    <t>Poleas tensoras con rodamientos</t>
  </si>
  <si>
    <t>Embragues</t>
  </si>
  <si>
    <t>De friccion</t>
  </si>
  <si>
    <t>De acoplamiento viscoso. de los tipos utilizados para el accionamiento de ventiladores del sistema de refrigeracion de motores para la propulsion de vehiculos del Capitulo 87</t>
  </si>
  <si>
    <t>De acoplamiento rigido</t>
  </si>
  <si>
    <t>De acoplamiento elastico</t>
  </si>
  <si>
    <t>De acoplamiento hidraulico</t>
  </si>
  <si>
    <t>Junta de articulacion</t>
  </si>
  <si>
    <t>Juntas metaloplasticas; surtidos de juntas o empaquetaduras de distinta composicion presentados en bolsitas. sobres o envases analogos; juntas mecanicas de estanqueidad.</t>
  </si>
  <si>
    <t>Maquinas y aparatos utilizados. exclusiva o principalmente. para la fabricacion de semiconductores en forma de monocristales periformes u obleas («wafers»). dispositivos semiconductores. circuitos electronicos integrados o dispositivos de visualizacion («display») de pantalla plana; maquinas y aparatos descritos en la Nota 9 C) de este Capitulo; partes y accesorios.</t>
  </si>
  <si>
    <t>-Maquinas y aparatos para la fabricacion de semiconductores en forma de monocristales periformes u obleas ("wafers")</t>
  </si>
  <si>
    <t>-Maquinas y aparatos descriptos en la Nota 9 C) de este Capitulo</t>
  </si>
  <si>
    <t>Partes de maquinas o aparatos. no expresadas ni comprendidas en otra parte de este Capitulo. sin conexiones electricas. partes aisladas electricamente. bobinados. contactos ni otras caracteristicas electricas.</t>
  </si>
  <si>
    <t>Anillos de estanqueidad (reten)</t>
  </si>
  <si>
    <t>Motores y generadores. electricos. excepto los grupos electrogenos.</t>
  </si>
  <si>
    <t>- Motores de potencia inferior o igual a 37.5 W</t>
  </si>
  <si>
    <t>De corriente continua</t>
  </si>
  <si>
    <t>De paso inferior o igual a 1.8 °</t>
  </si>
  <si>
    <t>Motorreductores electricos. de corriente continua. de los tipos utilizados en espejos retrovisores</t>
  </si>
  <si>
    <t>Motorreductor electrico de los tipos utilizados para regular luces altas y bajas en proyectores de vehiculos automoviles</t>
  </si>
  <si>
    <t>Motorreductor electrico de los tipos utilizados en el accionamiento de compuertas de aparatos de aire acondicionado de vehiculos automoviles</t>
  </si>
  <si>
    <t>De corriente alterna</t>
  </si>
  <si>
    <t>Sincronos</t>
  </si>
  <si>
    <t>Monofasicos. para una tension superior o igual a 110 V pero inferior o igual 240 V y de potencia igual a 37.5 W (1/20 HP). de los tipos utilizados en lavarropas</t>
  </si>
  <si>
    <t>Para una tension superior o igual a 110 V pero inferior o igual 240 V y de potencia igual a 37.5 W (1/20 HP). de los tipos utilizados en lavarropas</t>
  </si>
  <si>
    <t>-Motores universales de potencia superior a 37.5 W</t>
  </si>
  <si>
    <t>Para una tension superior o igual a 110 V pero inferior o igual 240 V y de potencia inferior o igual a 750 W (1 HP). de los tipos utilizados en lavarropas</t>
  </si>
  <si>
    <t>- Los demas motores de corriente continua; generadores de corriente continua:</t>
  </si>
  <si>
    <t>- - De potencia inferior o igual a 750 W</t>
  </si>
  <si>
    <t>Motores</t>
  </si>
  <si>
    <t>Con reductor de velocidad incorporado</t>
  </si>
  <si>
    <t>De los tipos utilizados en dispositivos alzacristales de vehiculos automoviles</t>
  </si>
  <si>
    <t>De los tipos utilizados para el cambio de relacion en ejes con diferencial</t>
  </si>
  <si>
    <t>De tension igual a 12 V. de los tipos utilizados en aparatos de aire acondicionado de vehiculos automoviles</t>
  </si>
  <si>
    <t>Generadores</t>
  </si>
  <si>
    <t>Fotovoltaicos</t>
  </si>
  <si>
    <t>De potencia maxima de generacion superior o igual a 1 W pero inferior o igual a 9 W</t>
  </si>
  <si>
    <t>De potencia maxima de generacion superior a 9 W pero inferior o igual a 19 W</t>
  </si>
  <si>
    <t>De potencia maxima de generacion superior a 19 W pero inferior o igual a 29 W</t>
  </si>
  <si>
    <t>De potencia maxima de generacion superior a 29 W pero inferior o igual a 34 W</t>
  </si>
  <si>
    <t>De potencia maxima de generacion superior a 34 W pero inferior o igual a 44 W</t>
  </si>
  <si>
    <t>Eolicos</t>
  </si>
  <si>
    <t>- - De potencia superior a 750 W pero inferior o igual a 75 kW</t>
  </si>
  <si>
    <t>Fuera de borda</t>
  </si>
  <si>
    <t>Servomotores</t>
  </si>
  <si>
    <t>- - De potencia superior a 75 kW pero inferior o igual a 375 kW</t>
  </si>
  <si>
    <t>- - De potencia superior a 375 kW</t>
  </si>
  <si>
    <t>De potencia inferior o igual a 3.000 kW</t>
  </si>
  <si>
    <t>De potencia inferior o igual a 15 kW</t>
  </si>
  <si>
    <t>De lavarropas</t>
  </si>
  <si>
    <t>Para lavarropas domesticos de 110 y 220V.. 50 y 60HZ.. de 1/8 a 1/4HP. (de 100 hasta 186W. de potencia util) (R.57/96 MEOSP)</t>
  </si>
  <si>
    <t>De 2 velocidades. de potencia inferior o igual a 1000 W en velocidad maxima e inferior o igual a 400 W en velocidad minima</t>
  </si>
  <si>
    <t>Para una tension superior o igual a 110 V pero inferior o igual 240 V y de potencia inferior o igual a 750 W (1 HP)</t>
  </si>
  <si>
    <t>Los demas. para una tension superior o igual a 110 V pero inferior o igual 240 V y de potencia inferior o igual a 750 W (1 HP)</t>
  </si>
  <si>
    <t>De potencia inferior o igual a 120 W. de tres velocidades y arranque mediante bobinas auxiliares en cortocircuito. con estator compuesto por dos bobinas y nucleo. cuya forma exterior es la de un rectangulo al cual se le aplanaron los vertices. de 84 mm por 67 mm y altura inferior o igual a 40 mm</t>
  </si>
  <si>
    <t>Asincronicos. de 2 polos. de potencia nonimal superior o igual a 0.12 kW pero inferior o igual a 3 kW. y de peso superior o igual a 4 kg pero inferior a 45 kg. excepto los para maquinas de coser industriales con freno y embrague acoplado</t>
  </si>
  <si>
    <t>De potencia superior o igual a 0.12 kW pero inferior o igual a 0.18 kW</t>
  </si>
  <si>
    <t>De potencia superior a 0.18 kW pero inferior o igual a 0.37 kW</t>
  </si>
  <si>
    <t>De potencia superior a 0.37 kW pero inferior o igual a 0.75 kW</t>
  </si>
  <si>
    <t>De potencia superior a 0.75 kW pero inferior o igual a 1.5 kW</t>
  </si>
  <si>
    <t>De potencia superior a 1.5 kW pero inferior o igual a 3 kW</t>
  </si>
  <si>
    <t>Asincronicos. de 4 o mas polos. de potencia nominal superior o igual a 0.12 kW pero inferior o igual a 3 kW. y de peso superior o igual a 4 kg pero inferior a 45 kg. excepto los para maquinas de coser industriales con freno y embrague acoplado</t>
  </si>
  <si>
    <t>Los demas asincronicos. de potencia nominal superior o igual a 0.12 kW pero inferior o igual a 3 kW. y de peso superior o igual a 4 kg pero inferior a 45 kg</t>
  </si>
  <si>
    <t>De potencia superior a 15 kW</t>
  </si>
  <si>
    <t>- Los demas motores de corriente alterna. polifasicos:</t>
  </si>
  <si>
    <t>Trifasicos. con rotor tipo jaula de ardilla</t>
  </si>
  <si>
    <t>Trifasicos. con rotor bobinado</t>
  </si>
  <si>
    <t>De potencia inferior o igual a 5 kW (Res.92/98 SICyM)</t>
  </si>
  <si>
    <t>De potencia superior a 7.5 kW</t>
  </si>
  <si>
    <t>Los demas. sincronos</t>
  </si>
  <si>
    <t>- - De potencia superior a 75 kW</t>
  </si>
  <si>
    <t>Trifasicos. de potencia inferior o igual a 7.500 kW</t>
  </si>
  <si>
    <t>Trifasicos. de potencia superior a 7.500 kW pero inferior o igual a 30.000 kW</t>
  </si>
  <si>
    <t>Trifasicos. de potencia superior a 30.000 kW pero inferior o igual a 50.000 kW</t>
  </si>
  <si>
    <t>- Generadores de corriente alterna (alternadores):</t>
  </si>
  <si>
    <t>--De potencia inferior o igual a 75 kVA</t>
  </si>
  <si>
    <t>--De potencia superior a 75 kVA pero inferior o igual a 375 kVA</t>
  </si>
  <si>
    <t>--De potencia superior a 375 kVA pero inferior o igual a 750 kVA</t>
  </si>
  <si>
    <t>--De potencia superior a 750 kVA</t>
  </si>
  <si>
    <t>GRUPOS ELECTROGENOS Y CONVERTIDORES ROTATIVOS ELÃ‰CTRICOS</t>
  </si>
  <si>
    <t>- Grupos electrogenos con motor de embolo (piston) de encendido por compresion (motores diesel o semi-diesel):</t>
  </si>
  <si>
    <t>- - De potencia inferior o igual a 75 kVA</t>
  </si>
  <si>
    <t>De potencia inferior o igual a 5 kVA (Res.92/98 SICyM)</t>
  </si>
  <si>
    <t>- - De potencia superior a 75 kVA pero inferior o igual a 375 kVA</t>
  </si>
  <si>
    <t>- - De potencia superior a 375 kVA</t>
  </si>
  <si>
    <t>De potencia inferior o igual a 430 kVA</t>
  </si>
  <si>
    <t>De potencia inferior o igual a 210 kVA</t>
  </si>
  <si>
    <t>- Los demas grupos electrogenos:</t>
  </si>
  <si>
    <t>De potencia superior a 700 kW</t>
  </si>
  <si>
    <t>Presentados con sus torres</t>
  </si>
  <si>
    <t>De frecuencia</t>
  </si>
  <si>
    <t>Partes identificables como destinadas. exclusiva o principalmente. a las maquinas de las partidas 85.01 u 85.02.</t>
  </si>
  <si>
    <t>De motores o generadores de las subpartidas 8501.10. 8501.20. 8501.31. 8501.32 o de la subpartida regional 8501.40.1</t>
  </si>
  <si>
    <t>Transformadores electricos. convertidores electricos estaticos (por ejemplo. rectificadores) y bobinas de reactancia (autoinduccion).</t>
  </si>
  <si>
    <t>Electromagneticos</t>
  </si>
  <si>
    <t>Para lamparas o tubos de potencia inferior o igual a 105 W (Res.92/98 SICyM)</t>
  </si>
  <si>
    <t>Los demas para lamparas de descarga gaseosa de potencia inferior o igual a 400 W</t>
  </si>
  <si>
    <t>Electronicos para lamparas fluorecentes. con conexion para dispositivo regulador de intensidad luminica (dimmer)</t>
  </si>
  <si>
    <t>- Transformadores de dielectrico liquido:</t>
  </si>
  <si>
    <t>- - De potencia inferior o igual a 650 kVA</t>
  </si>
  <si>
    <t>Monofasicos</t>
  </si>
  <si>
    <t>De 5 kVA de potencia (R.302/97 MEOSP)</t>
  </si>
  <si>
    <t>De 10 kVA de potencia (R.302/97 MEOSP)</t>
  </si>
  <si>
    <t>De 16 kVA de potencia (R.302/97 MEOSP)</t>
  </si>
  <si>
    <t>De 25 kVA de potencia (R.302/97 MEOSP)</t>
  </si>
  <si>
    <t>De 40 kVA de potencia (R.302/97 MEOSP)</t>
  </si>
  <si>
    <t>Trifasicos</t>
  </si>
  <si>
    <t>De potencia inferior o igual a 100 kVA</t>
  </si>
  <si>
    <t>De 16 kVA (R.302/97 MEOSP)</t>
  </si>
  <si>
    <t>De 25 kVA (R.302/97 MEOSP)</t>
  </si>
  <si>
    <t>De 40 kVA (R.302/97 MEOSP)</t>
  </si>
  <si>
    <t>De 63 kVA (R.302/97 MEOSP)</t>
  </si>
  <si>
    <t>De 80 kVA (R.302/97 MEOSP)</t>
  </si>
  <si>
    <t>De 100 kVA (R.302/97 MEOSP)</t>
  </si>
  <si>
    <t>De potencia superior a 100 kVA</t>
  </si>
  <si>
    <t>De 160 kVA (R.302/97 MEOSP)</t>
  </si>
  <si>
    <t>De 200 kVA (R.302/97 MEOSP)</t>
  </si>
  <si>
    <t>De 250 kVA (R.302/97 MEOSP)</t>
  </si>
  <si>
    <t>De 315 kVA (R.302/97 MEOSP)</t>
  </si>
  <si>
    <t>De 500 kVA (R.302/97 MEOSP)</t>
  </si>
  <si>
    <t>- - De potencia superior a 650 kVA pero inferior o igual a 10.000 kVA</t>
  </si>
  <si>
    <t>Trifasicos. de 800 kVA de potencia (R.302/97 MEOSP)</t>
  </si>
  <si>
    <t>Trifasicos. de 1000 kVA de potencia (R.302/97 MEOSP)</t>
  </si>
  <si>
    <t>- - De potencia superior a 10.000 kVA</t>
  </si>
  <si>
    <t>De potencia inferior o igual a 600.000 kVA</t>
  </si>
  <si>
    <t>De tension inferior o igual a 220 kV</t>
  </si>
  <si>
    <t>De tension superior a 220 kV</t>
  </si>
  <si>
    <t>- Los demas transformadores:</t>
  </si>
  <si>
    <t>- - De potencia inferior o igual a 1 kVA</t>
  </si>
  <si>
    <t>Para frecuencia inferior o igual a 60 Hz</t>
  </si>
  <si>
    <t>Transformadores de intensidad de corriente</t>
  </si>
  <si>
    <t>Monofasicos. con una tension de alimentacion inferior o igual a 250 V (Res.92/98 SICyM)</t>
  </si>
  <si>
    <t>Transformador de salida horizontal («fly-back»). con tension de salida superior a 18 kV y frecuencia de barrido horizontal superior o igual a 32 kHz</t>
  </si>
  <si>
    <t>Transformadores de FI. de deteccion. de relacion. de lineabilidad y de foco</t>
  </si>
  <si>
    <t>- - De potencia superior a 1 kVA pero inferior o igual a 16 kVA</t>
  </si>
  <si>
    <t>De potencia inferior o igual a 3 kVA</t>
  </si>
  <si>
    <t>De potencia superior a 3 kVA</t>
  </si>
  <si>
    <t>De potencia inferior o igual a 5 kVA</t>
  </si>
  <si>
    <t>--De potencia superior a 16 kVA pero inferior o igual a 500 kVA</t>
  </si>
  <si>
    <t>--De potencia superior a 500 kVA</t>
  </si>
  <si>
    <t>Cargadores de acumuladores</t>
  </si>
  <si>
    <t>Rectificadores. excepto los cargadores de acumuladores</t>
  </si>
  <si>
    <t>De cristal (semiconductores)</t>
  </si>
  <si>
    <t>Rectificador de cristal (semiconductores). con una potencia igual a 500 MVA</t>
  </si>
  <si>
    <t>Electroliticos</t>
  </si>
  <si>
    <t>Convertidores de corriente continua</t>
  </si>
  <si>
    <t>Equipo de alimentacion ininterrumpida de energia (UPS o «no break»)</t>
  </si>
  <si>
    <t>Conversores electronicos de frecuencia para variacion de velocidad de motores electricos</t>
  </si>
  <si>
    <t>Aparatos electronicos de alimentacion de energia de los tipos utilizados para la iluminacion de emergencia</t>
  </si>
  <si>
    <t>Convertidores de corriente alterna</t>
  </si>
  <si>
    <t>Internos o modulares no aptos para riel DIN sin cable de alimentacion o ficha integrada para conexion a la red (Disp. DNCI N° 398/11)</t>
  </si>
  <si>
    <t>Nucleos de polvo ferromagnetico</t>
  </si>
  <si>
    <t>De balastos (reactancias) para lamparas o tubos de descarga</t>
  </si>
  <si>
    <t>De transformadores de las subpartidas 8504.21. 8504.22. 8504.23. 8504.33 u 8504.34</t>
  </si>
  <si>
    <t>De convertidores estaticos. excepto de cargadores de acumuladores y de rectificadores</t>
  </si>
  <si>
    <t>Electroimanes; imanes permanentes y articulos destinados a ser imantados permanentemente; platos. mandriles y dispositivos magneticos o electromagneticos similares. de sujecion; acoplamientos. embragues. variadores de velocidad y frenos. electromagneticos; cabezas elevadoras electromagneticas.</t>
  </si>
  <si>
    <t>- Imanes permanentes y articulos destinados a ser imantados permanentemente:</t>
  </si>
  <si>
    <t>De ferrita (ceramicos)</t>
  </si>
  <si>
    <t>De grano orientado. en forma de anillo (R.435/97 MEOSP)</t>
  </si>
  <si>
    <t>Imanes permanentes</t>
  </si>
  <si>
    <t>Frenos que actuan por corriente de Foucault. de los tipos utilizados en vehiculos de las partidas 87.01 a 87.05</t>
  </si>
  <si>
    <t>Acoplamientos</t>
  </si>
  <si>
    <t>Variadores de velocidad</t>
  </si>
  <si>
    <t>Electroimanes</t>
  </si>
  <si>
    <t>Cabezas elevadoras electromagneticas</t>
  </si>
  <si>
    <t>Pilas y baterias de pilas. electricas.</t>
  </si>
  <si>
    <t>Pilas alcalinas</t>
  </si>
  <si>
    <t>Con volumen exterior inferior o igual a 300 cm3 (Anexo II-8)</t>
  </si>
  <si>
    <t>Acondicionadas para su venta al usuario final</t>
  </si>
  <si>
    <t>Tipo AA y AAA</t>
  </si>
  <si>
    <t>Las demas (Anexo II-8)</t>
  </si>
  <si>
    <t>Las demas pilas</t>
  </si>
  <si>
    <t>Con volumen exterior inferior o igual a 300 cm3.</t>
  </si>
  <si>
    <t>Baterias de pilas</t>
  </si>
  <si>
    <t>Alcalinas. de tension igual a 9 V</t>
  </si>
  <si>
    <t>Alcalinas. con volumen exterior inferior o igual a 300 cm3</t>
  </si>
  <si>
    <t>Con volumen exterior inferior o igual a 300 cm3</t>
  </si>
  <si>
    <t>De carbon zinc.</t>
  </si>
  <si>
    <t>Acumuladores electricos. incluidos sus separadores. aunque sean cuadrados o rectangulares.</t>
  </si>
  <si>
    <t>De capacidad inferior o igual a 20 Ah y tension inferior o igual a 12 V</t>
  </si>
  <si>
    <t>De tension inferior o igual a 6 voltios</t>
  </si>
  <si>
    <t>Con acido sulfurico (electrolito). en una concentracion superior al 30% P/V. en juego o surtido</t>
  </si>
  <si>
    <t>De tension superior a 6 voltios pero inferior o igual a 12 voltios</t>
  </si>
  <si>
    <t>Con acido sulfurico (electrolito). en una concentracion superior al 30% P/V. en juego o surtido.</t>
  </si>
  <si>
    <t>De los tipos utilizados en productos englobados por el Acuerdo sobre la Politica Automotriz Comun entre la Repiblica Argentina y la Republica Federativa del Brasil incorporado al Trigesimo Octavo Protocolo Adicional al AAP.CE No.14 y sus modificaciones.</t>
  </si>
  <si>
    <t>De los tipos utilizados en productos englobados por el Acuerdo sobre la Politica Automotriz Comun entre la Republica Argentina y la Republica Federativa del Brasil incorporado al Trigesimo Octavo Protocolo Adicional al AAP.CE No.14 y sus modificaciones.</t>
  </si>
  <si>
    <t>De capacidad inferior o igual a 28 Ah</t>
  </si>
  <si>
    <t>De capacidad superior a 28 Ah pero inferior o igual a 55 Ah</t>
  </si>
  <si>
    <t>De capacidad superior a 55 Ah pero inferior o igual a 65 Ah</t>
  </si>
  <si>
    <t>De capacidad superior a 65 Ah pero inferior o igual a 75 Ah</t>
  </si>
  <si>
    <t>De capacidad superior a 75 Ah pero inferior o igual a 90 Ah</t>
  </si>
  <si>
    <t>De capacidad superior a 90 Ah pero inferior o igual a 140 Ah</t>
  </si>
  <si>
    <t>De capacidad superior a 140 Ah pero inferior o igual a 180 Ah</t>
  </si>
  <si>
    <t>De capacidad superior a 180 Ah pero inferior o igual a 240 Ah</t>
  </si>
  <si>
    <t>De peso inferior o igual a 1.000 kg</t>
  </si>
  <si>
    <t>De peso inferior o igual a 2.500 kg</t>
  </si>
  <si>
    <t>De capacidad inferior o igual a 15 Ah</t>
  </si>
  <si>
    <t>De tension igual a 1.2 V. cilindricos del tipo HR6 (AA)</t>
  </si>
  <si>
    <t>De tension igual a 1.2 V. cilindricos del tipo HR03 (AAA)</t>
  </si>
  <si>
    <t>Celdas</t>
  </si>
  <si>
    <t>De forma prismatica</t>
  </si>
  <si>
    <t>De forma cilindrica (tubular)</t>
  </si>
  <si>
    <t>De los tipos utilizados en telefonos celulares</t>
  </si>
  <si>
    <t>De capacidad superior a 80 Ah. tension superior o igual a 48 V y peso superior a 60 kg. de los tipos utilizados como fuente primaria de energia en vehiculos electricos de la Partida S.A. 87.03</t>
  </si>
  <si>
    <t>Separadores</t>
  </si>
  <si>
    <t>Recipientes de materia plastica. sus tapas y tapones</t>
  </si>
  <si>
    <t>Recipientes. de largo superior o igual a 190 mm pero inferior o igual a 520 mm. de ancho superior o igual a 120 mm pero inferior o igual a 290 mm y de alto superior o igual a 160 mm pero inferior o igual a 250 mm. con 3 o 6 compartimientos incluso con sus tapas. tapones y cubretapones</t>
  </si>
  <si>
    <t>Placas expandidas de aleacion Pb-Ca o Pb-Ca-Ag. de peso inferior o igual a 500 gramos. de los tipos utilizados en acumuladores para arranque de motores de embolo (piston)</t>
  </si>
  <si>
    <t>Visor de los tipos utilizados para verificar el estado de carga de acumuladores de vehiculos automoviles</t>
  </si>
  <si>
    <t>Aspiradoras.</t>
  </si>
  <si>
    <t>--De potencia inferior o igual a 1.500 W y de capacidad del deposito o bolsa para el polvo inferior o igual a 20 l</t>
  </si>
  <si>
    <t>Automatas</t>
  </si>
  <si>
    <t>De potencia inferior o igual a 1.500 W y de capacidad del deposito o bolsa para el polvo superior a 20 l pero inferior o igual a 35 l. excepto las automatas</t>
  </si>
  <si>
    <t>De potencia superior a 1.500 W pero inferior o igual a 2.500 W y de capacidad del deposito o bolsa para el polvo inferior o igual a 35 l. excepto las automatas</t>
  </si>
  <si>
    <t>Aparatos electromecanicos con motor electrico incorporado. de uso domestico. excepto las aspiradoras de la partida 85.08.</t>
  </si>
  <si>
    <t>Licuadoras</t>
  </si>
  <si>
    <t>Batidoras</t>
  </si>
  <si>
    <t>De uso manual. incluso presentados con accesorios</t>
  </si>
  <si>
    <t>Extractoras centrifugas de jugos (jugueras)</t>
  </si>
  <si>
    <t>Aparatos con funciones multiples. provistos de accesorios intercambiables. para procesar alimentos</t>
  </si>
  <si>
    <t>De uso manual</t>
  </si>
  <si>
    <t>Exprimidores de citricos</t>
  </si>
  <si>
    <t>Molinillos de cafe</t>
  </si>
  <si>
    <t>Enceradoras (lustradoras) de pisos</t>
  </si>
  <si>
    <t>Cuchillos electricos</t>
  </si>
  <si>
    <t>Afeitadoras. maquinas de cortar el pelo o esquilar y aparatos de depilar. con motor electrico incorporado.</t>
  </si>
  <si>
    <t>De cortar el pelo</t>
  </si>
  <si>
    <t>De afeitadoras</t>
  </si>
  <si>
    <t>Cuchillas</t>
  </si>
  <si>
    <t>Peines y contrapeines para maquinas de esquilar</t>
  </si>
  <si>
    <t>Aparatos y dispositivos electricos de encendido o de arranque. para motores de encendido por chispa o por compresion (por ejemplo: magnetos. dinamomagnetos. bobinas de encendido. bujias de encendido o calentamiento. motores de arranque); generadores (por ejemplo: dinamos. alternadores) y reguladores disyuntores utilizados con estos motores.</t>
  </si>
  <si>
    <t>Magnetos</t>
  </si>
  <si>
    <t>Dinamomagnetos</t>
  </si>
  <si>
    <t>Distribuidores</t>
  </si>
  <si>
    <t>Bobinas de encendido</t>
  </si>
  <si>
    <t>Para motores de motocicletas</t>
  </si>
  <si>
    <t>Las demas. con dos o mas salidas de alta tension</t>
  </si>
  <si>
    <t>De los tipos utilizados en sistemas startstop de vehiculos automoviles</t>
  </si>
  <si>
    <t>Dinamos y alternadores</t>
  </si>
  <si>
    <t>Alternadores</t>
  </si>
  <si>
    <t>Bujias de caldeo (calentamiento)</t>
  </si>
  <si>
    <t>Reguladores disyuntores</t>
  </si>
  <si>
    <t>Dispositivos electronicos de encendido. numericos (digitales)</t>
  </si>
  <si>
    <t>Con alimentacion de bobina por descarga capacitiva (CDI)</t>
  </si>
  <si>
    <t>Con bobina de encendido incorporada</t>
  </si>
  <si>
    <t>Con control transistorizado de ignicion (TCI)</t>
  </si>
  <si>
    <t>Dospositivos electronicos de encendido por descarga capacitiva (CDI). de los tipos utilizados en motocicletas</t>
  </si>
  <si>
    <t>Aparatos electricos de alumbrado o señalizacion (excepto los articulos de la partida 85.39). limpiaparabrisas. eliminadores de escarcha o vaho. electricos. de los tipos utilizados en velocipedos o vehiculos automoviles.</t>
  </si>
  <si>
    <t>Aparatos de alumbrado</t>
  </si>
  <si>
    <t>Faros</t>
  </si>
  <si>
    <t>Luces interiores</t>
  </si>
  <si>
    <t>De cortesia. de los tipos utilizados en espejos retrovisores.</t>
  </si>
  <si>
    <t>Aparatos de señalizacion visual</t>
  </si>
  <si>
    <t>Luces fijas</t>
  </si>
  <si>
    <t> De los tipos utilizados en vehiculos automoviles</t>
  </si>
  <si>
    <t>Modulos conformados por circuito en el que se encuentran montados diodos emisores de luz (LED)</t>
  </si>
  <si>
    <t>Luces indicadoras de maniobra</t>
  </si>
  <si>
    <t>De los tipos utilizados en espejos retrovisores</t>
  </si>
  <si>
    <t>Cajas combinadas</t>
  </si>
  <si>
    <t>Bocinas</t>
  </si>
  <si>
    <t>Sirenas</t>
  </si>
  <si>
    <t>Mecanismo limpiaparabrisas con su motor de accionamiento</t>
  </si>
  <si>
    <t>Eliminadores de escarcha o vaho</t>
  </si>
  <si>
    <t>Dispositivo calefactor. autoadhesivo. de los tipos utilizados en camaras de sistema de seguridad anticolision</t>
  </si>
  <si>
    <t>Dispositivo calefactor (desempañador). de los tipos utilizados en espejos retrovisores de vehiculos automoviles</t>
  </si>
  <si>
    <t>Escobillas</t>
  </si>
  <si>
    <t>Brazos de limpiaparabrisas</t>
  </si>
  <si>
    <t>Lamparas electricas portatiles concebidas para funcionar con su propia fuente de energia (por ejemplo: de pilas. acumuladores. electromagneticas). excepto los aparatos de alumbrado de la partida 85.12.</t>
  </si>
  <si>
    <t>De mano. incluidas las linternas</t>
  </si>
  <si>
    <t>Hornos electricos industriales o de laboratorio. incluidos los que funcionen por induccion o perdidas dielectricas; los demas aparatos industriales o de laboratorio para tratamiento termico de materias por induccion o perdidas dielectricas.</t>
  </si>
  <si>
    <t>Industriales</t>
  </si>
  <si>
    <t>Por induccion</t>
  </si>
  <si>
    <t>Por perdidas dielectricas</t>
  </si>
  <si>
    <t>De resistencia (de caldeo [calentamiento] directo)</t>
  </si>
  <si>
    <t>De arco voltaico</t>
  </si>
  <si>
    <t>Maquinas y aparatos para soldar (aunque puedan cortar). electricos (incluidos los de gas calentado electricamente). de laser u otros haces de luz o de fotones. ultrasonido. haces de electrones. impulsos magneticos o chorro de plasma; maquinas y aparatos electricos para proyectar en caliente metal o cermet.</t>
  </si>
  <si>
    <t>- Maquinas y aparatos para soldadura fuerte o para soldadura blanda:</t>
  </si>
  <si>
    <t>- Maquinas y aparatos para soldar metal por resistencia:</t>
  </si>
  <si>
    <t>- Maquinas y aparatos para soldar metal. de arco o chorro de plasma:</t>
  </si>
  <si>
    <t>Robotes de soldar. de arco. en atmosfera inerte (MIG-"Metal Inert Gas") o atmosfera activa (MAG-"Metal Active Gas"). de control numerico</t>
  </si>
  <si>
    <t>De arco. excepto los robotes de soldar</t>
  </si>
  <si>
    <t>De arco sumergido</t>
  </si>
  <si>
    <t>Exclusivamente trifasicas y de tipo inverter. con una corriente de intensidad igual o mayor a 500A(Amperios) y con un factor de servicio minimo de 60% a 500A (Amperios)</t>
  </si>
  <si>
    <t>De arco. trifasicas y de tipo inverter. con una corriente de intensidad igual o mayor a 500A (Amperios) y con un factor de servicio minimo de 60% a 500A (Amperios)</t>
  </si>
  <si>
    <t>Las demas. de arco</t>
  </si>
  <si>
    <t>De soldar. por laser</t>
  </si>
  <si>
    <t>De soldar. para cerrar envases de material termoplastico</t>
  </si>
  <si>
    <t>Calentadores electricos de agua de calentamiento instantaneo o acumulacion y calentadores electricos de inmersion; aparatos electricos para calefaccion de espacios o suelos; aparatos electrotermicos para el cuidado del cabello (por ejemplo: secadores. rizadores. calientatenacillas) o para secar las manos; planchas electricas; los demas aparatos electrotermicos de uso domestico; resistencias calentadoras. excepto las de la partida 85.45.</t>
  </si>
  <si>
    <t>De acumulacion. excepto los de funcionamiento mixto (electricidad y energia solar)</t>
  </si>
  <si>
    <t>De capacidad inferior o igual a 40 litros</t>
  </si>
  <si>
    <t>De capacidad superior o igual a 20 litros pero inferior o igual a 40 litros</t>
  </si>
  <si>
    <t>De capacidad superior a 40 litros pero inferior o igual a 60 litros</t>
  </si>
  <si>
    <t>De capacidad superior a 60 litros pero inferior o igual a 90 litros</t>
  </si>
  <si>
    <t>De capacidad superior a 90 litros pero inferior o igual a 130 litros</t>
  </si>
  <si>
    <t>De capacidad superior a 130 litros pero inferior o igual a 150 litros</t>
  </si>
  <si>
    <t>De calentamiento instantaneo</t>
  </si>
  <si>
    <t>Los demas de acumulacion. de funcionamiento mixto (electricidad y energia solar)</t>
  </si>
  <si>
    <t>De capacidad superior o igual a 20 litros pero inferior o igual a 150 litros</t>
  </si>
  <si>
    <t>- Aparatos electricos para calefaccion de espacios o suelos:</t>
  </si>
  <si>
    <t>Radiadores de circulacion de aceite</t>
  </si>
  <si>
    <t>Los demas radiadores por conveccion</t>
  </si>
  <si>
    <t>Con resistencia de alambre montada sobre soporte de mica</t>
  </si>
  <si>
    <t>Las demas. con resistencia de alambre</t>
  </si>
  <si>
    <t>Con resistencia ceramica. incluso de coeficiente termico positivo (PTC)</t>
  </si>
  <si>
    <t>Radiadores de cuarzo</t>
  </si>
  <si>
    <t>Radiadores halogenos</t>
  </si>
  <si>
    <t>Con resistencia calentadora y ventilador forzador de aire ("caloventores")</t>
  </si>
  <si>
    <t>- Aparatos electrotermicos para el cuidado del cabello o para secar las manos:</t>
  </si>
  <si>
    <t>Rizadores y onduladores</t>
  </si>
  <si>
    <t>Planchadores de cabello</t>
  </si>
  <si>
    <t>Secas. incluso con dispositivo rociador</t>
  </si>
  <si>
    <t>Con dispositivo generador de vapor incorporado</t>
  </si>
  <si>
    <t>Aptas para ser conectadas. mediante tuberias. a un dispositivo generador de vapor externo</t>
  </si>
  <si>
    <t>Con panel de control mecanico</t>
  </si>
  <si>
    <t>De capacidad inferior o igual a 37 litros</t>
  </si>
  <si>
    <t>Con panel de control digital</t>
  </si>
  <si>
    <t>De capacidad inferior o igual a 24 litros</t>
  </si>
  <si>
    <t>De capacidad superior a 24 litros pero inferior o igual a 28 litros</t>
  </si>
  <si>
    <t>De capacidad superior a 28 litros pero inferior o igual a 31 litros</t>
  </si>
  <si>
    <t>De capacidad superior a 31 litros pero inferior o igual a 37 litros</t>
  </si>
  <si>
    <t>- Los demas hornos; cocinas. hornillos (incluidas las mesas de coccion). parrillas y asadores</t>
  </si>
  <si>
    <t>De funcionamiento mixto (gas y electricidad)</t>
  </si>
  <si>
    <t>Hornos electricos. excepto los de empotrar</t>
  </si>
  <si>
    <t>De capacidad superior o igual a 18 l pero inferior o igual a 36 l</t>
  </si>
  <si>
    <t>De capacidad superior o igual a 37 l pero inferior o igual a 60 l</t>
  </si>
  <si>
    <t>Hornos electricos. de empotrar</t>
  </si>
  <si>
    <t>Cocinas electricas. con horno incorporado</t>
  </si>
  <si>
    <t>Anafes o placas de induccion. de funcionamiento electrico</t>
  </si>
  <si>
    <t>- Los demas aparatos electrotermicos:</t>
  </si>
  <si>
    <t>Cacerolas</t>
  </si>
  <si>
    <t>Freidoras</t>
  </si>
  <si>
    <t>Aparatos para dosificacion de pegamento</t>
  </si>
  <si>
    <t>Aparatos electrotermicos para dispersion de insecticidas</t>
  </si>
  <si>
    <t>Panquequeras</t>
  </si>
  <si>
    <t>Yogurteras</t>
  </si>
  <si>
    <t>Jarras o pavas</t>
  </si>
  <si>
    <t>Para los aparatos de esta partida</t>
  </si>
  <si>
    <t>Utilizadas para la fabricacion de bujias de precalentamiento para uso automotriz.</t>
  </si>
  <si>
    <t>Telefonos. incluidos los telefonos celulares (moviles)* y los de otras redes inalambricas; los demas aparatos de emision. transmision o recepcion de voz. imagen u otros datos. incluidos los de comunicacion en red con o sin cable (tales como redes locales (LAN) o extendidas (WAN)). distintos de los aparatos de emision. transmision o recepcion de las partidas 84.43. 85.25. 85.27 u 85.28.</t>
  </si>
  <si>
    <t>- Telefonos. incluidos los telefonos celulares (moviles)* y los de otras redes inalambricas:</t>
  </si>
  <si>
    <t>Combinados con otros aparatos</t>
  </si>
  <si>
    <t>De frecuencia superior o igual a 1880 MHz pero inferior o igual a 1900 MHz</t>
  </si>
  <si>
    <t>De radiotelefonia. analogicos</t>
  </si>
  <si>
    <t>Portatiles (por ejemplo: «walkie talkie» y «handie talkie»)</t>
  </si>
  <si>
    <t>Fijos. sin fuente propia de energia. monocanales</t>
  </si>
  <si>
    <t>Terminales de sistema troncalizado («trunking»)</t>
  </si>
  <si>
    <t>Portatiles</t>
  </si>
  <si>
    <t>Fijas. sin fuente propia de energia.</t>
  </si>
  <si>
    <t>De telefonia celular. excepto por satelite</t>
  </si>
  <si>
    <t>Fijos. sin fuente propia de energia.</t>
  </si>
  <si>
    <t>De telecomunicaciones por satelite</t>
  </si>
  <si>
    <t>Digitales. operando en banda C. Ku. L o S</t>
  </si>
  <si>
    <t>Intercomunicadores</t>
  </si>
  <si>
    <t>Porteros electricos</t>
  </si>
  <si>
    <t>Telefonos publicos</t>
  </si>
  <si>
    <t>Semipublicos</t>
  </si>
  <si>
    <t>Sin combinar con otros aparatos</t>
  </si>
  <si>
    <t>- Los demas aparatos para emision. transmision o recepcion de voz. imagen u otros datos. incluidos los de comunicacion en red con o sin cable (tales como redes locales (LAN) o extendidas (WAN)):</t>
  </si>
  <si>
    <t>De sistema bidireccional de radiomensajes</t>
  </si>
  <si>
    <t>De tasa de transmision inferior o igual a 112 kbits/s.</t>
  </si>
  <si>
    <t>De sistema troncalizado («trunking»)</t>
  </si>
  <si>
    <t>De telefonia celular</t>
  </si>
  <si>
    <t>Principal terrestre fija sin conjunto antena-reflector</t>
  </si>
  <si>
    <t>VSAT («Very Small Aperture Terminal»). sin conjunto antena reflector</t>
  </si>
  <si>
    <t>Numericas (digitales) de frecuencia superior o igual a 15 GHz pero inferior o igual a 23 GHz. y tasa de transmision inferior o igual 8 Mbits/s</t>
  </si>
  <si>
    <t>Numericas (digitales) de frecuencia superior a 23 GHz</t>
  </si>
  <si>
    <t>- - Aparatos para la recepcion. conversion. emision y transmision o regeneracion de voz. imagen u otros datos. incluidos los de conmutacion y encaminamiento («switching and routing apparatus»)</t>
  </si>
  <si>
    <t>Multiplexadores y concentradores</t>
  </si>
  <si>
    <t>Multiplexadores por division de frecuencia</t>
  </si>
  <si>
    <t>Multiplexadores por division de tiempo. numericos (digitales). sincronicos. con velocidad de transmision superior o igual a 155 Mbits/s</t>
  </si>
  <si>
    <t>Los demas multiplexadores por division de tiempo</t>
  </si>
  <si>
    <t>Concentradores de lineas de abonados (terminal de central o terminal remota)</t>
  </si>
  <si>
    <t>Aparatos para la conmutacion de lineas telefonicas</t>
  </si>
  <si>
    <t>Centrales automaticas publicas. de conmutacion electronica. incluidas las de transito</t>
  </si>
  <si>
    <t>Centrales automaticas privadas. de capacidad inferior o igual a 25 lineas internas</t>
  </si>
  <si>
    <t>Inalambricas. de frecuencia superior o igual a 1880 MHz pero inferior o igual a 1900 MHz</t>
  </si>
  <si>
    <t>Centrales automaticas privadas. de capacidad superior a 25 lineas internas e inferior o igual a 200 lineas internas</t>
  </si>
  <si>
    <t>Centrales automaticas privadas. de capacidad superior a 200 lineas internas</t>
  </si>
  <si>
    <t>Los demas aparatos de conmutacion</t>
  </si>
  <si>
    <t>Centrales automaticas para conmutacion de paquetes de informacion. con velocidad de tronco superior a 72 kbits/s y de conmutacion superior a 3.600 paquetes/s sin multiplicacion deterministica</t>
  </si>
  <si>
    <t>Las demas centrales automaticas para conmutacion de paquetes de informacion</t>
  </si>
  <si>
    <t>Centrales automaticas de sistema troncalizado («trunking»)</t>
  </si>
  <si>
    <t>Ruteadores digitales en redes con o sin cable</t>
  </si>
  <si>
    <t>Con capacidad de conexion inalambrica</t>
  </si>
  <si>
    <t>Con menos de 10 puertos de conexion</t>
  </si>
  <si>
    <t>Los demas. con velocidad de interface serie de por lo menos 4 Mbits/s. aptos para interconexion de redes locales con protocolos distintos</t>
  </si>
  <si>
    <t>Aparatos para la recepcion. transmision o regeneracion de voz. imagen o datos. en redes con cable</t>
  </si>
  <si>
    <t>Terminales o repetidores sobre lineas metalicas</t>
  </si>
  <si>
    <t>Terminales o repetidores sobre lineas de fibras opticas. con velocidad de transmision superior a 2.5 Gbits/s</t>
  </si>
  <si>
    <t>Terminales de textos que operen con codigo de transmision Baudot. provista de teclado alfanumerico y pantalla ("display"). incluso con telefono incorporado.</t>
  </si>
  <si>
    <t>Distribuidores de conexiones para redes («hub»)</t>
  </si>
  <si>
    <t>Moduladores-demoduladores de señales («modems»)</t>
  </si>
  <si>
    <t>Unidades externas con fuente de alimentacion con conexion a la red electrica</t>
  </si>
  <si>
    <t>Aparatos emisores con receptor incorporado de sistema troncalizado («trunking»). de tecnologia celular o por satelite</t>
  </si>
  <si>
    <t>De sistema troncalizado ("trunking")</t>
  </si>
  <si>
    <t>De tecnologia celular</t>
  </si>
  <si>
    <t>Por satelite. digitales. operando en banda C. Ku. L o S</t>
  </si>
  <si>
    <t>Los demas. por satelite</t>
  </si>
  <si>
    <t>Los demas aparatos emisores con receptor incorporado. numericos (digitales)</t>
  </si>
  <si>
    <t>Terminales portatiles de sistema bidireccional de radiomensajes de tasa de transmision inferior o igual a 112 kbits/s</t>
  </si>
  <si>
    <t>De frecuencia inferior a 15 GHz y tasa de transmision inferior o igual a 34 Mbit/s. excepto los de sistema bidireccional de radiomensajes de tasa de transmision inferior o igual a 112 kbit/s</t>
  </si>
  <si>
    <t>De tasa de transmision inferior o igual a 8 Mbit/s. de frecuencia superior o igual a 1.800 MHz pero inferior o igual a 1.900 MHz</t>
  </si>
  <si>
    <t>Los demas de frecuencia inferior a 15 GHz</t>
  </si>
  <si>
    <t>De frecuencia superior o igual a 15 GHz. pero inferior o igual a 23 GHz. y tasa de transmision inferior o igual a 8 Mbits/s</t>
  </si>
  <si>
    <t>Aparatos emisores</t>
  </si>
  <si>
    <t>Receptores personales de radiomensajes. con presentacion alfanumerica del mensaje en pantalla (&lt;&lt;display&gt;&gt;)</t>
  </si>
  <si>
    <t>Los demas receptores personales de radiomensajes.</t>
  </si>
  <si>
    <t>Traductores (conversores) de protocolos para interconexion de redes («gateways»)</t>
  </si>
  <si>
    <t>Terminales fijas. analogicas. sin fuente propia de energia. monocanales</t>
  </si>
  <si>
    <t>Los demas. analogicos</t>
  </si>
  <si>
    <t>Encriptadores</t>
  </si>
  <si>
    <t>Antenas y reflectores de antenas; partes apropiadas para su utilizacion con dichos articulos</t>
  </si>
  <si>
    <t>Antenas para telefonos celulares portatiles. excepto las telescopicas</t>
  </si>
  <si>
    <t>Reflectores parabolicos de antena</t>
  </si>
  <si>
    <t>Gabinetes. bastidores y armazones</t>
  </si>
  <si>
    <t>Registradores y selectores para centrales automaticas</t>
  </si>
  <si>
    <t>Microfonos y sus soportes; altavoces (altoparlantes). incluso montados en sus cajas; auriculares. incluidos los de casco. esten o no combinados con microfono. y juegos o conjuntos constituidos por un microfono y uno o varios altavoces (altoparlantes); amplificadores electricos de audiofrecuencia; equipos electricos para amplificacion de sonido.</t>
  </si>
  <si>
    <t>Piezoelectricos aptos para aparatos telefonicos</t>
  </si>
  <si>
    <t>- Altavoces (altoparlantes). incluso montados en sus cajas:</t>
  </si>
  <si>
    <t>Varias cajas. incluso con amplificador de audiofrecuencia. de los tipos denominados "Home Theatre"</t>
  </si>
  <si>
    <t>-Auriculares. incluidos los de casco. esten o no combinados con microfono. y juegos o conjuntos constituidos por un microfono y uno o varios altavoces (altoparlantes).</t>
  </si>
  <si>
    <t>Auriculares</t>
  </si>
  <si>
    <t>De altavoces</t>
  </si>
  <si>
    <t>Aparatos de grabacion de sonido; aparatos de reproduccion de sonido; aparatos de grabacion y reproduccion de sonido.</t>
  </si>
  <si>
    <t>Tocadiscos</t>
  </si>
  <si>
    <t>Con sistema de lectura optica por laser (lectores de discos compactos)</t>
  </si>
  <si>
    <t>De los tipos utilizados en vehiculos automoviles (cambiadores para ser conectados a equipos de autorradio)</t>
  </si>
  <si>
    <t>Capaces de reproducir formato MP3</t>
  </si>
  <si>
    <t>De los tipos denominados de bolsillo</t>
  </si>
  <si>
    <t>Grabadores de sonido de cabina de aeronaves</t>
  </si>
  <si>
    <t>De cinematografia por procedimientos fotoelectricos.</t>
  </si>
  <si>
    <t>Reproductores de sonido (R. 2289/92 ANA)</t>
  </si>
  <si>
    <t>Registradores de sonido (R.2506/93 ANA)</t>
  </si>
  <si>
    <t>Aptos para emisoras de radiodifusion.</t>
  </si>
  <si>
    <t>Aparatos de grabacion y reproduccion de sonido. en cinta magnetica.</t>
  </si>
  <si>
    <t>Digitales (R. 2506/93 ANA)</t>
  </si>
  <si>
    <t>Los demas. en casete (R. 2506/93 ANA)</t>
  </si>
  <si>
    <t>Los demas (R. 2506/93 ANA)</t>
  </si>
  <si>
    <t>Con dispositivo de reproduccion de sonido (R. 2506/93 ANA)</t>
  </si>
  <si>
    <t>Registradores de discos compactos</t>
  </si>
  <si>
    <t>De los tipos denominados de bolsillo. con dispositivo de almacenamiento de datos a base de semiconductores ("Reproductor MP3")</t>
  </si>
  <si>
    <t>Aparatos para dictar que solo funciones con fuente de energia exterior; aparatos para reproducir dictados</t>
  </si>
  <si>
    <t>Los demas. en cinta magnetica</t>
  </si>
  <si>
    <t>Aparatos de grabacion o reproduccion de imagen y sonido (videos). incluso con receptor de señales de imagen y sonido incorporado.</t>
  </si>
  <si>
    <t>Grabador-reproductor. sin sintonizador</t>
  </si>
  <si>
    <t>Los demas. para cintas de anchura inferior a 19.05 mm (3/4€)</t>
  </si>
  <si>
    <t>En casetes. de anchura de cinta igual a 12.65 mm (1/2")</t>
  </si>
  <si>
    <t>Superior a 12.65 mm (R.2506/93 ANA)</t>
  </si>
  <si>
    <t>Los demas. para cintas de anchura superior o igual a 19.05 mm (3/4")</t>
  </si>
  <si>
    <t>Grabador-reproductor y editor de imagen y sonido. en disco. por medio magnetico. optico u optomagnetico</t>
  </si>
  <si>
    <t>De uso profesional (R.2506/93 ANA)</t>
  </si>
  <si>
    <t>De los tipos denominados de bolsillo. con dispositivo de almacenamiento de datos a base de semiconductores ("Reproductores de MP4")</t>
  </si>
  <si>
    <t>Con pantalla ("display") de diagonal inferior o igual a 5.08 cm (2")</t>
  </si>
  <si>
    <t>Partes y accesorios identificables como destinados. exclusiva o principalmente. a los aparatos de las partidas 85.19 u 85.21.</t>
  </si>
  <si>
    <t>Agujas con punta de piedras preciosas</t>
  </si>
  <si>
    <t>Gabinetes</t>
  </si>
  <si>
    <t>Chasis y soportes</t>
  </si>
  <si>
    <t>Lectores de sonido. magneticos (cabezas magneticas)</t>
  </si>
  <si>
    <t>Mecanismos giradiscos. incluso con cambiador</t>
  </si>
  <si>
    <t>Conjunto para limpieza de cabezales magneticos. acondicionados para la venta al por menor</t>
  </si>
  <si>
    <t>Adaptador de casetes VHS a VHS-C</t>
  </si>
  <si>
    <t>Adaptador para conexion entre lector de discos compactos y autorradio</t>
  </si>
  <si>
    <t>Cabezales lectores de imagen y sonido (video). magneticos. de 6 o mas cabezas</t>
  </si>
  <si>
    <t>Discos. cintas. dispositivos de almacenamiento permanente de datos a base de semiconductores. tarjetas inteligentes («smart cards») y demas soportes para grabar sonido o grabaciones analogas. grabados o no. incluso las matrices y moldes galvanicos para fabricacion de discos. excepto los productos del Capitulo 37.</t>
  </si>
  <si>
    <t>- Soportes magneticos:</t>
  </si>
  <si>
    <t>Sin grabar</t>
  </si>
  <si>
    <t>Con panel de firma y holograma</t>
  </si>
  <si>
    <t>Impresas con una cantidad de colores inferior o igual a 5</t>
  </si>
  <si>
    <t>Impresas con una cantidad de colores superior a 5 pero inferior o igual a 10</t>
  </si>
  <si>
    <t>Impresas con una cantidad de colores superior a 10 pero inferior o igual a 15</t>
  </si>
  <si>
    <t>Las demas con panel de firma</t>
  </si>
  <si>
    <t>Las demas con holograma</t>
  </si>
  <si>
    <t>Grabadas</t>
  </si>
  <si>
    <t>Los demas con panel de firmas</t>
  </si>
  <si>
    <t>Discos magneticos</t>
  </si>
  <si>
    <t>De los tipos utilizados en unidades de discos rigidos</t>
  </si>
  <si>
    <t>Discos opto-magneticos. sin grabar</t>
  </si>
  <si>
    <t>Con programa de aplicacion para computadoras -software-. excepto obras fotograficas. filmograficas con o sin sonido. y los videojuegos -videogames-. incluso presentados con mercaderias complementarias</t>
  </si>
  <si>
    <t>Presentado aisladamente</t>
  </si>
  <si>
    <t>Soporte fisico conteniendo programa de aplicacion para computadoras -software-. con valor discriminado en factura conforme Art. 1° y 3° de la R.856/95 MEOSP</t>
  </si>
  <si>
    <t>Propiedad intelectual de programa de aplicacion para computadoras -software- con valor discriminado en factura conforme Arts. 1° y 3° de la R.856/95 MEOSP</t>
  </si>
  <si>
    <t>Soporte fisico conteniendo programa de aplicacion para computadoras -software-. cuyos valores no se encuentren discriminados en factura conforme Art.3° parte "in fine". de la R.856/95 MEOSP</t>
  </si>
  <si>
    <t>Presentado con mercaderias complementarias</t>
  </si>
  <si>
    <t>Propiedad intelectual de programa de aplicacion para computadoras -software-. con valor discriminado en factura conforme Arts. 1°y 3° de la R.856/95 MEOSP</t>
  </si>
  <si>
    <t>Soporte fisico conteniendo programa de aplicacion para computadoras -software-. cuyos valores no se encuentren discriminados en factura conforme Art. 3° parte "in fine". de la R.856/95 MEOSP</t>
  </si>
  <si>
    <t>Mercaderias complementarias que constituyan impresos de la partida 49.01. excepto directorios y guias turisticas que no presenten un contenido exclusivamente cultural (datos historicos. geograficos. de gobierno o de indole similar). de un pais o de una ciudad</t>
  </si>
  <si>
    <t>Otras mercaderias complementarias</t>
  </si>
  <si>
    <t>Cintas magneticas. sin grabar</t>
  </si>
  <si>
    <t>De anchura inferior o igual a 4 mm. en casetes</t>
  </si>
  <si>
    <t>De anchura superior a 4 mm pero inferior o igual 6.5 mm</t>
  </si>
  <si>
    <t>De anchura superior a 6.5 mm pero inferior o igual a 50.8 mm (2"). en rollos o carretes</t>
  </si>
  <si>
    <t>De anchura superior a 6.5 mm. en casetes para grabacion de video</t>
  </si>
  <si>
    <t>Tipo VHS</t>
  </si>
  <si>
    <t>De 15 minutos de duracion</t>
  </si>
  <si>
    <t>De 90 minutos de duracion</t>
  </si>
  <si>
    <t>De 120 minutos de duracion</t>
  </si>
  <si>
    <t>De 180 minutos de duracion</t>
  </si>
  <si>
    <t>Tipo VHS-C</t>
  </si>
  <si>
    <t>De 20 minutos de duracion</t>
  </si>
  <si>
    <t>De 30 minutos de duracion</t>
  </si>
  <si>
    <t>De 8 milimetros de ancho de cinta</t>
  </si>
  <si>
    <t>Cintas magneticas. grabadas</t>
  </si>
  <si>
    <t>Para reproducir fenomenos distintos del sonido o imagen</t>
  </si>
  <si>
    <t>Con programas de aplicacion para computadora (software) (R.909/94 MEOSP)</t>
  </si>
  <si>
    <t>Soporte fisico conteniendo programas de aplicacion para computadoras -software-. con valor discriminado en factura conforme Arts. 1ro y 3ro de la R.856/95 MEOSP</t>
  </si>
  <si>
    <t>Propiedad intelectual de programas de aplicacion para computadoras -software-. con valor discriminado en factura conforme Arts. 1ro y 3ro de la R.856/95 MEOSP</t>
  </si>
  <si>
    <t>Soporte fisico conteniendo programas de aplicacion para computadoras -software-. cuyos valores no se encuentran discriminados en factura conforme Art. 3ro. parte "in fine". de la R.856/95 MEOSP</t>
  </si>
  <si>
    <t>De anchura inferior o igual a 4 mm. en casetes. excepto las del item 8523.29.31</t>
  </si>
  <si>
    <t>Cuyo contenido reproduzca mercaderia de la partida 49.01. excepto directorios y guias turisticas que no presenten un contenido exclusivamente cultural (datos historicos. geograficos. de gobierno o de indole similar). de un pais o de una ciudad. incluso presentado con mercaderia complementaria</t>
  </si>
  <si>
    <t>Presentada aisladamente</t>
  </si>
  <si>
    <t>Presentada con mercaderias complementarias. sin valores propios de comercializacion</t>
  </si>
  <si>
    <t>Soporte fisico</t>
  </si>
  <si>
    <t>Presentada con mercaderias complementarias. con valores propios de comercializacion</t>
  </si>
  <si>
    <t>Presentada con mercaderias complementarias</t>
  </si>
  <si>
    <t>De anchura superior a 6.5 mm. excepto las del item 8523.29.31</t>
  </si>
  <si>
    <t>En cartuchos o casetes. cuyo contenido reproduzca mercaderia de la partida 49.01. excepto directorios y guias turisticas que no presenten un contenido exclusivamente cultural (datos historicos. geograficos. de gobierno o de indole similar). de un pais o de una ciudad. incluso presentadas con mercaderia complementaria</t>
  </si>
  <si>
    <t>Las demas. en cartuchos o casetes</t>
  </si>
  <si>
    <t>Conteniendo material didactico. cientifico o tecnico. presentada con mercaderias complementarias. sin valores propios de comercializacion</t>
  </si>
  <si>
    <t>Las demas. presentadas con mercaderias complementarias. sin valores propios de comercializacion</t>
  </si>
  <si>
    <t>- Soportes opticos:</t>
  </si>
  <si>
    <t>Discos para sistemas de lectura por rayos laser con posibilidad de ser grabados solo una vez</t>
  </si>
  <si>
    <t>Con capacidad inferior o igual a 850 Mb (CD-R)</t>
  </si>
  <si>
    <t>De 25 GB de capacidad (BD-R. Blu-ray)</t>
  </si>
  <si>
    <t>Exclusivamente con sonido</t>
  </si>
  <si>
    <t>Soporte sin valores propios de comercializacion (precios no diferenciados)</t>
  </si>
  <si>
    <t>Soporte con valores propios de comercializacion (precios diferenciados)</t>
  </si>
  <si>
    <t>Soporte fisico conteniendo programa de aplicacion para computadora -software- con valor discriminado en factura conforme Art. 1° y 3° de la R.856/95 MEOSP</t>
  </si>
  <si>
    <t>Propiedad intelectual de programa de aplicacion para computadora -software- con valor discriminado en factura conforme Art. 1° y 3° de la R.856/95 MEOSP</t>
  </si>
  <si>
    <t>Soporte fisico conteniendo programa de aplicacion para computadora -software- cuyos valores no se encuentran discriminados en factura conforme Art. 3°. parte "in fine". de la R.856/95 MEOSP</t>
  </si>
  <si>
    <t>Presentado con mercaderias complementarias. sin valores propios de comercializacion</t>
  </si>
  <si>
    <t>Soporte fisico conteniendo programa de aplicacion para computadora -software-. con valor discriminado en factura conforme Arts. 1ro y 3ro de la Res. 856/95 MEOSP</t>
  </si>
  <si>
    <t>Mercaderias complementarias</t>
  </si>
  <si>
    <t>Presentado con mercaderias complementarias. con valores propios de comercializacion</t>
  </si>
  <si>
    <t>Mercaderias complementarias que constituyan impresos de la partida 49.01</t>
  </si>
  <si>
    <t>Los demas. conteniendo programas de aplicacion para computadoras -software-</t>
  </si>
  <si>
    <t>Cuyo contenido reproduzca mercaderia de la partida 49.01. excepto directorios y guias turisticas que no presenten un contenido exclusivamente cultural (datos historicos. geograficos. de gobierno o de indole similar). de un pais o de una ciudad. incluso presentados con mercaderia complementaria</t>
  </si>
  <si>
    <t>Soporte fisico conteniendo programa de aplicacion para computadoras -software- con valor discriminado en factura conforme Art. 1° y 3° de la R.856/95 MEOSP</t>
  </si>
  <si>
    <t>Soporte fisico conteniendo programa de aplicacion para computadoras -software- cuyos valores no se encuentren discriminados en factura conforme Art. 3°. parte "in fine". de la R.856/95 MEOSP</t>
  </si>
  <si>
    <t>Presentado con mercaderias complementarias sin valores propios de comercializacion</t>
  </si>
  <si>
    <t>Propiedad intelectual de programa de aplicacion para computadoras -software- con valor discriminado en factura conforme Art. 1° y 3° de la R.856/95 MEOSP</t>
  </si>
  <si>
    <t>Soporte fisico conteniendo programa de aplicacion para computadoras -software-. con valor discriminado en factura conforme Arts. 1ro y 3ro de la Res. 856/95 MEOSP</t>
  </si>
  <si>
    <t>Propiedad intelectual de programa de aplicacion para computadoras -softwaare-. con valor discriminado en factura conforme Arts. 1ro y 3ro de la Res. 856/95 MEOSP</t>
  </si>
  <si>
    <t>Soporte fisico conteniendo programa de aplicacion para computadoras -software-. cuyos valores no se encuentren discriminados en factura conforme Art. 3ro. parte "in fine". de la Res. 856/95 MEOSP</t>
  </si>
  <si>
    <t>Los demas. conteniendo programa de aplicacion para computadoras -software. incluso de juegos o recreativos- excepto obras fotograficas. filmograficas con o sin sonido. y los videojuegos de los tipos de los utilizados en aparatos de la Partida 95.04 -videogames-. incluso presentados con mercaderias complementarias</t>
  </si>
  <si>
    <t>Propiedad intelectual de programa de aplicacion para computadoras -software-. con valor discriminado en factura conforme Arts. 1ro y 3ro de la Res. 856/95 MEOSP</t>
  </si>
  <si>
    <t>Videojuegos de los tipos utilizados en aparatos de la partida 95.04 (videogames)</t>
  </si>
  <si>
    <t>Obras fotograficas o filmograficas (Digital Video Disc. DVD). con o sin sonido</t>
  </si>
  <si>
    <t>Obras fotograficas</t>
  </si>
  <si>
    <t>Obras filmograficas</t>
  </si>
  <si>
    <t>- Soportes semiconductores:</t>
  </si>
  <si>
    <t>Tarjetas de memoria («memory cards»)</t>
  </si>
  <si>
    <t>Dispositivo de almacenamiento de datos. de estado solido. de los tipos denominados "flash memory card"</t>
  </si>
  <si>
    <t>- - Tarjetas inteligentes («smart cards»)</t>
  </si>
  <si>
    <t>De material plastico con tira magnetica incorporada</t>
  </si>
  <si>
    <t>Las demas. de plastico</t>
  </si>
  <si>
    <t>Tarjetas y etiquetas de activacion por proximidad</t>
  </si>
  <si>
    <t>Aparatos emisores de radiodifusion o television. incluso con aparato receptor o de grabacion o reproduccion de sonido incorporado; camaras de television. camaras digitales y videocamaras.</t>
  </si>
  <si>
    <t>De radiodifusion</t>
  </si>
  <si>
    <t>Con modulacion en amplitud por codigo o ancho de pulso. totalmente a semiconductores y de potencia de salida superior a 10 KW</t>
  </si>
  <si>
    <t>Con modulacion en frecuencia. etapa de salida valvular y potencia superior a 30 KW</t>
  </si>
  <si>
    <t>De television</t>
  </si>
  <si>
    <t>De frecuencia superior a 7 GHz</t>
  </si>
  <si>
    <t>En banda UHF. de frecuencia superior o igual a 2.0 GHz pero inferior o igual a 2.7 GHz. y de potencia de salida superior o igual a 10 W pero inferior o igual a 100 W</t>
  </si>
  <si>
    <t>En banda UHF. de potencia de salida superior a 10 KW</t>
  </si>
  <si>
    <t>En banda VHF. de potencia de salida superior a 20 KW</t>
  </si>
  <si>
    <t>De television. de frecuencia superior a 7 GHz</t>
  </si>
  <si>
    <t>Para television por cable. con puerto "USB" y "Ethernet" de los tipos utilizados para transmitir-recibir datos ("cablemodems")</t>
  </si>
  <si>
    <t>Camaras de television</t>
  </si>
  <si>
    <t>Con tres o mas captores de imagen</t>
  </si>
  <si>
    <t>Con sensor de imagen basado en semiconductores tipo CCD. de mas de 490 x 580 pixeles activos. sensibles a intensidades de iluminacion inferiores a 0.20 lux</t>
  </si>
  <si>
    <t>Las demas para captar imagenes exclusivamente en el espectro infrarrojo con longitud de onda superior o igual a 2 micrometros pero inferior o igual a 14 micrometros</t>
  </si>
  <si>
    <t>De los tipos utilizados con instrumentos o aparatos de diagnostico o cirugia endoscopica</t>
  </si>
  <si>
    <t>Camaras digitales y videocamaras</t>
  </si>
  <si>
    <t>Con multiples salidas de audio y video con conectores BNC</t>
  </si>
  <si>
    <t>Camaras digitales que solo registren imagenes fijas. incluso si cuentan con limitada capacidad de registro de señales de video</t>
  </si>
  <si>
    <t>De foco ajustable. sin su objetivo</t>
  </si>
  <si>
    <t>Aparatos de radar. radionavegacion o radiotelemando.</t>
  </si>
  <si>
    <t>Cinemometros de efecto Doppler (R.2507/93 ANA)</t>
  </si>
  <si>
    <t>Aparatos receptores de sistema de posicionamiento global (GPS)</t>
  </si>
  <si>
    <t>Aparatos emisores con receptor incorporado que operen en la banda de 457kHZ. de los tipos utilizados para radiodeteccion</t>
  </si>
  <si>
    <t>Aparatos receptores de radiodifusion. incluso combinados en la misma envoltura con grabador o reproductor de sonido o con reloj.</t>
  </si>
  <si>
    <t>- Aparatos receptores de radiodifusion que puedan funcionar sin fuente de energia exterior:</t>
  </si>
  <si>
    <t>Con sistema de lectura optica por laser.</t>
  </si>
  <si>
    <t>Con reproductor y grabador de cintas</t>
  </si>
  <si>
    <t>Combinados con reloj</t>
  </si>
  <si>
    <t>Combinados</t>
  </si>
  <si>
    <t>- Aparatos receptores de radiodifusion que solo funcionen con fuente de energia exterior. de los tipos utilizados en vehiculos automoviles:</t>
  </si>
  <si>
    <t>Receptor de radio AM/FM estereo combinado con otros aparatos. entre los que se cuenta el reproductor de discos compactos (R.1266/97 MEOSP)</t>
  </si>
  <si>
    <t>Con frente desmontable</t>
  </si>
  <si>
    <t>De potencia inferior o igual a 15 W RMS</t>
  </si>
  <si>
    <t>De potencia superior a 15 W RMS pero inferior o igual a 60 W RMS</t>
  </si>
  <si>
    <t>De potencia superior a 60 W RMS pero inferior o igual a 240 W RMS</t>
  </si>
  <si>
    <t>De potencia superior a 240 W RMS pero inferior o igual 600 W RMS</t>
  </si>
  <si>
    <t>De potencia superior a 600 W RMS pero inferior o igual 1000 W RMS</t>
  </si>
  <si>
    <t>De potencia superior a 1000 W RMS pero inferior o igual 2000 W RMS</t>
  </si>
  <si>
    <t>De potencia superior a 2000 W RMS pero inferior o igual 3000 W RMS</t>
  </si>
  <si>
    <t>Amplificador con sintonizador</t>
  </si>
  <si>
    <t>Monitores y proyectores. que no incorporen aparato receptor de television; aparatos receptores de television. incluso con aparato receptor de radiodifusion o grabacion o reproduccion de sonido o imagen incorporado.</t>
  </si>
  <si>
    <t>- Monitores con tubo de rayos catodicos:</t>
  </si>
  <si>
    <t>- - Aptos para ser conectados directamente y diseñados para ser utilizados con una maquina automatica para tratamiento o procesamiento de datos de la partida 84.71</t>
  </si>
  <si>
    <t>Monocromaticos</t>
  </si>
  <si>
    <t>Policromaticos</t>
  </si>
  <si>
    <t>De diagonal de pantalla inferior o igual a 30.48 cm (12")</t>
  </si>
  <si>
    <t>De diagonal de pantalla superior a 30.48 cm (12") pero inferior o igual a 35.56 cm (14")</t>
  </si>
  <si>
    <t>De diagonal de pantalla superior a 35.56 cm (14") pero inferior o igual a 38.10 cm (15")</t>
  </si>
  <si>
    <t>De diagonal de pantalla superior a 38.10 cm (15") pero inferior o igual a 43.18 cm (17")</t>
  </si>
  <si>
    <t>De diagonal de pantalla superior a 48.26 cm (19") pero inferior o igual a 53.34 cm (21")</t>
  </si>
  <si>
    <t>Con dispositivos de seleccion de barrido («underscanning») y de retardo de sincronismo horizontal y vertical («H/V delay» o «pulse cross»)</t>
  </si>
  <si>
    <t>- Los demas monitores:</t>
  </si>
  <si>
    <t>Portatiles. con reproductor de DVD incorporado</t>
  </si>
  <si>
    <t>- Proyectores:</t>
  </si>
  <si>
    <t>--Aptos para ser conectados directamente y diseñados para ser utilizados con una maquina automatica para tratamiento o procesamiento de datos de la partida 84.71</t>
  </si>
  <si>
    <t>Con tecnologia de dispositivo digital de microespejos («Digital Micromirror Device» - DMD)</t>
  </si>
  <si>
    <t>- Aparatos receptores de television. incluso con aparato receptor de radiodifusion o grabacion o reproduccion de sonido o imagen incorporado:</t>
  </si>
  <si>
    <t>- - No concebidos para incorporar un dispositivo de visualizacion («display») o pantalla de video</t>
  </si>
  <si>
    <t>Receptor-decodificador integrado (IRD) de señales digitalizadas de video codificadas</t>
  </si>
  <si>
    <t>Sin salida de radiofrecuencia (RF) modulada en canales 3 o 4. con salidas de audio balanceadas con impedancia de 600 ohms. apto para montaje en «racks» y salida de video con conector BNC</t>
  </si>
  <si>
    <t>Con tubo de rayos catodicos (TRC) de diagonal de pantalla inferior o igual a 22.86 cm (9")</t>
  </si>
  <si>
    <t>Con tubo de rayos catodicos (TRC) de diagonal de pantalla superior a 22.86 cm (9") pero inferior o igual a 30.48 cm (12")</t>
  </si>
  <si>
    <t>Combinado con aparato de grabacion o reproduccion de sonido o imagen</t>
  </si>
  <si>
    <t>Con tubo de rayos catodicos (TRC) de diagonal de pantalla superior a 30.48 cm (12") pero inferior o igual a 45.72 cm (18")</t>
  </si>
  <si>
    <t>Con tubo de rayos catodicos (TRC) de diagonal de pantalla superior a 45.72 cm (18") pero inferior o igual a 55.88 cm (22")</t>
  </si>
  <si>
    <t>Con tubo de rayos catodicos (TRC) de diagonal de pantalla superior a 55.88 cm (22") pero inferior o igual a 63.5 cm (25")</t>
  </si>
  <si>
    <t>Con tubo de rayos catodicos (TRC) de diagonal de pantalla superior a 63.50 cm (25") pero inferior o igual a 71.12 cm (28")</t>
  </si>
  <si>
    <t>Con tubo de rayos catodicos (TRC) de diagonal de pantalla superior a 71.12 cm (28") pero inferior o igual a 78.74 cm (31")</t>
  </si>
  <si>
    <t>Con tubo de rayos catodicos (TRC) de diagonal de pantalla superior a 78.74 cm (31") pero inferior o igual a 86.36 cm (34")</t>
  </si>
  <si>
    <t>Los demas con pantalla de cristal liquido (LCD)</t>
  </si>
  <si>
    <t>De diagonal de pantalla inferior o igual a 76.2 cm (30")</t>
  </si>
  <si>
    <t>De diagonal de pantalla superior a 76.2 cm (30") pero inferior o igual a 88.9 cm (35")</t>
  </si>
  <si>
    <t>De diagonal de pantalla superior a 88.9 cm (35") pero inferior o igual a 114.3 cm (45")</t>
  </si>
  <si>
    <t>De diagonal de pantalla superior a 114.3 cm (45") pero inferior o igual a 127 cm (50")</t>
  </si>
  <si>
    <t>De diagonal de pantalla superior a 127 cm (50") pero inferior o igual a 142.24 cm (56")</t>
  </si>
  <si>
    <t>De diagonal de pantalla superior a 142.24 cm (56") pero inferior o igual a 154.94 cm (61")</t>
  </si>
  <si>
    <t>De diagonal de pantalla superior a 154.94 cm (61") pero inferior o igual a 190.5 cm (75")</t>
  </si>
  <si>
    <t>Los demas con pantalla de plasma o con sistema de retroproyeccion</t>
  </si>
  <si>
    <t>Con pantalla de plasma</t>
  </si>
  <si>
    <t>Partes identificables como destinadas. exclusiva o principalmente. a los aparatos de las partidas 85.25 a 85.28.</t>
  </si>
  <si>
    <t>Antenas</t>
  </si>
  <si>
    <t>Con reflector parabolico</t>
  </si>
  <si>
    <t>De los tipos utilizados en espejos retrovisores de vehiculos automoviles</t>
  </si>
  <si>
    <t>Reflectores parabolicos de antenas</t>
  </si>
  <si>
    <t>De los aparatos de las subpartidas 8525.50 u 8525.60</t>
  </si>
  <si>
    <t>Gabinetes y bastidores</t>
  </si>
  <si>
    <t>De los aparatos de las partidas 85.27 u 85.28</t>
  </si>
  <si>
    <t>De los aparatos de la subpartida 8526.10</t>
  </si>
  <si>
    <t>De los aparatos de la subpartida 8526.91</t>
  </si>
  <si>
    <t>Aparatos electricos de señalizacion (excepto los de transmision de mensajes). seguridad. control o mando. para vias ferreas o similares. carreteras. vias fluviales. areas o parques de estacionamiento. instalaciones portuarias o aeropuertos (excepto los de la partida 86.08).</t>
  </si>
  <si>
    <t>Digitales. para control de trafico</t>
  </si>
  <si>
    <t>Digitales. para control de trafico de automotores</t>
  </si>
  <si>
    <t>Aparatos electricos de señalizacion acustica o visual (por ejemplo: timbres. sirenas. tableros indicadores. avisadores de proteccion contra robo o incendio). excepto los de las partidas 85.12 u 85.30.</t>
  </si>
  <si>
    <t>Alarmas contra incendio o sobrecalentamiento</t>
  </si>
  <si>
    <t>Avisadores electricos de proteccion contra robo</t>
  </si>
  <si>
    <t>Ãšnicamente panel de mando (teclado) con dispositivo de indicacion mediante diodos emisores de luz (LED)</t>
  </si>
  <si>
    <t>De cantidad de zonas inferior o igual a 5</t>
  </si>
  <si>
    <t>De cantidad de zonas superior a 5 pero inferior o igual a 9</t>
  </si>
  <si>
    <t>De cantidad de zonas superior a 9 pero inferior o igual a 17</t>
  </si>
  <si>
    <t>De cantidad de zonas superior a 17 pero inferior o igual a 33</t>
  </si>
  <si>
    <t>Ãšnicamente panel de mando (teclado) con dispositivo de indicacion de cristal liquido (LCD)</t>
  </si>
  <si>
    <t>Ãšnicamente panel de mando (teclado) con dispositivo de indicacion mediante diodos emisores de luz (LED). presentado con la unidad de control</t>
  </si>
  <si>
    <t>Ãšnicamente panel de mando (teclado) con dispositivo de indicacion de cristal liquido (LCD) presentado con la unidad de control</t>
  </si>
  <si>
    <t>Aparatos electricos para la deteccion de monoxido de carbono. de uso domestico</t>
  </si>
  <si>
    <t>Aparatos electricos para la deteccion de gas natural o gas licuado de petroleo. de uso domestico</t>
  </si>
  <si>
    <t>-Tableros indicadores con dispositivos de cristal liquido (LCD) o diodos emisores de luz (LED). incorporados</t>
  </si>
  <si>
    <t>Sirenas. de los tipos utilizados en avisadores electricos de proteccion contra robo</t>
  </si>
  <si>
    <t>De interior</t>
  </si>
  <si>
    <t>De exterior</t>
  </si>
  <si>
    <t>Con avisador luminoso</t>
  </si>
  <si>
    <t>Condensadores electricos fijos. variables o ajustables.</t>
  </si>
  <si>
    <t>- Condensadores fijos concebidos para redes electricas de 50/60 Hz. para una potencia reactiva superior o igual a 0.5 kvar (condensadores de potencia)</t>
  </si>
  <si>
    <t>Con un valor de capacitancia inferior o igual a 33 microfaradios.(Res.92/98SYCyM)</t>
  </si>
  <si>
    <t>Con un valor de capacitancia superior o igual a 1 microfaradio y una potencia reactiva inferior o igual a 2.5 kvar</t>
  </si>
  <si>
    <t>Con terminal con tapa y doble faston</t>
  </si>
  <si>
    <t>Los demas. para una potencia reactiva superior o igual a 50 kVAr</t>
  </si>
  <si>
    <t>- Los demas condensadores fijos:</t>
  </si>
  <si>
    <t>Aptos para montaje en superficie (SMD - «Surface Mounted Device»)</t>
  </si>
  <si>
    <t>Con tension de aislacion inferior o igual a 125 V</t>
  </si>
  <si>
    <t>Aptos para montaje por insercion (PHP - «Pin Through Hole»)</t>
  </si>
  <si>
    <t>No polarizados. de los tipos utilizados para el arranque de motores electricos monofasicos</t>
  </si>
  <si>
    <t>Aptos para montaje en superficie (SMD- «Surface Mounted Device»)</t>
  </si>
  <si>
    <t>Resistencias electricas. excepto las de calentamiento (incluidos reostatos y potenciometros).</t>
  </si>
  <si>
    <t>- Las demas resistencias fijas:</t>
  </si>
  <si>
    <t>- - De potencia inferior o igual a 20 W</t>
  </si>
  <si>
    <t>De alambre</t>
  </si>
  <si>
    <t>Aptas para montaje en superficie (SMD- «Surface Mounted Device»)</t>
  </si>
  <si>
    <t>- Resistencias variables bobinadas (incluidos reostatos y potenciometros):</t>
  </si>
  <si>
    <t>Potenciometros</t>
  </si>
  <si>
    <t>Resistencias no lineales. semiconductoras</t>
  </si>
  <si>
    <t>Termistores</t>
  </si>
  <si>
    <t>Varistores para una tension inferior o igual a 1.000 V</t>
  </si>
  <si>
    <t>Los demas varistores</t>
  </si>
  <si>
    <t>Potenciometros de carbon. de los tipos utilizados para determinar el angulo de apertura de la mariposa en sistemas de inyeccion de combustible controlados electronicamente</t>
  </si>
  <si>
    <t>Los demas potenciometros de carbon</t>
  </si>
  <si>
    <t>De los tipos utilizados para determinar la posicion de pedal de acelerador de vehiculos automoviles</t>
  </si>
  <si>
    <t>Para uso automotriz.</t>
  </si>
  <si>
    <t>Circuitos impresos.</t>
  </si>
  <si>
    <t>Simple faz. rigidos</t>
  </si>
  <si>
    <t>Con aislante de resina fenolica y papel celulosico</t>
  </si>
  <si>
    <t>Con impresion de componentes</t>
  </si>
  <si>
    <t>Con aislante de resina epoxi y papel celulosico</t>
  </si>
  <si>
    <t>Con aislante de resina epoxi y tejido de fibra de vidrio</t>
  </si>
  <si>
    <t>Simple faz. flexibles</t>
  </si>
  <si>
    <t>Doble faz. rigidos</t>
  </si>
  <si>
    <t>Con agujeros metalizados e impresion de componentes</t>
  </si>
  <si>
    <t>Los demas con agujeros metalizados</t>
  </si>
  <si>
    <t>Doble faz. flexibles</t>
  </si>
  <si>
    <t>Multicapas</t>
  </si>
  <si>
    <t>Aparatos para corte. seccionamiento. proteccion. derivacion. empalme o conexion de circuitos electricos (por ejemplo: interruptores. conmutadores. cortacircuitos. pararrayos. limitadores de tension. supresores de sobretension transitoria. tomas de corriente y demas conectores. cajas de empalme). para una tension superior a 1.000 voltios.</t>
  </si>
  <si>
    <t>Fusibles</t>
  </si>
  <si>
    <t>De los tipos comunmente denominados de expulsion</t>
  </si>
  <si>
    <t>Cortacircuitos de fusible</t>
  </si>
  <si>
    <t>- Disyuntores:</t>
  </si>
  <si>
    <t>--Para una tension inferior a 72.5 kV</t>
  </si>
  <si>
    <t>Para una corriente nominal inferior o igual a 1.600 A</t>
  </si>
  <si>
    <t>Interruptores de corte en vacio. sin dispositivo de accionamiento (botellas o ampollas en vacio)</t>
  </si>
  <si>
    <t>Los demas. con dispositivo de accionamiento no automatico</t>
  </si>
  <si>
    <t>Los demas. con dispositvo de accionamiento automatico. excepto los de contactos inmersos en medio liquido</t>
  </si>
  <si>
    <t>Para una corriente nominal superior a 1.600 A</t>
  </si>
  <si>
    <t>Pararrayos para proteccion de lineas de transmision de electricidad</t>
  </si>
  <si>
    <t>Jabalinas de acero-cobre (R.309/96 MEOSP)</t>
  </si>
  <si>
    <t>De tres octavos de pulgada (3/8")(JL10) (R.309/96 MEOSP)</t>
  </si>
  <si>
    <t>De media pulgada (1/2")(JL14) (R.309/96 MEOSP)</t>
  </si>
  <si>
    <t>De cinco octavos de pulgada (5/8")(JL16) (R.309/96 MEOSP)</t>
  </si>
  <si>
    <t>De tres cuartos de pulgada (3/4")(JL18) (R.309/96 MEOSP)</t>
  </si>
  <si>
    <t>Conmutadores accionados mediante motor electrico. sin interrupcion de circulacion de corriente durante la conmutacion. para una corriente nominal superior o igual a 100 A</t>
  </si>
  <si>
    <t>Aparatos para corte. seccionamiento. proteccion. derivacion. empalme o conexion de circuitos electricos (por ejemplo: interruptores. conmutadores. reles. cortacircuitos. supresores de sobretension transitoria. clavijas y tomas de corriente (enchufes). portalamparas y demas conectores. cajas de empalme). para una tension inferior o igual a 1.000 voltios; conectores de fibras opticas. haces o cables de fibras opticas.</t>
  </si>
  <si>
    <t>Fusibles.</t>
  </si>
  <si>
    <t>Del tipo NH (02) (R.1410/97 MEOSP)</t>
  </si>
  <si>
    <t>De corriente nominal inferior o igual a 63 A. clase de servicio gL-gG. para portafusibles a rosca E-27 (tipo Edison) o E-33 (tipo Goliath)</t>
  </si>
  <si>
    <t>De corriente nominal inferior o igual a 63 A. clase de servicio gL-gG. del tipo NH (00) o (01)</t>
  </si>
  <si>
    <t>Base portafusibles.</t>
  </si>
  <si>
    <t>Tipo borne. aptos para ser montados en riel DIN. segun norma IEC 60947-7-3. para conductores electricos de seccion inferior o igual a 35 mm2</t>
  </si>
  <si>
    <t>Para conductores electricos de seccion inferior o igual a 25 mm2</t>
  </si>
  <si>
    <t>Termicos</t>
  </si>
  <si>
    <t>Termomagneticos. para una tension maxima de 440 VCA y corriente nominal inferior o igual a 63 A.(R.92/98 SICyM)</t>
  </si>
  <si>
    <t>De 3000 A de corriente de ruptura</t>
  </si>
  <si>
    <t>De 4500 A de corriente de ruptura</t>
  </si>
  <si>
    <t>De 6000 A de corriente de ruptura</t>
  </si>
  <si>
    <t>De 10.000 A de corriente de ruptura</t>
  </si>
  <si>
    <t>Diferenciales. para una tension maxima de 440 VCA . corriente nominal inferior o igual 63 A y sensibilidad inferior o igual a 30 miliamperes(92/98 SICyM)</t>
  </si>
  <si>
    <t>Los demas termomagneticos</t>
  </si>
  <si>
    <t>Centellador a gas</t>
  </si>
  <si>
    <t>Guardamotores con proteccion termomagnetica. para tensiones inferiores o iguales a 440 VCA y potencias inferiores o iguales a 15 kW (R.92/98SICyM)</t>
  </si>
  <si>
    <t>- Reles:</t>
  </si>
  <si>
    <t>- - Para una tension inferior o igual a 60 V</t>
  </si>
  <si>
    <t>Fotoelectricos (R.602/96 MEOSP)</t>
  </si>
  <si>
    <t>Micro o mini reles. electromagneticos. con terminales tipo pala. de los tipos utilizados en vehiculos automoviles.</t>
  </si>
  <si>
    <t>Sensores de movimiento</t>
  </si>
  <si>
    <t>Con 1 pirosensor</t>
  </si>
  <si>
    <t>Con 2 pirosensores</t>
  </si>
  <si>
    <t>Unidad conmutadora de conversor de subida y descenso para sistema de telecomunicaciones por satelite</t>
  </si>
  <si>
    <t>Unidad conmutadora de amplificador de alta potencia (HPA) para sistema de telecomunicaciones por satelite</t>
  </si>
  <si>
    <t>Conmutadores-codificadores numericos (digitales). aptos para montaje en circuitos impresos</t>
  </si>
  <si>
    <t>Interruptores de corriente alterna. excepto pulsantes</t>
  </si>
  <si>
    <t>Conmutadores de corriente alterna. excepto pulsantes</t>
  </si>
  <si>
    <t>Interruptores de corriente continua</t>
  </si>
  <si>
    <t>Interruptor inercial. de los tipos utilizados como sensor de desaceleracion en unidades de control de "airbag"</t>
  </si>
  <si>
    <t>Pulsantes. con indicacion de piso y dispositivo de señalizacion. de los tipos utilizados en cabinas de ascensores o mandos de piso</t>
  </si>
  <si>
    <t>Optoelectronicos conformados por emisor y receptor. de longitud superior a 1000 mm. de los tipos utilizados en puertas de ascensores</t>
  </si>
  <si>
    <t>De los tipos utilizados para comandar las resistencias calentadoras de lunas de vehiculos automoviles</t>
  </si>
  <si>
    <t>De los tipos utilizados para desactivar la bolsa inflable de seguridad (airbag) del lado acompañante en vehiculos automoviles</t>
  </si>
  <si>
    <t>Incluso montados sobre bastidor. de los tipos utilizados para desactivar. mediante el uso de la llave de encendido. la bolsa inflable de seguridad (airbag) del lado acompañante en vehiculos automoviles</t>
  </si>
  <si>
    <t>Accionados por la apertura o cierre de puertas de vehiculos automoviles. incluso montados sobre bastidor</t>
  </si>
  <si>
    <t>De los tipos utilizados como sensor para pedales de freno/embrague de vehiculos automoviles</t>
  </si>
  <si>
    <t>De los tipos utilizados para el arranque sin llave de vehiculos automoviles</t>
  </si>
  <si>
    <t>Dispositivos de comando. desde bajo el volante. de receptores de radiodifusion de vehiculos automoviles</t>
  </si>
  <si>
    <t>Conmutadores de corriente continua</t>
  </si>
  <si>
    <t>Montados sobre bastidor. de los tipos utilizados para comandar alzacristales de vehiculos automoviles</t>
  </si>
  <si>
    <t>Montados sobre bastidor. de los tipos utilizados para el posicionamiento de espejos retrovisores exteriores de vehiculos automoviles</t>
  </si>
  <si>
    <t>Interruptores pulsantes. incluso montados sobre bastidores y con dispositivos de señalizacion. para una tension maxima de 250 VCA y 20 A de corriente nominal. del tipo de los utilizados en instalaciones electricas domiciliarias (R.92/98 SICYM)</t>
  </si>
  <si>
    <t>Interruptores</t>
  </si>
  <si>
    <t>Con señalizacion luminosa</t>
  </si>
  <si>
    <t>Conmutadores</t>
  </si>
  <si>
    <t>Seccionadores</t>
  </si>
  <si>
    <t>A cuchilla. tipo borne. aptos para ser montados en riel DIN. segun norma IEC 60947-7-1. para conductores electricos de seccion inferior o igual a 35 mm2</t>
  </si>
  <si>
    <t>De seccion inferior o igual a 10 mm2</t>
  </si>
  <si>
    <t>De seccion superior a 10 mm2 pero inferior o igual a 25 mm2</t>
  </si>
  <si>
    <t>A corredera. tipo borne. aptos para ser montados en riel DIN. segun norma IEC 60947-7-1. para conductores electricos de seccion inferior o igual a 35 mm2</t>
  </si>
  <si>
    <t>Los demas interruptores</t>
  </si>
  <si>
    <t>Los demas conmutadores</t>
  </si>
  <si>
    <t>- Portalamparas. clavijas y tomas de corriente (enchufes):</t>
  </si>
  <si>
    <t>Con rosca E-40 (Goliath o Mogul). E-27 (Edison) o E-14 (Mignon) (Res.92/98 SICyM)</t>
  </si>
  <si>
    <t>Para tubos o lamparas fluorescentes (Res.92/98 SICyM)</t>
  </si>
  <si>
    <t>Tomacorrientes polarizados o blindados</t>
  </si>
  <si>
    <t>Monofasicos. para una tension inferior o igual a 250 VCA y una corriente nominal inferior o igual a 20 A (Res.92/98 SICYM)</t>
  </si>
  <si>
    <t>Conectores. para cables planos constituidos por conductores paralelos aislados individualmente</t>
  </si>
  <si>
    <t>Tomas de contacto deslizante en conductores aereos</t>
  </si>
  <si>
    <t>Zocalos para microestructuras electronicas</t>
  </si>
  <si>
    <t>Conectores para circuitos impresos</t>
  </si>
  <si>
    <t>Terminales de conexion para capacitores incluso montados sobre soporte aislante</t>
  </si>
  <si>
    <t>Conector de corriente electrica para acoplamiento a traves de la carcasa. en motocompresores hermeticos de refrigeracion</t>
  </si>
  <si>
    <t>Jabalinas de acero-cobre. (R.309/96 MEOSP).</t>
  </si>
  <si>
    <t>De media pulgada (1/2") (JL14) (R.309/96 MEOSP)</t>
  </si>
  <si>
    <t>De cinco octavos de pulgada (5/8") (JL16) (R.309/96 MEOSP)</t>
  </si>
  <si>
    <t>De tres cuarto de pulgada (3/4") (JL18) (R.309/96 MEOSP)</t>
  </si>
  <si>
    <t>Bornes de paso. aptos para ser montados en el riel DIN. segun norma IEC 60947-7-1</t>
  </si>
  <si>
    <t>De una entrada y una salida (simple piso).</t>
  </si>
  <si>
    <t>Para conductores electricos de seccion igual a 1.5 mm2</t>
  </si>
  <si>
    <t>Para conductores electricos de seccion igual a 2.5 mm2.</t>
  </si>
  <si>
    <t>Para conductores electricos de seccion igual a 4 mm2.</t>
  </si>
  <si>
    <t>Para conductores electricos de seccion igual a 6 mm2.</t>
  </si>
  <si>
    <t>Para conductores electricos de seccion igual a 10 mm2.</t>
  </si>
  <si>
    <t>Para conductores electricos de seccion igual a 16 mm2.</t>
  </si>
  <si>
    <t>Los demas. para conductores electricos de seccion inferior o igual a 25 mm2</t>
  </si>
  <si>
    <t>Para conductores electricos de seccion igual a 35 mm2.</t>
  </si>
  <si>
    <t>De dos entradas y dos salidas (doble piso)</t>
  </si>
  <si>
    <t>Para conductores electricos de seccion igual a 1.5 mm2.</t>
  </si>
  <si>
    <t>Los demas. para conductores electricos de seccion inferior o igual a 10 mm2</t>
  </si>
  <si>
    <t>Para conductores electricos de seccion superior a 10 mm2 pero inferior o igual a 25 mm2</t>
  </si>
  <si>
    <t>Para conductores electricos de seccion superior a 25 mm2 pero inferior o igual a 35 mm2</t>
  </si>
  <si>
    <t>De tres entradas y tres salidas (tripl piso)</t>
  </si>
  <si>
    <t>Bornes de tierra. aptos para ser montados en el riel DIN. segun norma IEC 60947-7-2.</t>
  </si>
  <si>
    <t>Para conductores electricos de seccion igual a 25 mm2.</t>
  </si>
  <si>
    <t>Los demas bornes de conexion electrica aptos para ser montados en riel DIN. para conductores electricos de seccion inferior o igual a 35 mm2 (R.103/07 SICyPyME)</t>
  </si>
  <si>
    <t>De seccion inferior o igual a 25 mm2</t>
  </si>
  <si>
    <t>Conectores para cables coaxiales con contacto central revestido de oro</t>
  </si>
  <si>
    <t>Conectores unipolares metalicos presentados en rollo. de los tipos utilizados en instalaciones electricas de vehiculos del Capitulo 87</t>
  </si>
  <si>
    <t>Conectores por desplazamiento de la aislacion. con tapa. de 2 vias y doble contacto. para conexion de conductores metalicos de diametro superior o igual a 0.3 mm pero inferior o igual a 0.9 mm. de un solo uso. de los tipos denominados UY2</t>
  </si>
  <si>
    <t>Conectores circulares con cables para instalaciones electricas de de vehiculos automoviles</t>
  </si>
  <si>
    <t>Conectores USB. de los tipos utilizados como entrada de receptores de radiodifusion de vehiculos automoviles.</t>
  </si>
  <si>
    <t>Bornes para acumuladores de los tipos utilizados en vehiculos automoviles. con sensores de magnitudes electricas incorporados</t>
  </si>
  <si>
    <t>Cuadros. paneles. consolas. armarios y demas soportes equipados con varios aparatos de las partidas 85.35 u 85.36. para control o distribucion de electricidad. incluidos los que incorporen instrumentos o aparatos del Capitulo 90. asi como los aparatos de control numerico. excepto los aparatos de conmutacion de la partida 85.17.</t>
  </si>
  <si>
    <t>- Para una tension inferior o igual a 1.000 V</t>
  </si>
  <si>
    <t>Controladores numericos computarizados (CNC)</t>
  </si>
  <si>
    <t>Con procesador y bus superior o igual a 32 bits. incorporando recursos graficos y ejecucion de macros. resolucion inferior o igual a 1 micrometro y capacidad de conexion digital para servoaccionamientos con monitor policromatico</t>
  </si>
  <si>
    <t>Controladores programables</t>
  </si>
  <si>
    <t>Controladores de demanda de energia electrica</t>
  </si>
  <si>
    <t>Conmutadores de programa fijo de los tipos utilizados para el mando de aparatos de uso domestico</t>
  </si>
  <si>
    <t>Tableros de mas 100 A de corriente nominal</t>
  </si>
  <si>
    <t>Tablero de control de sistema de climatizacion de vehiculos automoviles</t>
  </si>
  <si>
    <t>Para tension de empleo maxima de 440 VCA y hasta 63 A de corriente nominal</t>
  </si>
  <si>
    <t>- Para una tension superior a 1.000 V</t>
  </si>
  <si>
    <t>Subestaciones aisladas por gas (GIS - "Gas-Insulated Switchgear" o HIS - "Highly Integrated Switchgear"). para una tension nominal superior a 52 kV</t>
  </si>
  <si>
    <t>Partes identificables como destinadas. exclusiva o principalmente. a los aparatos de las partidas 85.35. 85.36 u 85.37.</t>
  </si>
  <si>
    <t>-Cuadros. paneles. consolas. armarios y demas soportes de la partida 85.37. sin sus aparatos</t>
  </si>
  <si>
    <t>De disyuntores. para una tension superior o igual a 72.5 kV</t>
  </si>
  <si>
    <t>LaMPARAS Y TUBOS ELÃ‰CTRICOS DE INCANDESCENCIA O DE DESCARGA. INCLUIDOS LOS FAROS O UNIDADES «SELLADOS» Y LAS LaMPARAS Y TUBOS DE RAYOS ULTRAVIOLETAS O INFRARROJOS; LaMPARAS DE ARCO; LaMPARAS Y TUBOS DE DIODOS EMISORES DE LUZ (LED).</t>
  </si>
  <si>
    <t>- Faros o unidades «sellados»</t>
  </si>
  <si>
    <t>Para una tension inferior o igual a 15 V</t>
  </si>
  <si>
    <t>De los tipos utilizados en vehiculos del Capitulo 86</t>
  </si>
  <si>
    <t>- Las demas lamparas y tubos de incandescencia. excepto las de rayos ultravioletas o infrarrojos:</t>
  </si>
  <si>
    <t>Bi-pin. incluso con reflector dicroico</t>
  </si>
  <si>
    <t>Lamparas del tipo H1. H4. H7. H15 y H21</t>
  </si>
  <si>
    <t>Para tension superior o igual a 50 V</t>
  </si>
  <si>
    <t>- - Los demas de potencia inferior o igual a 200 W. para una tension superior a 100 V</t>
  </si>
  <si>
    <t>Lamparas normales claras (transparentes).</t>
  </si>
  <si>
    <t>De 25 a 100 W de potencia nominal inclusive de forma esferica (pera). de un diametro de 60 mm (+/- 1 mm ). con y sin casquillo (R.2505/93 ANA)</t>
  </si>
  <si>
    <t>Para una tension superior a 200 V pero inferior a 250 V. con base rosca Edison E27. de formato A. PA o PS (IEC 60887)</t>
  </si>
  <si>
    <t>Con recubrimiento interior blanco. de mas de 100 W de forma esferica (pera). de un diametro mayor de 60 mm. con y sin casquillo (R.2505/93 ANA)</t>
  </si>
  <si>
    <t>De potencia nominal superior a 25 W pero inferior o igual a 100 W. para una tension superior a 200 V pero inferior o igual a 250 V. con base rosca Edison E27. de formato A. PA o PS (IEC 60887)</t>
  </si>
  <si>
    <t>Lamparas normales opalinas</t>
  </si>
  <si>
    <t>Con recubrimiento interior difusor blanco o de colores. de 25 a 100 W inclusive. de forma esferica (pera) de un diametro de 60 mm (+/- 1 mm). con y sin casquillo (R.2505/93 ANA)</t>
  </si>
  <si>
    <t>Con recubrimiento interior difusor blanco. para una tension superior a 200 V pero inferior a 250 V. con base rosca Edison E27. de formato A. PA o PS (IEC 60887)</t>
  </si>
  <si>
    <t>Con recubrimiento interior blanco. mayores de 100 W de forma esferica (pera). de un diametro mayor a 60 mm. con y sin casquillo (R.2505/93 ANA)</t>
  </si>
  <si>
    <t>De potencia nominal inferior a 200W. para una tension superior a 200 V pero inferior a 250 V. con base rosca Edison E27. de formato A. PA o PS (IEC 60887)</t>
  </si>
  <si>
    <t>De potencia nominal superior a 25 W pero inferior o igual a 200 W. para una tension superior a 200 V pero inferior a 250 V. con base rosca Edison E27. de formato A. PA o PS (IEC 60887)</t>
  </si>
  <si>
    <t>Lamparas decorativas o fantasia</t>
  </si>
  <si>
    <t>Claras u opalinas o color. de potencia nominal superior a 25 W pero inferior o igual a 100 W. de forma "K" u hongo de un diametro de 50 a 60 mm. "gota" o "bola" de un diametro de 45 mm. "vela balon" o "vela grande" de un diametro de 54 mm. con o sin casquillo</t>
  </si>
  <si>
    <t>Claras u opalinas o satinadas o perladas. de 15 a 60 W ambas inclusive. "vela lisa o velita". de 35 mm de diametro. "perfume" o "tubular" de 28 mm de diametro. con y sin casquillo (R.2505/93 ANA)</t>
  </si>
  <si>
    <t>De potencia inferior o igual a 25 W</t>
  </si>
  <si>
    <t>Reflectoras de vidrio soplado con espejo interior. de 40 a 150 W ambas inclusive. cualquier forma. desde 60 a 95 mm de diametro. ambas inclusive. con y sin casquillo (R.2505/93 ANA)</t>
  </si>
  <si>
    <t>Para una tension inferior o igual a 6 V. de los tipos utilizados en vehiculos de las categorias L. M. N. u O</t>
  </si>
  <si>
    <t>Para una tension superior o igual a 12 V. de los tipos utilizadas en vehiculos automoviles</t>
  </si>
  <si>
    <t>De potencia inferior a 10 W</t>
  </si>
  <si>
    <t>Lamparas normales claras (transparentes) u opalinas (recubrimiento interior blanco). de forma esferica (pera). de un diametro mayor de 60 mm. con y sin casquillo (R.2505/93 ANA)</t>
  </si>
  <si>
    <t>- Lamparas y tubos de descarga. excepto los de rayos ultravioletas:</t>
  </si>
  <si>
    <t>Con balasto incorporado</t>
  </si>
  <si>
    <t>Compactas. con equipo electronico incorporado y casquillo E-27 (Edison) o E-14 (Mignon)(Res.92/98 SICyM)</t>
  </si>
  <si>
    <t>De potencia nominal inferior o igual 60 W. para una tension nominal entre 200 V y 240 V</t>
  </si>
  <si>
    <t>Compactas. con equipo electronico incorporado y casquillo bayoneta. de potencia nominal inferior o igual a 60 W. para una tension nominal entre 200 V y 240 V</t>
  </si>
  <si>
    <t>- Lamparas y tubos de rayos ultravioletas o infrarrojos; lamparas de arco:</t>
  </si>
  <si>
    <t>De potencia superior o igual a 1.000 W</t>
  </si>
  <si>
    <t>Electrodos</t>
  </si>
  <si>
    <t>Casquillos</t>
  </si>
  <si>
    <t>Lamparas. tubos y valvulas electronicos. de catodo caliente. catodo frio o fotocatodo (por ejemplo: lamparas. tubos y valvulas. de vacio. de vapor o gas. tubos rectificadores de vapor de mercurio. tubos catodicos. tubos y valvulas para camaras de television). excepto los de la partida 85.39.</t>
  </si>
  <si>
    <t>- Tubos catodicos para aparatos receptores de television. incluso para videomonitores:</t>
  </si>
  <si>
    <t>Tubos para camaras de television</t>
  </si>
  <si>
    <t>Monocromos</t>
  </si>
  <si>
    <t>Tubos convertidores o intensificadores de imagen. de rayos X</t>
  </si>
  <si>
    <t>-Tubos para visualizar datos graficos. monocromos; tubos para visualizar datos graficos. en colores. con pantalla fosforica de separacion de puntos inferior a 0.4 mm</t>
  </si>
  <si>
    <t>Tubos para visualizar datos graficos en colores. con pantalla de separacion de puntos superior o igual a 0.4 mm</t>
  </si>
  <si>
    <t>- Tubos para hiperfrecuencias (por ejemplo: magnetrones. klistrones. tubos de ondas progresivas. carcinotrones). excepto los controlados por rejilla:</t>
  </si>
  <si>
    <t>De aparatos de uso medico</t>
  </si>
  <si>
    <t>- Las demas lamparas. tubos y valvulas:</t>
  </si>
  <si>
    <t>Valvulas de potencia para transmisores</t>
  </si>
  <si>
    <t>Bobinas de deflexion (yugos)</t>
  </si>
  <si>
    <t>Nucleos de ferrita para bobinas de deflexion (yugos)</t>
  </si>
  <si>
    <t>Cañones electronicos</t>
  </si>
  <si>
    <t>Panel de vidrio. grilla y blindaje interno ensamblados. para tubos tricromaticos</t>
  </si>
  <si>
    <t>DIODOS. TRANSISTORES Y DISPOSITIVOS SEMICONDUCTORES SIMILARES; DISPOSITIVOS SEMICONDUCTORES FOTOSENSIBLES. INCLUIDAS LAS CÃ‰LULAS FOTOVOLTAICAS. AUNQUE ESTÃ‰N ENSAMBLADAS EN MODULOS O PANELES; DIODOS EMISORES DE LUZ (LED); CRISTALES PIEZOELÃ‰CTRICOS MONTADOS.</t>
  </si>
  <si>
    <t>Sin montar</t>
  </si>
  <si>
    <t>Zener</t>
  </si>
  <si>
    <t>Los demas. de intensidad de corriente inferior o igual a 3 A</t>
  </si>
  <si>
    <t>Montados. aptos para montaje en superficie (SMD - «Surface Mounted Device»)</t>
  </si>
  <si>
    <t>Montados. aptos para montaje por insercion (PHP - «Pin Through Hole»)</t>
  </si>
  <si>
    <t>- Transistores. excepto los fototransistores:</t>
  </si>
  <si>
    <t>- - Con una capacidad de disipacion inferior a 1 W</t>
  </si>
  <si>
    <t>De efecto de campo. con juntura heterogenea (HJFET o HEMT)</t>
  </si>
  <si>
    <t>Montados</t>
  </si>
  <si>
    <t>De intensidad de corriente inferior o igual a 3 A</t>
  </si>
  <si>
    <t>Tiristores. para una intesidad de corriente superior a 3 A</t>
  </si>
  <si>
    <t>Diodos emisores de luz (LED). excepto diodos laser</t>
  </si>
  <si>
    <t>Diodos laser</t>
  </si>
  <si>
    <t>Fotodiodos</t>
  </si>
  <si>
    <t>Fototransistores</t>
  </si>
  <si>
    <t>Fototiristores</t>
  </si>
  <si>
    <t>Celulas solares</t>
  </si>
  <si>
    <t>Montados. excepto las celulas fotovoltaicas en modulos o paneles</t>
  </si>
  <si>
    <t>Diodos emisores de luz (LED). excepto diodos laser. aptos para montaje en superficie (SMD - «Surface Mounted Device»)</t>
  </si>
  <si>
    <t>Los demas emisores de luz (LED). excepto diodos laser</t>
  </si>
  <si>
    <t>Diodos laser con longitud de onda de 1.300 nm o 1.500 nm</t>
  </si>
  <si>
    <t>Los demas diodos laser</t>
  </si>
  <si>
    <t>Fotodiodos. fototransistores y fototiristores</t>
  </si>
  <si>
    <t>Fotorresistores</t>
  </si>
  <si>
    <t>Acopladores opticos aptos para montaje en superficie (SMD - «Surface mounted Device»)</t>
  </si>
  <si>
    <t>Celulas fotovoltaicas en modulos o paneles</t>
  </si>
  <si>
    <t>De potencia maxima de generacion superior a 180 W</t>
  </si>
  <si>
    <t>De cuarzo. de frecuencia superior o igual a 1 MHz pero inferior o igual a 100 MHz</t>
  </si>
  <si>
    <t>Soportes conectores presentados en tiras («lead frames»)</t>
  </si>
  <si>
    <t>Cubiertas para encapsulamiento (capsulas)</t>
  </si>
  <si>
    <t>Circuitos electronicos integrados.</t>
  </si>
  <si>
    <t>- Circuitos electronicos integrados:</t>
  </si>
  <si>
    <t>Montadas. aptas para montaje en superficie (SMD - «Surface Mounted Device»)</t>
  </si>
  <si>
    <t>De los tipos RAM estaticas (SRAM) con tiempo de acceso inferior o igual a 25 ns. EPROM. EEPROM. PROM. ROM y FLASH</t>
  </si>
  <si>
    <t>Con grabacion de datos o instrucciones (software) aptas para ser utilizadas en maquinas automaticas de procesamiento de datos. incluso acompañadas por libros. manuales u otra documentacion tecnica complementaria (R.288/95 MEOSP)</t>
  </si>
  <si>
    <t>Hibridos</t>
  </si>
  <si>
    <t>De espesor de capa inferior o igual a 1 micrometro con frecuencia de operacion superior o igual a 800 MHz</t>
  </si>
  <si>
    <t>Los demas. sin montar</t>
  </si>
  <si>
    <t>Los demas. montados. aptos para montaje en superficie (SMD - «Surface Mounted Device»)</t>
  </si>
  <si>
    <t>Circuitos del tipo "chipset"</t>
  </si>
  <si>
    <t>Soportes conectores presentados en tiras ("lead frames")</t>
  </si>
  <si>
    <t>Maquinas y aparatos electricos con funcion propia. no expresados ni comprendidos en otra parte de este Capitulo.</t>
  </si>
  <si>
    <t>De electrolisis. con celdas de membrana</t>
  </si>
  <si>
    <t>Amplificadores de radiofrecuencia</t>
  </si>
  <si>
    <t>De alta potencia (HPA). para transmision de señales de microondas. a valvula TWT. del tipo «phase combines». con potencia de salida superior a 2.7 kW</t>
  </si>
  <si>
    <t>De bajo ruido (LNA). para recepcion de señales de microondas en la banda de 3.600 a 4.200 MHz. con temperatura inferior o igual a 55 Kelvin. para telecomunicaciones por satelite</t>
  </si>
  <si>
    <t>Para distribucion de señales de television</t>
  </si>
  <si>
    <t>Los demas para recepcion de señales de microondas</t>
  </si>
  <si>
    <t>Los demas para transmision de señales de microondas</t>
  </si>
  <si>
    <t>Circuitos impresos con componentes electricos o electronicos montados. de los tipos utilizados para amplificar señales opticas del espectro de radiofrecuencia correspondiente a la Banda C en equipamientos repetidores sobre lineas de fibras opticas con velocidad de transmision de 10 Gbits/s</t>
  </si>
  <si>
    <t>Aparatos para electrocutar insectos</t>
  </si>
  <si>
    <t>Maquinas y aparatos auxiliares para video</t>
  </si>
  <si>
    <t>Generadores de efectos especiales con manipulacion en 2 o 3 dimensiones. incluso combinados con dispositivo de conmutacion. de mas de 10 entradas de audio o video</t>
  </si>
  <si>
    <t>Generadores de caracteres. digitales</t>
  </si>
  <si>
    <t>Sincronizadores de cuadro. almacenadores o correctores de base de tiempo</t>
  </si>
  <si>
    <t>Controladores de edicion</t>
  </si>
  <si>
    <t>Mezclador digital. en tiempo real. con ocho o mas entradas</t>
  </si>
  <si>
    <t>Ruteador-conmutador («routing switcher»). de mas de 20 entradas y mas de 16 salidas. de audio o video</t>
  </si>
  <si>
    <t>Las demas maquinas y aparatos utilizados en sistemas de television por cable</t>
  </si>
  <si>
    <t>Ampliadores de canales</t>
  </si>
  <si>
    <t>Atenuadores</t>
  </si>
  <si>
    <t>Ecualizadores</t>
  </si>
  <si>
    <t>Derivadores</t>
  </si>
  <si>
    <t>Acopladores direccionales</t>
  </si>
  <si>
    <t>Transcodificadores o convertidores de normas de television</t>
  </si>
  <si>
    <t>Simulador de antena para transmisores de potencia superior o igual a 25 kW (carga fantasma)</t>
  </si>
  <si>
    <t>Terminales de texto que operen con codigo de transmision Baudot. provistas de teclado alfanumerico y pantalla («display»). con acoplamiento exclusivamente acustico a telefono</t>
  </si>
  <si>
    <t>Picanas (R.3115/94 ANA)</t>
  </si>
  <si>
    <t>Maquinas y aparatos auxiliares para audio</t>
  </si>
  <si>
    <t>Ecualizadores graficos</t>
  </si>
  <si>
    <t>Con afinador. de los tipos utilizados para ser incorporados a guitarras de la partida 92.02</t>
  </si>
  <si>
    <t>Los demas. de los tipos utilizados para ser incorporados a guitarras de la partida 92.02</t>
  </si>
  <si>
    <t>Consolas mezcladoras</t>
  </si>
  <si>
    <t>Reductores de ruido</t>
  </si>
  <si>
    <t>Generadores de humo</t>
  </si>
  <si>
    <t>Unidades emisoras de radiaciones infrarrojas codificadas. utilizadas para el mando a distancia (control remoto)</t>
  </si>
  <si>
    <t>Para receptores de television</t>
  </si>
  <si>
    <t>Para equipos de audio</t>
  </si>
  <si>
    <t>Para equipos de acondicionamiento de aire</t>
  </si>
  <si>
    <t>Del tipo universal</t>
  </si>
  <si>
    <t>Traductores electronicos con funciones simples de calculo</t>
  </si>
  <si>
    <t>Detectores de metales</t>
  </si>
  <si>
    <t>Conversor con amplificador de bajo ruido incorporado (LNB-"Low Noise Block Down Converter")</t>
  </si>
  <si>
    <t>Maquinas para la validacion de criptomonedas ("minadoras")</t>
  </si>
  <si>
    <t>Circuitos impresos con componentes electricos o electronicos montados. de los tipos utilizados para la conversion de frecuencias (upconverter/downconverter) en emisores/receptores de radiotelefonia</t>
  </si>
  <si>
    <t>Estimuladores musculares mediante la aplicacion de impulsos electricos. de los tipos utilizados para complementar la actividad fisica</t>
  </si>
  <si>
    <t>Cigarrillos electronicos</t>
  </si>
  <si>
    <t>Maquina de irradiar rayos ultravioleta para bronceado cutaneo integral. de los tipos denominados cama solar</t>
  </si>
  <si>
    <t>De maquinas o aparatos de la subpartida 8543.70</t>
  </si>
  <si>
    <t>Hilos. cables (incluidos los coaxiales) y demas conductores aislados para electricidad. aunque esten laqueados. anodizados o provistos de piezas de conexion; cables de fibras opticas constituidos por fibras enfundadas individualmente. incluso con conductores electricos incorporados o provistos de piezas de conexion.</t>
  </si>
  <si>
    <t>- Alambre para bobinar:</t>
  </si>
  <si>
    <t>Esmaltado</t>
  </si>
  <si>
    <t>De 0.02 a 0.10 mm de diametro cubierto (R.2505/93 ANA)</t>
  </si>
  <si>
    <t>De 0.11 a 0.29 mm de diametro cubierto (R.2505/93 ANA)</t>
  </si>
  <si>
    <t>De 0.30 a 1.19 mm de diametro cubierto (R.2505/93 ANA)</t>
  </si>
  <si>
    <t>De 1.20 mm y superiores de diametro cubierto (R.2505/93 ANA)</t>
  </si>
  <si>
    <t>Alambre (pletina) de seccion rectangular o cuadrada.aislado con papel para uso electrico. de los tipos utilizados en bobinados de transformadores de dielectrico liquido o seco.</t>
  </si>
  <si>
    <t>Sin piezas de conexion. con una atenuacion inferior o igual a 5.2 dB/100 m. medida a una frecuencia de 10 MHz</t>
  </si>
  <si>
    <t>Con piezas de conexion en sus extremos y vaina plastica. para transmision de datos</t>
  </si>
  <si>
    <t>- Los demas conductores electricos para una tension inferior o igual a 1.000 V:</t>
  </si>
  <si>
    <t>Para un a tension inferior o igual a 80 V</t>
  </si>
  <si>
    <t>Provistos de clavijas o tomas de corriente (enchufes)</t>
  </si>
  <si>
    <t>Los demas. provistos de clavijas o tomas de corriente (enchufes)(Res.92/98 SICyM)</t>
  </si>
  <si>
    <t>Para una tension inferior o igual a 80 V</t>
  </si>
  <si>
    <t>Para transmision de telefonia</t>
  </si>
  <si>
    <t>Para transmision de datos</t>
  </si>
  <si>
    <t>Para transmision de imagen</t>
  </si>
  <si>
    <t>Para transmision de audio</t>
  </si>
  <si>
    <t>Conductores de cobre (pletinas) de seccion rectangular o cuadrada. aislados con papel para uso electrico. de los tipos utilizados en bobinados de transformadores de dielectricos liquido o seco</t>
  </si>
  <si>
    <t>- Los demas conductores electricos para una tension superior a 1.000 V</t>
  </si>
  <si>
    <t>Conductores de cobre (pletinas) de seccion rectangular o cuadrada. aislados con papel para uso electrico. de los tipos utilizados en bobinados de transformadores de dielectrico liquido o seco</t>
  </si>
  <si>
    <t>Traspuestos</t>
  </si>
  <si>
    <t>Con revestimiento externo de material dielectrico</t>
  </si>
  <si>
    <t>Del tipo monomodo estandar o de dispersion desplazada(R.83/97 MEOSP)</t>
  </si>
  <si>
    <t>De cantidad de fibras opticas inferior a 24</t>
  </si>
  <si>
    <t>De cantidad de fibras opticas igual a 24</t>
  </si>
  <si>
    <t>De cantidad de fibras opticas superior a 24 pero inferior o igual a 48</t>
  </si>
  <si>
    <t>De cantidad de fibras opticas superior a 48 pero inferior o igual a 72</t>
  </si>
  <si>
    <t>De cantidad de fibras opticas superior a 72 pero inferior o igual a 128</t>
  </si>
  <si>
    <t>Con revestimiento externo de acero. aptos para instalacion submarina (cabo submarino)</t>
  </si>
  <si>
    <t>Con revestimiento externo de aluminio</t>
  </si>
  <si>
    <t>Del tipo monomodo estandar o de dispersion desplazada (R.83/97 MEOSP)</t>
  </si>
  <si>
    <t>Electrodos y escobillas de carbon. carbon para lamparas o pilas y demas articulos de grafito u otros carbonos. incluso con metal. para usos electricos.</t>
  </si>
  <si>
    <t>- Electrodos:</t>
  </si>
  <si>
    <t>De grafito. con un contenido de carbono superior o igual al 99.9 % en peso</t>
  </si>
  <si>
    <t>Bloques de grafito. de los tipos utilizados como catodos en cubas electroliticas</t>
  </si>
  <si>
    <t>Carbones para pilas</t>
  </si>
  <si>
    <t>Resistencias calentadoras desprovistas de revestimiento y de terminales</t>
  </si>
  <si>
    <t>Soportes conectores para eletrodos</t>
  </si>
  <si>
    <t>Aisladores electricos de cualquier materia.</t>
  </si>
  <si>
    <t>Cuyas partes de porcelana unidas o acopladas por medios metalicos u otros excedan los 1.100 mm de altura o longitud y 400 mm de diametro</t>
  </si>
  <si>
    <t>De montaje rigido. de perno o soporte de linea (tipo poste) con extremo para atadura. para una tension de servicio inferior o igual a 60kV.</t>
  </si>
  <si>
    <t>De suspension. de carga mecanica inferior o igual a 165 kN.</t>
  </si>
  <si>
    <t>Pasantes sumergidos de exterior. para una tension de servicio superior o igual a 10 kV pero inferior o igual a 40kV. de los tipo utilizados en transformadores.</t>
  </si>
  <si>
    <t>Aisladores de porcelana. de montaje rigido. de perno o sosporte de linea (tipo poste) con extremo para atadura. para una tension de servicio inferior o igual a 60kV.</t>
  </si>
  <si>
    <t>Aisladores de porcelana. de suspension. de carga mecanica inferior o igual a 165kN.</t>
  </si>
  <si>
    <t>Aisladores de porcelana. pasantes sumergidos de exterior. para una tension de servicio superior o igual a 10kV pero inferior o igual a 40kV. de los tipos utilizados en transformadores.</t>
  </si>
  <si>
    <t>Los demas de porcelana</t>
  </si>
  <si>
    <t>Piezas aislantes totalmente de materia aislante o con simples piezas metalicas de ensamblado (por ejemplo. casquillos roscados) embutidas en la masa. para maquinas. aparatos o instalaciones electricas. excepto los aisladores de la partida 85.46; tubos aisladores y sus piezas de union. de metal comun. aislados interiormente.</t>
  </si>
  <si>
    <t>Obturadores para capacitores. con perforaciones para terminales</t>
  </si>
  <si>
    <t>Portaterminales. monovias. multivias. de los tipos utilizados en instalaciones electricas de vehiculos del Capitulo 87</t>
  </si>
  <si>
    <t>Desperdicios y desechos de pilas. baterias de pilas o acumuladores. electricos; pilas. baterias de pilas y acumuladores. electricos. inservibles; partes electricas de maquinas o aparatos. no expresadas ni comprendidas en otra parte de este Capitulo.</t>
  </si>
  <si>
    <t>Desperdicios y desechos de acumuladores electricos de plomo; acumuladores electricos de plomo. inservibles</t>
  </si>
  <si>
    <t>Termopares de los tipos utilizados en dispositivos termoelectricos de seguridad de aparatos alimentados a gas</t>
  </si>
  <si>
    <t>Locomotoras y locotractores. de fuente externa de electricidad o acumuladores electricos.</t>
  </si>
  <si>
    <t>Las demas locomotoras y locotractores; tenderes.</t>
  </si>
  <si>
    <t>Automotores para vias ferreas y tranvias autopropulsados. excepto los de la partida 86.04.</t>
  </si>
  <si>
    <t>Vehiculos para mantenimiento o servicio de vias ferreas o similares. incluso autopropulsados (por ejemplo: vagones taller. vagones grua. vagones equipados para apisonar balasto. alinear vias. coches para ensayos y vagonetas de inspeccion de vias).</t>
  </si>
  <si>
    <t>Autopropulsados. equipados para apisonar balasto y alinear vias ferreas</t>
  </si>
  <si>
    <t>Coches de viajeros. furgones de equipajes. coches correo y demas coches especiales. para vias ferreas o similares (excepto los coches de la partida 86.04).</t>
  </si>
  <si>
    <t>Coches de viajeros</t>
  </si>
  <si>
    <t>Vagones para transporte de mercancias sobre carriles (rieles).</t>
  </si>
  <si>
    <t>-Vagones de descarga automatica. excepto los de la subpartida 8606.10</t>
  </si>
  <si>
    <t>--Abiertos. con pared fija de altura superior a 60 cm</t>
  </si>
  <si>
    <t>Partes de vehiculos para vias ferreas o similares.</t>
  </si>
  <si>
    <t>- Bojes. «bissels». ejes y ruedas. y sus partes:</t>
  </si>
  <si>
    <t>- - Bojes y «bissels». de traccion</t>
  </si>
  <si>
    <t>Bojes</t>
  </si>
  <si>
    <t>"Bissels"</t>
  </si>
  <si>
    <t>--Los demas bojes y "bissels"</t>
  </si>
  <si>
    <t>Cajas de cojinetes</t>
  </si>
  <si>
    <t>Con rodamientos incorporados. de diametro exterior superior a 190 mm. de los tipos utilizados en ejes de ruedas de vagones ferroviarios</t>
  </si>
  <si>
    <t>- Frenos y sus partes:</t>
  </si>
  <si>
    <t>Material fijo de vias ferreas o similares; aparatos mecanicos (incluso electromecanicos) de señalizacion. seguridad. control o mando para vias ferreas o similares. carreteras o vias fluviales. areas o parques de estacionamiento. instalaciones portuarias o aerodromos; sus partes.</t>
  </si>
  <si>
    <t>Aparatos mecanicos (incluso electromecanicos) de señalizacion. seguridad. control o mando para vias ferreas o similares. carreteras o vias fluviales. areas o parques de estacionamiento. instalaciones portuarias o aerodromos</t>
  </si>
  <si>
    <t>Mecanicos</t>
  </si>
  <si>
    <t>Material fijo para vias ferreas o similares</t>
  </si>
  <si>
    <t>Contenedores (incluidos los contenedores cisterna y los contenedores deposito) especialmente concebidos y equipados para uno o varios medios de transporte.</t>
  </si>
  <si>
    <t>De carga seca. del tipo de los utilizados en el transporte maritimo de mercaderias (R.231/99 MEOSP)</t>
  </si>
  <si>
    <t>Cerrados</t>
  </si>
  <si>
    <t>Refrigerados con equipo electrico incorporado</t>
  </si>
  <si>
    <t>Sin techo (open top)</t>
  </si>
  <si>
    <t>Abierto (open side)</t>
  </si>
  <si>
    <t>Plataforma (flat rag)</t>
  </si>
  <si>
    <t>Abiertos (open side)</t>
  </si>
  <si>
    <t>Cisterna para fluidos liquidos y gaseosos</t>
  </si>
  <si>
    <t>Tractores (excepto las carretillas tractor de la partida 87.09).</t>
  </si>
  <si>
    <t>De carga maxima inferior o igual a 5 t</t>
  </si>
  <si>
    <t>De CUATRO (4) o mas ejes o con traccion 4x4 o 6x6</t>
  </si>
  <si>
    <t>De carga maxima superior a 5 t</t>
  </si>
  <si>
    <t>- Las demas. con motor de potencia:</t>
  </si>
  <si>
    <t>--Inferior o igual a 18 kW</t>
  </si>
  <si>
    <t>--Superior a 18 kW pero inferior o igual a 37 kW</t>
  </si>
  <si>
    <t>--Superior a 37 kW pero inferior o igual a 75 kW</t>
  </si>
  <si>
    <t>- - Superior a 75 kW pero inferior o igual a 130 kW</t>
  </si>
  <si>
    <t>Tractores especialmente diseñados para arrastrar troncos («log skidders»)</t>
  </si>
  <si>
    <t>Concebidos para utilizarlos fuera de la red de carreteras para semirremolques</t>
  </si>
  <si>
    <t>- - Superior a 130 kW</t>
  </si>
  <si>
    <t>Vehiculos automoviles para el transporte de diez o mas personas. incluido el conductor.</t>
  </si>
  <si>
    <t>- Ãšnicamente con motor de embolo (piston). de encendido por compresion (diesel o semi-diesel).</t>
  </si>
  <si>
    <t>Vehiculos blindados (R. 3115/94 ANA)</t>
  </si>
  <si>
    <t>-Equipados para la propulsion. con motor de embolo (piston). de encendido por compresion (diesel o semi-diesel) y con motor electrico</t>
  </si>
  <si>
    <t>Trolebuses</t>
  </si>
  <si>
    <t>Automoviles de turismo y demas vehiculos automoviles concebidos principalmente para el transporte de personas (excepto los de la partida 87.02). incluidos los del tipo familiar («break» o «station wagon») y los de carreras.</t>
  </si>
  <si>
    <t>- Los demas vehiculos. unicamente con motor de embolo (piston) alternativo. de encendido por chispa:</t>
  </si>
  <si>
    <t>- - De cilindrada inferior o igual a 1.000 cm 3</t>
  </si>
  <si>
    <t>Vehiculos ligeros de cuatro (4) ruedas. con manubrio y asiento del tipo motociclo. mecanismo de cambio de velocidades. con o sin marcha atras. motor a explosion. para el transporte de personas en todo terreno y caminos. con o sin dispositivo de enganche para remolque (R.S.I.C. y M. 108/03)</t>
  </si>
  <si>
    <t>Completos. totalmente desarmados (sin componentes montados en el chasis) (CKD)</t>
  </si>
  <si>
    <t>De cilindrada inferior o igual a 150 cm3</t>
  </si>
  <si>
    <t>De cilindrada superior a 150 cm3 pero inferior o igual a 500 cm3</t>
  </si>
  <si>
    <t>De cilindrada superior a 500 cm3 pero inferior o igual a 700 cm3</t>
  </si>
  <si>
    <t>De cilindrada superior a 700 cm3</t>
  </si>
  <si>
    <t>Completos. semidesarmados (SKD)</t>
  </si>
  <si>
    <t>Completos. totalmente armados</t>
  </si>
  <si>
    <t>Incompletos. totalmente desarmados. presentando chasis y motor</t>
  </si>
  <si>
    <t>Incompletos. semidesarmados. presentando chasis y motor</t>
  </si>
  <si>
    <t>Vehiculo tipo "karting" provisto con motor a explosion de cilindrada inferior a doscientos centimetros cubicos (200 cm3) (R.235/98 SIC)</t>
  </si>
  <si>
    <t>Vehiculos blindados (R.3115/94 ANA)</t>
  </si>
  <si>
    <t>UTV (Utility Task Vehicle) completos</t>
  </si>
  <si>
    <t>Completamente desarmado (CKD)</t>
  </si>
  <si>
    <t>Totalmente armado (CBU)</t>
  </si>
  <si>
    <t>UTV (Utility Task Vehicle) incompletos</t>
  </si>
  <si>
    <t>Completamente desarmado. conteniendo chasis y motor (IKD)</t>
  </si>
  <si>
    <t>- - De cilindrada superior a 1.000 cm 3 pero inferior o igual a 1.500 cm 3</t>
  </si>
  <si>
    <t>Con capacidad para el transporte de personas sentadas inferior o igual a 6. incluido el conductor</t>
  </si>
  <si>
    <t>- - De cilindrada superior a 1.500 cm 3 pero inferior o igual a 3.000 cm 3</t>
  </si>
  <si>
    <t>- - De cilindrada superior a 3.000 cm 3</t>
  </si>
  <si>
    <t>Vehiculos para vivienda o acampar</t>
  </si>
  <si>
    <t>- Los demas vehiculos. unicamente con motor de embolo (piston). de encendido por compresion (diesel o semi-diesel):</t>
  </si>
  <si>
    <t>- - De cilindrada inferior o igual a 1.500 cm 3</t>
  </si>
  <si>
    <t>- - De cilindrada superior a 1.500 cm 3 pero inferior o igual a 2.500 cm 3</t>
  </si>
  <si>
    <t>- - De cilindrada superior a 2.500 cm 3</t>
  </si>
  <si>
    <t>- Los demas vehiculos. equipados para la propulsion con motor de embolo (piston). de encendido por compresion (diesel o semi-diesel) y con motor electrico. excepto los que se puedan cargar mediante conexion a una fuente externa de alimentacion electrica</t>
  </si>
  <si>
    <t>- Los demas vehiculos. equipados para la propulsion con motor de embolo (piston). de encendido por compresion (diesel o semi-diesel) y con motor electrico. que se puedan cargar mediante conexion a una fuente externa de alimentacion electrica</t>
  </si>
  <si>
    <t>Vehiculos automoviles para el transporte de mercancias.</t>
  </si>
  <si>
    <t>Con capacidad de carga superior o igual a 85 t</t>
  </si>
  <si>
    <t>De carga maxima superior a 5 t pero inferior a 85 t</t>
  </si>
  <si>
    <t>Articulados</t>
  </si>
  <si>
    <t>- Los demas. con motor de embolo (piston). de encendido por compresion (diesel o semi-diesel):</t>
  </si>
  <si>
    <t>- - De peso total con carga maxima inferior o igual a 5 t</t>
  </si>
  <si>
    <t>Chasis con motor y cabina</t>
  </si>
  <si>
    <t>De cabina simple.de carga maxima menor o igual a 1.5 t.</t>
  </si>
  <si>
    <t>De doble cabina o cabina y media.de carga maxima menor o igual a 1.5 t.</t>
  </si>
  <si>
    <t>Con caja basculante</t>
  </si>
  <si>
    <t>De carga maxima menor o igual a 1.5 t</t>
  </si>
  <si>
    <t>Frigorificos o isotermicos</t>
  </si>
  <si>
    <t>Que no cuenten con caja de carga separada del habitaculo (Cap. V - Titulo II - Ley 24.674 y modif.)</t>
  </si>
  <si>
    <t>Otros de doble cabina o cabina y media. de carga maxima mayor a 1.5 t.</t>
  </si>
  <si>
    <t>- - De peso total con carga maxima superior a 5 t pero inferior o igual a 20 t</t>
  </si>
  <si>
    <t>- - De peso total con carga maxima superior a 20 t</t>
  </si>
  <si>
    <t>Con mas de dos ejes tractores (R.91/95 SI)</t>
  </si>
  <si>
    <t>De CUATRO (4) o mas ejes</t>
  </si>
  <si>
    <t>De chasis articulado. para el transporte de troncos ("forwarder") con grua incorporada. de potencia maxima superior o igual a 126 kW (170 HP)</t>
  </si>
  <si>
    <t>Ãšnicamente de CUATRO (4) o mas ejes. excepto los concebidos para utilizarlos fuera de la red de carreteras</t>
  </si>
  <si>
    <t>Concebidos para utilizarlos fuera de la red de carreteras</t>
  </si>
  <si>
    <t>- Los demas. con motor de embolo (piston) de encendido por chispa:</t>
  </si>
  <si>
    <t>De cabina simple. de carga maxima inferior o igual a 1.5 t</t>
  </si>
  <si>
    <t>De doble cabina o cabina y media. de carga maxima inferior o igual a 1.5 t</t>
  </si>
  <si>
    <t>De carga maxima menor o igual a 1.5 t.</t>
  </si>
  <si>
    <t>- - De peso total con carga maxima superior a 5 t</t>
  </si>
  <si>
    <t>Vehiculos automoviles para usos especiales. excepto los concebidos principalmente para el transporte de personas o mercancias (por ejemplo: coches para reparaciones (auxilio mecanico). camiones grua. camiones de bomberos. camiones hormigonera. coches barredera. coches esparcidores. coches taller. coches radiologicos).</t>
  </si>
  <si>
    <t>Con pluma telescopica de altura maxima superior o igual a 42 m. capacidad de izaje maxima superior o igual a 60 t. segun NORMA DIN 15019. Parte 2. y con 2 o mas ejes de ruedas direccionables</t>
  </si>
  <si>
    <t>Con una capacidad de izaje inferior o igual a DIEZ TONELADAS (10 t). medidas sobre la vertical que pasa a un minimo de TRES METROS (3 m) del centro de rotacion de la grua y cuando esta forma un angulo de CERO GRADOS (0ro) a CIENTO OCHENTA GRADOS (180ro) con el eje del vehiculo portante.</t>
  </si>
  <si>
    <t>Con una capacidad de izaje mayor a DIEZ TONELADAS (10 t). medidas sobre la vertical que pasa a un minimo de TRES METROS (3 m) del centro de rotacion de la grua y cuando esta forma un angulo de CERO GRADO (0ro) a CIENTO OCHENTA GRADOS (180ro) con el eje del vehiculo portante.</t>
  </si>
  <si>
    <t>Camiones para la determinacion de parametros fisicos caracteristicos (perfilaje) de pozos petroliferos</t>
  </si>
  <si>
    <t>Quitanieve</t>
  </si>
  <si>
    <t>Vehiculos con escalera mecanica. con o sin barquilla para bomberos</t>
  </si>
  <si>
    <t>Vehiculos pisapistas diseñados especialmente para mantenimiento y preparacion de terrenos de nieve en pistas de esqui</t>
  </si>
  <si>
    <t>vehiculos con equipo montado para tareas de servicio en pozos petroliferos</t>
  </si>
  <si>
    <t>Destinados a la limpieza y extraccion de petroleo. en pozos petroliferos "marginales" constituido por un chasis de vehiculo automovil con cabina en el que se encuentran montados permanentemente un carretel con cable de acero para limpieza. una estructura metalica (torre) y bomba</t>
  </si>
  <si>
    <t>Destinados a limpiar. perforar. reparar o terminar pozos de petroleo. constituido por un chasis de vehiculo automovil con cabina en el que se encuentra montado permanentemente un carretel con tuberia flexible y motor de accionamiento y estructura metalica. accionada hidraulicamente. con tres grados de libertad</t>
  </si>
  <si>
    <t>Destinados a la manipulacion de tuberias y barras de perforacion. en pozos de petroleo. constituido por un chasis de vehiculo automovil con cabina en el que se encuentran montados permanentemente dispositivo de izaje</t>
  </si>
  <si>
    <t>Destinados a despresurizar y desparafinar lineas de petroleo. constituido por un chasis de vehiculo automovil con cabina en el que se encuentran montados permanentemente una caldera con sus tanques y bombas de impulsion</t>
  </si>
  <si>
    <t>Destinados a exploraciones sismicas. constituido por un chasis de vehiculo automovil con cabina en el que se encuentra montado permanentemente una unidad generadora de vibraciones accionada hidraulicamente</t>
  </si>
  <si>
    <t>Destinados a cementacion de pozos de petroleo. constituido por un chasis de vehiculo automovil con cabina en el que se encuentran montados permanentemente un mezclador. densitometros y bombas de mezcla e impulsion</t>
  </si>
  <si>
    <t>Destinados a la fracturacion o estimulacion de pozos de petroleo. constituido por un chasis de vehiculo automovil con cabina en el que se encuentran montados permanentemente bombas. alimentador de aditivos. medidores de flujo y dispositivos de control</t>
  </si>
  <si>
    <t>Destinados a la limpieza de fondos de tanque de petroleo y aspiracion de lodos presentes en las redes cloacales. pluviales e industriales. constituido por un chasis de vehiculo automovil con cabina en el que se encuentran montados permanentemente una pluma de accionamiento hidraulico con su correspondiente columna y mangera de aspiracion dispuesta en carretel y boquillas para limpieza. bombas de vacio y bomba de presion</t>
  </si>
  <si>
    <t>Camion con bomba de hormigon sobre chasis de CUATRO (4) o mas ejes</t>
  </si>
  <si>
    <t>Chasis de vehiculos automoviles de las partidas 87.01 a 87.05. equipados con su motor.</t>
  </si>
  <si>
    <t>De los vehiculos de la partida nro 87.02</t>
  </si>
  <si>
    <t>De los vehiculos de las subpartidas 8701.10. 8701.30. 8701.91 a 8701.95 u 8704.10</t>
  </si>
  <si>
    <t>De los vehiculos de las subpartidas 8703.31. 8703.32 u 8703.33</t>
  </si>
  <si>
    <t>Cuyo precio de venta. sin considerar impuestos. incluidos los opcionales. supe- re los PESOS TRESCIENTOS CINCUENTA MIL ($350.000) (Cap. V - Titulo II - Ley 24.674 y modif.)</t>
  </si>
  <si>
    <t>De los vehÃ¬culos de las subpartidas Nro 8703.10 u 8703.21</t>
  </si>
  <si>
    <t>De los vehÃ¬culos de las subpartidas 8703.22. 8703.23. 8703.24. 8703.40. 8703.60. 8703.80 U 8703.90</t>
  </si>
  <si>
    <t>Carrocerias de vehiculos automoviles de las partidas 87.01 a 87.05. incluidas las cabinas.</t>
  </si>
  <si>
    <t>- De vehiculos de la partida 87.03</t>
  </si>
  <si>
    <t>Cabinas blindadas (R.3115/94 ANA)</t>
  </si>
  <si>
    <t>De autobuses. colectivos. trolebuses y autocares (R.2289/92 ANA)</t>
  </si>
  <si>
    <t>Partes y accesorios de vehiculos automoviles de las partidas 87.01 a 87.05.</t>
  </si>
  <si>
    <t>- Las demas partes y accesorios de carroceria (incluidas las de cabina):</t>
  </si>
  <si>
    <t>Guardabarros</t>
  </si>
  <si>
    <t>Parrillas de radiador</t>
  </si>
  <si>
    <t>Puertas</t>
  </si>
  <si>
    <t>Paneles de instrumentos</t>
  </si>
  <si>
    <t>Generadores de gas para accionar retractores de cinturones de seguridad</t>
  </si>
  <si>
    <t>Lunas de seguridad a prueba de balas.con dispositivos de conexion electricos y resistencias calentadoras</t>
  </si>
  <si>
    <t>Capo de aluminio</t>
  </si>
  <si>
    <t>Techo solar corredizo. accionado electricamente. incluso con dispositivos de control. de los tipos utilizados en vehiculos automoviles</t>
  </si>
  <si>
    <t>Cubierta de plastico. de los tipos utilizados para insonorizacion del selector de cambios en vehiculos automoviles</t>
  </si>
  <si>
    <t>Marco inferior parabrisas/lunetas conformado. entre otros. con las siguientes materias: caucho EPDM. polipropileno y aluminio</t>
  </si>
  <si>
    <t>Soporte para el sensor de lluvia y espejo retrovisor. de los tipos utilizados en parabrisas de vehiculos automoviles</t>
  </si>
  <si>
    <t>Dispositivos de cortina corrediza montado en bastidor metalico. de los tipos utilizados para ocultar los denominados "techo cielo"</t>
  </si>
  <si>
    <t>Vidrios de seguridad. templados o contrachapados. enmarcados o con dispositivos electricos incorporados. de los tipos utilizados en vehiculos automoviles</t>
  </si>
  <si>
    <t>Guarniciones para frenos montadas</t>
  </si>
  <si>
    <t>De los vehiculos de las subpartidas 8701.10. 8701.30. 8701.90 u 8704.10</t>
  </si>
  <si>
    <t>Pastillas de freno</t>
  </si>
  <si>
    <t>De peso. por unidad. superior a 500 g</t>
  </si>
  <si>
    <t>Cintas de freno</t>
  </si>
  <si>
    <t>De peso. por unidad. superior a 1.200 g</t>
  </si>
  <si>
    <t>Frenos y servofrenos.</t>
  </si>
  <si>
    <t>Partes.</t>
  </si>
  <si>
    <t>Zapata de freno. sin elemento de friccion</t>
  </si>
  <si>
    <t>Campana de freno</t>
  </si>
  <si>
    <t>Esbozos</t>
  </si>
  <si>
    <t>Disco de freno</t>
  </si>
  <si>
    <t>Placa de respaldo de pastilla de freno</t>
  </si>
  <si>
    <t>Conjunto amplificador de freno con deposito de fluido y bomba</t>
  </si>
  <si>
    <t>Pinza (caliper). de freno</t>
  </si>
  <si>
    <t>Conjunto modulo hidraulico de freno con ABS (Sistema Anti-Bloqueo). incluso con ESP (Sistema estabilizador)</t>
  </si>
  <si>
    <t>Sensor electronico de velocidad. de los tipos utilizados para transmitir informacion al ABS (Sistema Anti-Bloqueo)</t>
  </si>
  <si>
    <t>Cajas de cambio de los vehiculos de las subpartidas 8701.10. 8701.30. 8701.91 a 8701.95 u 8704.10</t>
  </si>
  <si>
    <t>Servoasistidas. aptas para pares de entrada superiores o iguales a 750 Nm</t>
  </si>
  <si>
    <t>Las demas cajas de cambio</t>
  </si>
  <si>
    <t>De transferencia. de los tipos utilizados en vehiculos automoviles con traccion en las cuatro ruedas</t>
  </si>
  <si>
    <t>Eje con engranajes</t>
  </si>
  <si>
    <t>Ejes</t>
  </si>
  <si>
    <t>Dispositivos de comando de cajas de cambio automaticas</t>
  </si>
  <si>
    <t>Ejes con diferencial con capacidad de soportar cargas superiores o iguales a 14.000 kg. reductores planetarios en los extremos y dispositivo de freno incorporado. de los tipos utilizados en vehiculos de la subpartida 8704.10</t>
  </si>
  <si>
    <t>Ejes portadores</t>
  </si>
  <si>
    <t>Con capacidad de soportar cargas superiores o iguales a 5.000 kg. incluso con dispositivo de freno incorporado</t>
  </si>
  <si>
    <t>De ejes portadores de los vehiculos de las subpartidas 8701.10. 8701.30. 8701.90 u 8704.10</t>
  </si>
  <si>
    <t>De ejes portadores</t>
  </si>
  <si>
    <t>Piñones planetarios o satelites</t>
  </si>
  <si>
    <t>Dados (cubos)</t>
  </si>
  <si>
    <t>Piñon y corona</t>
  </si>
  <si>
    <t>Paliers</t>
  </si>
  <si>
    <t>Nucleo de diferencial con bloqueo electronico</t>
  </si>
  <si>
    <t>De ejes propulsores de los vehiculos de las subpartidas 8701.10. 8701.30. 8701.90 u 8704.10</t>
  </si>
  <si>
    <t>Ruedas</t>
  </si>
  <si>
    <t>Con neumaticos</t>
  </si>
  <si>
    <t>De los tipos utilizados en vehiculos de la partida 87.03</t>
  </si>
  <si>
    <t>Con altos relieves en forma de taco. angulo o similares</t>
  </si>
  <si>
    <t>De aleacion de aluminio. de diametro superior o igual a 355.6 mm (14'') pero inferior o igual a 457.2 mm (18''). de los tipos utilizados en vehiculos automoviles de la partida 87.03</t>
  </si>
  <si>
    <t>De acero. de diametro nominal superior o igual a 444.5 mm (17.5") pero inferior o igual a 622.3 mm (24.5") y ancho nominal superior o igual a 152.4 mm (6"). de los tipos utilizados en autobuses o camiones</t>
  </si>
  <si>
    <t>Las demas. de los tipos utilizados en autobuses o camiones</t>
  </si>
  <si>
    <t>Las demas. de los tipos utilizados en vehiculos automoviles de la partida 87.03</t>
  </si>
  <si>
    <t>Amortiguadores</t>
  </si>
  <si>
    <t>Del tipo McPherson</t>
  </si>
  <si>
    <t>Barras de torsion</t>
  </si>
  <si>
    <t>Rotulas</t>
  </si>
  <si>
    <t>Brazos</t>
  </si>
  <si>
    <t>Bieletas estabilizadoras</t>
  </si>
  <si>
    <t>Parrilla de suspension. incluso con rotula</t>
  </si>
  <si>
    <t>Sistema de suspension del tipo McPherson</t>
  </si>
  <si>
    <t>- Las demas partes y accesorios:</t>
  </si>
  <si>
    <t>Radiadores</t>
  </si>
  <si>
    <t>Intercambiadores de calor. de los tipos utilizados en la recirculacion de gases de escape en valvulas EGR</t>
  </si>
  <si>
    <t>Silenciadores y tubos (caños) de escape</t>
  </si>
  <si>
    <t>Embragues.</t>
  </si>
  <si>
    <t>Crapodina de embrague</t>
  </si>
  <si>
    <t>Placa</t>
  </si>
  <si>
    <t>Disco</t>
  </si>
  <si>
    <t>Cilindro</t>
  </si>
  <si>
    <t>Dispositivo de asistencia para accionamiento de embrague</t>
  </si>
  <si>
    <t>Volantes. columnas y cajas de direccion. de los vehiculos de las subpartidas 8701.10. 8701.30. 8701.91 a 8701.95 u 8704.10</t>
  </si>
  <si>
    <t>Volantes</t>
  </si>
  <si>
    <t>Columnas</t>
  </si>
  <si>
    <t>Cajas de direccion</t>
  </si>
  <si>
    <t>Con comandos ubicados en sus radios. revestidos en cuero o simil</t>
  </si>
  <si>
    <t>Del tipo piñon y cremallera. utilizadas en automoviles de turismo (incluidos los vehiculos del tipo familiar "Break" o "Station Wagon" y los de carrera)</t>
  </si>
  <si>
    <t>De direccion hidraulica</t>
  </si>
  <si>
    <t>Asistida electricamente (EPS)</t>
  </si>
  <si>
    <t>Las demas. del tipo piñon y cremallera</t>
  </si>
  <si>
    <t>Axial cremallera de direccion</t>
  </si>
  <si>
    <t>Barras de direccion</t>
  </si>
  <si>
    <t>Bolsas inflables de seguridad con sistema de inflado (airbag)</t>
  </si>
  <si>
    <t>Bolsas inflables para airbag</t>
  </si>
  <si>
    <t>Sistema de inflado</t>
  </si>
  <si>
    <t>Dispositivos para el comando de acelerador. freno. embrague. direccion o caja de cambios. incluso los de adaptacion de los preexistentes. de los tipos utilizados por personas discapacitadas</t>
  </si>
  <si>
    <t>Chasis de vehiculos automoviles de las partidas 87.01 a 87.05 (R.909/94 MEOSP)</t>
  </si>
  <si>
    <t>Crucetas</t>
  </si>
  <si>
    <t>Esbozo. de acero forjado pero sin trabajar de otro modo</t>
  </si>
  <si>
    <t>Tricetas</t>
  </si>
  <si>
    <t>Placas de señalizacion reflectantes. de forma triangular. montados en un marco con dispositivos de fijacion</t>
  </si>
  <si>
    <t>Soporte estructural tubular (Subchasis)</t>
  </si>
  <si>
    <t>Pedal de acelerador con sensor de efecto "Hall"</t>
  </si>
  <si>
    <t>Uniones flexibles. de los tipos utilizados para absorber vibracion y dilatacion en tubos de escape de vehiculos automoviles</t>
  </si>
  <si>
    <t>Buje hidraulico. de los tipos utilizados en brazos de control</t>
  </si>
  <si>
    <t>Extremos de direccion</t>
  </si>
  <si>
    <t>Rotulas de direccion</t>
  </si>
  <si>
    <t>Puente soporte de cabezal para eje con diferencial</t>
  </si>
  <si>
    <t>Dispositivo de articulacion. de los tipos utilizados en vehiculos biarticulados de la Partida S.A. 87.02</t>
  </si>
  <si>
    <t>Reservorios para recuperacion de agua de refrigeracion (Tanques de expansion)</t>
  </si>
  <si>
    <t>Carretillas automovil sin dispositivo de elevacion de los tipos utilizados en fabricas. almacenes. puertos o aeropuertos. para el transporte de mercancias a corta distancia; carretillas tractor de los tipos utilizados en estaciones ferroviarias; sus partes.</t>
  </si>
  <si>
    <t>- Carretillas:</t>
  </si>
  <si>
    <t>TANQUES Y DEMaS VEHÃCULOS AUTOMOVILES BLINDADOS DE COMBATE. INCLUSO CON SU ARMAMENTO INCORPORADO; SUS PARTES.</t>
  </si>
  <si>
    <t>Motocicletas (incluidos los ciclomotores) y velocipedos equipados con motor auxiliar. con sidecar o sin el; sidecares.</t>
  </si>
  <si>
    <t>- Con motor de embolo (piston) alternativo de cilindrada inferior o igual a 50 cm 3</t>
  </si>
  <si>
    <t>Completas</t>
  </si>
  <si>
    <t>Completamente desarmada (sin componentes montados en el cuadro) (CKD)</t>
  </si>
  <si>
    <t>Semidesarmada (SKD)</t>
  </si>
  <si>
    <t>Totalmente armada (CBU)</t>
  </si>
  <si>
    <t>Incompletas</t>
  </si>
  <si>
    <t>Semidesarmada. conteniendo cuadro y motor (SKD)</t>
  </si>
  <si>
    <t>Completamente desarmada. conteniendo cuadro y motor</t>
  </si>
  <si>
    <t>- Con motor de embolo (piston) alternativo de cilindrada superior a 50 cm 3 pero inferior o igual a 250 cm 3</t>
  </si>
  <si>
    <t>Motocicletas de cilindrada inferior o igual a 125 cm 3</t>
  </si>
  <si>
    <t>De cilindrada superior a 50 cm3 pero inferior o igual a 55 cm3</t>
  </si>
  <si>
    <t>De cilindrada superior a 55 cm3 pero inferior o igual a 75 cm3</t>
  </si>
  <si>
    <t>Competamente desarmada. conteniendo cuadro y motor</t>
  </si>
  <si>
    <t>De cilindrada superior a 75 cm3 pero inferior o igual a 100 cm3</t>
  </si>
  <si>
    <t>De cilindrada superior a 100 cm3 pero inferior o igual a 110 cm3</t>
  </si>
  <si>
    <t>De cilindrada superior a 110 cm3 pero inferior o igual a 125 cm3</t>
  </si>
  <si>
    <t>Motocicletas de cilindrada superior a 125 cm 3</t>
  </si>
  <si>
    <t>De cilindrada superior a 125 cm3 pero inferior o igual a 150 cm3</t>
  </si>
  <si>
    <t>- Con motor de embolo (piston) alternativo de cilindrada superior a 250 cm 3 pero inferior o igual a 500 cm 3</t>
  </si>
  <si>
    <t>- Con motor de embolo (piston) alternativo de cilindrada superior a 500 cm 3 pero inferior o igual a 800 cm 3</t>
  </si>
  <si>
    <t>Completamente desarmada (sin componentes montados en el cuadro ) (CKD)</t>
  </si>
  <si>
    <t>- Con motor de embolo (piston) alternativo de cilindrada superior a 800 cm 3</t>
  </si>
  <si>
    <t>Bicicletas con motor</t>
  </si>
  <si>
    <t>Con asistencia electrica al pedaleo (o bicicleta con asistencia electrica o EPAC)</t>
  </si>
  <si>
    <t>Motocicletas</t>
  </si>
  <si>
    <t>Completos</t>
  </si>
  <si>
    <t>Completamente desarmado (sin componentes montados en el cuadro ) (CKD)</t>
  </si>
  <si>
    <t>Semidesarmado (SKD)</t>
  </si>
  <si>
    <t>Incompletos</t>
  </si>
  <si>
    <t>Semidesarmado. conteniendo cuadro y motor (SKD)</t>
  </si>
  <si>
    <t>Completamente desarmado. conteniendo cuadro y motor</t>
  </si>
  <si>
    <t>Sidecares</t>
  </si>
  <si>
    <t>Bicicletas y demas velocipedos (incluidos los triciclos de reparto). sin motor.</t>
  </si>
  <si>
    <t>Bicicletas</t>
  </si>
  <si>
    <t>Del tipo "de paseo". incluso las del tipo "playeras"</t>
  </si>
  <si>
    <t>Construida esencialmente en acero</t>
  </si>
  <si>
    <t>De rodado superior o igual a 254 mm (nro 10) pero inferior o igual a 406.4 mm (nro16)</t>
  </si>
  <si>
    <t>De rodado superior a 406.4 mm (nro 16) pero inferior o igual a 508 mm (nro20)</t>
  </si>
  <si>
    <t>Construida esencialmente en aleaciones de aluminio</t>
  </si>
  <si>
    <t>De rodado superior o igual a 254 mm (nro10) pero inferior o igual a 406.4 mm (nro16)</t>
  </si>
  <si>
    <t>De rodado superior a 508 mm (nro20)</t>
  </si>
  <si>
    <t>De rodado superior o igual a 508 mm (nro 20) pero inferior o igual a 609.6 mm (nro24)</t>
  </si>
  <si>
    <t>De rodado superior a 609.6 mm (nro24)</t>
  </si>
  <si>
    <t>Del tipo "cross" o "mountain bike"</t>
  </si>
  <si>
    <t>Construidas esencialmente en acero. excepto con cuadro tipo "Y" de seccion oval y doble suspension</t>
  </si>
  <si>
    <t>Construidas esencialmente en aluminio. excepto con cuadro tipo "Y" de seccion oval y doble suspension</t>
  </si>
  <si>
    <t>Otras. construidas esencialmente en acero. con cuadro tipo "Y" de seccion oval y doble suspension</t>
  </si>
  <si>
    <t>Otras. construidas esencialmente en aluminio. con cuadro tipo "Y" de seccion oval y doble suspension</t>
  </si>
  <si>
    <t>Construidas esencialmente en acero</t>
  </si>
  <si>
    <t>Construidas esencialmente en aleaciones de aluminio</t>
  </si>
  <si>
    <t>Sillones de ruedas y demas vehiculos para invalidos. incluso con motor u otro mecanismo de propulsion.</t>
  </si>
  <si>
    <t>Partes y accesorios de vehiculos de las partidas 87.11 a 87.13.</t>
  </si>
  <si>
    <t>Chasis</t>
  </si>
  <si>
    <t>Manubrio con o sin acople para direccion</t>
  </si>
  <si>
    <t>Horquillon trasero</t>
  </si>
  <si>
    <t>Soporte central rebatible (caballete) o lateral</t>
  </si>
  <si>
    <t>Llantas</t>
  </si>
  <si>
    <t>Constuidas esencialmente en acero</t>
  </si>
  <si>
    <t>Con neumatico</t>
  </si>
  <si>
    <t>Construidas esencialmente en aluminio</t>
  </si>
  <si>
    <t>Aros de llantas</t>
  </si>
  <si>
    <t>Construidos esencialmente en acero</t>
  </si>
  <si>
    <t>Construidos esencialmente en aluminio</t>
  </si>
  <si>
    <t>Las demas partes (R909/94 MEOSP)</t>
  </si>
  <si>
    <t>Radios de longitud superior o igual a 60 mm pero inferior o igual a 317 mm. con niples</t>
  </si>
  <si>
    <t>Cuyo diametro sea superior o igual a 1.80 mm pero inferior o igual a 2 mm (R.811/98 MEOSP y R.25/05 SICyPyME)</t>
  </si>
  <si>
    <t>Cuyo diametro sea superior a 2 mm pero inferior o igual a 2.5 mm (R.811/98 MEOSP y R. 25/05 SICyPyME)</t>
  </si>
  <si>
    <t>Los demas radios. con niples</t>
  </si>
  <si>
    <t>Cuyo diametro sea superior o igual a 1.80 mm pero inferior o igual a 2 mm (R.811/98 MEOSP)</t>
  </si>
  <si>
    <t>Cuyo diametro sea superior a 2 mm pero inferior o igual a 2.5 mm (R.811/98 MEOSP)</t>
  </si>
  <si>
    <t>Radios de longitud superior o igual a 60 mm pero inferior o igual a 317 mm. sin niples</t>
  </si>
  <si>
    <t>Cuyo diametro sea superior o igual a 1.80 mm pero inferior o igual a 2 mm (R. 811/98 MEOSP y R. 25/05 SICyPyME)</t>
  </si>
  <si>
    <t>Cuyo diametro sea superior a 2 mm pero inferior o igual a 2.5 mm (R. 811/98 MEOSP y R.25/05 SICyPyME)</t>
  </si>
  <si>
    <t>Los demas radios</t>
  </si>
  <si>
    <t>Cuyo diametro sea superior o igual a 1.80 mm pero inferior o igual a 2 mm (R. 811/98 MEOSP)</t>
  </si>
  <si>
    <t>Cuyo diametro sea superior a 2 mm pero inferior o igual a 2.5 mm (R. 811/98 MEOSP)</t>
  </si>
  <si>
    <t>Sillines (asientos)</t>
  </si>
  <si>
    <t>Niples (R. 25/05 SICyPyME)</t>
  </si>
  <si>
    <t>Guarniciones de friccion para frenos. montadas</t>
  </si>
  <si>
    <t>Discos de freno</t>
  </si>
  <si>
    <t>Piñones para cadenas</t>
  </si>
  <si>
    <t>Juegos de corona y piñon o corona. piñon y cadena. presentados en un envase comun</t>
  </si>
  <si>
    <t>Cuadros de bicicletas</t>
  </si>
  <si>
    <t>Con horquilla unicamente</t>
  </si>
  <si>
    <t>Con horquilla y suspension</t>
  </si>
  <si>
    <t>Construidos esencialmente en aleaciones de aluminio</t>
  </si>
  <si>
    <t>Horquillas de bicicletas</t>
  </si>
  <si>
    <t>Con suspension</t>
  </si>
  <si>
    <t>Los demas cuadros y horquillas</t>
  </si>
  <si>
    <t>Cuadros. incluso con horquilla o suspension</t>
  </si>
  <si>
    <t>Construidos esencialmente en acero.</t>
  </si>
  <si>
    <t>Horquillas construidas esencialmente en acero. sin suspension</t>
  </si>
  <si>
    <t>De bicicletas</t>
  </si>
  <si>
    <t>De cuadros</t>
  </si>
  <si>
    <t>Llantas de bicicleta</t>
  </si>
  <si>
    <t>Radios de longitud superior o igual a 60 mm pero inferior o igual a 317 mm</t>
  </si>
  <si>
    <t>Con niples</t>
  </si>
  <si>
    <t>Cuyo diametro sea superior o igual a 1.80 mm pero inferior o igual a 2 mm (R.811/98 MEOSP y R. 25/05 SICyPyME)</t>
  </si>
  <si>
    <t>Bujes sin freno</t>
  </si>
  <si>
    <t>Piñones libres</t>
  </si>
  <si>
    <t>De una corona</t>
  </si>
  <si>
    <t>Bujes con frenos</t>
  </si>
  <si>
    <t>Frenos</t>
  </si>
  <si>
    <t>De frenos. excluidos los cables y vainas</t>
  </si>
  <si>
    <t>Con resortes</t>
  </si>
  <si>
    <t>Pedales</t>
  </si>
  <si>
    <t>Construidos esencialmente en material plastico</t>
  </si>
  <si>
    <t>Mecanismos de pedal</t>
  </si>
  <si>
    <t>Palanca</t>
  </si>
  <si>
    <t>Plato</t>
  </si>
  <si>
    <t>Cubetas de caja</t>
  </si>
  <si>
    <t>Eje de caja</t>
  </si>
  <si>
    <t>Cambios de velocidades</t>
  </si>
  <si>
    <t>Pie de apoyo</t>
  </si>
  <si>
    <t>Portapaquetes y canastos de los tipos utilizados en bicicletas</t>
  </si>
  <si>
    <t>Ruedas de bicicleta</t>
  </si>
  <si>
    <t>Con cubierta</t>
  </si>
  <si>
    <t>Con cubierta y camara</t>
  </si>
  <si>
    <t>De los tipos de las utilizadas como estabilizadoras</t>
  </si>
  <si>
    <t>Manillar</t>
  </si>
  <si>
    <t>Vastago de manillar</t>
  </si>
  <si>
    <t>Caño para sillin</t>
  </si>
  <si>
    <t>Puños</t>
  </si>
  <si>
    <t>Con manija de cambio</t>
  </si>
  <si>
    <t>Descarriladores; comandos y cables de cambio de velocidades</t>
  </si>
  <si>
    <t>Amortiguadores. incluso conjunto resorte-amortiguador formando un solo cuerpo</t>
  </si>
  <si>
    <t>De los tipos utilizados en velocipedos equipados con motor auxiliar. con sidecar o sin el</t>
  </si>
  <si>
    <t>Cubrecadenas</t>
  </si>
  <si>
    <t>Niples</t>
  </si>
  <si>
    <t>Coches. sillas y vehiculos similares para el transporte de niños. y sus partes.</t>
  </si>
  <si>
    <t>Coches. sillas y vehiculos similares para el transporte de niños</t>
  </si>
  <si>
    <t>Remolques y semirremolques para cualquier vehiculo; los demas vehiculos no automoviles; sus partes.</t>
  </si>
  <si>
    <t>Trailers para transportar algodon compactado (R.1653/93 ANA)</t>
  </si>
  <si>
    <t>- Los demas remolques y semirremolques para el transporte de mercancias:</t>
  </si>
  <si>
    <t>Semirremolque con DOCE (12) cilindros de acero. montados sobre el mismo. para almacenar gas natural comprimido a una presion de 16.5 MPa. con su correspondiente cuadro de valvulas</t>
  </si>
  <si>
    <t>Dirigidos a mano</t>
  </si>
  <si>
    <t>Chasis para remolques y semirremolques</t>
  </si>
  <si>
    <t>Sin tren rodante</t>
  </si>
  <si>
    <t>Dispisitivo de enganche</t>
  </si>
  <si>
    <t>Ruedas de los remolques y semirremolques de las subpartidas 8716.31. 8716.39 y 8716.40</t>
  </si>
  <si>
    <t>De acero. de diametro nominal superior o igual a 444.5 mm (17.5") pero inferior o igual a 622.3 mm (24.5") y ancho nominal superior o igual a 152.4 mm (6")</t>
  </si>
  <si>
    <t>Ejes portadores. incluso con dispositivo de freno incorporado</t>
  </si>
  <si>
    <t>Dispositivo de seguridad de accionamiento manual. para montarse de forma permanente en remolques y semiremolques. para el anclaje de contenedores (TwistLock)</t>
  </si>
  <si>
    <t>Paragolpes. incluso con sistema de variacion de distancia y rebatimiento. de los tipos utilizados en vehiculos de las partidas 87.04 y 87.05</t>
  </si>
  <si>
    <t>Globos y dirigibles; planeadores. alas planeadoras y demas aeronaves. no propulsados con motor.</t>
  </si>
  <si>
    <t>Planeadores</t>
  </si>
  <si>
    <t>Alas planeadoras</t>
  </si>
  <si>
    <t>Las demas aeronaves (por ejemplo: helicopteros. aviones); vehiculos espaciales (incluidos los satelites) y sus vehiculos de lanzamiento y vehiculos suborbitales.</t>
  </si>
  <si>
    <t>- Helicopteros:</t>
  </si>
  <si>
    <t>--De peso en vacio inferior o igual a 2.000 kg</t>
  </si>
  <si>
    <t>- - De peso en vacio superior a 2.000 kg</t>
  </si>
  <si>
    <t>De peso en vacio inferior o igual a 3.500 kg</t>
  </si>
  <si>
    <t>- Aviones y demas aeronaves. de peso en vacio inferior o igual a 2.000 kg</t>
  </si>
  <si>
    <t>A helice</t>
  </si>
  <si>
    <t>Tripulados</t>
  </si>
  <si>
    <t>Los demas. no tripulados. radiodirigidos o de navegacion controlada por aparato receptor de sistema de posicionamiento global (GPS). con motor de impulsion. de los tipos utilizados para misiones tacticas de inteligencia. vigilancia y reconocimiento en el campo militar. policial o civil</t>
  </si>
  <si>
    <t>A turbohelice</t>
  </si>
  <si>
    <t>Monomotores</t>
  </si>
  <si>
    <t>Multimotores</t>
  </si>
  <si>
    <t>- Aviones y demas aeronaves. de peso en vacio superior a 2.000 kg pero inferior o igual a 15.000 kg</t>
  </si>
  <si>
    <t>Multimotores. de peso en vacio inferior o igual a 7.000 kg</t>
  </si>
  <si>
    <t>A turborreaccion</t>
  </si>
  <si>
    <t>De peso en vacio inferior o igual a 7.000 kg</t>
  </si>
  <si>
    <t>- Aviones y demas aeronaves. de peso en vacio superior a 15.000 kg</t>
  </si>
  <si>
    <t>Partes de los aparatos de las partidas 88.01 u 88.02.</t>
  </si>
  <si>
    <t>Paracaidas. incluidos los dirigibles. planeadores (parapentes) o de aspas giratorias; sus partes y accesorios.</t>
  </si>
  <si>
    <t>Dirigibles</t>
  </si>
  <si>
    <t>De aspas giratorias</t>
  </si>
  <si>
    <t>Aparatos y dispositivos para lanzamiento de aeronaves; aparatos y dispositivos para aterrizaje en portaaviones y aparatos y dispositivos similares; aparatos de entrenamiento de vuelo en tierra; sus partes.</t>
  </si>
  <si>
    <t>Aparatos y dispositivos</t>
  </si>
  <si>
    <t>- Aparatos de entrenamiento de vuelo en tierra y sus partes:</t>
  </si>
  <si>
    <t>Simuladores de combate aereo</t>
  </si>
  <si>
    <t>Aparatos</t>
  </si>
  <si>
    <t>Transatlanticos. barcos para excursiones (de cruceros). transbordadores. cargueros. gabarras (barcazas) y barcos similares para el transporte de personas o mercancias.</t>
  </si>
  <si>
    <t>-Barcos frigorificos. excepto los de la subpartida 8901.20</t>
  </si>
  <si>
    <t>Barcos de pesca; barcos factoria y demas barcos para la preparacion o la conservacion de los productos de la pesca.</t>
  </si>
  <si>
    <t>Con eslora superior o igual a 35 m</t>
  </si>
  <si>
    <t>De eslora inferior o igual a 40 m</t>
  </si>
  <si>
    <t>Yates y demas barcos y embarcaciones de recreo o deporte; barcas (botes) de remo y canoas.</t>
  </si>
  <si>
    <t>Semirigidas. incluso con motor interno</t>
  </si>
  <si>
    <t>De plastico reforzado con material textil</t>
  </si>
  <si>
    <t>De caucho reforzado con materria textil</t>
  </si>
  <si>
    <t>De plastico reforzado con materia textil</t>
  </si>
  <si>
    <t>De caucho reforzado con materia textil</t>
  </si>
  <si>
    <t>Con motor auxiliar</t>
  </si>
  <si>
    <t>Embarcaciones destinadas a la practica deportiva olimpica. paraolimpica. panamericana y parapanamericana. con certificacion de la SECRETARIA DE DEPORTES dependiente de la SECRETARIA GENERAL DE LA PRESIDENCIA DE LA NACION</t>
  </si>
  <si>
    <t>Con motor de embolo o piston alternativo de encendido por chispa</t>
  </si>
  <si>
    <t>Con proa abierta o cerrada sin comodidad para personas</t>
  </si>
  <si>
    <t>Con cuchetas. sin baño compartimentado</t>
  </si>
  <si>
    <t>Con baño compartimentado</t>
  </si>
  <si>
    <t>Con motor de embolo o piston alternativo de encendido por comprension (diesel o semidiesel)</t>
  </si>
  <si>
    <t>Jetski</t>
  </si>
  <si>
    <t>Motoski</t>
  </si>
  <si>
    <t>Con motor</t>
  </si>
  <si>
    <t>Botes de remo. con uno o mas asientos deslizables. calzados deportivos y sus anclajes. de longitud superior o igual a 8 metros para los de un solo par de remos. superior o igual a 10 metros para los de dos pares de remos y superior o igual a 13 metros para los de cuatro pares de remo. de peso total inferior o igual a 15 Kg por par de remos (botes de competicion de hasta cuatro pares de remos) (R.39/98 MEOSPD)</t>
  </si>
  <si>
    <t>Los demas botes de remo. salvavidas.</t>
  </si>
  <si>
    <t>REMOLCADORES Y BARCOS EMPUJADORES.</t>
  </si>
  <si>
    <t>Barcos faro. barcos bomba. dragas. pontones grua y demas barcos en los que la navegacion sea accesoria en relacion con la funcion principal; diques flotantes; plataformas de perforacion o explotacion. flotantes o sumergibles.</t>
  </si>
  <si>
    <t>Los demas barcos. incluidos los navios de guerra y barcos de salvamento excepto los de remo.</t>
  </si>
  <si>
    <t>Botes de salvamento</t>
  </si>
  <si>
    <t>Los demas artefactos flotantes (por ejemplo: balsas. depositos. cajones. incluso de amarre. boyas y balizas).</t>
  </si>
  <si>
    <t>Salvavidas (R.G. 1748/04 AFIP)</t>
  </si>
  <si>
    <t>Barcos y demas artefactos flotantes para desguace.</t>
  </si>
  <si>
    <t>Barcos</t>
  </si>
  <si>
    <t>Fibras opticas y haces de fibras opticas; cables de fibras opticas. excepto los de la partida 85.44; hojas y placas de materia polarizante; lentes (incluso de contacto). prismas. espejos y demas elementos de optica de cualquier materia. sin montar. excepto los de vidrio sin trabajar opticamente.</t>
  </si>
  <si>
    <t>Fibras opticas</t>
  </si>
  <si>
    <t>Con diametro de nucleo inferior a 11 micrometros</t>
  </si>
  <si>
    <t>Haces y cables de fibras opticas</t>
  </si>
  <si>
    <t>Cables de fibra opticas. del tipo monomodo estandar o de dispersion desplazada (R.83/97 MEOSP)</t>
  </si>
  <si>
    <t>Con revestimiento de color para individualizacion de cada fibra (R.15/99 MEOSP)</t>
  </si>
  <si>
    <t>Con revestimiento de color para individualizacion de cada fibra (R.843/99 MEOSP)</t>
  </si>
  <si>
    <t>Incoloras</t>
  </si>
  <si>
    <t>Monofocales</t>
  </si>
  <si>
    <t>De potencia esferica inferior o igual a +/- 2 dioptrias</t>
  </si>
  <si>
    <t>De potencia esferica superior a +/- 2 dioptrias pero inferior o igual a +/- 4 dioptrias</t>
  </si>
  <si>
    <t>De potencia esferica superior a +/- 4 dioptrias</t>
  </si>
  <si>
    <t>Combinadas. de potencia esferica inferior o igual a +/- 2 dioptrias y potencia cilindrica inferior o igual a +/- 2 dioptrias</t>
  </si>
  <si>
    <t>Combinadas. de potencia esferica superior a +/- 2 dioptrias pero inferior o igual a +/- 4 dioptrias y potencia cilindrica inferior o igual a +/- 2 dioptrias</t>
  </si>
  <si>
    <t>Las demas combinadas. terminadas</t>
  </si>
  <si>
    <t>Semiterminadas</t>
  </si>
  <si>
    <t>Bifocales</t>
  </si>
  <si>
    <t>Multifocales</t>
  </si>
  <si>
    <t>Fotocromaticas</t>
  </si>
  <si>
    <t>Para gafas de sol</t>
  </si>
  <si>
    <t>De policarbonato</t>
  </si>
  <si>
    <t>Incoloras. monofocales</t>
  </si>
  <si>
    <t>Incoloras. bifocales</t>
  </si>
  <si>
    <t>Incoloras. multifocales</t>
  </si>
  <si>
    <t>Fotocromaticas. monofocales</t>
  </si>
  <si>
    <t>Fotocromaticas. bifocales</t>
  </si>
  <si>
    <t>Fotocromaticas. multifocales</t>
  </si>
  <si>
    <t>De alildiglicol carbonato (CR39) con indice de refraccion 1.5</t>
  </si>
  <si>
    <t>De alildiglicol carbonato (CR39) con indice de refraccion 1.56</t>
  </si>
  <si>
    <t>De alildiglicol carbonato (CR39) con indice de refraccion 1.6</t>
  </si>
  <si>
    <t>Combinadas. de potencia esferica inferior o igual a +/-2 dioptrias y potencia cilindrica inferior o igual a +/-2 dioptrias</t>
  </si>
  <si>
    <t>Combinadas. de potencia esferica superior a +/-2 dioptrias pero inferior o igual a +/-4 dioptrias y potencia cilindrica inferior o igual a +/-2 dioptrias</t>
  </si>
  <si>
    <t>De potencia esferica inferior o igual a +/-2 dioptrias</t>
  </si>
  <si>
    <t>De potencia esferica superior a +/-2 dioptrias pero inferior o igual a +/-4 dioptrias</t>
  </si>
  <si>
    <t>De potencia esferica superior a +/-4 dioptrias</t>
  </si>
  <si>
    <t>De alildiglicol carbonato (CR 39) con indice de refraccion superior a 1.6</t>
  </si>
  <si>
    <t>De poliuretano. con indice de refraccion de 1.53</t>
  </si>
  <si>
    <t>De poliuretano. con indice de refraccion distinto de 1.53</t>
  </si>
  <si>
    <t>Lentes</t>
  </si>
  <si>
    <t>Prismas</t>
  </si>
  <si>
    <t>Filtros</t>
  </si>
  <si>
    <t>Redes de difraccion</t>
  </si>
  <si>
    <t>Lentes. prismas. espejos y demas elementos de optica de cualquier materia. montados. para instrumentos o aparatos. excepto los de vidrio sin trabajar opticamente.</t>
  </si>
  <si>
    <t>- Objetivos:</t>
  </si>
  <si>
    <t>Para camaras fotograficas. cinematograficas o para proyectores</t>
  </si>
  <si>
    <t>Para fotografia</t>
  </si>
  <si>
    <t>Para cinematografia</t>
  </si>
  <si>
    <t>De aproximacion (lentes «zoom») para camaras de television. de 20 o mas aumentos</t>
  </si>
  <si>
    <t>Polarizantes</t>
  </si>
  <si>
    <t>Monturas (armazones) de gafas (anteojos) o articulos similares y sus partes.</t>
  </si>
  <si>
    <t>- Monturas (armazones):</t>
  </si>
  <si>
    <t>Coloreadas en la masa</t>
  </si>
  <si>
    <t>Con bisagra tipo "flex"</t>
  </si>
  <si>
    <t>De metal comun. incluidos los chapados de metal precioso</t>
  </si>
  <si>
    <t>De titanio (incluidas sus aleaciones)</t>
  </si>
  <si>
    <t>Las demas chapadas de metal precioso</t>
  </si>
  <si>
    <t>De metal precioso</t>
  </si>
  <si>
    <t>Bisagras</t>
  </si>
  <si>
    <t>Gafas (anteojos) correctoras. protectoras u otras. y articulos similares.</t>
  </si>
  <si>
    <t>Metalicas</t>
  </si>
  <si>
    <t>De metal precioso o chapadas de metal</t>
  </si>
  <si>
    <t>"Cristales"</t>
  </si>
  <si>
    <t>Gafas (anteojos) correctoras</t>
  </si>
  <si>
    <t>Pregraduadas para la correccion de la presbicia</t>
  </si>
  <si>
    <t>Gafas (anteojos) de seguridad</t>
  </si>
  <si>
    <t>Viseras de seguridad. de los tipos utilizados en ambitos hospitalarios</t>
  </si>
  <si>
    <t>Binoculares (incluidos los prismaticos). catalejos. anteojos astronomicos. telescopios opticos y sus armazones; los demas instrumentos de astronomia y sus armazones. excepto los aparatos de radioastronomia.</t>
  </si>
  <si>
    <t>De binoculares (incluidos los prismaticos)</t>
  </si>
  <si>
    <t>Camaras fotograficas; aparatos y dispositivos. incluidos las lamparas y tubos. para la produccion de destellos en fotografia. excepto las lamparas y tubos de descarga de la partida 85.39.</t>
  </si>
  <si>
    <t>- Las demas camaras fotograficas:</t>
  </si>
  <si>
    <t>--Con visor de reflexion a traves del objetivo. para peliculas en rollo de anchura inferior o igual a 35 mm</t>
  </si>
  <si>
    <t>--Las demas. para peliculas en rollo de anchura inferior a 35 mm</t>
  </si>
  <si>
    <t>- - Las demas. para peliculas en rollo de anchura igual a 35 mm</t>
  </si>
  <si>
    <t>De foco fijo</t>
  </si>
  <si>
    <t>De foco ajustable</t>
  </si>
  <si>
    <t>Las demas. de foco fijo</t>
  </si>
  <si>
    <t>Las demas. de foco ajustable</t>
  </si>
  <si>
    <t>Para la obtencion de negativos de 45 mm x 60 mm o de dimensiones superiores</t>
  </si>
  <si>
    <t>- Aparatos y dispositivos. incluidos lamparas y tubos. para producir destellos para fotografia:</t>
  </si>
  <si>
    <t>--Aparatos de tubo de descarga para producir destellos («flashes electronicos»)</t>
  </si>
  <si>
    <t>Cuerpos</t>
  </si>
  <si>
    <t>Obturadores</t>
  </si>
  <si>
    <t>Disparadores</t>
  </si>
  <si>
    <t>Mecanismos de arrastre de pelicula</t>
  </si>
  <si>
    <t>Parasoles</t>
  </si>
  <si>
    <t>Camaras y proyectores cinematograficos. incluso con grabador o reproductor de sonido incorporados.</t>
  </si>
  <si>
    <t>Para pelicula cinematografica (filme) de anchura inferior a 16mm o para doble-8mm</t>
  </si>
  <si>
    <t>Para pelicula cinematografica (filme) de anchura superior o igual a 35 mm pero inferior o igual a 70 mm</t>
  </si>
  <si>
    <t>Para pelicula cinematografica (filme) de anchura inferior a 16 mm</t>
  </si>
  <si>
    <t>Proyectores de imagen fija; ampliadoras o reductoras. fotograficas.</t>
  </si>
  <si>
    <t>Proyectores de diapositivas</t>
  </si>
  <si>
    <t>Lectores de microfilmes. microfichas u otros microformatos. incluso copiadores</t>
  </si>
  <si>
    <t>Lectores de microfilmes</t>
  </si>
  <si>
    <t>Los demas proyectores de imagen fija</t>
  </si>
  <si>
    <t>Ampliadoras o reductoras. fotograficas</t>
  </si>
  <si>
    <t>Aparatos y material para laboratorios fotograficos o cinematograficos. no expresados ni comprendidos en otra parte de este Capitulo; negatoscopios; pantallas de proyeccion.</t>
  </si>
  <si>
    <t>Cubas y cubetas. de operacion automatica y programables</t>
  </si>
  <si>
    <t>Ampliadoras-copiadoras automaticas para papel fotografico. de capacidad superior a 1.000 copias por hora</t>
  </si>
  <si>
    <t>Procesadores fotograficos para el tratamiento electronico de imagenes. incluso con salida digital</t>
  </si>
  <si>
    <t>Aparatos para revelado automatico de planchas de fotopolimeros con soporte metalico</t>
  </si>
  <si>
    <t>Aparato para el revelado automatico de planchas de fotopolimeros. de ancho superior o igual a 200 mm. pero inferior o igual a 850 mm. y longitud superior o igual a 290 mm. mediante la conduccion de las planchas a traves de una secuencia continua de operaciones y baños en cubetas. preestablecida</t>
  </si>
  <si>
    <t>De aparatos o material de la subpartida 9010.10 o del item 9010.50.10</t>
  </si>
  <si>
    <t>Microscopios opticos. incluso para fotomicrografia. cinefotomicrografia o microproyeccion.</t>
  </si>
  <si>
    <t>Para fotomicrografia</t>
  </si>
  <si>
    <t>Para cinefotomicrografia</t>
  </si>
  <si>
    <t>Para microproyeccion</t>
  </si>
  <si>
    <t>Binoculares. de platina movil</t>
  </si>
  <si>
    <t>De los articulos de la subpartida 9011.20</t>
  </si>
  <si>
    <t>Para uso medico</t>
  </si>
  <si>
    <t>Microscopios. excepto los opticos; difractografos.</t>
  </si>
  <si>
    <t>Microscopios electronicos</t>
  </si>
  <si>
    <t>De microscopios electronicos</t>
  </si>
  <si>
    <t>Dispositivos de cristal liquido que no constituyan articulos comprendidos mas especificamente en otra parte; laseres. excepto los diodos laser; los demas aparatos e instrumentos de optica. no expresados ni comprendidos en otra parte de este Capitulo.</t>
  </si>
  <si>
    <t>Miras telescopicas para armas</t>
  </si>
  <si>
    <t>Infrarrojas (R.3115/94 ANA)</t>
  </si>
  <si>
    <t>Dispositivos de punteria laser</t>
  </si>
  <si>
    <t>Punteros</t>
  </si>
  <si>
    <t>Dispositivos de cristal liquido (LCD)</t>
  </si>
  <si>
    <t>Lupas</t>
  </si>
  <si>
    <t>Visores opticos de los tipos utilizados en puertas</t>
  </si>
  <si>
    <t>Brujulas. incluidos los compases de navegacion; los demas instrumentos y aparatos de navegacion.</t>
  </si>
  <si>
    <t>Brujulas</t>
  </si>
  <si>
    <t>Altimetros</t>
  </si>
  <si>
    <t>Pilotos automaticos</t>
  </si>
  <si>
    <t>Inclinometros</t>
  </si>
  <si>
    <t>Acelerometros</t>
  </si>
  <si>
    <t>Variometros</t>
  </si>
  <si>
    <t>Horizontes artificiales (girohorizontes)</t>
  </si>
  <si>
    <t>Sondas acusticas (ecobatimetros) o de ultrasonido (sonar y similares)</t>
  </si>
  <si>
    <t>Instrumentos y aparatos de geodesia. topografia. agrimensura. nivelacion. fotogrametria. hidrografia. oceanografia. hidrologia. meteorologia o geofisica. excepto las brujulas; telemetros.</t>
  </si>
  <si>
    <t>Con sistema de lectura por medio de prisma o micrometro optico y precision de lectura de 1 segundo</t>
  </si>
  <si>
    <t>Optico. mediante rayo laser giratorio. con una o mas detectores remotos</t>
  </si>
  <si>
    <t>Molinetes hidrometricos</t>
  </si>
  <si>
    <t>Goniometros</t>
  </si>
  <si>
    <t>Anemometros</t>
  </si>
  <si>
    <t>Indicadores de visibilidad</t>
  </si>
  <si>
    <t>Pluviometros</t>
  </si>
  <si>
    <t>Para sondeo aerologico (radiosondas)</t>
  </si>
  <si>
    <t>Sismometros o sismografos</t>
  </si>
  <si>
    <t>Instrumento para medicion de multiples parametros de meteorologia (central meteorologica)</t>
  </si>
  <si>
    <t>De instrumentos o aparatos de la subpartida 9015.40</t>
  </si>
  <si>
    <t>Balanzas sensibles a un peso inferior o igual a 5 cg. incluso con pesas.</t>
  </si>
  <si>
    <t>Sensibles a un peso inferior o igual a 0.2 mg</t>
  </si>
  <si>
    <t>Instrumentos de dibujo. trazado o calculo (por ejemplo: maquinas de dibujar. pantografos. transportadores. estuches de dibujo. reglas y circulos. de calculo); instrumentos manuales de medida de longitud (por ejemplo: metros. micrometros. calibradores). no expresados ni comprendidos en otra parte de este Capitulo.</t>
  </si>
  <si>
    <t>Instrumentos de trazado</t>
  </si>
  <si>
    <t>Planos de referencia (marmoles de ajuste)</t>
  </si>
  <si>
    <t>Con punta y contrapunta</t>
  </si>
  <si>
    <t>Con brazo soporte incorporado para instrumento de medicion</t>
  </si>
  <si>
    <t>En "V" de acero con tornillo y grampa de sujecion</t>
  </si>
  <si>
    <t>En "V" de granito con tornillo y grampa de sujecion</t>
  </si>
  <si>
    <t>En "V" con fijacion magnetica</t>
  </si>
  <si>
    <t>Paralelepipedos rectos</t>
  </si>
  <si>
    <t>En "X"</t>
  </si>
  <si>
    <t>Escuadras de comprobacion de superficies planas</t>
  </si>
  <si>
    <t>Con ranuras pasantes</t>
  </si>
  <si>
    <t>Reglas de comprobacion de superficies planas</t>
  </si>
  <si>
    <t>Biseladas</t>
  </si>
  <si>
    <t>Las demas. de acero</t>
  </si>
  <si>
    <t>Instrumentos de dibujo</t>
  </si>
  <si>
    <t>Escuadras sin dividir</t>
  </si>
  <si>
    <t>Transportadores de angulos</t>
  </si>
  <si>
    <t>Compases</t>
  </si>
  <si>
    <t>Reglas sin dividir. incluidas las tes</t>
  </si>
  <si>
    <t>Micrometros</t>
  </si>
  <si>
    <t>Pies de rey</t>
  </si>
  <si>
    <t>Calibradores. incluso presentados en estuche</t>
  </si>
  <si>
    <t>Metros</t>
  </si>
  <si>
    <t>Plegables</t>
  </si>
  <si>
    <t>De cinta</t>
  </si>
  <si>
    <t>De los tipos utilizados en sastreria</t>
  </si>
  <si>
    <t>No metalicas. de los tipos utilizados para medidas anatomicas</t>
  </si>
  <si>
    <t>Reglas divididas</t>
  </si>
  <si>
    <t>Dobledecimetro</t>
  </si>
  <si>
    <t>Tripledecimetro</t>
  </si>
  <si>
    <t>Curvimetros</t>
  </si>
  <si>
    <t>Comparadores de cuadrante</t>
  </si>
  <si>
    <t>Escuadras divididas</t>
  </si>
  <si>
    <t>Transportadores divididos</t>
  </si>
  <si>
    <t>Juegos de articulos pertenecientes. por lo menos. a dos de las posiciones SIM anteriores</t>
  </si>
  <si>
    <t>De mesas o maquinas de dibujar. automaticas</t>
  </si>
  <si>
    <t>Instrumentos y aparatos de medicina. cirugia. odontologia o veterinaria. incluidos los de centellografia y demas aparatos electromedicos. asi como los aparatos para pruebas visuales.</t>
  </si>
  <si>
    <t>- Aparatos de electrodiagnostico (incluidos los aparatos de exploracion funcional o de vigilancia de parametros fisiologicos):</t>
  </si>
  <si>
    <t>Partes y accesorios</t>
  </si>
  <si>
    <t>Electrodos. excepto los descartables</t>
  </si>
  <si>
    <t>Los demas electrodos</t>
  </si>
  <si>
    <t>Ecografos con analisis espectral Doppler</t>
  </si>
  <si>
    <t>Explorador tomografico por emision de positrones (PET - «Positron Emission Tomography»)</t>
  </si>
  <si>
    <t>Camaras gamma</t>
  </si>
  <si>
    <t>Endoscopios</t>
  </si>
  <si>
    <t>Audiometros</t>
  </si>
  <si>
    <t>Monitor multiparametrico</t>
  </si>
  <si>
    <t>Oximetro de pulso.</t>
  </si>
  <si>
    <t>De electroencefalografos (excepto electrodos) o de monitores de signos vitales. con certificado de la Subsecretaria de Politica y Gestion Comercial</t>
  </si>
  <si>
    <t>De camaras Gamma</t>
  </si>
  <si>
    <t>De endoscopios</t>
  </si>
  <si>
    <t>Electrodos de electroencefalografos</t>
  </si>
  <si>
    <t>Para cirugia que operen por laser</t>
  </si>
  <si>
    <t>Los demas para tratamiento bucal. que operen por laser</t>
  </si>
  <si>
    <t>- Jeringas. agujas. cateteres. canulas e instrumentos similares:</t>
  </si>
  <si>
    <t>De material plastico</t>
  </si>
  <si>
    <t>De capacidad inferior o igual a 2 cm 3</t>
  </si>
  <si>
    <t>Hipodermicas. descartables. esteriles. con aguja</t>
  </si>
  <si>
    <t>De capacidad superior o igual a 1 cm3</t>
  </si>
  <si>
    <t>Hipodermicas. descartables. esteriles. sin aguja</t>
  </si>
  <si>
    <t>De capacidad superior a 2 cm3 pero inferior a 5 cm3</t>
  </si>
  <si>
    <t>De capacidad igual a 5 cm3</t>
  </si>
  <si>
    <t>De capacidad igual a 10 cm3</t>
  </si>
  <si>
    <t>De capacidad igual a 20 cm3</t>
  </si>
  <si>
    <t>Las demas de capacidad inferior o igual a 60 cm3</t>
  </si>
  <si>
    <t>Tubulares de metal</t>
  </si>
  <si>
    <t>Gingivales</t>
  </si>
  <si>
    <t>De acero cromo-niquel. bisel de tres caras y diametro exterior superior o igual a 1.6 mm de los tipos utilizados con bolsa de sangre</t>
  </si>
  <si>
    <t>Agujas punta de lapiz. de los tipos utilizados en anestesia epidural o raquidea</t>
  </si>
  <si>
    <t>Para medicina humana</t>
  </si>
  <si>
    <t>De sutura</t>
  </si>
  <si>
    <t>Agujas</t>
  </si>
  <si>
    <t>Sondas. cateteres y canulas</t>
  </si>
  <si>
    <t>Cateteres del tipo balon. incluso con balon de contrapulsacion</t>
  </si>
  <si>
    <t>Guias e introductores para hemodinamia</t>
  </si>
  <si>
    <t>Cateteres de poli(cloruro de vinilo). para embolectomia arterial</t>
  </si>
  <si>
    <t>Del tipo balon. incluso con balon de contrapulsacion</t>
  </si>
  <si>
    <t>Cateter de poli(cloruro de vinilo). para termodilucion</t>
  </si>
  <si>
    <t>Cateteres intravenosos perifericos. de poliuretano o copolimero de etilenotetrafluoretileno (ETFE)</t>
  </si>
  <si>
    <t>De uso en medicina humana</t>
  </si>
  <si>
    <t>De uso en medicina veterinaria</t>
  </si>
  <si>
    <t>Sonda vesical esteril de poliuretano. con revestimiento hidrofilico. de uso intermitente. que se presenta en un envase con solucion salina para su venta al por menor</t>
  </si>
  <si>
    <t>Canulas nasales para oxigenoterapia</t>
  </si>
  <si>
    <t>Canula Guedel</t>
  </si>
  <si>
    <t>Guias para recambio de tubo endotraqueal</t>
  </si>
  <si>
    <t>Lancetas para vacunacion y cauterios</t>
  </si>
  <si>
    <t>Articulo para fistula arteriovenosa. compuesto de aguja. base de fijacion tipo mariposa. tubo de plastico con conector y obturador</t>
  </si>
  <si>
    <t>Tubos endotraqueales</t>
  </si>
  <si>
    <t>Las demas lancetas para medicina humana</t>
  </si>
  <si>
    <t>- Los demas instrumentos y aparatos de odontologia:</t>
  </si>
  <si>
    <t>Fresas</t>
  </si>
  <si>
    <t>De carburo de volframio (tungsteno)</t>
  </si>
  <si>
    <t>De acero al vanadio</t>
  </si>
  <si>
    <t>Para tratamiento bucal que operen por proyeccion cinetica de particulas</t>
  </si>
  <si>
    <t>Para el diseño y la construccion de piezas ceramicas para restauracion dental. computarizados</t>
  </si>
  <si>
    <t>Instrumentos y aparatos</t>
  </si>
  <si>
    <t>Microscopios binoculares. de los tipos utilizados en cirugia oftalmologica</t>
  </si>
  <si>
    <t>Para transfusion de sangre o infusion intravenosa</t>
  </si>
  <si>
    <t>Bolsas y tubuladuras de material plastico. incluso con vias de acceso lateral. dosificador mecanico automatico. dispositivo de obturacion y piezas insersoras en ambos extremos. presentados en una envuelta esteril. de los tipos utilizados para conectarse a maquinas de separacion celular para procesos de aferesis</t>
  </si>
  <si>
    <t>Tubuladoras de material plastico con filtro de retencion de leucocitos. plaquetas o hematies. con sus correspondientes camaras de goteo. prefiltro. dispositivos de obturacion y piezas de conexion. presentados en una envuelta esteril</t>
  </si>
  <si>
    <t>Las demas bolsas y tubuladoras de material plastico. incluso con vias de acceso lateral. dosificador mecanico automatico. dispositivo de obturacion y piezas insersoras en ambos extremos. presentado en una envuelta esteril</t>
  </si>
  <si>
    <t>Bisturies</t>
  </si>
  <si>
    <t>Litotomos y litotritores</t>
  </si>
  <si>
    <t>Litotritores por onda de choque</t>
  </si>
  <si>
    <t>Partes (Res. 909/94 MEOSP)</t>
  </si>
  <si>
    <t>De litotritores</t>
  </si>
  <si>
    <t>Riñones artificiales</t>
  </si>
  <si>
    <t>Aparatos de diatermia</t>
  </si>
  <si>
    <t>Incubadoras para bebes</t>
  </si>
  <si>
    <t>Aparatos para medida de la presion arterial</t>
  </si>
  <si>
    <t>Esfigmomanometros de columna de mercurio</t>
  </si>
  <si>
    <t>Equipos para terapia intrauretral por microondas apto para el tratamiento de afecciones prostaticas. computarizados</t>
  </si>
  <si>
    <t>Grampas y clipes. sus aplicadores y extractores</t>
  </si>
  <si>
    <t>Clipes para cirugia</t>
  </si>
  <si>
    <t>Desfibriladores externos que operen unicamente en modo automatico (AED - "Automatic External Defibrillator").</t>
  </si>
  <si>
    <t>Tijeras y forceps (pinzas) para cirugia endoscopica</t>
  </si>
  <si>
    <t>Para artroscopia</t>
  </si>
  <si>
    <t>Insufladores de los tipos utilizados con instrumentos o aparatos de diagnostico o cirugia endoscopica</t>
  </si>
  <si>
    <t>Laringoscopio</t>
  </si>
  <si>
    <t>Bomba de infusion</t>
  </si>
  <si>
    <t>Mascaras laringeas</t>
  </si>
  <si>
    <t>De desfibriladores o maquinas de anestesia con certificado de la Subsecretaria de Politica y Gestion Comercial</t>
  </si>
  <si>
    <t>De aparatos para plasmaferesis</t>
  </si>
  <si>
    <t>Conos de otoscopios. descartables</t>
  </si>
  <si>
    <t>Aparatos de mecanoterapia; aparatos para masajes; aparatos de psicotecnia; aparatos de ozonoterapia. oxigenoterapia o aerosolterapia. aparatos respiratorios de reanimacion y demas aparatos de terapia respiratoria.</t>
  </si>
  <si>
    <t>Para masajes</t>
  </si>
  <si>
    <t>Bañeras para hidromasaje</t>
  </si>
  <si>
    <t>De oxigenoterapia</t>
  </si>
  <si>
    <t>De aerosolterapia</t>
  </si>
  <si>
    <t>De potencia inferior o igual a 125W</t>
  </si>
  <si>
    <t>Respiratorios de reanimacion</t>
  </si>
  <si>
    <t>Pulmones de acero</t>
  </si>
  <si>
    <t>Los demas aparatos respiratorios y mascaras antigas. excepto las mascaras de proteccion sin mecanismo ni elemento filtrante amovible.</t>
  </si>
  <si>
    <t>Mascaras antigas</t>
  </si>
  <si>
    <t>Articulos y aparatos de ortopedia. incluidas las fajas y vendajes medicoquirurgicos y las muletas; tablillas. ferulas u otros articulos y aparatos para fracturas; articulos y aparatos de protesis; audifonos y demas aparatos que lleve la propia persona o se le implanten para compensar un defecto o incapacidad.</t>
  </si>
  <si>
    <t>Articulos y aparatos de ortopedia</t>
  </si>
  <si>
    <t>Para enderezar el cuello</t>
  </si>
  <si>
    <t>Para enderezar la columna vertebral</t>
  </si>
  <si>
    <t>Calzado ortopedico</t>
  </si>
  <si>
    <t>Bragueros para hernias</t>
  </si>
  <si>
    <t>Muletas y bastones muleta</t>
  </si>
  <si>
    <t>Articulos y aparatos para fracturas</t>
  </si>
  <si>
    <t>Placas</t>
  </si>
  <si>
    <t>Clavos</t>
  </si>
  <si>
    <t>Extensores</t>
  </si>
  <si>
    <t>De articulos y aparatos de ortopedia. articulados</t>
  </si>
  <si>
    <t>- Articulos y aparatos de protesis dental:</t>
  </si>
  <si>
    <t>Dientes</t>
  </si>
  <si>
    <t>De dos capas</t>
  </si>
  <si>
    <t>De tres capas</t>
  </si>
  <si>
    <t>Articulos y aparatos</t>
  </si>
  <si>
    <t>- Los demas articulos y aparatos de protesis:</t>
  </si>
  <si>
    <t>Femorales</t>
  </si>
  <si>
    <t>Mioelectricas</t>
  </si>
  <si>
    <t>Valvulas cardiacas</t>
  </si>
  <si>
    <t>Mecanicas</t>
  </si>
  <si>
    <t>Lentillas intraoculares</t>
  </si>
  <si>
    <t>Protesis de arterias vasculares revestidas</t>
  </si>
  <si>
    <t>Protesis mamarias no implantables</t>
  </si>
  <si>
    <t>Ojos artificiales</t>
  </si>
  <si>
    <t>Filtros intravasculares</t>
  </si>
  <si>
    <t>Protesis de arterias vasculares. sin revestir</t>
  </si>
  <si>
    <t>Valvulas para neurologia o hidrocefalia</t>
  </si>
  <si>
    <t>Corazones artificiales</t>
  </si>
  <si>
    <t>Protesis mamarias implantables</t>
  </si>
  <si>
    <t>Partes de protesis modulares que reemplazan miembros superiores o inferiores</t>
  </si>
  <si>
    <t>Para colocacion de lentillas intraoculares</t>
  </si>
  <si>
    <t>Del tipo implantable. apto para restaurar la capacidad auditiva (implantes cocleares)</t>
  </si>
  <si>
    <t>-Estimuladores cardiacos (marcapasos). excepto sus partes y accesorios</t>
  </si>
  <si>
    <t>Aparatos que se implantan en el organismo para compensar un defecto o una incapacidad.</t>
  </si>
  <si>
    <t>Cardiodesfibriladores automaticos</t>
  </si>
  <si>
    <t>Cardioversores</t>
  </si>
  <si>
    <t>Implantes expandibles. ("Stents"). incluso montados sobre cateter del tipo balon</t>
  </si>
  <si>
    <t>Oclusores interauriculares constituidos por una malla de alambre de niquel y titanio rellena con tejido de poliester. incluso presentados con su respectivo cateter</t>
  </si>
  <si>
    <t>Infusor de insulina portable por el paciente. conformado por deposito de insulina. bomba dispensadora y unidad de memoria para programacion de dosis y frecuencia de administracion</t>
  </si>
  <si>
    <t>De estimuladores cardiacos (marcapasos)</t>
  </si>
  <si>
    <t>De audifonos</t>
  </si>
  <si>
    <t>Aparatos de rayos X y aparatos que utilicen radiaciones alfa. beta o gamma. incluso para uso medico. quirurgico. odontologico o veterinario. incluidos los aparatos de radiografia o radioterapia. tubos de rayos X y demas dispositivos generadores de rayos X. generadores de tension. consolas de mando. pantallas. mesas. sillones y soportes similares para examen o tratamiento.</t>
  </si>
  <si>
    <t>- Aparatos de rayos X. incluso para uso medico. quirurgico. odontologico o veterinario. incluidos los aparatos de radiografia o radioterapia:</t>
  </si>
  <si>
    <t>De diagnostico</t>
  </si>
  <si>
    <t>Para tomas maxilares panoramicas</t>
  </si>
  <si>
    <t>Para mamografia</t>
  </si>
  <si>
    <t>Para angiografia</t>
  </si>
  <si>
    <t>Biplanares</t>
  </si>
  <si>
    <t>Para densitometria osea. computarizado</t>
  </si>
  <si>
    <t>Aceleradores lineales. reacondicionados por el fabricnte original. con certificacion extendida por el mismo</t>
  </si>
  <si>
    <t>Los demas aceleradores lineales</t>
  </si>
  <si>
    <t>Espectrometros o espectrografos de rayos X</t>
  </si>
  <si>
    <t>Para analisis de estructuras cristalinas</t>
  </si>
  <si>
    <t>Para analisis de composiciones quimicas</t>
  </si>
  <si>
    <t>De los tipos utilizados para inspeccion de equipaje. con tunel de altura inferior o igual a 0.4m. ancho inferior o igual a 0.6m y longitud inferior o igual a 1.2m</t>
  </si>
  <si>
    <t>Para examenes radioscopicos</t>
  </si>
  <si>
    <t>- Aparatos que utilicen radiaciones alfa. beta o gamma. incluso para uso medico. quirurgico. odontologico o veterinario. incluidos los aparatos de radiografia o radioterapia:</t>
  </si>
  <si>
    <t>Aparatos de radiocobalto (bomba de cobalto)</t>
  </si>
  <si>
    <t>Los demas aparatos para gammaterapia</t>
  </si>
  <si>
    <t>Para deteccion de nivel de llenado o tapas faltantes. en latas de bebidas. mediante rayos gamma</t>
  </si>
  <si>
    <t>Tubos de rayos X nuevo. alojado en dispositivo (calota) destinado a su refrigeracion. proteccion y aislacion electrica usado y reacondicionado por el fabricante original. con certificado de garantia extendido por el mismo</t>
  </si>
  <si>
    <t>Para aparatos de uso medico</t>
  </si>
  <si>
    <t>Los demas para aparatos de uso medico</t>
  </si>
  <si>
    <t>Generadores de tension</t>
  </si>
  <si>
    <t>Pantallas radiologicas</t>
  </si>
  <si>
    <t>Colimadores</t>
  </si>
  <si>
    <t>Partes y accesorios de aparatos de rayos X</t>
  </si>
  <si>
    <t>De tomografos computarizados</t>
  </si>
  <si>
    <t>De aceleradores lineales</t>
  </si>
  <si>
    <t>De otros aparatos de rayos X. con certificado de la Subsecretaria de Politica y Gestion Comercial</t>
  </si>
  <si>
    <t>Instrumentos. aparatos y modelos concebidos para demostraciones (por ejemplo: en la enseñanza o exposiciones). no susceptibles de otros usos.</t>
  </si>
  <si>
    <t>Instrumentos. aparatos y modelos</t>
  </si>
  <si>
    <t>Maquinas y aparatos para ensayos de dureza. traccion. compresion. elasticidad u otras propiedades mecanicas de materiales (por ejemplo: metal. madera. textil. papel. plastico).</t>
  </si>
  <si>
    <t>Para ensayos de traccion o de compresion</t>
  </si>
  <si>
    <t>Para ensayos de elasticidad</t>
  </si>
  <si>
    <t>Para ensayos de rotura</t>
  </si>
  <si>
    <t>Para ensayos de dureza</t>
  </si>
  <si>
    <t>Durometros</t>
  </si>
  <si>
    <t>Para ensayos de fatiga</t>
  </si>
  <si>
    <t>Para ensayos de plegado</t>
  </si>
  <si>
    <t>Maquinas y aparatos para ensayos de textiles</t>
  </si>
  <si>
    <t>Automaticos. para hilados</t>
  </si>
  <si>
    <t>Dinamometros</t>
  </si>
  <si>
    <t>Extensimetros (extensiometros)</t>
  </si>
  <si>
    <t>Abrasimetros</t>
  </si>
  <si>
    <t>Maquinas y aparatos para ensayos de papel. carton. linoleo y plastico o caucho flexibles</t>
  </si>
  <si>
    <t>Maquinas para ensayos de neumaticos</t>
  </si>
  <si>
    <t>Elastometros</t>
  </si>
  <si>
    <t>Densimetros. areometros. pesaliquidos e instrumentos flotantes similares. termometros. pirometros. barometros. higrometros y sicrometros. aunque sean registradores. incluso combinados entre si.</t>
  </si>
  <si>
    <t>- Termometros y pirometros. sin combinar con otros instrumentos:</t>
  </si>
  <si>
    <t>Termometros clinicos</t>
  </si>
  <si>
    <t>Pirometros opticos</t>
  </si>
  <si>
    <t>Pirometros electricos</t>
  </si>
  <si>
    <t>Termometros electricos</t>
  </si>
  <si>
    <t>De contacto</t>
  </si>
  <si>
    <t>De uso clinico</t>
  </si>
  <si>
    <t>De termometros</t>
  </si>
  <si>
    <t>De pirometros</t>
  </si>
  <si>
    <t>De barometros</t>
  </si>
  <si>
    <t>De higrometros</t>
  </si>
  <si>
    <t>Instrumentos y aparatos para la medida o control del caudal. nivel. presion u otras caracteristicas variables de liquidos o gases (por ejemplo: caudalimetros. indicadores de nivel. manometros. contadores de calor). excepto los instrumentos y aparatos de las partidas 90.14. 90.15. 90.28 o 90.32.</t>
  </si>
  <si>
    <t>Para medida o control de caudal</t>
  </si>
  <si>
    <t>Medidores-transmisores electronicos. que funcionen por el principio de induccion electromagnetica</t>
  </si>
  <si>
    <t>De petroleo o sus derivados u otros liquidos distintos del agua. para un caudal inferior o igual a 140 m3/h</t>
  </si>
  <si>
    <t>Para medida o control de nivel</t>
  </si>
  <si>
    <t>De metales. mediante corrientes parasitas</t>
  </si>
  <si>
    <t>De combustible. para tanques de vehiculos automoviles</t>
  </si>
  <si>
    <t>Manometros</t>
  </si>
  <si>
    <t>De los tipos utilizados en extintores (Segun Norma IRAM 3533)</t>
  </si>
  <si>
    <t>Aparato para monitoreo de presion y temperatura de neumaticos de vehiculos automoviles</t>
  </si>
  <si>
    <t>De instrumentos y aparatos para medida o control de nivel</t>
  </si>
  <si>
    <t>Sensor de nivel de liquido en circuito de frenos de vehiculos automoviles</t>
  </si>
  <si>
    <t>Sensor de nivel de liquido refrigerante. de los tipos utilizados en radiadores de vehiculos automoviles</t>
  </si>
  <si>
    <t>Sensor de agua en filtros de combustible de motores de vehiculos automoviles</t>
  </si>
  <si>
    <t>De manometros</t>
  </si>
  <si>
    <t>Sensor de presion. de los tipos utilizados en circuitos hidraulicos de direcciones asistidas de vehiculos automoviles</t>
  </si>
  <si>
    <t>Sensor de presion. de los tipos utilizados en sistemas de turboalimentacion de vehiculos automoviles</t>
  </si>
  <si>
    <t>Sensor de presion de combustible. de los tipos utilizados en dispositivos de inyeccion de combustible "common rail"</t>
  </si>
  <si>
    <t>Sensor de presion de combustible. de los tipos utilizados en circuito de inyeccion de motores de vehiculos automoviles</t>
  </si>
  <si>
    <t>Sensor de presion. de los tipos utilizados en la entrada de aire de motores de vehiculos automoviles</t>
  </si>
  <si>
    <t>Sensores de presion electronicos</t>
  </si>
  <si>
    <t>Instrumentos y aparatos para analisis fisicos o quimicos (por ejemplo: polarimetros. refractometros. espectrometros. analizadores de gases o humos); instrumentos y aparatos para ensayos de viscosidad. porosidad. dilatacion. tension superficial o similares o para medidas calorimetricas. acusticas o fotometricas (incluidos los exposimetros); microtomos.</t>
  </si>
  <si>
    <t>Medidores de concentracion de alcohol en aire exhalado (Etilometros)</t>
  </si>
  <si>
    <t>Detector de dioxido de carbono (Capnografos)</t>
  </si>
  <si>
    <t>Cromatografos</t>
  </si>
  <si>
    <t>De fase gaseosa</t>
  </si>
  <si>
    <t>De fase liquida</t>
  </si>
  <si>
    <t>Instrumentos de electroforesis</t>
  </si>
  <si>
    <t>Secuenciadores automaticos de ADN mediante electroforesis capilar</t>
  </si>
  <si>
    <t>Espectrometros y espectrografos</t>
  </si>
  <si>
    <t>De emision atomica</t>
  </si>
  <si>
    <t>Espectrofotometros</t>
  </si>
  <si>
    <t>Colorimetros</t>
  </si>
  <si>
    <t>Fotometros</t>
  </si>
  <si>
    <t>Refractometros</t>
  </si>
  <si>
    <t>Sacarimetros</t>
  </si>
  <si>
    <t>Citometros de flujo</t>
  </si>
  <si>
    <t>Aparatos para autoevaluacion de glucemia</t>
  </si>
  <si>
    <t>Calorimetros. viscosimetros. densitometros y pehachimetros</t>
  </si>
  <si>
    <t>Calorimetros</t>
  </si>
  <si>
    <t>Viscosimetros</t>
  </si>
  <si>
    <t>Densitometros</t>
  </si>
  <si>
    <t>Pehachimetros</t>
  </si>
  <si>
    <t>Espectrometros de masa</t>
  </si>
  <si>
    <t>Polarografos</t>
  </si>
  <si>
    <t>Exposimetros</t>
  </si>
  <si>
    <t>Dilatometros</t>
  </si>
  <si>
    <t>Porosimetros</t>
  </si>
  <si>
    <t>Permeametros</t>
  </si>
  <si>
    <t>Osmometros</t>
  </si>
  <si>
    <t>Erreachimetros (RH)</t>
  </si>
  <si>
    <t>Luxometros</t>
  </si>
  <si>
    <t>Aparato para determinar parametros hemodinamicos (pCO2. pO2 y PH) (R. 841/99 MEYOSP)</t>
  </si>
  <si>
    <t>Microtomos</t>
  </si>
  <si>
    <t>De espectrometros y espectrografos. de emision atomica</t>
  </si>
  <si>
    <t>De polarografos</t>
  </si>
  <si>
    <t>Para uso medico en los terminos de la Resolucion conjunta 370/03 y 349/03 ME MS. con certificado de la Subsecretaria de Politica y Gestion Comercial</t>
  </si>
  <si>
    <t>Los demas. para uso medico en los terminos de la Resolucion conjunta 370/03 y 349/03 ME MS</t>
  </si>
  <si>
    <t>Sonda lambda</t>
  </si>
  <si>
    <t>Contadores de gas. liquido o electricidad. incluidos los de calibracion.</t>
  </si>
  <si>
    <t>De gas natural comprimido. electronicos</t>
  </si>
  <si>
    <t>De los tipos utilizados en estaciones de servicio o garages</t>
  </si>
  <si>
    <t>A diafragma. de hasta 6 m3/h (R.1108/97 MEOSP)</t>
  </si>
  <si>
    <t>De peso inferior o igual a 50 kg</t>
  </si>
  <si>
    <t>De peso superior a 50 kg</t>
  </si>
  <si>
    <t>Monofasicos para corriente alterna</t>
  </si>
  <si>
    <t>Numericos (digitales)</t>
  </si>
  <si>
    <t>Bifasicos</t>
  </si>
  <si>
    <t>De contadores de electricidad</t>
  </si>
  <si>
    <t>Los demas contadores (por ejemplo: cuentarrevoluciones. contadores de produccion. taximetros. cuentakilometros. podometros); velocimetros y tacometros. excepto los de las partidas 90.14 o 90.15; estroboscopios.</t>
  </si>
  <si>
    <t>Cuentarrevoluciones. contadores de produccion o de horas de trabajo</t>
  </si>
  <si>
    <t>Cuenterrevoluciones</t>
  </si>
  <si>
    <t>Contadores de produccion o de horas de trabajo</t>
  </si>
  <si>
    <t>Cuentakilometros</t>
  </si>
  <si>
    <t>Podometros</t>
  </si>
  <si>
    <t>Taximetros</t>
  </si>
  <si>
    <t>Velocimetros y tacometros</t>
  </si>
  <si>
    <t>Velocimetros</t>
  </si>
  <si>
    <t>Tacometros</t>
  </si>
  <si>
    <t>Estroboscopios</t>
  </si>
  <si>
    <t>De velocimetros y tacometros</t>
  </si>
  <si>
    <t>Osciloscopios. analizadores de espectro y demas instrumentos y aparatos para medida o control de magnitudes electricas; instrumentos y aparatos para medida o deteccion de radiaciones alfa. beta. gamma. X. cosmicas o demas radiaciones ionizantes.</t>
  </si>
  <si>
    <t>Medidores de radiactividad</t>
  </si>
  <si>
    <t>De tubos geiger</t>
  </si>
  <si>
    <t>De camara de ionizacion</t>
  </si>
  <si>
    <t>Contadores de centelleo</t>
  </si>
  <si>
    <t>De los tipos utilizados en medicina u odontologia</t>
  </si>
  <si>
    <t>Osciloscopios numericos (digitales)</t>
  </si>
  <si>
    <t>De frecuencia inferior o igual a 40 MHz</t>
  </si>
  <si>
    <t>De frecuencia superior a 40 MHz pero inferior o igual a 60 MHz</t>
  </si>
  <si>
    <t>De frecuencia superior a 60 MHz pero inferior o igual a 100 MHz</t>
  </si>
  <si>
    <t>Osciloscopios analogicos</t>
  </si>
  <si>
    <t>De frecuencia superior o igual a 60 MHz</t>
  </si>
  <si>
    <t>Vectorscopios</t>
  </si>
  <si>
    <t>De doble trazo</t>
  </si>
  <si>
    <t>De frecuencia inferior o igual a 25 MHz</t>
  </si>
  <si>
    <t>De frecuencia superior a 25 MHz pero inferior o igual a 40 MHz</t>
  </si>
  <si>
    <t>Oscilografos</t>
  </si>
  <si>
    <t>- Los demas instrumentos y aparatos para medida o control de tension. intensidad. resistencia o potencia:</t>
  </si>
  <si>
    <t>Voltimetros</t>
  </si>
  <si>
    <t>Amperimetros</t>
  </si>
  <si>
    <t>Ohmetros</t>
  </si>
  <si>
    <t>Vatimetros</t>
  </si>
  <si>
    <t>Para prueba de continuidad de circuitos impresos</t>
  </si>
  <si>
    <t>Analizadores de protocolo</t>
  </si>
  <si>
    <t>Analizadores de nivel selectivo</t>
  </si>
  <si>
    <t>Analizadores numericos (digitales) de transmision</t>
  </si>
  <si>
    <t>- Los demas instrumentos y aparatos:</t>
  </si>
  <si>
    <t>- - Para medida o control de obleas («wafers») o dispositivos. semiconductores</t>
  </si>
  <si>
    <t>Para prueba de circuitos integrados</t>
  </si>
  <si>
    <t>Para prueba automatica de circuitos impresos con sus componentes montados</t>
  </si>
  <si>
    <t>Para medida de parametros caracteristicos de señales de television o video</t>
  </si>
  <si>
    <t>Analizadores logicos de circuitos numericos (digitales)</t>
  </si>
  <si>
    <t>Analizadores de espectro de frecuencia</t>
  </si>
  <si>
    <t>Frecuencimetros</t>
  </si>
  <si>
    <t>Fasimetros</t>
  </si>
  <si>
    <t>Capacimetros</t>
  </si>
  <si>
    <t>De instrumentos y aparatos de la subpartida 9030.10</t>
  </si>
  <si>
    <t>De contadores gamma para uso medico</t>
  </si>
  <si>
    <t>Instrumentos. aparatos y maquinas de medida o control. no expresados ni comprendidos en otra parte de este Capitulo; proyectores de perfiles.</t>
  </si>
  <si>
    <t>Maquina para medir el desbalanceo de neumaticos. incluso combinada con dispositivo de alimentacion automatica y tablero de control y mando</t>
  </si>
  <si>
    <t>Para motores</t>
  </si>
  <si>
    <t>Equipo para comprobacion de fugas. calibracion y limpieza de inyectores de combustible</t>
  </si>
  <si>
    <t>- Los demas instrumentos y aparatos. opticos:</t>
  </si>
  <si>
    <t>--Para control de obleas («wafers») o dispositivos. semiconductores o para control de mascaras o reticulas utilizadas en la fabricacion de dispositivos semiconductores</t>
  </si>
  <si>
    <t>Para medida de parametros dimensionales de fibras de celulosa. mediante rayos laser</t>
  </si>
  <si>
    <t>Para medida del espesor de neumaticos de vehiculos automoviles. mediante rayos laser</t>
  </si>
  <si>
    <t>Dinamometros y rugosimetros</t>
  </si>
  <si>
    <t>Rugosimetros</t>
  </si>
  <si>
    <t>Maquinas para medicion tridimensional</t>
  </si>
  <si>
    <t>Metros patrones</t>
  </si>
  <si>
    <t>Aparatos digitales de los tipos utilizados en vehiculos automoviles para medida e indicacion de multiples magnitudes. tales como: velocidad media. consumos instantaneo y medio y autonomia (computadores de a bordo)</t>
  </si>
  <si>
    <t>Aparatos para analisis de textiles. computarizados</t>
  </si>
  <si>
    <t>Celdas de carga</t>
  </si>
  <si>
    <t>De acero "inoxidable"(VI-6) R.1439/98 MEOSP</t>
  </si>
  <si>
    <t>Para el control dimensional de neumaticos. en condiciones de carga</t>
  </si>
  <si>
    <t>Para deteccion de fallas. fisuras u otros defectos de los materiales</t>
  </si>
  <si>
    <t>Para alinear ruedas de vehiculos automoviles</t>
  </si>
  <si>
    <t>Codificadores angulares (encoders)</t>
  </si>
  <si>
    <t>Que funcionen por el principio de induccion electromagnetica. de los tipos utilizados como sensor de velocidad de vehiculos automoviles</t>
  </si>
  <si>
    <t>Magnetico con corona asociada. de los tipos utilizados para detectar posicion de cigueñal en motores de vehiculos automoviles</t>
  </si>
  <si>
    <t>Magnetico con corona asociada. incluso con sus cables de conexion y elementos de fijacion. de los tipos utilizados como sensor de rotacion de ruedas de vehiculos automoviles</t>
  </si>
  <si>
    <t>De los tipos utilizados para detectar el angulo de giro determinado por el volante de direccion de vehiculos automoviles y relacionarlo con el movimiento de los faros delanteros</t>
  </si>
  <si>
    <t>Niveles de burbuja de aire</t>
  </si>
  <si>
    <t>De marco o cuadro</t>
  </si>
  <si>
    <t>Con base magnetica</t>
  </si>
  <si>
    <t>Para comprobacion de angulos</t>
  </si>
  <si>
    <t>Reglas de seno</t>
  </si>
  <si>
    <t>Mesas de seno de angulo simple</t>
  </si>
  <si>
    <t>Mesas de seno de angulo compuesto</t>
  </si>
  <si>
    <t>Calibres de control</t>
  </si>
  <si>
    <t>Tipo tapon pasa-no pasa</t>
  </si>
  <si>
    <t>Tipo herradura pasa-no pasa</t>
  </si>
  <si>
    <t>Ajustables (registrables) lisos</t>
  </si>
  <si>
    <t>Ajustables (registrables) roscados</t>
  </si>
  <si>
    <t>Fijos roscados</t>
  </si>
  <si>
    <t>Metrografo lineal</t>
  </si>
  <si>
    <t>Unidad de control de "airbag"</t>
  </si>
  <si>
    <t>Sensor de lluvia. de los tipos utilizados para el accionamiento y control de velocidad de limpiaparabrisas de vehiculos automoviles</t>
  </si>
  <si>
    <t>Dispositivo de medicion inercial. de los tipos utilizados para la activacion del control de estabilidad (ESP) en vehiculos automoviles</t>
  </si>
  <si>
    <t>Aparato destinado al control de ingreso de personas a centros de esqui mediante la deteccion (lectura) de tarjetas de acceso y validacion de datos biometricos. provisto de molinete</t>
  </si>
  <si>
    <t>De bancos de pruebas</t>
  </si>
  <si>
    <t>Pies soportes con brazo articulado para comparadores</t>
  </si>
  <si>
    <t>Instrumentos y aparatos para regulacion o control automaticos.</t>
  </si>
  <si>
    <t>De expansion de fluidos</t>
  </si>
  <si>
    <t>De los tipos utilizados en refrigeradores. congeladores y demas materiales. maquinas y aparatos para produccion de frio</t>
  </si>
  <si>
    <t>Reguladores de voltaje</t>
  </si>
  <si>
    <t>Electronicos</t>
  </si>
  <si>
    <t>De los tipos utilizados en motocicletas. con una corriente de salida inferior o igual a 30 A</t>
  </si>
  <si>
    <t>Con salida de corriente alterna</t>
  </si>
  <si>
    <t>Con salida de corriente continua</t>
  </si>
  <si>
    <t>Controladores electronicos de los tipos utilizados en vehiculos automoviles</t>
  </si>
  <si>
    <t>Para sistemas antibloqueo de freno (ABS)</t>
  </si>
  <si>
    <t>Para sistemas de suspension</t>
  </si>
  <si>
    <t>Para sistemas de transmision</t>
  </si>
  <si>
    <t>Para sistemas de ignicion</t>
  </si>
  <si>
    <t>Para sistemas de inyeccion</t>
  </si>
  <si>
    <t>Para motores diesel</t>
  </si>
  <si>
    <t>Los demas </t>
  </si>
  <si>
    <t>De sistemas de ignicion e inyeccion</t>
  </si>
  <si>
    <t>Aparatos numericos (digitales) para control de vehiculos ferroviarios</t>
  </si>
  <si>
    <t>Los demas. para regulacion o control de magnitudes no electricas</t>
  </si>
  <si>
    <t>De presion</t>
  </si>
  <si>
    <t>De temperatura</t>
  </si>
  <si>
    <t>De humedad</t>
  </si>
  <si>
    <t>De velocidad de motores electricos por variacion de frecuencia</t>
  </si>
  <si>
    <t>De termostatos</t>
  </si>
  <si>
    <t>Sensor de caudal y temperatura de aire para sistemas de ignicion e inyeccion</t>
  </si>
  <si>
    <t>Sensor de emisiones de escape (NOX - Nitrogeno/Oxigeno) para sistemas de ignicion e inyeccion</t>
  </si>
  <si>
    <t>PARTES Y ACCESORIOS. NO EXPRESADOS NI COMPRENDIDOS EN OTRA PARTE DE ESTE CAPÃTULO. PARA MaQUINAS. APARATOS. INSTRUMENTOS O ARTÃCULOS DEL CAPÃTULO 90.</t>
  </si>
  <si>
    <t>Relojes de pulsera. bolsillo y similares (incluidos los contadores de tiempo de los mismos tipos). con caja de metal precioso o chapado de metal precioso (plaque).</t>
  </si>
  <si>
    <t>- Relojes de pulsera. electricos. incluso con contador de tiempo incorporado:</t>
  </si>
  <si>
    <t>- Los demas relojes de pulsera. incluso con contador de tiempo incorporado:</t>
  </si>
  <si>
    <t>Relojes de pulsera. bolsillo y similares (incluidos los contadores de tiempo de los mismos tipos). excepto los de la partida 91.01.</t>
  </si>
  <si>
    <t>Con caja de metal comun</t>
  </si>
  <si>
    <t>De pila o de acumulador (anexo II-9)</t>
  </si>
  <si>
    <t>Con caja de titanio. incluidas sus aleaciones</t>
  </si>
  <si>
    <t>Con pulsera de titanio. incluidas sus aleaciones</t>
  </si>
  <si>
    <t>Con caja de acero. incluso inoxidable</t>
  </si>
  <si>
    <t>Con pulsera de metal comun</t>
  </si>
  <si>
    <t>Con pulsera de plastico o caucho</t>
  </si>
  <si>
    <t>Con pulsera de cuero natural o regenerado</t>
  </si>
  <si>
    <t>Con caja de aluminio. incluidas sus aleaciones</t>
  </si>
  <si>
    <t>Con caja de bronce</t>
  </si>
  <si>
    <t>Con caja de los demas metales comunes</t>
  </si>
  <si>
    <t>Con caja de metal precioso o chapado de metal precioso y fondo de acero</t>
  </si>
  <si>
    <t>Con caja de metal precioso</t>
  </si>
  <si>
    <t>Con pulsera de metal precioso o chapado de metal precioso</t>
  </si>
  <si>
    <t>Con pulsera de los demas metales comunes</t>
  </si>
  <si>
    <t>Con pulsera de cuero natural</t>
  </si>
  <si>
    <t>Con caja chapada de metal precioso</t>
  </si>
  <si>
    <t>Con caja de plastico o caucho</t>
  </si>
  <si>
    <t>Con caja de plastico. excepto las reforzadas con fibra de vidrio</t>
  </si>
  <si>
    <t>Con caja de plastico reforzada con fibra de vidrio o carbono. o con caja de caucho. incluso reforzada con dichas materias</t>
  </si>
  <si>
    <t>Despertadores y demas relojes de pequeño mecanismo de relojeria.</t>
  </si>
  <si>
    <t>Con indicacion analogica (R.2506/93 ANA)</t>
  </si>
  <si>
    <t>RELOJES DE TABLERO DE INSTRUMENTOS Y RELOJES SIMILARES. PARA AUTOMOVILES. AERONAVES. BARCOS O DEMaS VEHÃCULOS.</t>
  </si>
  <si>
    <t>Los demas relojes.</t>
  </si>
  <si>
    <t>- Despertadores:</t>
  </si>
  <si>
    <t>De pilas o de acumulador</t>
  </si>
  <si>
    <t>Con conexion a la red electrica</t>
  </si>
  <si>
    <t>- Relojes de pared:</t>
  </si>
  <si>
    <t>Aparatos de control de tiempo y contadores de tiempo. con mecanismo de relojeria o motor sincronico (por ejemplo: registradores de asistencia. registradores fechadores. registradores contadores).</t>
  </si>
  <si>
    <t>Registradores de asistencia</t>
  </si>
  <si>
    <t>Fechadores y contadores</t>
  </si>
  <si>
    <t>Interruptores horarios y demas aparatos que permitan accionar un dispositivo en un momento dado. con mecanismo de relojeria o motor sincronico.</t>
  </si>
  <si>
    <t>Interruptores horarios</t>
  </si>
  <si>
    <t>Pequeños mecanismos de relojeria completos y montados.</t>
  </si>
  <si>
    <t>- Electricos:</t>
  </si>
  <si>
    <t>Para relojes de las partidas 91.01 o 91.02</t>
  </si>
  <si>
    <t>Los demas mecanismos de relojeria completos y montados.</t>
  </si>
  <si>
    <t>De despertador</t>
  </si>
  <si>
    <t>Mecanismos de relojeria completos. sin montar o parcialmente montados («chablons»); mecanismos de relojeria incompletos. montados; mecanismos de relojeria «en blanco» («ebauches»).</t>
  </si>
  <si>
    <t>- Pequeños mecanismos:</t>
  </si>
  <si>
    <t>- - Mecanismos completos. sin montar o parcialmente montados («chablons»)</t>
  </si>
  <si>
    <t>--Mecanismos &lt;&lt;en blanco&gt;&gt; (&lt;&lt;ebauches&gt;&gt;)</t>
  </si>
  <si>
    <t>Cajas de los relojes de las partidas 91.01 o 91.02. y sus partes.</t>
  </si>
  <si>
    <t>De laton. en esbozos</t>
  </si>
  <si>
    <t>Fondos de metal comun</t>
  </si>
  <si>
    <t>Cajas y envolturas similares para los demas aparatos de relojeria. y sus partes.</t>
  </si>
  <si>
    <t>Pulseras para reloj y sus partes.</t>
  </si>
  <si>
    <t>Pulseras para relojes</t>
  </si>
  <si>
    <t>Con partes de metal precioso o chapadas de metal precioso</t>
  </si>
  <si>
    <t>De cuero natural de reptil</t>
  </si>
  <si>
    <t>De piel natural de tiburon</t>
  </si>
  <si>
    <t>De cuero natural vacuno</t>
  </si>
  <si>
    <t>Las demas partes de aparatos de relojeria.</t>
  </si>
  <si>
    <t>-Muelles (resortes). incluidas las espirales</t>
  </si>
  <si>
    <t>Tijas</t>
  </si>
  <si>
    <t>Basculas</t>
  </si>
  <si>
    <t>Ejes y piñones</t>
  </si>
  <si>
    <t>Pianos. incluso automaticos; clavecines y demas instrumentos de cuerda con teclado.</t>
  </si>
  <si>
    <t>Los demas instrumentos musicales de cuerda (por ejemplo: guitarras. violines. arpas).</t>
  </si>
  <si>
    <t>Instrumentos de cuerdas pinzadas</t>
  </si>
  <si>
    <t>Guitarras</t>
  </si>
  <si>
    <t>Clasicas</t>
  </si>
  <si>
    <t>Acusticas</t>
  </si>
  <si>
    <t>Instrumentos musicales de viento (por ejemplo: organos de tubos y teclado. acordeones. clarinetes. trompetas. gaitas). excepto los orquestriones y los organillos.</t>
  </si>
  <si>
    <t>- Instrumentos llamados «metales»</t>
  </si>
  <si>
    <t>Trompetas</t>
  </si>
  <si>
    <t>Cornetas</t>
  </si>
  <si>
    <t>Trompas</t>
  </si>
  <si>
    <t>Tubas</t>
  </si>
  <si>
    <t>Trombones</t>
  </si>
  <si>
    <t>De tubos con agujeros</t>
  </si>
  <si>
    <t>Flautas</t>
  </si>
  <si>
    <t>Clarinetes</t>
  </si>
  <si>
    <t>Saxofones</t>
  </si>
  <si>
    <t>Armonicas</t>
  </si>
  <si>
    <t>Bandoneon diatonico</t>
  </si>
  <si>
    <t>Instrumentos musicales de percusion (por ejemplo: tambores. cajas. xilofonos. platillos. castañuelas. maracas).</t>
  </si>
  <si>
    <t>Instrumentos de membrana o parche</t>
  </si>
  <si>
    <t>Tamboriles</t>
  </si>
  <si>
    <t>Tambores. cajas y bombos</t>
  </si>
  <si>
    <t>Timbales</t>
  </si>
  <si>
    <t>Panderos y panderetas</t>
  </si>
  <si>
    <t>Tam-tams</t>
  </si>
  <si>
    <t>Platillos</t>
  </si>
  <si>
    <t>Castañuelas</t>
  </si>
  <si>
    <t>Maracas</t>
  </si>
  <si>
    <t>Campanas y sus juegos. carillones de tubos</t>
  </si>
  <si>
    <t>Instrumentos musicales en los que el sonido se produzca o tenga que amplificarse electricamente (por ejemplo: organos. guitarras. acordeones).</t>
  </si>
  <si>
    <t>Sintetizadores</t>
  </si>
  <si>
    <t>Guitarras y contrabajos</t>
  </si>
  <si>
    <t>Contrabajos (bajos)</t>
  </si>
  <si>
    <t>Cajas de musica. orquestriones. organillos. pajaros cantores. sierras musicales y demas instrumentos musicales no comprendidos en otra partida de este Capitulo; reclamos de cualquier clase; silbatos. cuernos y demas instrumentos de boca. de llamada o aviso.</t>
  </si>
  <si>
    <t>Partes (por ejemplo. mecanismos de cajas de musica) y accesorios (por ejemplo: tarjetas. discos y rollos para aparatos mecanicos) de instrumentos musicales; metronomos y diapasones de cualquier tipo.</t>
  </si>
  <si>
    <t>De tripa</t>
  </si>
  <si>
    <t>De monofilamentos de materia textil sintetica</t>
  </si>
  <si>
    <t>--Partes y accesorios de instrumentos musicales de la partida 92.02</t>
  </si>
  <si>
    <t>--Partes y accesorios de instrumentos musicales de la partida 92.07</t>
  </si>
  <si>
    <t>Metronomos y diapasones</t>
  </si>
  <si>
    <t>Armas de guerra. excepto los revolveres. pistolas y armas blancas.</t>
  </si>
  <si>
    <t>REVOLVERES Y PISTOLAS. EXCEPTO LOS DE LAS PARTIDAS 93.03 O 93.04.</t>
  </si>
  <si>
    <t>Las demas armas de fuego y artefactos similares que utilicen la deflagracion de polvora (por ejemplo: armas de caza. armas de avancarga. pistolas lanzacohete y demas artefactos concebidos unicamente para lanzar cohetes de señal. pistolas y revolveres de fogueo. pistolas de matarife. cañones lanzacabo).</t>
  </si>
  <si>
    <t>Dispositivos portatiles. no portatiles y fijos destinados al lanzamiento de arpones. guias. cartuchos de iluminacion o señalamiento y elementos para matanza humanitaria de animales o similares. (R.3115/94 ANA)</t>
  </si>
  <si>
    <t>Armas de fogueo</t>
  </si>
  <si>
    <t>Comprendidas en el Art. 3° de la Disp.619/13 RENAR</t>
  </si>
  <si>
    <t>Las demas armas (por ejemplo: armas largas y pistolas de muelle (resorte). aire comprimido o gas. porras). excepto las de la partida 93.07.</t>
  </si>
  <si>
    <t>Agresivos quimicos contenidos en rociadores. espolvoreadores. gasificadores o analogos. que solo producen efectos pasajeros en el organismo humano. sin llegar a provocar la perdida del conocimiento y en recipientes de capacidad de hasta 500 cm3.(R.3115/94 ANA)</t>
  </si>
  <si>
    <t>Revolveres o pistolas.</t>
  </si>
  <si>
    <t>De muelle (resorte) o aire comprimido</t>
  </si>
  <si>
    <t>Armas largas.</t>
  </si>
  <si>
    <t>Armas electronicas. que solo produzcan efectos pasajeros en el organismo humano y sin llegar a provocar la perdida del conocimiento</t>
  </si>
  <si>
    <t>Partes y accesorios de los articulos de las partidas 93.01 a 93.04.</t>
  </si>
  <si>
    <t>Cañones. tambores. correderas. armaduras. cierres. basculas y juegos (KIT) de conversion (R.3115/94 ANA)</t>
  </si>
  <si>
    <t>- De armas largas de la partida 93.03</t>
  </si>
  <si>
    <t>Cañones de anima lisa</t>
  </si>
  <si>
    <t>Cañones. correderas. cierres. cerrojos. basculas y acciones o cajones de mecanismos (R.3115/94 ANA)</t>
  </si>
  <si>
    <t>- - De armas de guerra de la partida 93.01</t>
  </si>
  <si>
    <t>Cargadores. recuperadores. cachas y agujas percutoras (R.3115/94 ANA)</t>
  </si>
  <si>
    <t>Partes y accesorios de los dispositivos portatiles. no portatiles y fijos destinados al lanzamiento de arpones. guias. cartuchos de iluminacion o señalamiento de las armas de avancarga y de los elementos para matanza humanitaria de animales o similares. asi como cargadores. recuperadores. cachas y agujas percutoras (R.3115/94 ANA)</t>
  </si>
  <si>
    <t>Partes y accesorios de armas de aire comprimido (R.3115/94 ANA)</t>
  </si>
  <si>
    <t>Bombas. granadas. torpedos. minas. misiles. cartuchos y demas municiones y proyectiles. y sus partes. incluidas las postas. perdigones y tacos para cartuchos.</t>
  </si>
  <si>
    <t>- Cartuchos para armas largas con cañon de anima lisa y sus partes; balines para armas de aire comprimido:</t>
  </si>
  <si>
    <t>Que contengan agresivos quimicos con fines irritantes</t>
  </si>
  <si>
    <t>Cartuchos vacios con fulminante. "primer". piston. iniciador o cebo (R.3115/94 ANA)</t>
  </si>
  <si>
    <t>Postas. "brennekes". "slugs" y "sabot" (R.3115/94 ANA)</t>
  </si>
  <si>
    <t>Perdigones</t>
  </si>
  <si>
    <t>Vainas de municion desprovistas de capsulas fulminantes y carga propelente</t>
  </si>
  <si>
    <t>Cartuchos de iluminacion o señalamiento (R.3115/94 ANA)</t>
  </si>
  <si>
    <t>Cartuchos para "pistolas" de remachar o usos similares. para pistolas de matarife. y sus partes</t>
  </si>
  <si>
    <t>Municion no explosiva para armas de calibre mayor de 20 mm.. con o sin proyectil (R.3115/94 ANA)</t>
  </si>
  <si>
    <t>Municiones explosivas. incendiarias o fumigenas para armas de fuego (R.3115/94 ANA)</t>
  </si>
  <si>
    <t>Municiones que contienen agresivos quimicos con fines irritantes (R.3115/94 ANA)</t>
  </si>
  <si>
    <t>Proyectiles autopropulsados (R.3115/94 ANA)</t>
  </si>
  <si>
    <t>Minas. torpedos. granadas. bombas de aviacion y bombas de profundidad (R.3115/94 ANA)</t>
  </si>
  <si>
    <t>Minas antipersonales (Dto. 435/95)</t>
  </si>
  <si>
    <t>Arpones (R. 3115/94 ANA)</t>
  </si>
  <si>
    <t>SABLES. ESPADAS. BAYONETAS. LANZAS Y DEMaS ARMAS BLANCAS. SUS PARTES Y FUNDAS.</t>
  </si>
  <si>
    <t>Asientos (excepto los de la partida 94.02). incluso los transformables en cama. y sus partes.</t>
  </si>
  <si>
    <t>Expulsables</t>
  </si>
  <si>
    <t>De metal comun</t>
  </si>
  <si>
    <t>- Asientos de roten (ratan)*. mimbre. bambu o materias similares:</t>
  </si>
  <si>
    <t>De mimbre</t>
  </si>
  <si>
    <t>- Los demas asientos. con armazon de madera:</t>
  </si>
  <si>
    <t>Sillas</t>
  </si>
  <si>
    <t>Asientos para niños</t>
  </si>
  <si>
    <t>Bancos</t>
  </si>
  <si>
    <t>Taburetes</t>
  </si>
  <si>
    <t>Butacas</t>
  </si>
  <si>
    <t>Sillones y sofas</t>
  </si>
  <si>
    <t>Productos alcanzados por la Res. N° 163/2005 SCT</t>
  </si>
  <si>
    <t>- Los demas asientos. con armazon de metal:</t>
  </si>
  <si>
    <t>Productos alcanzados por la Res. N°163/2005 SCT</t>
  </si>
  <si>
    <t>Productos alcanzados por la Res.N° 163/2005 SCT</t>
  </si>
  <si>
    <t>Reposeras</t>
  </si>
  <si>
    <t>Asientos de seguridad para niños</t>
  </si>
  <si>
    <t>Respaldos</t>
  </si>
  <si>
    <t>Asientos propiamente dichos</t>
  </si>
  <si>
    <t>Armazones</t>
  </si>
  <si>
    <t>Presentadas en piezas confeccionadas y diseñadas especialmente para el tapizado de sillones</t>
  </si>
  <si>
    <t>Presentadas en piezas confeccionadas y diseñadas especialmente para el tapizado de asientos de vehiculos automoviles</t>
  </si>
  <si>
    <t>Apoyacabezas</t>
  </si>
  <si>
    <t>De los tipos utilizados en vehiculos automoviles. en aeronaves y demas medios de transporte</t>
  </si>
  <si>
    <t>Respaldo de asiento. con accionamiento electrico. de los tipos utilizados en vehiculos automoviles</t>
  </si>
  <si>
    <t>De metal</t>
  </si>
  <si>
    <t>De asientos del tipo de los utilizados en vehiculos automoviles</t>
  </si>
  <si>
    <t>Mecanismo reclinador de respaldos</t>
  </si>
  <si>
    <t>Corredera para deslizamiento y anclaje. para base de asiento de los tipos utilizados en vehiculos automoviles</t>
  </si>
  <si>
    <t>De asientos del tipo de los utilizados en aeronaves</t>
  </si>
  <si>
    <t>De asientos del tipo de los utilizados en otros medios de transporte</t>
  </si>
  <si>
    <t>Respaldo de asiento. con accionamiento electrico</t>
  </si>
  <si>
    <t>Mobiliario para medicina. cirugia. odontologia o veterinaria (por ejemplo: mesas de operaciones o de reconocimiento. camas con mecanismo para uso clinico. sillones de dentista); sillones de peluqueria y sillones similares. con dispositivos de orientacion y elevacion; partes de estos articulos.</t>
  </si>
  <si>
    <t>De dentista. peluqueria y similares</t>
  </si>
  <si>
    <t>Mesas de operaciones</t>
  </si>
  <si>
    <t>Camas con mecanismo para uso clinico</t>
  </si>
  <si>
    <t>Camillas</t>
  </si>
  <si>
    <t>Los demas muebles y sus partes.</t>
  </si>
  <si>
    <t>Armarios</t>
  </si>
  <si>
    <t>Escritorios</t>
  </si>
  <si>
    <t>Mesas</t>
  </si>
  <si>
    <t>Cajoneras</t>
  </si>
  <si>
    <t>Archivos</t>
  </si>
  <si>
    <t>Estanterias</t>
  </si>
  <si>
    <t>De los tipos utilizados en la exhibicion y venta de productos</t>
  </si>
  <si>
    <t>Camas</t>
  </si>
  <si>
    <t>Cunas plegables</t>
  </si>
  <si>
    <t>Con movimiento articulado accionado en forma electromecanica</t>
  </si>
  <si>
    <t>De luz</t>
  </si>
  <si>
    <t>De los tipos utilizados por pacientes hospitalarios durante su internacion</t>
  </si>
  <si>
    <t>Mesas rodantes. de los tipos utilizados por pacientes hospitalarios durante su internacion</t>
  </si>
  <si>
    <t>Comodas</t>
  </si>
  <si>
    <t>Pies. de los tipos utilizados en el suministro de suero a pacientes hospitalarios</t>
  </si>
  <si>
    <t>Bajo mesada</t>
  </si>
  <si>
    <t>Alacenas</t>
  </si>
  <si>
    <t>Cunas</t>
  </si>
  <si>
    <t>Mesas de luz</t>
  </si>
  <si>
    <t>Listos para armar (R.164/06 SICyPyME)</t>
  </si>
  <si>
    <t>Mesas de luz. de los tipos utilizados por pacientes hospitalarios durante su internacion</t>
  </si>
  <si>
    <t>Otomanas</t>
  </si>
  <si>
    <t>Andador para niños</t>
  </si>
  <si>
    <t>- Muebles de otras materias. incluidos el roten (ratan)*. mimbre. bambu o materias similares:</t>
  </si>
  <si>
    <t>De bambu</t>
  </si>
  <si>
    <t>Somieres; articulos de cama y articulos similares (por ejemplo: colchones. cubrepies. edredones. cojines. pufs. almohadas). bien con muelles (resortes). bien rellenos o guarnecidos interiormente con cualquier materia. incluidos los de caucho o plastico celulares. recubiertos o no.</t>
  </si>
  <si>
    <t>- Colchones:</t>
  </si>
  <si>
    <t>Edredones</t>
  </si>
  <si>
    <t>Almohadas</t>
  </si>
  <si>
    <t>Aparatos de alumbrado (incluidos los proyectores) y sus partes. no expresados ni comprendidos en otra parte; anuncios. letreros y placas indicadoras. luminosos y articulos similares. con fuente de luz inseparable. y sus partes no expresadas ni comprendidas en otra parte.</t>
  </si>
  <si>
    <t>Lamparas escialiticas (Res.79/95 MEOSP)</t>
  </si>
  <si>
    <t>De piedra</t>
  </si>
  <si>
    <t>De vidrio</t>
  </si>
  <si>
    <t>Subacuatica</t>
  </si>
  <si>
    <t>Los demas. de los tipos utilizados con tubos fluorescentes. de catodo caliente. rectos</t>
  </si>
  <si>
    <t>De potencia inferior o igual a 18 W</t>
  </si>
  <si>
    <t>De potencia superior a 18 W pero inferior o igual a 36 W</t>
  </si>
  <si>
    <t>De potencia superior a 36 W</t>
  </si>
  <si>
    <t>Los demas. de los tipos utilizados con diodos emisores de luz (LED)</t>
  </si>
  <si>
    <t>Los demas. de los tipos utilizados con lamparas halogenas</t>
  </si>
  <si>
    <t>Con reflector dicroico</t>
  </si>
  <si>
    <t>Aparatos para iluminacion de emergencia</t>
  </si>
  <si>
    <t>De empotramiento horizontal</t>
  </si>
  <si>
    <t>Aptos para lamparas de potencia inferior o igual a 100 W</t>
  </si>
  <si>
    <t>Aptos para lamparas de potencia superior a 100 W pero inferior o igual a 250 W</t>
  </si>
  <si>
    <t>Aptos para lamparas de potencia superior a 250 W</t>
  </si>
  <si>
    <t>De fijacion suspendida</t>
  </si>
  <si>
    <t>De empotramiento vertical</t>
  </si>
  <si>
    <t>De fijar al piso</t>
  </si>
  <si>
    <t>Los demas. con dispositivo de fijacion movil</t>
  </si>
  <si>
    <t>Aptos para lamparas de potencia superior a 250 W pero inferior o igual a 400 W</t>
  </si>
  <si>
    <t>Aptos para lamparas de potencia superior a 400 W</t>
  </si>
  <si>
    <t>Letreros</t>
  </si>
  <si>
    <t>Placas indicadoras</t>
  </si>
  <si>
    <t>Dispositivos de señalizacion luminosa de uso en aparatos de la partida 85.37</t>
  </si>
  <si>
    <t>Tulipas</t>
  </si>
  <si>
    <t>De los tipos utilizados en aparatos para el alumbrado de espacios o vias publicos</t>
  </si>
  <si>
    <t>Reflectores</t>
  </si>
  <si>
    <t>Reflectores de metal</t>
  </si>
  <si>
    <t>Construcciones prefabricadas.</t>
  </si>
  <si>
    <t>Invernaderos</t>
  </si>
  <si>
    <t>Aptas para ser utilizadas como viviendas</t>
  </si>
  <si>
    <t>Con estructura de hierro o acero y paredes exteriores constituidas esencialmente por estas materias</t>
  </si>
  <si>
    <t>Las demas de hormigon premoldeado</t>
  </si>
  <si>
    <t>Triciclos. patinetes. coches de pedal y juguetes similares con ruedas; coches y sillas de ruedas para muñecas o muñecos; muñecas o muñecos; los demas juguetes; modelos reducidos y modelos similares. para entretenimiento. incluso animados; rompecabezas de cualquier clase.</t>
  </si>
  <si>
    <t>Triciclos. patinetes. coches de pedal y juguetes similares con ruedas; coches y sillas de ruedas para muñecas o muñecos</t>
  </si>
  <si>
    <t>Triciclos</t>
  </si>
  <si>
    <t>Diseñados para ser impulsados por los pies de los niños en el piso</t>
  </si>
  <si>
    <t>A pedal</t>
  </si>
  <si>
    <t>Con motor electrico</t>
  </si>
  <si>
    <t>De plastico reforzado con fibras de vidrio</t>
  </si>
  <si>
    <t>Los demas. de plastico</t>
  </si>
  <si>
    <t>Coches para niños</t>
  </si>
  <si>
    <t>Coches y sillas de ruedas para muñecas o muñecos</t>
  </si>
  <si>
    <t>Patinetes o monopatines</t>
  </si>
  <si>
    <t>De triciclos</t>
  </si>
  <si>
    <t>Manubrios</t>
  </si>
  <si>
    <t>Asientos</t>
  </si>
  <si>
    <t>Carrocerias</t>
  </si>
  <si>
    <t>Remolques</t>
  </si>
  <si>
    <t>De coches para niños</t>
  </si>
  <si>
    <t>Manubrios y volantes</t>
  </si>
  <si>
    <t>Muñecas y muñecos que representen solamente seres humanos</t>
  </si>
  <si>
    <t>Muñecas y muñecos. incluso vestidos. con mecanismo a cuerda o electrico</t>
  </si>
  <si>
    <t>De peso unitario superior a 1.5 kg (R. 24/99 MEOSP)</t>
  </si>
  <si>
    <t>De plastico. articulados</t>
  </si>
  <si>
    <t>Con ojos moviles</t>
  </si>
  <si>
    <t>De plastico. sin articular</t>
  </si>
  <si>
    <t>De caucho. articulados</t>
  </si>
  <si>
    <t>De caucho. sin articular</t>
  </si>
  <si>
    <t>De materias textiles combinadas con otras materias</t>
  </si>
  <si>
    <t>Con cabeza de ceramica</t>
  </si>
  <si>
    <t>Con cabeza de plastico</t>
  </si>
  <si>
    <t>Con cabeza de caucho</t>
  </si>
  <si>
    <t>De materias textiles sin combinar con otras materias</t>
  </si>
  <si>
    <t>Las demas muñecas y muñecos. incluso vestidos</t>
  </si>
  <si>
    <t>De peso inferior o igual a 10 g</t>
  </si>
  <si>
    <t>Destinados a ser utilizados en golosinas sorpresa</t>
  </si>
  <si>
    <t>Los demas. destinados a ser llevados a la boca por niños menores de tres años</t>
  </si>
  <si>
    <t>Prendas y sus complementos (accesorios). de vestir. calzado. sombreros y demas tocados</t>
  </si>
  <si>
    <t>Complementos de vestir (accesorios)</t>
  </si>
  <si>
    <t>Calzados</t>
  </si>
  <si>
    <t>Sombreros y demas tocados</t>
  </si>
  <si>
    <t>Extremidades</t>
  </si>
  <si>
    <t>Bisuteria</t>
  </si>
  <si>
    <t>Juguetes que representen animales o seres no humanos</t>
  </si>
  <si>
    <t>Partes y accesorios (R. 457/96 ex ANA)</t>
  </si>
  <si>
    <t>Mecanismos para cerrar los ojos</t>
  </si>
  <si>
    <t>Mecanismos para sonido</t>
  </si>
  <si>
    <t>Mecanismos para luces</t>
  </si>
  <si>
    <t>Cuya mayor dimension sea inferior o igual a 20 cm</t>
  </si>
  <si>
    <t>Destinados a ser llevados a la boca por niños menores de tres años. incluso vestidos</t>
  </si>
  <si>
    <t>Los demas. vestidos</t>
  </si>
  <si>
    <t>Con mecanismos de luces. sonido o para cerrar los ojos</t>
  </si>
  <si>
    <t>Cuya mayor dimension sea superior a 20 cm o inferior o igual 50 cm</t>
  </si>
  <si>
    <t>Cuya mayor dimension sea superior a 50 cm o inferior o igual a 100 cm</t>
  </si>
  <si>
    <t>De peso unitario superior a 1.2 kg (R. 24/99 MEOSP)</t>
  </si>
  <si>
    <t>Los demas. de peso unitario superior a 1.2 kg (R. 24/99 MEOSP)</t>
  </si>
  <si>
    <t>A friccion. a cuerda o a resorte</t>
  </si>
  <si>
    <t>Con extremidades articuladas</t>
  </si>
  <si>
    <t>Basculantes</t>
  </si>
  <si>
    <t>Los demas. inflables</t>
  </si>
  <si>
    <t>Los demas. de peso unitario inferior o igual a 10 g</t>
  </si>
  <si>
    <t>Trenes electricos. incluidos los carriles (rieles). señales y demas accesorios</t>
  </si>
  <si>
    <t>Partes y accesorios de metal comun (R. 457/96 ex ANA)</t>
  </si>
  <si>
    <t>Escala 0 (1:48)</t>
  </si>
  <si>
    <t>Locomotoras</t>
  </si>
  <si>
    <t>Vagones</t>
  </si>
  <si>
    <t>Carriles rectos o curvos</t>
  </si>
  <si>
    <t>Cambios de vias manuales</t>
  </si>
  <si>
    <t>Cambios de vias electricos</t>
  </si>
  <si>
    <t>Cruces</t>
  </si>
  <si>
    <t>Barreras</t>
  </si>
  <si>
    <t>Señales</t>
  </si>
  <si>
    <t>Escala N (1:60)</t>
  </si>
  <si>
    <t>Escala HO (1:87)</t>
  </si>
  <si>
    <t>Partes y accesorios de las demas materias (R. 457/96 ex ANA)</t>
  </si>
  <si>
    <t>De corriente alterna. con control digital</t>
  </si>
  <si>
    <t>Modelos reducidos para ensamblar. incluso animados. excepto los del item 9503.00.40</t>
  </si>
  <si>
    <t>Aeromodelos (R. 457/96 ex ANA)</t>
  </si>
  <si>
    <t>A escala</t>
  </si>
  <si>
    <t>De madera balsa</t>
  </si>
  <si>
    <t>Automodelos (R. 457/97 ex ANA)</t>
  </si>
  <si>
    <t>Los demas juegos o surtidos y juguetes para construccion</t>
  </si>
  <si>
    <t>De peso unitario inferior o igual a 10 g</t>
  </si>
  <si>
    <t>Rompecabezas</t>
  </si>
  <si>
    <t>Con peso unitario superior a 1.2 kg (R.24/99 MEOSP)</t>
  </si>
  <si>
    <t>De carton</t>
  </si>
  <si>
    <t>Los demas juguetes presentados en juegos o surtidos o en panoplias</t>
  </si>
  <si>
    <t>Que contengan productos cosmeticos o de tocador</t>
  </si>
  <si>
    <t>Panoplias de servicio de mesa o cocina</t>
  </si>
  <si>
    <t>Panoplias de articulos de deporte</t>
  </si>
  <si>
    <t>De dardos</t>
  </si>
  <si>
    <t>De bowling</t>
  </si>
  <si>
    <t>De basquet</t>
  </si>
  <si>
    <t>De tenis o tenis de mesa</t>
  </si>
  <si>
    <t>De golf</t>
  </si>
  <si>
    <t>De criquet</t>
  </si>
  <si>
    <t>De tiro con arco</t>
  </si>
  <si>
    <t>De billar</t>
  </si>
  <si>
    <t>Panoplias de personajes. trabajos. oficios o profesiones</t>
  </si>
  <si>
    <t>De carpintero</t>
  </si>
  <si>
    <t>De medico</t>
  </si>
  <si>
    <t>De peluquero</t>
  </si>
  <si>
    <t>De feriante</t>
  </si>
  <si>
    <t>De policia</t>
  </si>
  <si>
    <t>Panoplias de mobiliarios sanitarios o artefactos domesticos para muñecas</t>
  </si>
  <si>
    <t>Juegos o surtidos de juguetes. que contengan pasta de modelar</t>
  </si>
  <si>
    <t>Granjas. estancias. circos o zoologicos</t>
  </si>
  <si>
    <t>Estacionamientos o estaciones de servicio</t>
  </si>
  <si>
    <t>Juegos para arena o agua</t>
  </si>
  <si>
    <t>Casas de muñecas</t>
  </si>
  <si>
    <t>Revolveres. pistolas o armas largas. con accionamiento a muelle (resorte) o aire comprimido presentados en juegos o surtidos</t>
  </si>
  <si>
    <t>De cacerolas. ollas y sartenes</t>
  </si>
  <si>
    <t>De te o cafe</t>
  </si>
  <si>
    <t>De cubiertos</t>
  </si>
  <si>
    <t>Los demas juguetes y modelos</t>
  </si>
  <si>
    <t>Instrumentos y aparatos. de musica. de juguete</t>
  </si>
  <si>
    <t>Pianos</t>
  </si>
  <si>
    <t>Organos o teclados</t>
  </si>
  <si>
    <t>Los demas instrumentos musicales de cuerda</t>
  </si>
  <si>
    <t>Instrumentos musicales de viento</t>
  </si>
  <si>
    <t>Instrumentos musicales de percusion</t>
  </si>
  <si>
    <t>Los demas. con motor electrico</t>
  </si>
  <si>
    <t>Vehiculos automoviles</t>
  </si>
  <si>
    <t>A control remoto alambrico</t>
  </si>
  <si>
    <t>Aviones</t>
  </si>
  <si>
    <t>Embarcaciones</t>
  </si>
  <si>
    <t>Helicopteros</t>
  </si>
  <si>
    <t>Motos</t>
  </si>
  <si>
    <t>Los demas. con motor no electrico</t>
  </si>
  <si>
    <t>A friccion</t>
  </si>
  <si>
    <t>Vehiculos</t>
  </si>
  <si>
    <t>A cuerda</t>
  </si>
  <si>
    <t>Cuneros musicales</t>
  </si>
  <si>
    <t>A resorte</t>
  </si>
  <si>
    <t>Aviones. aeromodelos (R. 457/96 ex ANA)</t>
  </si>
  <si>
    <t>Los demas. aviones</t>
  </si>
  <si>
    <t>Globos (R. 457/96 ex ANA)</t>
  </si>
  <si>
    <t>De caucho. impresos</t>
  </si>
  <si>
    <t>De caucho. sin impresion</t>
  </si>
  <si>
    <t>Los demas. sin impresion</t>
  </si>
  <si>
    <t>Modelos</t>
  </si>
  <si>
    <t>Aviones de plastico reforzado con fibras de vidrio</t>
  </si>
  <si>
    <t>Los demas aviones. de plastico</t>
  </si>
  <si>
    <t>Aviones de madera</t>
  </si>
  <si>
    <t>Los demas aviones</t>
  </si>
  <si>
    <t>Pelotas y bolitas</t>
  </si>
  <si>
    <t>Pelotas</t>
  </si>
  <si>
    <t>Inflables</t>
  </si>
  <si>
    <t>Bolitas</t>
  </si>
  <si>
    <t>De vidrio (R. 457/96 ex ANA)</t>
  </si>
  <si>
    <t>Mobiliarios. sanitarios o artefactos domesticos de muñecas</t>
  </si>
  <si>
    <t>Vehiculos. excepto los modelos</t>
  </si>
  <si>
    <t>Sonajeros</t>
  </si>
  <si>
    <t>Trompos y yo-yo</t>
  </si>
  <si>
    <t>Alcancias</t>
  </si>
  <si>
    <t>Inflables que recuperan el equilibrio al volcarse. de plastico («punching bags»)</t>
  </si>
  <si>
    <t>Revolveres. pistolas o armas largas. con accionamiento a muelle (resorte) o aire comprimido</t>
  </si>
  <si>
    <t>Baldes. rastrillos. palas. tamizadores y moldes. de plastico. presentados aisladamente</t>
  </si>
  <si>
    <t>Videoconsolas y maquinas de videojuego. articulos para juegos de sociedad. incluidos los juegos con motor o mecanismo. billares. mesas especiales para juegos de casino y juegos de bolos automaticos («bowlings»).</t>
  </si>
  <si>
    <t>Billares</t>
  </si>
  <si>
    <t>Billares americanos</t>
  </si>
  <si>
    <t>Tacos</t>
  </si>
  <si>
    <t>Bolas</t>
  </si>
  <si>
    <t>De marfil</t>
  </si>
  <si>
    <t>- Los demas juegos activados con monedas. billetes de banco. tarjetas bancarias. fichas o por cualquier otro medio de pago. excepto los juegos de bolos automaticos («bowlings»)</t>
  </si>
  <si>
    <t>Simuladores</t>
  </si>
  <si>
    <t>De automovilismo</t>
  </si>
  <si>
    <t>De motociclismo</t>
  </si>
  <si>
    <t>Los demas. con presentacion mediante pantalla de tubos de rayos catodicos</t>
  </si>
  <si>
    <t>Plastificados</t>
  </si>
  <si>
    <t>Españoles de 40 cartas (R.183/98 MEOSP)</t>
  </si>
  <si>
    <t>Españoles de 50 cartas (R.183/98 MEOSP)</t>
  </si>
  <si>
    <t>Franceses de 52. 54 o 55 cartas (R.183/98 MEOSP)</t>
  </si>
  <si>
    <t>Ingleses de 52. 54 o 55 cartas (Res 183/98 MEOSP)</t>
  </si>
  <si>
    <t>Ingleses de 52.54 o 55 cartas (Res 183/98 MEOSP)</t>
  </si>
  <si>
    <t>- Videoconsolas y maquinas de videojuego. excepto las de la subpartida 9504.30</t>
  </si>
  <si>
    <t>Videoconsolas</t>
  </si>
  <si>
    <t>Maquinas de videojuego</t>
  </si>
  <si>
    <t>De videoconsolas</t>
  </si>
  <si>
    <t>Joysticks</t>
  </si>
  <si>
    <t>Cartuchos</t>
  </si>
  <si>
    <t>De maquinas de videojuego</t>
  </si>
  <si>
    <t>Juego de bolos automaticos</t>
  </si>
  <si>
    <t>Juegos de casino</t>
  </si>
  <si>
    <t>Juegos de bolos</t>
  </si>
  <si>
    <t>Futbolines</t>
  </si>
  <si>
    <t>Dardos. incluso en juegos</t>
  </si>
  <si>
    <t>Conjuntos de automoviles de carrera con sus circuitos</t>
  </si>
  <si>
    <t>Juegos de tablero</t>
  </si>
  <si>
    <t>Ajedrez</t>
  </si>
  <si>
    <t>Damas</t>
  </si>
  <si>
    <t>Con tablero y fichas de plastico. madera o carton</t>
  </si>
  <si>
    <t>Domino</t>
  </si>
  <si>
    <t>Rummy o Burako</t>
  </si>
  <si>
    <t>Articulos para fiestas. carnaval u otras diversiones. incluidos los de magia y articulos sorpresa.</t>
  </si>
  <si>
    <t>Arboles de Navidad</t>
  </si>
  <si>
    <t>De altura inferior a 45 cm</t>
  </si>
  <si>
    <t>De altura superior o igual a 45 cm pero inferior o igual a 220 cm</t>
  </si>
  <si>
    <t>Nieve artificial o similares. acondicionadas en envases presurizados con diferentes propelentes. usados para cotillon (Disp.2305/95 ANMAT y R.2016/93 ex ANA)</t>
  </si>
  <si>
    <t>Globitos de caucho para agua</t>
  </si>
  <si>
    <t>Articulos y material para cultura fisica. gimnasia. atletismo. demas deportes (incluido el tenis de mesa) o para juegos al aire libre. no expresados ni comprendidos en otra parte de este Capitulo; piscinas. incluso infantiles.</t>
  </si>
  <si>
    <t>- Esquis para nieve y demas articulos para practica del esqui de nieve:</t>
  </si>
  <si>
    <t>- Esquis acuaticos. tablas. deslizadores de vela y demas articulos para practica de deportes acuaticos:</t>
  </si>
  <si>
    <t>Tablas</t>
  </si>
  <si>
    <t>Esquis acuaticos</t>
  </si>
  <si>
    <t>Acuaplanos</t>
  </si>
  <si>
    <t>Trampolines</t>
  </si>
  <si>
    <t>Tubos de respiracion</t>
  </si>
  <si>
    <t>- Palos de golf («clubs») y demas articulos para golf:</t>
  </si>
  <si>
    <t>- - Palos de golf («clubs») completos</t>
  </si>
  <si>
    <t>Con varas de grafito</t>
  </si>
  <si>
    <t>Con varas de plastico reforzado con fibras de vidrio</t>
  </si>
  <si>
    <t>Varas</t>
  </si>
  <si>
    <t>Paletas</t>
  </si>
  <si>
    <t>- Raquetas de tenis. badminton o similares. incluso sin cordaje:</t>
  </si>
  <si>
    <t>Combinadas con otras materias</t>
  </si>
  <si>
    <t>De fibras de carbono</t>
  </si>
  <si>
    <t>Raquetas de «badminton». incluso sin cordaje</t>
  </si>
  <si>
    <t>Raquetas de «squash». incluso sin cordaje</t>
  </si>
  <si>
    <t>- Balones y pelotas. excepto las de golf o tenis de mesa:</t>
  </si>
  <si>
    <t>Para competencia en tubos presurizados</t>
  </si>
  <si>
    <t>De futbol</t>
  </si>
  <si>
    <t>Con camara</t>
  </si>
  <si>
    <t>De policloruro de vinilo</t>
  </si>
  <si>
    <t>De las demas materias plasticas</t>
  </si>
  <si>
    <t>De rugby</t>
  </si>
  <si>
    <t>De voleibol</t>
  </si>
  <si>
    <t>De baloncesto</t>
  </si>
  <si>
    <t>Los demas balones y pelotas</t>
  </si>
  <si>
    <t>Camaras</t>
  </si>
  <si>
    <t>De «hockey»</t>
  </si>
  <si>
    <t>De «cricket»</t>
  </si>
  <si>
    <t>De beisbol</t>
  </si>
  <si>
    <t>Para hielo</t>
  </si>
  <si>
    <t>Con calzado incorporado</t>
  </si>
  <si>
    <t>De ruedas. dispuestas linealmente</t>
  </si>
  <si>
    <t>Productos alcanzados por la Res. 163/05 SCT</t>
  </si>
  <si>
    <t>Los demas patines de ruedas</t>
  </si>
  <si>
    <t>Para gimnasia</t>
  </si>
  <si>
    <t>Cintas</t>
  </si>
  <si>
    <t>Magneticas</t>
  </si>
  <si>
    <t>Bicicletas fijas</t>
  </si>
  <si>
    <t>De resistencia magnetica</t>
  </si>
  <si>
    <t>Bancos de pesas</t>
  </si>
  <si>
    <t>Con dorsalera</t>
  </si>
  <si>
    <t>Anillas</t>
  </si>
  <si>
    <t>Barras fijas</t>
  </si>
  <si>
    <t>Paralelas</t>
  </si>
  <si>
    <t>Caballetes con armazones</t>
  </si>
  <si>
    <t>Caballos de salto</t>
  </si>
  <si>
    <t>Vigas de equilibrio</t>
  </si>
  <si>
    <t>Simuladores de remo</t>
  </si>
  <si>
    <t>Discos</t>
  </si>
  <si>
    <t>Vallas</t>
  </si>
  <si>
    <t>Jabalinas</t>
  </si>
  <si>
    <t>Garrochas. incluso sus puntas</t>
  </si>
  <si>
    <t>Varillas para salto</t>
  </si>
  <si>
    <t>De hockey</t>
  </si>
  <si>
    <t>Palos</t>
  </si>
  <si>
    <t>De esgrima</t>
  </si>
  <si>
    <t>Sables</t>
  </si>
  <si>
    <t>Espadas</t>
  </si>
  <si>
    <t>Articulos para tiro</t>
  </si>
  <si>
    <t>Arco</t>
  </si>
  <si>
    <t>Ballestas</t>
  </si>
  <si>
    <t>Flechas</t>
  </si>
  <si>
    <t>Piscinas</t>
  </si>
  <si>
    <t>Las demas de plastico. con capacidad superior o igual a 500 l pero inferior o igual 24000 l</t>
  </si>
  <si>
    <t>De plastico reforzadas con fibras de vidrio</t>
  </si>
  <si>
    <t>Las demas de plastico. con capacidad superior o igual a 500 l pero inferior o igual a 24000 l</t>
  </si>
  <si>
    <t>Trineos</t>
  </si>
  <si>
    <t>Columpios</t>
  </si>
  <si>
    <t>Toboganes</t>
  </si>
  <si>
    <t>Cañas de pescar. anzuelos y demas articulos para la pesca con caña; salabardos. cazamariposas y redes similares; señuelos (excepto los de las partidas 92.08 o 97.05) y articulos de caza similares.</t>
  </si>
  <si>
    <t>Telescopicas</t>
  </si>
  <si>
    <t>Con carretes de pesca incorporado</t>
  </si>
  <si>
    <t>Las demas. con carretes de pesca incorporado</t>
  </si>
  <si>
    <t>Rotativos</t>
  </si>
  <si>
    <t>Plomadas para pesca</t>
  </si>
  <si>
    <t>Tiovivos. columpios. casetas de tiro y demas atracciones de feria; circos. zoologicos y teatros. ambulantes.</t>
  </si>
  <si>
    <t>Con animales vivos (R.2012/93 ANA y R.2513/93 ANA)</t>
  </si>
  <si>
    <t>Montaña rusa con trayecto superior o igual a 300 m</t>
  </si>
  <si>
    <t>Tiovivos. incluso dotados de dispositivos de elevacion. con diametro superior o igual a 16 m</t>
  </si>
  <si>
    <t>Coches de los tipos utilizados en montaña rusa y similares. con capacidad superior o igual a 6 personas</t>
  </si>
  <si>
    <t>Marfil. hueso. concha (caparazon) de tortuga. cuerno. asta. coral. nacar y demas materias animales para tallar. trabajadas. y manufacturas de estas materias (incluso las obtenidas por moldeo).</t>
  </si>
  <si>
    <t>Materias vegetales o minerales para tallar. trabajadas. y manufacturas de estas materias; manufacturas moldeadas o talladas de cera. parafina. estearina. gomas o resinas naturales o pasta para modelar y demas manufacturas moldeadas o talladas no expresadas ni comprendidas en otra parte; gelatina sin endurecer trabajada. excepto la de la partida 35.03. y manufacturas de gelatina sin endurecer.</t>
  </si>
  <si>
    <t>Capsulas de gelatina digeribles</t>
  </si>
  <si>
    <t>Para el encapsulado de medicamentos (R.2014/93 ex ANA)</t>
  </si>
  <si>
    <t>Para el encapsulado de complementos. extractos vegetales u otras preparaciones alimenticias (R. 1946/93 ex ANA)</t>
  </si>
  <si>
    <t>Panales artificiales</t>
  </si>
  <si>
    <t>De materias vegetales</t>
  </si>
  <si>
    <t>Escobas y escobillas. cepillos. brochas y pinceles (incluso si son partes de maquinas. aparatos o vehiculos). escobas mecanicas. sin motor. de uso manual. fregonas o mopas y plumeros; cabezas preparadas para articulos de cepilleria; almohadillas o muñequillas y rodillos. para pintar; rasquetas de caucho o materia flexible analoga.</t>
  </si>
  <si>
    <t>- Cepillos de dientes. brochas de afeitar. cepillos para cabello. pestañas o uñas y demas cepillos para aseo personal. incluidos los que sean partes de aparatos:</t>
  </si>
  <si>
    <t>Presentados en juegos o surtidos con dentifrico</t>
  </si>
  <si>
    <t>Los demas de caucho o de plastico. incluso con montura de otras materias</t>
  </si>
  <si>
    <t>Destinados a ser utilizados por niños menores de tres años.</t>
  </si>
  <si>
    <t>De un solo uso. excepto los destinados a ser utilizados por niños menores de 3 años</t>
  </si>
  <si>
    <t>De plastico moldeado en una sola pieza</t>
  </si>
  <si>
    <t>Para cabello</t>
  </si>
  <si>
    <t>Los demas de plastico. incluso con montura de otras materias</t>
  </si>
  <si>
    <t>Con montura de plastico</t>
  </si>
  <si>
    <t>Para pestañas o uñas</t>
  </si>
  <si>
    <t>Brochas de afeitar</t>
  </si>
  <si>
    <t>Los demas cepillos de aseo personal</t>
  </si>
  <si>
    <t>- Pinceles y brochas para pintar. enlucir. barnizar o similares (excepto los de la subpartida 9603.30); almohadillas o muñequillas y rodillos. para pintar</t>
  </si>
  <si>
    <t>Rodillos</t>
  </si>
  <si>
    <t>De pelo natural (R.2513/93 exa ANA)</t>
  </si>
  <si>
    <t>De alambre de acero</t>
  </si>
  <si>
    <t>De mechones trenzados. de forma circular de hasta 19 mm de espesor</t>
  </si>
  <si>
    <t>De diametro exterior inferior o igual a 120 mm</t>
  </si>
  <si>
    <t>De diametro exterior superior a 120 mm pero inferior o igual a 150 mm</t>
  </si>
  <si>
    <t>De diametro exterior superior a 150 mm pero inferior o igual a 175 mm</t>
  </si>
  <si>
    <t>De diametro exterior superior a 175 mm pero inferior o igual a 225 mm</t>
  </si>
  <si>
    <t>De diametro exterior superior a 225 mm pero inferior o igual a 300 mm</t>
  </si>
  <si>
    <t>De diametro exterior superior a 300 mm pero inferior o igual a 360 mm</t>
  </si>
  <si>
    <t>De mechones trenzados. de forma circular mayor a 19 mm de espesor y hasta 32 mm de espesor</t>
  </si>
  <si>
    <t>De diametro exterior superior a 125 mm pero inferior o igual a 150 mm</t>
  </si>
  <si>
    <t>De mechones trenzados. de forma de copa o conico</t>
  </si>
  <si>
    <t>De diametro exterior inferior o igual a 75 mm</t>
  </si>
  <si>
    <t>De diametro exterior superior a 75 mm pero inferior o igual a 100 mm</t>
  </si>
  <si>
    <t>De diametro exterior superior a 100 mm pero inferior o igual a 125 mm</t>
  </si>
  <si>
    <t>De diametro exterior superior a 125 mm pero inferior o igual a 140 mm</t>
  </si>
  <si>
    <t>Ondulados. incluso revestidos. de forma circular. de un espesor superior o igual a 17 mm. pero inferior o igual a 22 mm</t>
  </si>
  <si>
    <t>De diametro exterior superior a 175 mm pero inferior o igual a 200 mm</t>
  </si>
  <si>
    <t>Ondulados. incluso revestidos. de forma circular. de un espesor superior a 22 mm. pero inferior o igual a 33 mm</t>
  </si>
  <si>
    <t>Ondulados. incluso revestidos. de forma de copa o conico</t>
  </si>
  <si>
    <t>De alambre de acero inoxidable</t>
  </si>
  <si>
    <t>De diametro exterior superior a 150 mm pero inferior o igual a 170 mm</t>
  </si>
  <si>
    <t>De plastico. incluso con montura de otras materias</t>
  </si>
  <si>
    <t>Escobas</t>
  </si>
  <si>
    <t>Escobillones</t>
  </si>
  <si>
    <t>Cepillos de uso domestico</t>
  </si>
  <si>
    <t>Para sanitarios</t>
  </si>
  <si>
    <t>TAMICES. CEDAZOS Y CRIBAS. DE MANO.</t>
  </si>
  <si>
    <t>JUEGOS O SURTIDOS DE VIAJE PARA ASEO PERSONAL. COSTURA O LIMPIEZA DEL CALZADO O DE PRENDAS DE VESTIR.</t>
  </si>
  <si>
    <t>Botones y botones de presion; formas para botones y demas partes de botones o de botones de presion; esbozos de botones.</t>
  </si>
  <si>
    <t>De metales comunes</t>
  </si>
  <si>
    <t>- Botones:</t>
  </si>
  <si>
    <t>Con agujeros</t>
  </si>
  <si>
    <t>De nailon y demas poliamidas</t>
  </si>
  <si>
    <t>De copolimeros de Acrilonitrilo Butadieno Estireno (ABS)</t>
  </si>
  <si>
    <t>De aleacion de cinc. aluminio. magnesio y cobre</t>
  </si>
  <si>
    <t>Dorados. plateados o platinados</t>
  </si>
  <si>
    <t>De cascara de coco</t>
  </si>
  <si>
    <t>Grabados</t>
  </si>
  <si>
    <t>De nacar</t>
  </si>
  <si>
    <t>De tonalidad blanca</t>
  </si>
  <si>
    <t>De tonalidad verde</t>
  </si>
  <si>
    <t>De tonalidad marron</t>
  </si>
  <si>
    <t>De las demas tonalidades</t>
  </si>
  <si>
    <t>Cierres de cremallera (cierres relampago) y sus partes.</t>
  </si>
  <si>
    <t>- Cierres de cremallera (cierres relampago):</t>
  </si>
  <si>
    <t>Fijos</t>
  </si>
  <si>
    <t>Con corredera automatica</t>
  </si>
  <si>
    <t>Separables</t>
  </si>
  <si>
    <t>De monofilamento de nailon o poliester</t>
  </si>
  <si>
    <t>Cintas con dientes</t>
  </si>
  <si>
    <t>Con dientes de bronce</t>
  </si>
  <si>
    <t>Con dientes de aluminio</t>
  </si>
  <si>
    <t>Con dientes de monofilamento de nailon o poliester</t>
  </si>
  <si>
    <t>Con dientes de las demas materias plasticas</t>
  </si>
  <si>
    <t>Correderas</t>
  </si>
  <si>
    <t>Boligrafos; rotuladores y marcadores con punta de fieltro u otra punta porosa; estilograficas y demas plumas; estiletes o punzones para clises de mimeografo («stencils»); portaminas; portaplumas. portalapices y articulos similares; partes de estos articulos (incluidos los capuchones y sujetadores). excepto las de la partida 96.09.</t>
  </si>
  <si>
    <t>De metal precioso o de chapado de metal precioso (plaque)</t>
  </si>
  <si>
    <t>De chapado de metal precioso (plaque)</t>
  </si>
  <si>
    <t>De chapado de metal precioso (plaque) sobre metal comun</t>
  </si>
  <si>
    <t>De los demas metales preciosos</t>
  </si>
  <si>
    <t>Retractiles</t>
  </si>
  <si>
    <t>No recargables</t>
  </si>
  <si>
    <t>Recargables</t>
  </si>
  <si>
    <t>Con tinta en solucion acuosa</t>
  </si>
  <si>
    <t>Doradas. plateadas o platinadas</t>
  </si>
  <si>
    <t>Con pluma de iridio</t>
  </si>
  <si>
    <t>Juegos de boligrafos y estilograficas</t>
  </si>
  <si>
    <t>De metales preciosos</t>
  </si>
  <si>
    <t>Juegos de boligrafos y portaminas</t>
  </si>
  <si>
    <t>Juegos de estilograficas y portaminas</t>
  </si>
  <si>
    <t>Puntas porosas para articulos de la subpartida 9608.20</t>
  </si>
  <si>
    <t>Lapices. minas. pasteles. carboncillos. tizas para escribir o dibujar y jaboncillos (tizas) de sastre.</t>
  </si>
  <si>
    <t>Barnizados</t>
  </si>
  <si>
    <t>Hexagonales</t>
  </si>
  <si>
    <t>De carbon vegetal natural</t>
  </si>
  <si>
    <t>De distintos colores. acondicionados para su venta al por menor</t>
  </si>
  <si>
    <t>Triangulares</t>
  </si>
  <si>
    <t>PIZARRAS Y TABLEROS PARA ESCRIBIR O DIBUJAR. INCLUSO ENMARCADOS.</t>
  </si>
  <si>
    <t>FECHADORES. SELLOS. NUMERADORES. TIMBRADORES Y ARTÃCULOS SIMILARES (INCLUIDOS LOS APARATOS PARA IMPRIMIR ETIQUETAS). DE MANO; COMPONEDORES E IMPRENTILLAS CON COMPONEDOR. DE MANO.</t>
  </si>
  <si>
    <t>Cintas para maquinas de escribir y cintas similares. entintadas o preparadas de otro modo para imprimir. incluso en carretes o cartuchos; tampones. incluso impregnados o con caja.</t>
  </si>
  <si>
    <t>Con tinta magnetizable a base de oxido de hierro. para impresion de caracteres</t>
  </si>
  <si>
    <t>Correctoras (tipo &lt;&lt;cover up&gt;&gt;). para maquinas de escribir</t>
  </si>
  <si>
    <t>Otras. presentadas en cartuchos. para maquinas de escribir</t>
  </si>
  <si>
    <t>Encendedores y mecheros. incluso mecanicos o electricos. y sus partes. excepto las piedras y mechas.</t>
  </si>
  <si>
    <t>Piezoelectricos</t>
  </si>
  <si>
    <t>Cataliticos</t>
  </si>
  <si>
    <t>De metal precioso o chapado de metal precioso</t>
  </si>
  <si>
    <t>De los tipos utilizados en las cocinas. excepto los destinados a ser incorporados en aparatos de uso domestico</t>
  </si>
  <si>
    <t>De gas</t>
  </si>
  <si>
    <t>Piezoelectrico multichispa</t>
  </si>
  <si>
    <t>Los demas multichispa</t>
  </si>
  <si>
    <t>Destinados a ser incorporados en aparatos de uso domestico</t>
  </si>
  <si>
    <t>Del tipo de los utilizados en vehiculos automoviles</t>
  </si>
  <si>
    <t>Los demas encendedores</t>
  </si>
  <si>
    <t>Pipas (incluidas las cazoletas). boquillas para cigarros (puros) o cigarrillos. y sus partes.</t>
  </si>
  <si>
    <t>Pipas y cazoletas</t>
  </si>
  <si>
    <t>Peines. peinetas. pasadores y articulos similares; horquillas; rizadores. bigudies y articulos similares para el peinado. excepto los de la partida 85.16. y sus partes.</t>
  </si>
  <si>
    <t>- Peines. peinetas. pasadores y articulos similares:</t>
  </si>
  <si>
    <t>Pulverizadores de tocador. sus monturas y cabezas de monturas; borlas y similares para aplicacion de polvos. otros cosmeticos o productos de tocador.</t>
  </si>
  <si>
    <t>Termos y demas recipientes isotermicos. montados y aislados por vacio. asi como sus partes (excepto las ampollas de vidrio).</t>
  </si>
  <si>
    <t>Termos y demas recipientes isotermicos</t>
  </si>
  <si>
    <t>Con una capacidad inferior o igual a 1 l</t>
  </si>
  <si>
    <t>Con ampolla de vidrio</t>
  </si>
  <si>
    <t>Con ampolla de metal comun</t>
  </si>
  <si>
    <t>Con una capacidad superior a 1 l pero inferior o igual a 2.5 l</t>
  </si>
  <si>
    <t>Con una capacidad superior a 2.5 l</t>
  </si>
  <si>
    <t>Partes (R.690/95 MEOSP)</t>
  </si>
  <si>
    <t>MANIQUÃES Y ARTÃCULOS SIMILARES; AUTOMATAS Y ESCENAS ANIMADAS PARA ESCAPARATES.</t>
  </si>
  <si>
    <t>Compresas y tampones higienicos. pañales para bebes y articulos similares. de cualquier materia.</t>
  </si>
  <si>
    <t>Compresas y tampones higienicos. pañales para bebes y articulos higienicos similares. de guata</t>
  </si>
  <si>
    <t>Pañales. con gel.</t>
  </si>
  <si>
    <t>De primer dia</t>
  </si>
  <si>
    <t>Chico</t>
  </si>
  <si>
    <t>Mediano</t>
  </si>
  <si>
    <t>Grande</t>
  </si>
  <si>
    <t>Extragrande</t>
  </si>
  <si>
    <t>De adultos</t>
  </si>
  <si>
    <t>Tampones higienicos</t>
  </si>
  <si>
    <t>Las demas. compresas y tampones higienicos. pañales para bebes y articulos higienicos similares</t>
  </si>
  <si>
    <t>Pañales</t>
  </si>
  <si>
    <t>Monopies. bipodes. tripodes y articulos similares</t>
  </si>
  <si>
    <t>Pinturas y dibujos. hechos totalmente a mano. excepto los dibujos de la partida 49.06 y los articulos manufacturados decorados a mano; collages y cuadros similares.</t>
  </si>
  <si>
    <t>Originales</t>
  </si>
  <si>
    <t>De artistas vivos o fallecidos hasta 50 años a contar de la fecha de deceso del autor (Ley 24633 y Dto.1321/97)</t>
  </si>
  <si>
    <t>Grabados. estampas y litografias. originales.</t>
  </si>
  <si>
    <t>Obras originales de estatuaria o escultura. de cualquier materia.</t>
  </si>
  <si>
    <t>SELLOS (ESTAMPILLAS) DE CORREO. TIMBRES FISCALES. MARCAS POSTALES. SOBRES PRIMER DÃA. ENTEROS POSTALES. DEMaS ARTÃCULOS FRANQUEADOS Y ANaLOGOS. INCLUSO OBLITERADOS. EXCEPTO LOS ARTÃCULOS DE LA PARTIDA 49.07.</t>
  </si>
  <si>
    <t>Colecciones y especimenes para colecciones de zoologia. botanica. mineralogia o anatomia o que tengan interes historico. arqueologico. paleontologico. etnografico o numismatico.</t>
  </si>
  <si>
    <t>Colecciones y especimenes para colecciones de zoologia (R.2012/93 ex ANA)</t>
  </si>
  <si>
    <t>Trofeos de caza</t>
  </si>
  <si>
    <t>Objetos para coleccionar que tengan un interes historico. etnografico o numismatico</t>
  </si>
  <si>
    <t>Libros. folletos e impresos similares. incluso en hojas sueltas (R.634/93 ex ANA)</t>
  </si>
  <si>
    <t>Objetos para coleccionar que tengan un interes arqueologico</t>
  </si>
  <si>
    <t>Objetos para coleccionar que tengan un interes paleontologico</t>
  </si>
  <si>
    <t>Colecciones y especimenes para colecciones de botanica</t>
  </si>
  <si>
    <t>AntigÃ¼edades de mas de cien años.</t>
  </si>
  <si>
    <t>Instrumentos musicales</t>
  </si>
  <si>
    <t>De ceramica</t>
  </si>
  <si>
    <t>Conjuntos y montajes artisticos originales. (Ley 24633 y Decreto reglamentario N° 1321)</t>
  </si>
  <si>
    <t>NCM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</si>
</sst>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094C9-71DD-4194-A77B-49DA0192BFC3}">
  <dimension ref="A1:D47338"/>
  <sheetViews>
    <sheetView tabSelected="1" workbookViewId="0">
      <selection activeCell="B1" sqref="B1"/>
    </sheetView>
  </sheetViews>
  <sheetFormatPr baseColWidth="10" defaultRowHeight="15" x14ac:dyDescent="0.25"/>
  <cols>
    <col min="1" max="1" width="12" bestFit="1" customWidth="1"/>
    <col min="2" max="2" width="140.28515625" customWidth="1"/>
  </cols>
  <sheetData>
    <row r="1" spans="1:4" x14ac:dyDescent="0.25">
      <c r="A1" t="s">
        <v>15437</v>
      </c>
      <c r="B1" t="s">
        <v>0</v>
      </c>
    </row>
    <row r="2" spans="1:4" x14ac:dyDescent="0.25">
      <c r="A2">
        <v>101</v>
      </c>
      <c r="B2" t="s">
        <v>1</v>
      </c>
    </row>
    <row r="3" spans="1:4" x14ac:dyDescent="0.25">
      <c r="A3">
        <v>1012</v>
      </c>
      <c r="B3" t="s">
        <v>2</v>
      </c>
    </row>
    <row r="4" spans="1:4" x14ac:dyDescent="0.25">
      <c r="A4">
        <v>1012100</v>
      </c>
      <c r="B4" t="e">
        <f>- - Reproductores de raza pura</f>
        <v>#NAME?</v>
      </c>
    </row>
    <row r="5" spans="1:4" x14ac:dyDescent="0.25">
      <c r="A5">
        <v>1012100100</v>
      </c>
      <c r="B5" t="s">
        <v>3</v>
      </c>
    </row>
    <row r="6" spans="1:4" x14ac:dyDescent="0.25">
      <c r="A6">
        <v>1012100200</v>
      </c>
      <c r="B6" t="s">
        <v>4</v>
      </c>
    </row>
    <row r="7" spans="1:4" x14ac:dyDescent="0.25">
      <c r="A7">
        <v>1012100300</v>
      </c>
      <c r="B7" t="s">
        <v>5</v>
      </c>
    </row>
    <row r="8" spans="1:4" x14ac:dyDescent="0.25">
      <c r="A8">
        <v>1012100400</v>
      </c>
      <c r="B8" t="s">
        <v>6</v>
      </c>
    </row>
    <row r="9" spans="1:4" x14ac:dyDescent="0.25">
      <c r="A9">
        <v>1012100500</v>
      </c>
      <c r="B9" t="s">
        <v>7</v>
      </c>
    </row>
    <row r="10" spans="1:4" x14ac:dyDescent="0.25">
      <c r="A10">
        <v>1012100600</v>
      </c>
      <c r="B10" t="s">
        <v>8</v>
      </c>
    </row>
    <row r="11" spans="1:4" x14ac:dyDescent="0.25">
      <c r="A11">
        <v>1012100700</v>
      </c>
      <c r="B11" t="s">
        <v>9</v>
      </c>
    </row>
    <row r="12" spans="1:4" x14ac:dyDescent="0.25">
      <c r="A12">
        <v>1012100900</v>
      </c>
      <c r="B12" t="s">
        <v>10</v>
      </c>
      <c r="D12" t="s">
        <v>11</v>
      </c>
    </row>
    <row r="13" spans="1:4" x14ac:dyDescent="0.25">
      <c r="A13">
        <v>1012900</v>
      </c>
      <c r="B13" t="e">
        <f>- - Los demas</f>
        <v>#NAME?</v>
      </c>
    </row>
    <row r="14" spans="1:4" x14ac:dyDescent="0.25">
      <c r="A14">
        <v>10129001</v>
      </c>
      <c r="B14" t="s">
        <v>12</v>
      </c>
    </row>
    <row r="15" spans="1:4" x14ac:dyDescent="0.25">
      <c r="A15">
        <v>1012900110</v>
      </c>
      <c r="B15" t="s">
        <v>3</v>
      </c>
    </row>
    <row r="16" spans="1:4" x14ac:dyDescent="0.25">
      <c r="A16">
        <v>1012900120</v>
      </c>
      <c r="B16" t="s">
        <v>4</v>
      </c>
    </row>
    <row r="17" spans="1:2" x14ac:dyDescent="0.25">
      <c r="A17">
        <v>1012900130</v>
      </c>
      <c r="B17" t="s">
        <v>5</v>
      </c>
    </row>
    <row r="18" spans="1:2" x14ac:dyDescent="0.25">
      <c r="A18">
        <v>1012900140</v>
      </c>
      <c r="B18" t="s">
        <v>6</v>
      </c>
    </row>
    <row r="19" spans="1:2" x14ac:dyDescent="0.25">
      <c r="A19">
        <v>1012900150</v>
      </c>
      <c r="B19" t="s">
        <v>7</v>
      </c>
    </row>
    <row r="20" spans="1:2" x14ac:dyDescent="0.25">
      <c r="A20">
        <v>1012900160</v>
      </c>
      <c r="B20" t="s">
        <v>8</v>
      </c>
    </row>
    <row r="21" spans="1:2" x14ac:dyDescent="0.25">
      <c r="A21">
        <v>1012900170</v>
      </c>
      <c r="B21" t="s">
        <v>9</v>
      </c>
    </row>
    <row r="22" spans="1:2" x14ac:dyDescent="0.25">
      <c r="A22">
        <v>1012900190</v>
      </c>
      <c r="B22" t="s">
        <v>10</v>
      </c>
    </row>
    <row r="23" spans="1:2" x14ac:dyDescent="0.25">
      <c r="A23">
        <v>10129009</v>
      </c>
      <c r="B23" t="s">
        <v>10</v>
      </c>
    </row>
    <row r="24" spans="1:2" x14ac:dyDescent="0.25">
      <c r="A24">
        <v>1012900910</v>
      </c>
      <c r="B24" t="s">
        <v>13</v>
      </c>
    </row>
    <row r="25" spans="1:2" x14ac:dyDescent="0.25">
      <c r="A25">
        <v>1012900920</v>
      </c>
      <c r="B25" t="s">
        <v>14</v>
      </c>
    </row>
    <row r="26" spans="1:2" x14ac:dyDescent="0.25">
      <c r="A26">
        <v>1012900930</v>
      </c>
      <c r="B26" t="s">
        <v>15</v>
      </c>
    </row>
    <row r="27" spans="1:2" x14ac:dyDescent="0.25">
      <c r="A27">
        <v>1012900940</v>
      </c>
      <c r="B27" t="s">
        <v>16</v>
      </c>
    </row>
    <row r="28" spans="1:2" x14ac:dyDescent="0.25">
      <c r="A28">
        <v>1012900990</v>
      </c>
      <c r="B28" t="s">
        <v>10</v>
      </c>
    </row>
    <row r="29" spans="1:2" x14ac:dyDescent="0.25">
      <c r="A29">
        <v>1013000000</v>
      </c>
      <c r="B29" t="e">
        <f>-Asnos</f>
        <v>#NAME?</v>
      </c>
    </row>
    <row r="30" spans="1:2" x14ac:dyDescent="0.25">
      <c r="A30">
        <v>1019000000</v>
      </c>
      <c r="B30" t="e">
        <f>-Los demas</f>
        <v>#NAME?</v>
      </c>
    </row>
    <row r="31" spans="1:2" x14ac:dyDescent="0.25">
      <c r="A31">
        <v>102</v>
      </c>
      <c r="B31" t="s">
        <v>17</v>
      </c>
    </row>
    <row r="32" spans="1:2" x14ac:dyDescent="0.25">
      <c r="A32">
        <v>1022</v>
      </c>
      <c r="B32" t="s">
        <v>18</v>
      </c>
    </row>
    <row r="33" spans="1:2" x14ac:dyDescent="0.25">
      <c r="A33">
        <v>10221</v>
      </c>
      <c r="B33" t="e">
        <f>- - Reproductores de raza pura</f>
        <v>#NAME?</v>
      </c>
    </row>
    <row r="34" spans="1:2" x14ac:dyDescent="0.25">
      <c r="A34">
        <v>1022110000</v>
      </c>
      <c r="B34" t="s">
        <v>19</v>
      </c>
    </row>
    <row r="35" spans="1:2" x14ac:dyDescent="0.25">
      <c r="A35">
        <v>1022190</v>
      </c>
      <c r="B35" t="s">
        <v>10</v>
      </c>
    </row>
    <row r="36" spans="1:2" x14ac:dyDescent="0.25">
      <c r="A36">
        <v>1022190100</v>
      </c>
      <c r="B36" t="s">
        <v>20</v>
      </c>
    </row>
    <row r="37" spans="1:2" x14ac:dyDescent="0.25">
      <c r="A37">
        <v>1022190200</v>
      </c>
      <c r="B37" t="s">
        <v>21</v>
      </c>
    </row>
    <row r="38" spans="1:2" x14ac:dyDescent="0.25">
      <c r="A38">
        <v>1022190900</v>
      </c>
      <c r="B38" t="s">
        <v>10</v>
      </c>
    </row>
    <row r="39" spans="1:2" x14ac:dyDescent="0.25">
      <c r="A39">
        <v>10229</v>
      </c>
      <c r="B39" t="e">
        <f>- - Los demas</f>
        <v>#NAME?</v>
      </c>
    </row>
    <row r="40" spans="1:2" x14ac:dyDescent="0.25">
      <c r="A40">
        <v>102291</v>
      </c>
      <c r="B40" t="s">
        <v>22</v>
      </c>
    </row>
    <row r="41" spans="1:2" x14ac:dyDescent="0.25">
      <c r="A41">
        <v>1022911000</v>
      </c>
      <c r="B41" t="s">
        <v>19</v>
      </c>
    </row>
    <row r="42" spans="1:2" x14ac:dyDescent="0.25">
      <c r="A42">
        <v>1022919</v>
      </c>
      <c r="B42" t="s">
        <v>10</v>
      </c>
    </row>
    <row r="43" spans="1:2" x14ac:dyDescent="0.25">
      <c r="A43">
        <v>1022919100</v>
      </c>
      <c r="B43" t="s">
        <v>20</v>
      </c>
    </row>
    <row r="44" spans="1:2" x14ac:dyDescent="0.25">
      <c r="A44">
        <v>1022919200</v>
      </c>
      <c r="B44" t="s">
        <v>21</v>
      </c>
    </row>
    <row r="45" spans="1:2" x14ac:dyDescent="0.25">
      <c r="A45">
        <v>1022919900</v>
      </c>
      <c r="B45" t="s">
        <v>10</v>
      </c>
    </row>
    <row r="46" spans="1:2" x14ac:dyDescent="0.25">
      <c r="A46">
        <v>1022990</v>
      </c>
      <c r="B46" t="s">
        <v>10</v>
      </c>
    </row>
    <row r="47" spans="1:2" x14ac:dyDescent="0.25">
      <c r="A47">
        <v>10229901</v>
      </c>
      <c r="B47" t="s">
        <v>15</v>
      </c>
    </row>
    <row r="48" spans="1:2" x14ac:dyDescent="0.25">
      <c r="A48">
        <v>1022990110</v>
      </c>
      <c r="B48" t="s">
        <v>20</v>
      </c>
    </row>
    <row r="49" spans="1:2" x14ac:dyDescent="0.25">
      <c r="A49">
        <v>1022990120</v>
      </c>
      <c r="B49" t="s">
        <v>21</v>
      </c>
    </row>
    <row r="50" spans="1:2" x14ac:dyDescent="0.25">
      <c r="A50">
        <v>1022990130</v>
      </c>
      <c r="B50" t="s">
        <v>23</v>
      </c>
    </row>
    <row r="51" spans="1:2" x14ac:dyDescent="0.25">
      <c r="A51">
        <v>1022990190</v>
      </c>
      <c r="B51" t="s">
        <v>10</v>
      </c>
    </row>
    <row r="52" spans="1:2" x14ac:dyDescent="0.25">
      <c r="A52">
        <v>10229909</v>
      </c>
      <c r="B52" t="s">
        <v>10</v>
      </c>
    </row>
    <row r="53" spans="1:2" x14ac:dyDescent="0.25">
      <c r="A53">
        <v>1022990910</v>
      </c>
      <c r="B53" t="s">
        <v>20</v>
      </c>
    </row>
    <row r="54" spans="1:2" x14ac:dyDescent="0.25">
      <c r="A54">
        <v>1022990920</v>
      </c>
      <c r="B54" t="s">
        <v>21</v>
      </c>
    </row>
    <row r="55" spans="1:2" x14ac:dyDescent="0.25">
      <c r="A55">
        <v>1022990930</v>
      </c>
      <c r="B55" t="s">
        <v>24</v>
      </c>
    </row>
    <row r="56" spans="1:2" x14ac:dyDescent="0.25">
      <c r="A56">
        <v>1022990990</v>
      </c>
      <c r="B56" t="s">
        <v>10</v>
      </c>
    </row>
    <row r="57" spans="1:2" x14ac:dyDescent="0.25">
      <c r="A57">
        <v>1023</v>
      </c>
      <c r="B57" t="s">
        <v>25</v>
      </c>
    </row>
    <row r="58" spans="1:2" x14ac:dyDescent="0.25">
      <c r="A58">
        <v>10231</v>
      </c>
      <c r="B58" t="e">
        <f>- - Reproductores de raza pura</f>
        <v>#NAME?</v>
      </c>
    </row>
    <row r="59" spans="1:2" x14ac:dyDescent="0.25">
      <c r="A59">
        <v>1023110000</v>
      </c>
      <c r="B59" t="s">
        <v>19</v>
      </c>
    </row>
    <row r="60" spans="1:2" x14ac:dyDescent="0.25">
      <c r="A60">
        <v>1023190000</v>
      </c>
      <c r="B60" t="s">
        <v>10</v>
      </c>
    </row>
    <row r="61" spans="1:2" x14ac:dyDescent="0.25">
      <c r="A61">
        <v>10239</v>
      </c>
      <c r="B61" t="e">
        <f>- - Los demas</f>
        <v>#NAME?</v>
      </c>
    </row>
    <row r="62" spans="1:2" x14ac:dyDescent="0.25">
      <c r="A62">
        <v>102391</v>
      </c>
      <c r="B62" t="s">
        <v>22</v>
      </c>
    </row>
    <row r="63" spans="1:2" x14ac:dyDescent="0.25">
      <c r="A63">
        <v>1023911000</v>
      </c>
      <c r="B63" t="s">
        <v>19</v>
      </c>
    </row>
    <row r="64" spans="1:2" x14ac:dyDescent="0.25">
      <c r="A64">
        <v>1023919000</v>
      </c>
      <c r="B64" t="s">
        <v>10</v>
      </c>
    </row>
    <row r="65" spans="1:2" x14ac:dyDescent="0.25">
      <c r="A65">
        <v>1023990000</v>
      </c>
      <c r="B65" t="s">
        <v>10</v>
      </c>
    </row>
    <row r="66" spans="1:2" x14ac:dyDescent="0.25">
      <c r="A66">
        <v>1029000000</v>
      </c>
      <c r="B66" t="e">
        <f>-Los demas</f>
        <v>#NAME?</v>
      </c>
    </row>
    <row r="67" spans="1:2" x14ac:dyDescent="0.25">
      <c r="A67">
        <v>103</v>
      </c>
      <c r="B67" t="s">
        <v>26</v>
      </c>
    </row>
    <row r="68" spans="1:2" x14ac:dyDescent="0.25">
      <c r="A68">
        <v>1031000</v>
      </c>
      <c r="B68" t="e">
        <f>- Reproductores de raza pura</f>
        <v>#NAME?</v>
      </c>
    </row>
    <row r="69" spans="1:2" x14ac:dyDescent="0.25">
      <c r="A69">
        <v>1031000100</v>
      </c>
      <c r="B69" t="s">
        <v>27</v>
      </c>
    </row>
    <row r="70" spans="1:2" x14ac:dyDescent="0.25">
      <c r="A70">
        <v>1031000900</v>
      </c>
      <c r="B70" t="s">
        <v>10</v>
      </c>
    </row>
    <row r="71" spans="1:2" x14ac:dyDescent="0.25">
      <c r="A71">
        <v>1039</v>
      </c>
      <c r="B71" t="s">
        <v>28</v>
      </c>
    </row>
    <row r="72" spans="1:2" x14ac:dyDescent="0.25">
      <c r="A72">
        <v>1039100</v>
      </c>
      <c r="B72" t="s">
        <v>29</v>
      </c>
    </row>
    <row r="73" spans="1:2" x14ac:dyDescent="0.25">
      <c r="A73">
        <v>10391001</v>
      </c>
      <c r="B73" t="s">
        <v>30</v>
      </c>
    </row>
    <row r="74" spans="1:2" x14ac:dyDescent="0.25">
      <c r="A74">
        <v>1039100110</v>
      </c>
      <c r="B74" t="s">
        <v>15</v>
      </c>
    </row>
    <row r="75" spans="1:2" x14ac:dyDescent="0.25">
      <c r="A75">
        <v>103910019</v>
      </c>
      <c r="B75" t="s">
        <v>10</v>
      </c>
    </row>
    <row r="76" spans="1:2" x14ac:dyDescent="0.25">
      <c r="A76">
        <v>1039100191</v>
      </c>
      <c r="B76" t="s">
        <v>22</v>
      </c>
    </row>
    <row r="77" spans="1:2" x14ac:dyDescent="0.25">
      <c r="A77">
        <v>1039100199</v>
      </c>
      <c r="B77" t="s">
        <v>10</v>
      </c>
    </row>
    <row r="78" spans="1:2" x14ac:dyDescent="0.25">
      <c r="A78">
        <v>10391009</v>
      </c>
      <c r="B78" t="s">
        <v>10</v>
      </c>
    </row>
    <row r="79" spans="1:2" x14ac:dyDescent="0.25">
      <c r="A79">
        <v>1039100910</v>
      </c>
      <c r="B79" t="s">
        <v>15</v>
      </c>
    </row>
    <row r="80" spans="1:2" x14ac:dyDescent="0.25">
      <c r="A80">
        <v>103910099</v>
      </c>
      <c r="B80" t="s">
        <v>10</v>
      </c>
    </row>
    <row r="81" spans="1:2" x14ac:dyDescent="0.25">
      <c r="A81">
        <v>1039100991</v>
      </c>
      <c r="B81" t="s">
        <v>22</v>
      </c>
    </row>
    <row r="82" spans="1:2" x14ac:dyDescent="0.25">
      <c r="A82">
        <v>1039100999</v>
      </c>
      <c r="B82" t="s">
        <v>10</v>
      </c>
    </row>
    <row r="83" spans="1:2" x14ac:dyDescent="0.25">
      <c r="A83">
        <v>1039200</v>
      </c>
      <c r="B83" t="s">
        <v>31</v>
      </c>
    </row>
    <row r="84" spans="1:2" x14ac:dyDescent="0.25">
      <c r="A84">
        <v>10392001</v>
      </c>
      <c r="B84" t="s">
        <v>30</v>
      </c>
    </row>
    <row r="85" spans="1:2" x14ac:dyDescent="0.25">
      <c r="A85">
        <v>1039200110</v>
      </c>
      <c r="B85" t="s">
        <v>15</v>
      </c>
    </row>
    <row r="86" spans="1:2" x14ac:dyDescent="0.25">
      <c r="A86">
        <v>103920019</v>
      </c>
      <c r="B86" t="s">
        <v>10</v>
      </c>
    </row>
    <row r="87" spans="1:2" x14ac:dyDescent="0.25">
      <c r="A87">
        <v>1039200191</v>
      </c>
      <c r="B87" t="s">
        <v>22</v>
      </c>
    </row>
    <row r="88" spans="1:2" x14ac:dyDescent="0.25">
      <c r="A88">
        <v>1039200199</v>
      </c>
      <c r="B88" t="s">
        <v>10</v>
      </c>
    </row>
    <row r="89" spans="1:2" x14ac:dyDescent="0.25">
      <c r="A89">
        <v>10392009</v>
      </c>
      <c r="B89" t="s">
        <v>10</v>
      </c>
    </row>
    <row r="90" spans="1:2" x14ac:dyDescent="0.25">
      <c r="A90">
        <v>1039200910</v>
      </c>
      <c r="B90" t="s">
        <v>15</v>
      </c>
    </row>
    <row r="91" spans="1:2" x14ac:dyDescent="0.25">
      <c r="A91">
        <v>103920099</v>
      </c>
      <c r="B91" t="s">
        <v>10</v>
      </c>
    </row>
    <row r="92" spans="1:2" x14ac:dyDescent="0.25">
      <c r="A92">
        <v>1039200991</v>
      </c>
      <c r="B92" t="s">
        <v>22</v>
      </c>
    </row>
    <row r="93" spans="1:2" x14ac:dyDescent="0.25">
      <c r="A93">
        <v>1039200999</v>
      </c>
      <c r="B93" t="s">
        <v>10</v>
      </c>
    </row>
    <row r="94" spans="1:2" x14ac:dyDescent="0.25">
      <c r="A94">
        <v>104</v>
      </c>
      <c r="B94" t="s">
        <v>32</v>
      </c>
    </row>
    <row r="95" spans="1:2" x14ac:dyDescent="0.25">
      <c r="A95">
        <v>10410</v>
      </c>
      <c r="B95" t="e">
        <f>- de la especie ovina</f>
        <v>#NAME?</v>
      </c>
    </row>
    <row r="96" spans="1:2" x14ac:dyDescent="0.25">
      <c r="A96">
        <v>104101</v>
      </c>
      <c r="B96" t="s">
        <v>33</v>
      </c>
    </row>
    <row r="97" spans="1:2" x14ac:dyDescent="0.25">
      <c r="A97">
        <v>1041011000</v>
      </c>
      <c r="B97" t="s">
        <v>19</v>
      </c>
    </row>
    <row r="98" spans="1:2" x14ac:dyDescent="0.25">
      <c r="A98">
        <v>1041019000</v>
      </c>
      <c r="B98" t="s">
        <v>10</v>
      </c>
    </row>
    <row r="99" spans="1:2" x14ac:dyDescent="0.25">
      <c r="A99">
        <v>1041090</v>
      </c>
      <c r="B99" t="s">
        <v>10</v>
      </c>
    </row>
    <row r="100" spans="1:2" x14ac:dyDescent="0.25">
      <c r="A100">
        <v>1041090100</v>
      </c>
      <c r="B100" t="s">
        <v>15</v>
      </c>
    </row>
    <row r="101" spans="1:2" x14ac:dyDescent="0.25">
      <c r="A101">
        <v>1041090900</v>
      </c>
      <c r="B101" t="s">
        <v>10</v>
      </c>
    </row>
    <row r="102" spans="1:2" x14ac:dyDescent="0.25">
      <c r="A102">
        <v>10420</v>
      </c>
      <c r="B102" t="e">
        <f>- de la especie caprina</f>
        <v>#NAME?</v>
      </c>
    </row>
    <row r="103" spans="1:2" x14ac:dyDescent="0.25">
      <c r="A103">
        <v>1042010000</v>
      </c>
      <c r="B103" t="s">
        <v>33</v>
      </c>
    </row>
    <row r="104" spans="1:2" x14ac:dyDescent="0.25">
      <c r="A104">
        <v>1042090</v>
      </c>
      <c r="B104" t="s">
        <v>10</v>
      </c>
    </row>
    <row r="105" spans="1:2" x14ac:dyDescent="0.25">
      <c r="A105">
        <v>1042090100</v>
      </c>
      <c r="B105" t="s">
        <v>15</v>
      </c>
    </row>
    <row r="106" spans="1:2" x14ac:dyDescent="0.25">
      <c r="A106">
        <v>1042090900</v>
      </c>
      <c r="B106" t="s">
        <v>10</v>
      </c>
    </row>
    <row r="107" spans="1:2" x14ac:dyDescent="0.25">
      <c r="A107">
        <v>105</v>
      </c>
      <c r="B107" t="s">
        <v>34</v>
      </c>
    </row>
    <row r="108" spans="1:2" x14ac:dyDescent="0.25">
      <c r="A108">
        <v>1051</v>
      </c>
      <c r="B108" t="s">
        <v>35</v>
      </c>
    </row>
    <row r="109" spans="1:2" x14ac:dyDescent="0.25">
      <c r="A109">
        <v>10511</v>
      </c>
      <c r="B109" t="e">
        <f>- - Aves de la especie Gallus domesticus</f>
        <v>#NAME?</v>
      </c>
    </row>
    <row r="110" spans="1:2" x14ac:dyDescent="0.25">
      <c r="A110">
        <v>1051110000</v>
      </c>
      <c r="B110" t="s">
        <v>36</v>
      </c>
    </row>
    <row r="111" spans="1:2" x14ac:dyDescent="0.25">
      <c r="A111">
        <v>1051190000</v>
      </c>
      <c r="B111" t="s">
        <v>10</v>
      </c>
    </row>
    <row r="112" spans="1:2" x14ac:dyDescent="0.25">
      <c r="A112">
        <v>1051200000</v>
      </c>
      <c r="B112" t="e">
        <f>--Pavos (gallipavos)</f>
        <v>#NAME?</v>
      </c>
    </row>
    <row r="113" spans="1:2" x14ac:dyDescent="0.25">
      <c r="A113">
        <v>1051300000</v>
      </c>
      <c r="B113" t="e">
        <f>--Patos</f>
        <v>#NAME?</v>
      </c>
    </row>
    <row r="114" spans="1:2" x14ac:dyDescent="0.25">
      <c r="A114">
        <v>1051400000</v>
      </c>
      <c r="B114" t="e">
        <f>--Gansos</f>
        <v>#NAME?</v>
      </c>
    </row>
    <row r="115" spans="1:2" x14ac:dyDescent="0.25">
      <c r="A115">
        <v>1051500000</v>
      </c>
      <c r="B115" t="e">
        <f>--Pintadas</f>
        <v>#NAME?</v>
      </c>
    </row>
    <row r="116" spans="1:2" x14ac:dyDescent="0.25">
      <c r="A116">
        <v>1059</v>
      </c>
      <c r="B116" t="s">
        <v>28</v>
      </c>
    </row>
    <row r="117" spans="1:2" x14ac:dyDescent="0.25">
      <c r="A117">
        <v>1059400000</v>
      </c>
      <c r="B117" t="e">
        <f>--Aves de la especie Gallus domesticus</f>
        <v>#NAME?</v>
      </c>
    </row>
    <row r="118" spans="1:2" x14ac:dyDescent="0.25">
      <c r="A118">
        <v>1059900000</v>
      </c>
      <c r="B118" t="e">
        <f>--Los demas</f>
        <v>#NAME?</v>
      </c>
    </row>
    <row r="119" spans="1:2" x14ac:dyDescent="0.25">
      <c r="A119">
        <v>106</v>
      </c>
      <c r="B119" t="s">
        <v>37</v>
      </c>
    </row>
    <row r="120" spans="1:2" x14ac:dyDescent="0.25">
      <c r="A120">
        <v>1061</v>
      </c>
      <c r="B120" t="s">
        <v>38</v>
      </c>
    </row>
    <row r="121" spans="1:2" x14ac:dyDescent="0.25">
      <c r="A121">
        <v>1061100000</v>
      </c>
      <c r="B121" t="e">
        <f>--Primates</f>
        <v>#NAME?</v>
      </c>
    </row>
    <row r="122" spans="1:2" x14ac:dyDescent="0.25">
      <c r="A122">
        <v>1061200000</v>
      </c>
      <c r="B122" t="e">
        <f>--Ballenas. delfines y marsopas (Mamiferos del orden Cetacea), manaties y dugones o dugongos (Mamiferos del orden Sirenia), otarios y focas. leones marinos y morsas (Mamiferos del suborden Pinnipedia)</f>
        <v>#NAME?</v>
      </c>
    </row>
    <row r="123" spans="1:2" x14ac:dyDescent="0.25">
      <c r="A123">
        <v>1061300000</v>
      </c>
      <c r="B123" t="e">
        <f>--Camellos y demas camelidos (Camelidae)</f>
        <v>#NAME?</v>
      </c>
    </row>
    <row r="124" spans="1:2" x14ac:dyDescent="0.25">
      <c r="A124">
        <v>1061400</v>
      </c>
      <c r="B124" t="e">
        <f>- - Conejos y liebres</f>
        <v>#NAME?</v>
      </c>
    </row>
    <row r="125" spans="1:2" x14ac:dyDescent="0.25">
      <c r="A125">
        <v>1061400100</v>
      </c>
      <c r="B125" t="s">
        <v>39</v>
      </c>
    </row>
    <row r="126" spans="1:2" x14ac:dyDescent="0.25">
      <c r="A126">
        <v>1061400200</v>
      </c>
      <c r="B126" t="s">
        <v>40</v>
      </c>
    </row>
    <row r="127" spans="1:2" x14ac:dyDescent="0.25">
      <c r="A127">
        <v>1061900</v>
      </c>
      <c r="B127" t="e">
        <f>- - Los demas</f>
        <v>#NAME?</v>
      </c>
    </row>
    <row r="128" spans="1:2" x14ac:dyDescent="0.25">
      <c r="A128">
        <v>1061900100</v>
      </c>
      <c r="B128" t="s">
        <v>41</v>
      </c>
    </row>
    <row r="129" spans="1:2" x14ac:dyDescent="0.25">
      <c r="A129">
        <v>10619002</v>
      </c>
      <c r="B129" t="s">
        <v>42</v>
      </c>
    </row>
    <row r="130" spans="1:2" x14ac:dyDescent="0.25">
      <c r="A130">
        <v>1061900210</v>
      </c>
      <c r="B130" t="s">
        <v>43</v>
      </c>
    </row>
    <row r="131" spans="1:2" x14ac:dyDescent="0.25">
      <c r="A131">
        <v>1061900220</v>
      </c>
      <c r="B131" t="s">
        <v>44</v>
      </c>
    </row>
    <row r="132" spans="1:2" x14ac:dyDescent="0.25">
      <c r="A132">
        <v>1061900230</v>
      </c>
      <c r="B132" t="s">
        <v>45</v>
      </c>
    </row>
    <row r="133" spans="1:2" x14ac:dyDescent="0.25">
      <c r="A133">
        <v>1061900240</v>
      </c>
      <c r="B133" t="s">
        <v>46</v>
      </c>
    </row>
    <row r="134" spans="1:2" x14ac:dyDescent="0.25">
      <c r="A134">
        <v>1061900290</v>
      </c>
      <c r="B134" t="s">
        <v>10</v>
      </c>
    </row>
    <row r="135" spans="1:2" x14ac:dyDescent="0.25">
      <c r="A135">
        <v>10619003</v>
      </c>
      <c r="B135" t="s">
        <v>47</v>
      </c>
    </row>
    <row r="136" spans="1:2" x14ac:dyDescent="0.25">
      <c r="A136">
        <v>1061900310</v>
      </c>
      <c r="B136" t="s">
        <v>48</v>
      </c>
    </row>
    <row r="137" spans="1:2" x14ac:dyDescent="0.25">
      <c r="A137">
        <v>1061900320</v>
      </c>
      <c r="B137" t="s">
        <v>49</v>
      </c>
    </row>
    <row r="138" spans="1:2" x14ac:dyDescent="0.25">
      <c r="A138">
        <v>1061900390</v>
      </c>
      <c r="B138" t="s">
        <v>10</v>
      </c>
    </row>
    <row r="139" spans="1:2" x14ac:dyDescent="0.25">
      <c r="A139">
        <v>1061900400</v>
      </c>
      <c r="B139" t="s">
        <v>50</v>
      </c>
    </row>
    <row r="140" spans="1:2" x14ac:dyDescent="0.25">
      <c r="A140">
        <v>10619009</v>
      </c>
      <c r="B140" t="s">
        <v>10</v>
      </c>
    </row>
    <row r="141" spans="1:2" x14ac:dyDescent="0.25">
      <c r="A141">
        <v>1061900920</v>
      </c>
      <c r="B141" t="s">
        <v>51</v>
      </c>
    </row>
    <row r="142" spans="1:2" x14ac:dyDescent="0.25">
      <c r="A142">
        <v>1061900930</v>
      </c>
      <c r="B142" t="s">
        <v>52</v>
      </c>
    </row>
    <row r="143" spans="1:2" x14ac:dyDescent="0.25">
      <c r="A143">
        <v>1061900990</v>
      </c>
      <c r="B143" t="s">
        <v>10</v>
      </c>
    </row>
    <row r="144" spans="1:2" x14ac:dyDescent="0.25">
      <c r="A144">
        <v>1062000</v>
      </c>
      <c r="B144" t="e">
        <f>- Reptiles (incluidas las serpientes y tortugas de mar)</f>
        <v>#NAME?</v>
      </c>
    </row>
    <row r="145" spans="1:2" x14ac:dyDescent="0.25">
      <c r="A145">
        <v>1062000100</v>
      </c>
      <c r="B145" t="s">
        <v>53</v>
      </c>
    </row>
    <row r="146" spans="1:2" x14ac:dyDescent="0.25">
      <c r="A146">
        <v>1062000900</v>
      </c>
      <c r="B146" t="s">
        <v>10</v>
      </c>
    </row>
    <row r="147" spans="1:2" x14ac:dyDescent="0.25">
      <c r="A147">
        <v>1063</v>
      </c>
      <c r="B147" t="s">
        <v>54</v>
      </c>
    </row>
    <row r="148" spans="1:2" x14ac:dyDescent="0.25">
      <c r="A148">
        <v>1063100000</v>
      </c>
      <c r="B148" t="e">
        <f>--Aves de rapiña</f>
        <v>#NAME?</v>
      </c>
    </row>
    <row r="149" spans="1:2" x14ac:dyDescent="0.25">
      <c r="A149">
        <v>1063200</v>
      </c>
      <c r="B149" t="e">
        <f>- - Psitaciformes (incluidos Los loros. guacamayos. cacatuas y demas papagayos)</f>
        <v>#NAME?</v>
      </c>
    </row>
    <row r="150" spans="1:2" x14ac:dyDescent="0.25">
      <c r="A150">
        <v>1063200100</v>
      </c>
      <c r="B150" t="s">
        <v>55</v>
      </c>
    </row>
    <row r="151" spans="1:2" x14ac:dyDescent="0.25">
      <c r="A151">
        <v>1063200900</v>
      </c>
      <c r="B151" t="s">
        <v>10</v>
      </c>
    </row>
    <row r="152" spans="1:2" x14ac:dyDescent="0.25">
      <c r="A152">
        <v>10633</v>
      </c>
      <c r="B152" t="e">
        <f>- - Avestruces, emues (Dromaius novaehollandiae)</f>
        <v>#NAME?</v>
      </c>
    </row>
    <row r="153" spans="1:2" x14ac:dyDescent="0.25">
      <c r="A153">
        <v>1063310000</v>
      </c>
      <c r="B153" t="s">
        <v>56</v>
      </c>
    </row>
    <row r="154" spans="1:2" x14ac:dyDescent="0.25">
      <c r="A154">
        <v>1063390000</v>
      </c>
      <c r="B154" t="s">
        <v>57</v>
      </c>
    </row>
    <row r="155" spans="1:2" x14ac:dyDescent="0.25">
      <c r="A155">
        <v>1063900</v>
      </c>
      <c r="B155" t="e">
        <f>- - las demas</f>
        <v>#NAME?</v>
      </c>
    </row>
    <row r="156" spans="1:2" x14ac:dyDescent="0.25">
      <c r="A156">
        <v>1063900100</v>
      </c>
      <c r="B156" t="s">
        <v>58</v>
      </c>
    </row>
    <row r="157" spans="1:2" x14ac:dyDescent="0.25">
      <c r="A157">
        <v>1063900200</v>
      </c>
      <c r="B157" t="s">
        <v>59</v>
      </c>
    </row>
    <row r="158" spans="1:2" x14ac:dyDescent="0.25">
      <c r="A158">
        <v>1063900900</v>
      </c>
      <c r="B158" t="s">
        <v>57</v>
      </c>
    </row>
    <row r="159" spans="1:2" x14ac:dyDescent="0.25">
      <c r="A159">
        <v>1064</v>
      </c>
      <c r="B159" t="s">
        <v>60</v>
      </c>
    </row>
    <row r="160" spans="1:2" x14ac:dyDescent="0.25">
      <c r="A160">
        <v>1064100</v>
      </c>
      <c r="B160" t="e">
        <f>- - Abejas</f>
        <v>#NAME?</v>
      </c>
    </row>
    <row r="161" spans="1:2" x14ac:dyDescent="0.25">
      <c r="A161">
        <v>10641001</v>
      </c>
      <c r="B161" t="s">
        <v>61</v>
      </c>
    </row>
    <row r="162" spans="1:2" x14ac:dyDescent="0.25">
      <c r="A162">
        <v>1064100110</v>
      </c>
      <c r="B162" t="s">
        <v>62</v>
      </c>
    </row>
    <row r="163" spans="1:2" x14ac:dyDescent="0.25">
      <c r="A163">
        <v>1064100120</v>
      </c>
      <c r="B163" t="s">
        <v>63</v>
      </c>
    </row>
    <row r="164" spans="1:2" x14ac:dyDescent="0.25">
      <c r="A164">
        <v>1064100190</v>
      </c>
      <c r="B164" t="s">
        <v>57</v>
      </c>
    </row>
    <row r="165" spans="1:2" x14ac:dyDescent="0.25">
      <c r="A165">
        <v>1064100900</v>
      </c>
      <c r="B165" t="s">
        <v>10</v>
      </c>
    </row>
    <row r="166" spans="1:2" x14ac:dyDescent="0.25">
      <c r="A166">
        <v>1064900000</v>
      </c>
      <c r="B166" t="e">
        <f>--Los demas</f>
        <v>#NAME?</v>
      </c>
    </row>
    <row r="167" spans="1:2" x14ac:dyDescent="0.25">
      <c r="A167">
        <v>1069000</v>
      </c>
      <c r="B167" t="e">
        <f>-Los demas</f>
        <v>#NAME?</v>
      </c>
    </row>
    <row r="168" spans="1:2" x14ac:dyDescent="0.25">
      <c r="A168">
        <v>1069000100</v>
      </c>
      <c r="B168" t="s">
        <v>64</v>
      </c>
    </row>
    <row r="169" spans="1:2" x14ac:dyDescent="0.25">
      <c r="A169">
        <v>1069000900</v>
      </c>
      <c r="B169" t="s">
        <v>10</v>
      </c>
    </row>
    <row r="170" spans="1:2" x14ac:dyDescent="0.25">
      <c r="A170">
        <v>201</v>
      </c>
      <c r="B170" t="s">
        <v>65</v>
      </c>
    </row>
    <row r="171" spans="1:2" x14ac:dyDescent="0.25">
      <c r="A171">
        <v>2011000</v>
      </c>
      <c r="B171" t="e">
        <f>- En canales o medias canales</f>
        <v>#NAME?</v>
      </c>
    </row>
    <row r="172" spans="1:2" x14ac:dyDescent="0.25">
      <c r="A172">
        <v>20110001</v>
      </c>
      <c r="B172" t="s">
        <v>66</v>
      </c>
    </row>
    <row r="173" spans="1:2" x14ac:dyDescent="0.25">
      <c r="A173">
        <v>2011000110</v>
      </c>
      <c r="B173" t="s">
        <v>67</v>
      </c>
    </row>
    <row r="174" spans="1:2" x14ac:dyDescent="0.25">
      <c r="A174">
        <v>2011000190</v>
      </c>
      <c r="B174" t="s">
        <v>57</v>
      </c>
    </row>
    <row r="175" spans="1:2" x14ac:dyDescent="0.25">
      <c r="A175">
        <v>20110002</v>
      </c>
      <c r="B175" t="s">
        <v>68</v>
      </c>
    </row>
    <row r="176" spans="1:2" x14ac:dyDescent="0.25">
      <c r="A176">
        <v>2011000210</v>
      </c>
      <c r="B176" t="s">
        <v>67</v>
      </c>
    </row>
    <row r="177" spans="1:2" x14ac:dyDescent="0.25">
      <c r="A177">
        <v>2011000290</v>
      </c>
      <c r="B177" t="s">
        <v>57</v>
      </c>
    </row>
    <row r="178" spans="1:2" x14ac:dyDescent="0.25">
      <c r="A178">
        <v>20120</v>
      </c>
      <c r="B178" t="e">
        <f>- Los demas cortes (trozos) sin deshuesar</f>
        <v>#NAME?</v>
      </c>
    </row>
    <row r="179" spans="1:2" x14ac:dyDescent="0.25">
      <c r="A179">
        <v>2012010</v>
      </c>
      <c r="B179" t="s">
        <v>69</v>
      </c>
    </row>
    <row r="180" spans="1:2" x14ac:dyDescent="0.25">
      <c r="A180">
        <v>2012010100</v>
      </c>
      <c r="B180" t="s">
        <v>67</v>
      </c>
    </row>
    <row r="181" spans="1:2" x14ac:dyDescent="0.25">
      <c r="A181">
        <v>2012010900</v>
      </c>
      <c r="B181" t="s">
        <v>10</v>
      </c>
    </row>
    <row r="182" spans="1:2" x14ac:dyDescent="0.25">
      <c r="A182">
        <v>2012020</v>
      </c>
      <c r="B182" t="s">
        <v>70</v>
      </c>
    </row>
    <row r="183" spans="1:2" x14ac:dyDescent="0.25">
      <c r="A183">
        <v>2012020100</v>
      </c>
      <c r="B183" t="s">
        <v>67</v>
      </c>
    </row>
    <row r="184" spans="1:2" x14ac:dyDescent="0.25">
      <c r="A184">
        <v>2012020900</v>
      </c>
      <c r="B184" t="s">
        <v>10</v>
      </c>
    </row>
    <row r="185" spans="1:2" x14ac:dyDescent="0.25">
      <c r="A185">
        <v>2012090</v>
      </c>
      <c r="B185" t="s">
        <v>10</v>
      </c>
    </row>
    <row r="186" spans="1:2" x14ac:dyDescent="0.25">
      <c r="A186">
        <v>2012090100</v>
      </c>
      <c r="B186" t="s">
        <v>71</v>
      </c>
    </row>
    <row r="187" spans="1:2" x14ac:dyDescent="0.25">
      <c r="A187">
        <v>2012090200</v>
      </c>
      <c r="B187" t="s">
        <v>72</v>
      </c>
    </row>
    <row r="188" spans="1:2" x14ac:dyDescent="0.25">
      <c r="A188">
        <v>20120903</v>
      </c>
      <c r="B188" t="s">
        <v>73</v>
      </c>
    </row>
    <row r="189" spans="1:2" x14ac:dyDescent="0.25">
      <c r="A189">
        <v>2012090310</v>
      </c>
      <c r="B189" t="s">
        <v>74</v>
      </c>
    </row>
    <row r="190" spans="1:2" x14ac:dyDescent="0.25">
      <c r="A190">
        <v>2012090320</v>
      </c>
      <c r="B190" t="s">
        <v>75</v>
      </c>
    </row>
    <row r="191" spans="1:2" x14ac:dyDescent="0.25">
      <c r="A191">
        <v>2012090330</v>
      </c>
      <c r="B191" t="s">
        <v>76</v>
      </c>
    </row>
    <row r="192" spans="1:2" x14ac:dyDescent="0.25">
      <c r="A192">
        <v>2012090400</v>
      </c>
      <c r="B192" t="s">
        <v>77</v>
      </c>
    </row>
    <row r="193" spans="1:2" x14ac:dyDescent="0.25">
      <c r="A193">
        <v>2012090500</v>
      </c>
      <c r="B193" t="s">
        <v>78</v>
      </c>
    </row>
    <row r="194" spans="1:2" x14ac:dyDescent="0.25">
      <c r="A194">
        <v>2012090600</v>
      </c>
      <c r="B194" t="s">
        <v>79</v>
      </c>
    </row>
    <row r="195" spans="1:2" x14ac:dyDescent="0.25">
      <c r="A195">
        <v>20120907</v>
      </c>
      <c r="B195" t="s">
        <v>80</v>
      </c>
    </row>
    <row r="196" spans="1:2" x14ac:dyDescent="0.25">
      <c r="A196">
        <v>2012090710</v>
      </c>
      <c r="B196" t="s">
        <v>81</v>
      </c>
    </row>
    <row r="197" spans="1:2" x14ac:dyDescent="0.25">
      <c r="A197">
        <v>2012090720</v>
      </c>
      <c r="B197" t="s">
        <v>82</v>
      </c>
    </row>
    <row r="198" spans="1:2" x14ac:dyDescent="0.25">
      <c r="A198">
        <v>2012090730</v>
      </c>
      <c r="B198" t="s">
        <v>83</v>
      </c>
    </row>
    <row r="199" spans="1:2" x14ac:dyDescent="0.25">
      <c r="A199">
        <v>20120909</v>
      </c>
      <c r="B199" t="s">
        <v>10</v>
      </c>
    </row>
    <row r="200" spans="1:2" x14ac:dyDescent="0.25">
      <c r="A200">
        <v>2012090910</v>
      </c>
      <c r="B200" t="s">
        <v>67</v>
      </c>
    </row>
    <row r="201" spans="1:2" x14ac:dyDescent="0.25">
      <c r="A201">
        <v>2012090990</v>
      </c>
      <c r="B201" t="s">
        <v>10</v>
      </c>
    </row>
    <row r="202" spans="1:2" x14ac:dyDescent="0.25">
      <c r="A202">
        <v>2013000</v>
      </c>
      <c r="B202" t="e">
        <f>- Deshuesada</f>
        <v>#NAME?</v>
      </c>
    </row>
    <row r="203" spans="1:2" x14ac:dyDescent="0.25">
      <c r="A203">
        <v>20130001</v>
      </c>
      <c r="B203" t="s">
        <v>84</v>
      </c>
    </row>
    <row r="204" spans="1:2" x14ac:dyDescent="0.25">
      <c r="A204">
        <v>201300011</v>
      </c>
      <c r="B204" t="s">
        <v>85</v>
      </c>
    </row>
    <row r="205" spans="1:2" x14ac:dyDescent="0.25">
      <c r="A205">
        <v>2013000111</v>
      </c>
      <c r="B205" t="s">
        <v>86</v>
      </c>
    </row>
    <row r="206" spans="1:2" x14ac:dyDescent="0.25">
      <c r="A206">
        <v>2013000112</v>
      </c>
      <c r="B206" t="s">
        <v>87</v>
      </c>
    </row>
    <row r="207" spans="1:2" x14ac:dyDescent="0.25">
      <c r="A207">
        <v>2013000113</v>
      </c>
      <c r="B207" t="s">
        <v>88</v>
      </c>
    </row>
    <row r="208" spans="1:2" x14ac:dyDescent="0.25">
      <c r="A208">
        <v>2013000114</v>
      </c>
      <c r="B208" t="s">
        <v>89</v>
      </c>
    </row>
    <row r="209" spans="1:2" x14ac:dyDescent="0.25">
      <c r="A209">
        <v>2013000115</v>
      </c>
      <c r="B209" t="s">
        <v>90</v>
      </c>
    </row>
    <row r="210" spans="1:2" x14ac:dyDescent="0.25">
      <c r="A210">
        <v>2013000116</v>
      </c>
      <c r="B210" t="s">
        <v>91</v>
      </c>
    </row>
    <row r="211" spans="1:2" x14ac:dyDescent="0.25">
      <c r="A211">
        <v>2013000117</v>
      </c>
      <c r="B211" t="s">
        <v>92</v>
      </c>
    </row>
    <row r="212" spans="1:2" x14ac:dyDescent="0.25">
      <c r="A212">
        <v>2013000118</v>
      </c>
      <c r="B212" t="s">
        <v>93</v>
      </c>
    </row>
    <row r="213" spans="1:2" x14ac:dyDescent="0.25">
      <c r="A213">
        <v>2013000119</v>
      </c>
      <c r="B213" t="s">
        <v>94</v>
      </c>
    </row>
    <row r="214" spans="1:2" x14ac:dyDescent="0.25">
      <c r="A214">
        <v>201300012</v>
      </c>
      <c r="B214" t="s">
        <v>95</v>
      </c>
    </row>
    <row r="215" spans="1:2" x14ac:dyDescent="0.25">
      <c r="A215">
        <v>2013000121</v>
      </c>
      <c r="B215" t="s">
        <v>96</v>
      </c>
    </row>
    <row r="216" spans="1:2" x14ac:dyDescent="0.25">
      <c r="A216">
        <v>2013000122</v>
      </c>
      <c r="B216" t="s">
        <v>97</v>
      </c>
    </row>
    <row r="217" spans="1:2" x14ac:dyDescent="0.25">
      <c r="A217">
        <v>2013000123</v>
      </c>
      <c r="B217" t="s">
        <v>98</v>
      </c>
    </row>
    <row r="218" spans="1:2" x14ac:dyDescent="0.25">
      <c r="A218">
        <v>2013000124</v>
      </c>
      <c r="B218" t="s">
        <v>99</v>
      </c>
    </row>
    <row r="219" spans="1:2" x14ac:dyDescent="0.25">
      <c r="A219">
        <v>2013000125</v>
      </c>
      <c r="B219" t="s">
        <v>100</v>
      </c>
    </row>
    <row r="220" spans="1:2" x14ac:dyDescent="0.25">
      <c r="A220">
        <v>2013000126</v>
      </c>
      <c r="B220" t="s">
        <v>101</v>
      </c>
    </row>
    <row r="221" spans="1:2" x14ac:dyDescent="0.25">
      <c r="A221">
        <v>2013000127</v>
      </c>
      <c r="B221" t="s">
        <v>82</v>
      </c>
    </row>
    <row r="222" spans="1:2" x14ac:dyDescent="0.25">
      <c r="A222">
        <v>201300013</v>
      </c>
      <c r="B222" t="s">
        <v>102</v>
      </c>
    </row>
    <row r="223" spans="1:2" x14ac:dyDescent="0.25">
      <c r="A223">
        <v>2013000131</v>
      </c>
      <c r="B223" t="s">
        <v>103</v>
      </c>
    </row>
    <row r="224" spans="1:2" x14ac:dyDescent="0.25">
      <c r="A224">
        <v>2013000132</v>
      </c>
      <c r="B224" t="s">
        <v>104</v>
      </c>
    </row>
    <row r="225" spans="1:2" x14ac:dyDescent="0.25">
      <c r="A225">
        <v>2013000133</v>
      </c>
      <c r="B225" t="s">
        <v>105</v>
      </c>
    </row>
    <row r="226" spans="1:2" x14ac:dyDescent="0.25">
      <c r="A226">
        <v>2013000134</v>
      </c>
      <c r="B226" t="s">
        <v>106</v>
      </c>
    </row>
    <row r="227" spans="1:2" x14ac:dyDescent="0.25">
      <c r="A227">
        <v>2013000135</v>
      </c>
      <c r="B227" t="s">
        <v>107</v>
      </c>
    </row>
    <row r="228" spans="1:2" x14ac:dyDescent="0.25">
      <c r="A228">
        <v>2013000136</v>
      </c>
      <c r="B228" t="s">
        <v>108</v>
      </c>
    </row>
    <row r="229" spans="1:2" x14ac:dyDescent="0.25">
      <c r="A229">
        <v>2013000137</v>
      </c>
      <c r="B229" t="s">
        <v>109</v>
      </c>
    </row>
    <row r="230" spans="1:2" x14ac:dyDescent="0.25">
      <c r="A230">
        <v>201300014</v>
      </c>
      <c r="B230" t="s">
        <v>110</v>
      </c>
    </row>
    <row r="231" spans="1:2" x14ac:dyDescent="0.25">
      <c r="A231">
        <v>2013000141</v>
      </c>
      <c r="B231" t="s">
        <v>111</v>
      </c>
    </row>
    <row r="232" spans="1:2" x14ac:dyDescent="0.25">
      <c r="A232">
        <v>2013000142</v>
      </c>
      <c r="B232" t="s">
        <v>112</v>
      </c>
    </row>
    <row r="233" spans="1:2" x14ac:dyDescent="0.25">
      <c r="A233">
        <v>2013000143</v>
      </c>
      <c r="B233" t="s">
        <v>113</v>
      </c>
    </row>
    <row r="234" spans="1:2" x14ac:dyDescent="0.25">
      <c r="A234">
        <v>2013000144</v>
      </c>
      <c r="B234" t="s">
        <v>114</v>
      </c>
    </row>
    <row r="235" spans="1:2" x14ac:dyDescent="0.25">
      <c r="A235">
        <v>2013000145</v>
      </c>
      <c r="B235" t="s">
        <v>115</v>
      </c>
    </row>
    <row r="236" spans="1:2" x14ac:dyDescent="0.25">
      <c r="A236">
        <v>2013000146</v>
      </c>
      <c r="B236" t="s">
        <v>116</v>
      </c>
    </row>
    <row r="237" spans="1:2" x14ac:dyDescent="0.25">
      <c r="A237">
        <v>2013000147</v>
      </c>
      <c r="B237" t="s">
        <v>117</v>
      </c>
    </row>
    <row r="238" spans="1:2" x14ac:dyDescent="0.25">
      <c r="A238">
        <v>201300015</v>
      </c>
      <c r="B238" t="s">
        <v>118</v>
      </c>
    </row>
    <row r="239" spans="1:2" x14ac:dyDescent="0.25">
      <c r="A239">
        <v>2013000151</v>
      </c>
      <c r="B239" t="s">
        <v>119</v>
      </c>
    </row>
    <row r="240" spans="1:2" x14ac:dyDescent="0.25">
      <c r="A240">
        <v>2013000152</v>
      </c>
      <c r="B240" t="s">
        <v>120</v>
      </c>
    </row>
    <row r="241" spans="1:2" x14ac:dyDescent="0.25">
      <c r="A241">
        <v>2013000153</v>
      </c>
      <c r="B241" t="s">
        <v>121</v>
      </c>
    </row>
    <row r="242" spans="1:2" x14ac:dyDescent="0.25">
      <c r="A242">
        <v>2013000154</v>
      </c>
      <c r="B242" t="s">
        <v>122</v>
      </c>
    </row>
    <row r="243" spans="1:2" x14ac:dyDescent="0.25">
      <c r="A243">
        <v>2013000155</v>
      </c>
      <c r="B243" t="s">
        <v>123</v>
      </c>
    </row>
    <row r="244" spans="1:2" x14ac:dyDescent="0.25">
      <c r="A244">
        <v>201300016</v>
      </c>
      <c r="B244" t="s">
        <v>124</v>
      </c>
    </row>
    <row r="245" spans="1:2" x14ac:dyDescent="0.25">
      <c r="A245">
        <v>2013000161</v>
      </c>
      <c r="B245" t="s">
        <v>125</v>
      </c>
    </row>
    <row r="246" spans="1:2" x14ac:dyDescent="0.25">
      <c r="A246">
        <v>2013000162</v>
      </c>
      <c r="B246" t="s">
        <v>126</v>
      </c>
    </row>
    <row r="247" spans="1:2" x14ac:dyDescent="0.25">
      <c r="A247">
        <v>2013000169</v>
      </c>
      <c r="B247" t="s">
        <v>10</v>
      </c>
    </row>
    <row r="248" spans="1:2" x14ac:dyDescent="0.25">
      <c r="A248">
        <v>201300019</v>
      </c>
      <c r="B248" t="s">
        <v>10</v>
      </c>
    </row>
    <row r="249" spans="1:2" x14ac:dyDescent="0.25">
      <c r="A249">
        <v>2013000191</v>
      </c>
      <c r="B249" t="s">
        <v>127</v>
      </c>
    </row>
    <row r="250" spans="1:2" x14ac:dyDescent="0.25">
      <c r="A250">
        <v>2013000192</v>
      </c>
      <c r="B250" t="s">
        <v>128</v>
      </c>
    </row>
    <row r="251" spans="1:2" x14ac:dyDescent="0.25">
      <c r="A251">
        <v>2013000193</v>
      </c>
      <c r="B251" t="s">
        <v>129</v>
      </c>
    </row>
    <row r="252" spans="1:2" x14ac:dyDescent="0.25">
      <c r="A252">
        <v>2013000200</v>
      </c>
      <c r="B252" t="s">
        <v>130</v>
      </c>
    </row>
    <row r="253" spans="1:2" x14ac:dyDescent="0.25">
      <c r="A253">
        <v>2013000300</v>
      </c>
      <c r="B253" t="s">
        <v>131</v>
      </c>
    </row>
    <row r="254" spans="1:2" x14ac:dyDescent="0.25">
      <c r="A254">
        <v>20130009</v>
      </c>
      <c r="B254" t="s">
        <v>10</v>
      </c>
    </row>
    <row r="255" spans="1:2" x14ac:dyDescent="0.25">
      <c r="A255">
        <v>201300091</v>
      </c>
      <c r="B255" t="s">
        <v>132</v>
      </c>
    </row>
    <row r="256" spans="1:2" x14ac:dyDescent="0.25">
      <c r="A256">
        <v>2013000911</v>
      </c>
      <c r="B256" t="s">
        <v>86</v>
      </c>
    </row>
    <row r="257" spans="1:2" x14ac:dyDescent="0.25">
      <c r="A257">
        <v>2013000912</v>
      </c>
      <c r="B257" t="s">
        <v>89</v>
      </c>
    </row>
    <row r="258" spans="1:2" x14ac:dyDescent="0.25">
      <c r="A258">
        <v>2013000913</v>
      </c>
      <c r="B258" t="s">
        <v>133</v>
      </c>
    </row>
    <row r="259" spans="1:2" x14ac:dyDescent="0.25">
      <c r="A259">
        <v>201300092</v>
      </c>
      <c r="B259" t="s">
        <v>134</v>
      </c>
    </row>
    <row r="260" spans="1:2" x14ac:dyDescent="0.25">
      <c r="A260">
        <v>2013000921</v>
      </c>
      <c r="B260" t="s">
        <v>96</v>
      </c>
    </row>
    <row r="261" spans="1:2" x14ac:dyDescent="0.25">
      <c r="A261">
        <v>2013000922</v>
      </c>
      <c r="B261" t="s">
        <v>99</v>
      </c>
    </row>
    <row r="262" spans="1:2" x14ac:dyDescent="0.25">
      <c r="A262">
        <v>2013000923</v>
      </c>
      <c r="B262" t="s">
        <v>100</v>
      </c>
    </row>
    <row r="263" spans="1:2" x14ac:dyDescent="0.25">
      <c r="A263">
        <v>2013000924</v>
      </c>
      <c r="B263" t="s">
        <v>82</v>
      </c>
    </row>
    <row r="264" spans="1:2" x14ac:dyDescent="0.25">
      <c r="A264">
        <v>201300093</v>
      </c>
      <c r="B264" t="s">
        <v>135</v>
      </c>
    </row>
    <row r="265" spans="1:2" x14ac:dyDescent="0.25">
      <c r="A265">
        <v>2013000931</v>
      </c>
      <c r="B265" t="s">
        <v>136</v>
      </c>
    </row>
    <row r="266" spans="1:2" x14ac:dyDescent="0.25">
      <c r="A266">
        <v>2013000932</v>
      </c>
      <c r="B266" t="s">
        <v>105</v>
      </c>
    </row>
    <row r="267" spans="1:2" x14ac:dyDescent="0.25">
      <c r="A267">
        <v>201300094</v>
      </c>
      <c r="B267" t="s">
        <v>137</v>
      </c>
    </row>
    <row r="268" spans="1:2" x14ac:dyDescent="0.25">
      <c r="A268">
        <v>2013000941</v>
      </c>
      <c r="B268" t="s">
        <v>111</v>
      </c>
    </row>
    <row r="269" spans="1:2" x14ac:dyDescent="0.25">
      <c r="A269">
        <v>2013000942</v>
      </c>
      <c r="B269" t="s">
        <v>112</v>
      </c>
    </row>
    <row r="270" spans="1:2" x14ac:dyDescent="0.25">
      <c r="A270">
        <v>2013000943</v>
      </c>
      <c r="B270" t="s">
        <v>113</v>
      </c>
    </row>
    <row r="271" spans="1:2" x14ac:dyDescent="0.25">
      <c r="A271">
        <v>2013000944</v>
      </c>
      <c r="B271" t="s">
        <v>115</v>
      </c>
    </row>
    <row r="272" spans="1:2" x14ac:dyDescent="0.25">
      <c r="A272">
        <v>2013000945</v>
      </c>
      <c r="B272" t="s">
        <v>117</v>
      </c>
    </row>
    <row r="273" spans="1:2" x14ac:dyDescent="0.25">
      <c r="A273">
        <v>201300095</v>
      </c>
      <c r="B273" t="s">
        <v>138</v>
      </c>
    </row>
    <row r="274" spans="1:2" x14ac:dyDescent="0.25">
      <c r="A274">
        <v>2013000951</v>
      </c>
      <c r="B274" t="s">
        <v>119</v>
      </c>
    </row>
    <row r="275" spans="1:2" x14ac:dyDescent="0.25">
      <c r="A275">
        <v>2013000952</v>
      </c>
      <c r="B275" t="s">
        <v>122</v>
      </c>
    </row>
    <row r="276" spans="1:2" x14ac:dyDescent="0.25">
      <c r="A276">
        <v>201300096</v>
      </c>
      <c r="B276" t="s">
        <v>124</v>
      </c>
    </row>
    <row r="277" spans="1:2" x14ac:dyDescent="0.25">
      <c r="A277">
        <v>2013000961</v>
      </c>
      <c r="B277" t="s">
        <v>139</v>
      </c>
    </row>
    <row r="278" spans="1:2" x14ac:dyDescent="0.25">
      <c r="A278">
        <v>2013000962</v>
      </c>
      <c r="B278" t="s">
        <v>140</v>
      </c>
    </row>
    <row r="279" spans="1:2" x14ac:dyDescent="0.25">
      <c r="A279">
        <v>2013000969</v>
      </c>
      <c r="B279" t="s">
        <v>10</v>
      </c>
    </row>
    <row r="280" spans="1:2" x14ac:dyDescent="0.25">
      <c r="A280">
        <v>2013000970</v>
      </c>
      <c r="B280" t="s">
        <v>141</v>
      </c>
    </row>
    <row r="281" spans="1:2" x14ac:dyDescent="0.25">
      <c r="A281">
        <v>201300099</v>
      </c>
      <c r="B281" t="s">
        <v>10</v>
      </c>
    </row>
    <row r="282" spans="1:2" x14ac:dyDescent="0.25">
      <c r="A282">
        <v>2013000991</v>
      </c>
      <c r="B282" t="s">
        <v>127</v>
      </c>
    </row>
    <row r="283" spans="1:2" x14ac:dyDescent="0.25">
      <c r="A283">
        <v>2013000992</v>
      </c>
      <c r="B283" t="s">
        <v>128</v>
      </c>
    </row>
    <row r="284" spans="1:2" x14ac:dyDescent="0.25">
      <c r="A284">
        <v>2013000993</v>
      </c>
      <c r="B284" t="s">
        <v>142</v>
      </c>
    </row>
    <row r="285" spans="1:2" x14ac:dyDescent="0.25">
      <c r="A285">
        <v>2013000994</v>
      </c>
      <c r="B285" t="s">
        <v>129</v>
      </c>
    </row>
    <row r="286" spans="1:2" x14ac:dyDescent="0.25">
      <c r="A286">
        <v>2013000995</v>
      </c>
      <c r="B286" t="s">
        <v>143</v>
      </c>
    </row>
    <row r="287" spans="1:2" x14ac:dyDescent="0.25">
      <c r="A287">
        <v>202</v>
      </c>
      <c r="B287" t="s">
        <v>144</v>
      </c>
    </row>
    <row r="288" spans="1:2" x14ac:dyDescent="0.25">
      <c r="A288">
        <v>2021000</v>
      </c>
      <c r="B288" t="e">
        <f>- En canales o medias canales</f>
        <v>#NAME?</v>
      </c>
    </row>
    <row r="289" spans="1:2" x14ac:dyDescent="0.25">
      <c r="A289">
        <v>20210001</v>
      </c>
      <c r="B289" t="s">
        <v>66</v>
      </c>
    </row>
    <row r="290" spans="1:2" x14ac:dyDescent="0.25">
      <c r="A290">
        <v>2021000110</v>
      </c>
      <c r="B290" t="s">
        <v>67</v>
      </c>
    </row>
    <row r="291" spans="1:2" x14ac:dyDescent="0.25">
      <c r="A291">
        <v>2021000190</v>
      </c>
      <c r="B291" t="s">
        <v>57</v>
      </c>
    </row>
    <row r="292" spans="1:2" x14ac:dyDescent="0.25">
      <c r="A292">
        <v>20210002</v>
      </c>
      <c r="B292" t="s">
        <v>68</v>
      </c>
    </row>
    <row r="293" spans="1:2" x14ac:dyDescent="0.25">
      <c r="A293">
        <v>2021000210</v>
      </c>
      <c r="B293" t="s">
        <v>67</v>
      </c>
    </row>
    <row r="294" spans="1:2" x14ac:dyDescent="0.25">
      <c r="A294">
        <v>2021000290</v>
      </c>
      <c r="B294" t="s">
        <v>57</v>
      </c>
    </row>
    <row r="295" spans="1:2" x14ac:dyDescent="0.25">
      <c r="A295">
        <v>20220</v>
      </c>
      <c r="B295" t="e">
        <f>- Los demas cortes (trozos) sin deshuesar</f>
        <v>#NAME?</v>
      </c>
    </row>
    <row r="296" spans="1:2" x14ac:dyDescent="0.25">
      <c r="A296">
        <v>2022010</v>
      </c>
      <c r="B296" t="s">
        <v>69</v>
      </c>
    </row>
    <row r="297" spans="1:2" x14ac:dyDescent="0.25">
      <c r="A297">
        <v>2022010100</v>
      </c>
      <c r="B297" t="s">
        <v>67</v>
      </c>
    </row>
    <row r="298" spans="1:2" x14ac:dyDescent="0.25">
      <c r="A298">
        <v>2022010900</v>
      </c>
      <c r="B298" t="s">
        <v>10</v>
      </c>
    </row>
    <row r="299" spans="1:2" x14ac:dyDescent="0.25">
      <c r="A299">
        <v>2022020</v>
      </c>
      <c r="B299" t="s">
        <v>70</v>
      </c>
    </row>
    <row r="300" spans="1:2" x14ac:dyDescent="0.25">
      <c r="A300">
        <v>2022020100</v>
      </c>
      <c r="B300" t="s">
        <v>67</v>
      </c>
    </row>
    <row r="301" spans="1:2" x14ac:dyDescent="0.25">
      <c r="A301">
        <v>2022020900</v>
      </c>
      <c r="B301" t="s">
        <v>10</v>
      </c>
    </row>
    <row r="302" spans="1:2" x14ac:dyDescent="0.25">
      <c r="A302">
        <v>2022090</v>
      </c>
      <c r="B302" t="s">
        <v>10</v>
      </c>
    </row>
    <row r="303" spans="1:2" x14ac:dyDescent="0.25">
      <c r="A303">
        <v>2022090100</v>
      </c>
      <c r="B303" t="s">
        <v>71</v>
      </c>
    </row>
    <row r="304" spans="1:2" x14ac:dyDescent="0.25">
      <c r="A304">
        <v>2022090200</v>
      </c>
      <c r="B304" t="s">
        <v>72</v>
      </c>
    </row>
    <row r="305" spans="1:2" x14ac:dyDescent="0.25">
      <c r="A305">
        <v>20220903</v>
      </c>
      <c r="B305" t="s">
        <v>73</v>
      </c>
    </row>
    <row r="306" spans="1:2" x14ac:dyDescent="0.25">
      <c r="A306">
        <v>2022090310</v>
      </c>
      <c r="B306" t="s">
        <v>74</v>
      </c>
    </row>
    <row r="307" spans="1:2" x14ac:dyDescent="0.25">
      <c r="A307">
        <v>2022090320</v>
      </c>
      <c r="B307" t="s">
        <v>75</v>
      </c>
    </row>
    <row r="308" spans="1:2" x14ac:dyDescent="0.25">
      <c r="A308">
        <v>2022090330</v>
      </c>
      <c r="B308" t="s">
        <v>76</v>
      </c>
    </row>
    <row r="309" spans="1:2" x14ac:dyDescent="0.25">
      <c r="A309">
        <v>2022090400</v>
      </c>
      <c r="B309" t="s">
        <v>145</v>
      </c>
    </row>
    <row r="310" spans="1:2" x14ac:dyDescent="0.25">
      <c r="A310">
        <v>2022090500</v>
      </c>
      <c r="B310" t="s">
        <v>78</v>
      </c>
    </row>
    <row r="311" spans="1:2" x14ac:dyDescent="0.25">
      <c r="A311">
        <v>2022090600</v>
      </c>
      <c r="B311" t="s">
        <v>79</v>
      </c>
    </row>
    <row r="312" spans="1:2" x14ac:dyDescent="0.25">
      <c r="A312">
        <v>20220907</v>
      </c>
      <c r="B312" t="s">
        <v>80</v>
      </c>
    </row>
    <row r="313" spans="1:2" x14ac:dyDescent="0.25">
      <c r="A313">
        <v>2022090710</v>
      </c>
      <c r="B313" t="s">
        <v>81</v>
      </c>
    </row>
    <row r="314" spans="1:2" x14ac:dyDescent="0.25">
      <c r="A314">
        <v>2022090720</v>
      </c>
      <c r="B314" t="s">
        <v>82</v>
      </c>
    </row>
    <row r="315" spans="1:2" x14ac:dyDescent="0.25">
      <c r="A315">
        <v>2022090730</v>
      </c>
      <c r="B315" t="s">
        <v>83</v>
      </c>
    </row>
    <row r="316" spans="1:2" x14ac:dyDescent="0.25">
      <c r="A316">
        <v>20220909</v>
      </c>
      <c r="B316" t="s">
        <v>10</v>
      </c>
    </row>
    <row r="317" spans="1:2" x14ac:dyDescent="0.25">
      <c r="A317">
        <v>2022090910</v>
      </c>
      <c r="B317" t="s">
        <v>67</v>
      </c>
    </row>
    <row r="318" spans="1:2" x14ac:dyDescent="0.25">
      <c r="A318">
        <v>2022090920</v>
      </c>
      <c r="B318" t="s">
        <v>146</v>
      </c>
    </row>
    <row r="319" spans="1:2" x14ac:dyDescent="0.25">
      <c r="A319">
        <v>2022090930</v>
      </c>
      <c r="B319" t="s">
        <v>147</v>
      </c>
    </row>
    <row r="320" spans="1:2" x14ac:dyDescent="0.25">
      <c r="A320">
        <v>2022090940</v>
      </c>
      <c r="B320" t="s">
        <v>148</v>
      </c>
    </row>
    <row r="321" spans="1:2" x14ac:dyDescent="0.25">
      <c r="A321">
        <v>2022090990</v>
      </c>
      <c r="B321" t="s">
        <v>10</v>
      </c>
    </row>
    <row r="322" spans="1:2" x14ac:dyDescent="0.25">
      <c r="A322">
        <v>2023000</v>
      </c>
      <c r="B322" t="e">
        <f>- Deshuesada</f>
        <v>#NAME?</v>
      </c>
    </row>
    <row r="323" spans="1:2" x14ac:dyDescent="0.25">
      <c r="A323">
        <v>20230001</v>
      </c>
      <c r="B323" t="s">
        <v>149</v>
      </c>
    </row>
    <row r="324" spans="1:2" x14ac:dyDescent="0.25">
      <c r="A324">
        <v>202300011</v>
      </c>
      <c r="B324" t="s">
        <v>150</v>
      </c>
    </row>
    <row r="325" spans="1:2" x14ac:dyDescent="0.25">
      <c r="A325">
        <v>2023000111</v>
      </c>
      <c r="B325" t="s">
        <v>86</v>
      </c>
    </row>
    <row r="326" spans="1:2" x14ac:dyDescent="0.25">
      <c r="A326">
        <v>2023000112</v>
      </c>
      <c r="B326" t="s">
        <v>87</v>
      </c>
    </row>
    <row r="327" spans="1:2" x14ac:dyDescent="0.25">
      <c r="A327">
        <v>2023000113</v>
      </c>
      <c r="B327" t="s">
        <v>88</v>
      </c>
    </row>
    <row r="328" spans="1:2" x14ac:dyDescent="0.25">
      <c r="A328">
        <v>2023000114</v>
      </c>
      <c r="B328" t="s">
        <v>89</v>
      </c>
    </row>
    <row r="329" spans="1:2" x14ac:dyDescent="0.25">
      <c r="A329">
        <v>2023000115</v>
      </c>
      <c r="B329" t="s">
        <v>133</v>
      </c>
    </row>
    <row r="330" spans="1:2" x14ac:dyDescent="0.25">
      <c r="A330">
        <v>2023000116</v>
      </c>
      <c r="B330" t="s">
        <v>91</v>
      </c>
    </row>
    <row r="331" spans="1:2" x14ac:dyDescent="0.25">
      <c r="A331">
        <v>2023000117</v>
      </c>
      <c r="B331" t="s">
        <v>92</v>
      </c>
    </row>
    <row r="332" spans="1:2" x14ac:dyDescent="0.25">
      <c r="A332">
        <v>2023000118</v>
      </c>
      <c r="B332" t="s">
        <v>93</v>
      </c>
    </row>
    <row r="333" spans="1:2" x14ac:dyDescent="0.25">
      <c r="A333">
        <v>2023000119</v>
      </c>
      <c r="B333" t="s">
        <v>94</v>
      </c>
    </row>
    <row r="334" spans="1:2" x14ac:dyDescent="0.25">
      <c r="A334">
        <v>202300012</v>
      </c>
      <c r="B334" t="s">
        <v>95</v>
      </c>
    </row>
    <row r="335" spans="1:2" x14ac:dyDescent="0.25">
      <c r="A335">
        <v>2023000121</v>
      </c>
      <c r="B335" t="s">
        <v>96</v>
      </c>
    </row>
    <row r="336" spans="1:2" x14ac:dyDescent="0.25">
      <c r="A336">
        <v>2023000122</v>
      </c>
      <c r="B336" t="s">
        <v>97</v>
      </c>
    </row>
    <row r="337" spans="1:2" x14ac:dyDescent="0.25">
      <c r="A337">
        <v>2023000123</v>
      </c>
      <c r="B337" t="s">
        <v>98</v>
      </c>
    </row>
    <row r="338" spans="1:2" x14ac:dyDescent="0.25">
      <c r="A338">
        <v>2023000124</v>
      </c>
      <c r="B338" t="s">
        <v>99</v>
      </c>
    </row>
    <row r="339" spans="1:2" x14ac:dyDescent="0.25">
      <c r="A339">
        <v>2023000125</v>
      </c>
      <c r="B339" t="s">
        <v>100</v>
      </c>
    </row>
    <row r="340" spans="1:2" x14ac:dyDescent="0.25">
      <c r="A340">
        <v>2023000126</v>
      </c>
      <c r="B340" t="s">
        <v>101</v>
      </c>
    </row>
    <row r="341" spans="1:2" x14ac:dyDescent="0.25">
      <c r="A341">
        <v>2023000127</v>
      </c>
      <c r="B341" t="s">
        <v>82</v>
      </c>
    </row>
    <row r="342" spans="1:2" x14ac:dyDescent="0.25">
      <c r="A342">
        <v>202300013</v>
      </c>
      <c r="B342" t="s">
        <v>151</v>
      </c>
    </row>
    <row r="343" spans="1:2" x14ac:dyDescent="0.25">
      <c r="A343">
        <v>2023000131</v>
      </c>
      <c r="B343" t="s">
        <v>136</v>
      </c>
    </row>
    <row r="344" spans="1:2" x14ac:dyDescent="0.25">
      <c r="A344">
        <v>2023000132</v>
      </c>
      <c r="B344" t="s">
        <v>104</v>
      </c>
    </row>
    <row r="345" spans="1:2" x14ac:dyDescent="0.25">
      <c r="A345">
        <v>2023000133</v>
      </c>
      <c r="B345" t="s">
        <v>105</v>
      </c>
    </row>
    <row r="346" spans="1:2" x14ac:dyDescent="0.25">
      <c r="A346">
        <v>2023000134</v>
      </c>
      <c r="B346" t="s">
        <v>106</v>
      </c>
    </row>
    <row r="347" spans="1:2" x14ac:dyDescent="0.25">
      <c r="A347">
        <v>2023000135</v>
      </c>
      <c r="B347" t="s">
        <v>107</v>
      </c>
    </row>
    <row r="348" spans="1:2" x14ac:dyDescent="0.25">
      <c r="A348">
        <v>2023000136</v>
      </c>
      <c r="B348" t="s">
        <v>108</v>
      </c>
    </row>
    <row r="349" spans="1:2" x14ac:dyDescent="0.25">
      <c r="A349">
        <v>2023000137</v>
      </c>
      <c r="B349" t="s">
        <v>109</v>
      </c>
    </row>
    <row r="350" spans="1:2" x14ac:dyDescent="0.25">
      <c r="A350">
        <v>202300014</v>
      </c>
      <c r="B350" t="s">
        <v>152</v>
      </c>
    </row>
    <row r="351" spans="1:2" x14ac:dyDescent="0.25">
      <c r="A351">
        <v>2023000141</v>
      </c>
      <c r="B351" t="s">
        <v>153</v>
      </c>
    </row>
    <row r="352" spans="1:2" x14ac:dyDescent="0.25">
      <c r="A352">
        <v>2023000142</v>
      </c>
      <c r="B352" t="s">
        <v>112</v>
      </c>
    </row>
    <row r="353" spans="1:2" x14ac:dyDescent="0.25">
      <c r="A353">
        <v>2023000143</v>
      </c>
      <c r="B353" t="s">
        <v>154</v>
      </c>
    </row>
    <row r="354" spans="1:2" x14ac:dyDescent="0.25">
      <c r="A354">
        <v>2023000144</v>
      </c>
      <c r="B354" t="s">
        <v>155</v>
      </c>
    </row>
    <row r="355" spans="1:2" x14ac:dyDescent="0.25">
      <c r="A355">
        <v>2023000145</v>
      </c>
      <c r="B355" t="s">
        <v>156</v>
      </c>
    </row>
    <row r="356" spans="1:2" x14ac:dyDescent="0.25">
      <c r="A356">
        <v>2023000146</v>
      </c>
      <c r="B356" t="s">
        <v>116</v>
      </c>
    </row>
    <row r="357" spans="1:2" x14ac:dyDescent="0.25">
      <c r="A357">
        <v>2023000147</v>
      </c>
      <c r="B357" t="s">
        <v>117</v>
      </c>
    </row>
    <row r="358" spans="1:2" x14ac:dyDescent="0.25">
      <c r="A358">
        <v>202300015</v>
      </c>
      <c r="B358" t="s">
        <v>118</v>
      </c>
    </row>
    <row r="359" spans="1:2" x14ac:dyDescent="0.25">
      <c r="A359">
        <v>2023000151</v>
      </c>
      <c r="B359" t="s">
        <v>119</v>
      </c>
    </row>
    <row r="360" spans="1:2" x14ac:dyDescent="0.25">
      <c r="A360">
        <v>2023000152</v>
      </c>
      <c r="B360" t="s">
        <v>120</v>
      </c>
    </row>
    <row r="361" spans="1:2" x14ac:dyDescent="0.25">
      <c r="A361">
        <v>2023000153</v>
      </c>
      <c r="B361" t="s">
        <v>121</v>
      </c>
    </row>
    <row r="362" spans="1:2" x14ac:dyDescent="0.25">
      <c r="A362">
        <v>2023000154</v>
      </c>
      <c r="B362" t="s">
        <v>122</v>
      </c>
    </row>
    <row r="363" spans="1:2" x14ac:dyDescent="0.25">
      <c r="A363">
        <v>2023000155</v>
      </c>
      <c r="B363" t="s">
        <v>123</v>
      </c>
    </row>
    <row r="364" spans="1:2" x14ac:dyDescent="0.25">
      <c r="A364">
        <v>202300016</v>
      </c>
      <c r="B364" t="s">
        <v>124</v>
      </c>
    </row>
    <row r="365" spans="1:2" x14ac:dyDescent="0.25">
      <c r="A365">
        <v>2023000161</v>
      </c>
      <c r="B365" t="s">
        <v>125</v>
      </c>
    </row>
    <row r="366" spans="1:2" x14ac:dyDescent="0.25">
      <c r="A366">
        <v>2023000162</v>
      </c>
      <c r="B366" t="s">
        <v>126</v>
      </c>
    </row>
    <row r="367" spans="1:2" x14ac:dyDescent="0.25">
      <c r="A367">
        <v>2023000169</v>
      </c>
      <c r="B367" t="s">
        <v>10</v>
      </c>
    </row>
    <row r="368" spans="1:2" x14ac:dyDescent="0.25">
      <c r="A368">
        <v>202300019</v>
      </c>
      <c r="B368" t="s">
        <v>10</v>
      </c>
    </row>
    <row r="369" spans="1:2" x14ac:dyDescent="0.25">
      <c r="A369">
        <v>2023000191</v>
      </c>
      <c r="B369" t="s">
        <v>127</v>
      </c>
    </row>
    <row r="370" spans="1:2" x14ac:dyDescent="0.25">
      <c r="A370">
        <v>2023000192</v>
      </c>
      <c r="B370" t="s">
        <v>128</v>
      </c>
    </row>
    <row r="371" spans="1:2" x14ac:dyDescent="0.25">
      <c r="A371">
        <v>2023000193</v>
      </c>
      <c r="B371" t="s">
        <v>129</v>
      </c>
    </row>
    <row r="372" spans="1:2" x14ac:dyDescent="0.25">
      <c r="A372">
        <v>2023000194</v>
      </c>
      <c r="B372" t="s">
        <v>157</v>
      </c>
    </row>
    <row r="373" spans="1:2" x14ac:dyDescent="0.25">
      <c r="A373">
        <v>2023000200</v>
      </c>
      <c r="B373" t="s">
        <v>158</v>
      </c>
    </row>
    <row r="374" spans="1:2" x14ac:dyDescent="0.25">
      <c r="A374">
        <v>2023000300</v>
      </c>
      <c r="B374" t="s">
        <v>159</v>
      </c>
    </row>
    <row r="375" spans="1:2" x14ac:dyDescent="0.25">
      <c r="A375">
        <v>20230009</v>
      </c>
      <c r="B375" t="s">
        <v>10</v>
      </c>
    </row>
    <row r="376" spans="1:2" x14ac:dyDescent="0.25">
      <c r="A376">
        <v>202300091</v>
      </c>
      <c r="B376" t="s">
        <v>160</v>
      </c>
    </row>
    <row r="377" spans="1:2" x14ac:dyDescent="0.25">
      <c r="A377">
        <v>2023000911</v>
      </c>
      <c r="B377" t="s">
        <v>86</v>
      </c>
    </row>
    <row r="378" spans="1:2" x14ac:dyDescent="0.25">
      <c r="A378">
        <v>2023000912</v>
      </c>
      <c r="B378" t="s">
        <v>89</v>
      </c>
    </row>
    <row r="379" spans="1:2" x14ac:dyDescent="0.25">
      <c r="A379">
        <v>2023000913</v>
      </c>
      <c r="B379" t="s">
        <v>90</v>
      </c>
    </row>
    <row r="380" spans="1:2" x14ac:dyDescent="0.25">
      <c r="A380">
        <v>2023000914</v>
      </c>
      <c r="B380" t="s">
        <v>161</v>
      </c>
    </row>
    <row r="381" spans="1:2" x14ac:dyDescent="0.25">
      <c r="A381">
        <v>2023000915</v>
      </c>
      <c r="B381" t="s">
        <v>162</v>
      </c>
    </row>
    <row r="382" spans="1:2" x14ac:dyDescent="0.25">
      <c r="A382">
        <v>202300092</v>
      </c>
      <c r="B382" t="s">
        <v>134</v>
      </c>
    </row>
    <row r="383" spans="1:2" x14ac:dyDescent="0.25">
      <c r="A383">
        <v>2023000921</v>
      </c>
      <c r="B383" t="s">
        <v>96</v>
      </c>
    </row>
    <row r="384" spans="1:2" x14ac:dyDescent="0.25">
      <c r="A384">
        <v>2023000922</v>
      </c>
      <c r="B384" t="s">
        <v>99</v>
      </c>
    </row>
    <row r="385" spans="1:2" x14ac:dyDescent="0.25">
      <c r="A385">
        <v>2023000923</v>
      </c>
      <c r="B385" t="s">
        <v>100</v>
      </c>
    </row>
    <row r="386" spans="1:2" x14ac:dyDescent="0.25">
      <c r="A386">
        <v>2023000924</v>
      </c>
      <c r="B386" t="s">
        <v>82</v>
      </c>
    </row>
    <row r="387" spans="1:2" x14ac:dyDescent="0.25">
      <c r="A387">
        <v>202300093</v>
      </c>
      <c r="B387" t="s">
        <v>135</v>
      </c>
    </row>
    <row r="388" spans="1:2" x14ac:dyDescent="0.25">
      <c r="A388">
        <v>2023000931</v>
      </c>
      <c r="B388" t="s">
        <v>103</v>
      </c>
    </row>
    <row r="389" spans="1:2" x14ac:dyDescent="0.25">
      <c r="A389">
        <v>2023000932</v>
      </c>
      <c r="B389" t="s">
        <v>105</v>
      </c>
    </row>
    <row r="390" spans="1:2" x14ac:dyDescent="0.25">
      <c r="A390">
        <v>202300094</v>
      </c>
      <c r="B390" t="s">
        <v>137</v>
      </c>
    </row>
    <row r="391" spans="1:2" x14ac:dyDescent="0.25">
      <c r="A391">
        <v>2023000941</v>
      </c>
      <c r="B391" t="s">
        <v>111</v>
      </c>
    </row>
    <row r="392" spans="1:2" x14ac:dyDescent="0.25">
      <c r="A392">
        <v>2023000942</v>
      </c>
      <c r="B392" t="s">
        <v>112</v>
      </c>
    </row>
    <row r="393" spans="1:2" x14ac:dyDescent="0.25">
      <c r="A393">
        <v>2023000943</v>
      </c>
      <c r="B393" t="s">
        <v>113</v>
      </c>
    </row>
    <row r="394" spans="1:2" x14ac:dyDescent="0.25">
      <c r="A394">
        <v>2023000944</v>
      </c>
      <c r="B394" t="s">
        <v>115</v>
      </c>
    </row>
    <row r="395" spans="1:2" x14ac:dyDescent="0.25">
      <c r="A395">
        <v>2023000945</v>
      </c>
      <c r="B395" t="s">
        <v>117</v>
      </c>
    </row>
    <row r="396" spans="1:2" x14ac:dyDescent="0.25">
      <c r="A396">
        <v>202300095</v>
      </c>
      <c r="B396" t="s">
        <v>163</v>
      </c>
    </row>
    <row r="397" spans="1:2" x14ac:dyDescent="0.25">
      <c r="A397">
        <v>2023000951</v>
      </c>
      <c r="B397" t="s">
        <v>164</v>
      </c>
    </row>
    <row r="398" spans="1:2" x14ac:dyDescent="0.25">
      <c r="A398">
        <v>2023000952</v>
      </c>
      <c r="B398" t="s">
        <v>122</v>
      </c>
    </row>
    <row r="399" spans="1:2" x14ac:dyDescent="0.25">
      <c r="A399">
        <v>202300096</v>
      </c>
      <c r="B399" t="s">
        <v>124</v>
      </c>
    </row>
    <row r="400" spans="1:2" x14ac:dyDescent="0.25">
      <c r="A400">
        <v>2023000961</v>
      </c>
      <c r="B400" t="s">
        <v>125</v>
      </c>
    </row>
    <row r="401" spans="1:2" x14ac:dyDescent="0.25">
      <c r="A401">
        <v>2023000962</v>
      </c>
      <c r="B401" t="s">
        <v>140</v>
      </c>
    </row>
    <row r="402" spans="1:2" x14ac:dyDescent="0.25">
      <c r="A402">
        <v>2023000969</v>
      </c>
      <c r="B402" t="s">
        <v>10</v>
      </c>
    </row>
    <row r="403" spans="1:2" x14ac:dyDescent="0.25">
      <c r="A403">
        <v>2023000970</v>
      </c>
      <c r="B403" t="s">
        <v>165</v>
      </c>
    </row>
    <row r="404" spans="1:2" x14ac:dyDescent="0.25">
      <c r="A404">
        <v>202300099</v>
      </c>
      <c r="B404" t="s">
        <v>10</v>
      </c>
    </row>
    <row r="405" spans="1:2" x14ac:dyDescent="0.25">
      <c r="A405">
        <v>2023000991</v>
      </c>
      <c r="B405" t="s">
        <v>127</v>
      </c>
    </row>
    <row r="406" spans="1:2" x14ac:dyDescent="0.25">
      <c r="A406">
        <v>2023000992</v>
      </c>
      <c r="B406" t="s">
        <v>128</v>
      </c>
    </row>
    <row r="407" spans="1:2" x14ac:dyDescent="0.25">
      <c r="A407">
        <v>2023000993</v>
      </c>
      <c r="B407" t="s">
        <v>166</v>
      </c>
    </row>
    <row r="408" spans="1:2" x14ac:dyDescent="0.25">
      <c r="A408">
        <v>2023000994</v>
      </c>
      <c r="B408" t="s">
        <v>129</v>
      </c>
    </row>
    <row r="409" spans="1:2" x14ac:dyDescent="0.25">
      <c r="A409">
        <v>2023000995</v>
      </c>
      <c r="B409" t="s">
        <v>143</v>
      </c>
    </row>
    <row r="410" spans="1:2" x14ac:dyDescent="0.25">
      <c r="A410">
        <v>2023000996</v>
      </c>
      <c r="B410" t="s">
        <v>167</v>
      </c>
    </row>
    <row r="411" spans="1:2" x14ac:dyDescent="0.25">
      <c r="A411">
        <v>203</v>
      </c>
      <c r="B411" t="s">
        <v>168</v>
      </c>
    </row>
    <row r="412" spans="1:2" x14ac:dyDescent="0.25">
      <c r="A412">
        <v>2031</v>
      </c>
      <c r="B412" t="s">
        <v>169</v>
      </c>
    </row>
    <row r="413" spans="1:2" x14ac:dyDescent="0.25">
      <c r="A413">
        <v>2031100000</v>
      </c>
      <c r="B413" t="e">
        <f>--En canales o medias canales</f>
        <v>#NAME?</v>
      </c>
    </row>
    <row r="414" spans="1:2" x14ac:dyDescent="0.25">
      <c r="A414">
        <v>2031200000</v>
      </c>
      <c r="B414" t="e">
        <f>--Piernas. paletas. y sus trozos. sin deshuesar</f>
        <v>#NAME?</v>
      </c>
    </row>
    <row r="415" spans="1:2" x14ac:dyDescent="0.25">
      <c r="A415">
        <v>2031900</v>
      </c>
      <c r="B415" t="e">
        <f>- - las demas</f>
        <v>#NAME?</v>
      </c>
    </row>
    <row r="416" spans="1:2" x14ac:dyDescent="0.25">
      <c r="A416">
        <v>20319001</v>
      </c>
      <c r="B416" t="s">
        <v>170</v>
      </c>
    </row>
    <row r="417" spans="1:2" x14ac:dyDescent="0.25">
      <c r="A417">
        <v>2031900110</v>
      </c>
      <c r="B417" t="s">
        <v>171</v>
      </c>
    </row>
    <row r="418" spans="1:2" x14ac:dyDescent="0.25">
      <c r="A418">
        <v>2031900190</v>
      </c>
      <c r="B418" t="s">
        <v>10</v>
      </c>
    </row>
    <row r="419" spans="1:2" x14ac:dyDescent="0.25">
      <c r="A419">
        <v>2031900200</v>
      </c>
      <c r="B419" t="s">
        <v>172</v>
      </c>
    </row>
    <row r="420" spans="1:2" x14ac:dyDescent="0.25">
      <c r="A420">
        <v>20319009</v>
      </c>
      <c r="B420" t="s">
        <v>10</v>
      </c>
    </row>
    <row r="421" spans="1:2" x14ac:dyDescent="0.25">
      <c r="A421">
        <v>203190091</v>
      </c>
      <c r="B421" t="s">
        <v>173</v>
      </c>
    </row>
    <row r="422" spans="1:2" x14ac:dyDescent="0.25">
      <c r="A422">
        <v>2031900911</v>
      </c>
      <c r="B422" t="s">
        <v>174</v>
      </c>
    </row>
    <row r="423" spans="1:2" x14ac:dyDescent="0.25">
      <c r="A423">
        <v>2031900912</v>
      </c>
      <c r="B423" t="s">
        <v>175</v>
      </c>
    </row>
    <row r="424" spans="1:2" x14ac:dyDescent="0.25">
      <c r="A424">
        <v>2031900919</v>
      </c>
      <c r="B424" t="s">
        <v>10</v>
      </c>
    </row>
    <row r="425" spans="1:2" x14ac:dyDescent="0.25">
      <c r="A425">
        <v>203190099</v>
      </c>
      <c r="B425" t="s">
        <v>10</v>
      </c>
    </row>
    <row r="426" spans="1:2" x14ac:dyDescent="0.25">
      <c r="A426">
        <v>2031900991</v>
      </c>
      <c r="B426" t="s">
        <v>174</v>
      </c>
    </row>
    <row r="427" spans="1:2" x14ac:dyDescent="0.25">
      <c r="A427">
        <v>2031900992</v>
      </c>
      <c r="B427" t="s">
        <v>176</v>
      </c>
    </row>
    <row r="428" spans="1:2" x14ac:dyDescent="0.25">
      <c r="A428">
        <v>2031900993</v>
      </c>
      <c r="B428" t="s">
        <v>177</v>
      </c>
    </row>
    <row r="429" spans="1:2" x14ac:dyDescent="0.25">
      <c r="A429">
        <v>2031900994</v>
      </c>
      <c r="B429" t="s">
        <v>178</v>
      </c>
    </row>
    <row r="430" spans="1:2" x14ac:dyDescent="0.25">
      <c r="A430">
        <v>2031900995</v>
      </c>
      <c r="B430" t="s">
        <v>143</v>
      </c>
    </row>
    <row r="431" spans="1:2" x14ac:dyDescent="0.25">
      <c r="A431">
        <v>2031900999</v>
      </c>
      <c r="B431" t="s">
        <v>10</v>
      </c>
    </row>
    <row r="432" spans="1:2" x14ac:dyDescent="0.25">
      <c r="A432">
        <v>2032</v>
      </c>
      <c r="B432" t="s">
        <v>179</v>
      </c>
    </row>
    <row r="433" spans="1:2" x14ac:dyDescent="0.25">
      <c r="A433">
        <v>2032100000</v>
      </c>
      <c r="B433" t="e">
        <f>--En canales o medias canales</f>
        <v>#NAME?</v>
      </c>
    </row>
    <row r="434" spans="1:2" x14ac:dyDescent="0.25">
      <c r="A434">
        <v>2032200000</v>
      </c>
      <c r="B434" t="e">
        <f>--Piernas. paletas. y sus trozos. sin deshuesar</f>
        <v>#NAME?</v>
      </c>
    </row>
    <row r="435" spans="1:2" x14ac:dyDescent="0.25">
      <c r="A435">
        <v>2032900</v>
      </c>
      <c r="B435" t="e">
        <f>- - las demas</f>
        <v>#NAME?</v>
      </c>
    </row>
    <row r="436" spans="1:2" x14ac:dyDescent="0.25">
      <c r="A436">
        <v>20329001</v>
      </c>
      <c r="B436" t="s">
        <v>170</v>
      </c>
    </row>
    <row r="437" spans="1:2" x14ac:dyDescent="0.25">
      <c r="A437">
        <v>2032900110</v>
      </c>
      <c r="B437" t="s">
        <v>171</v>
      </c>
    </row>
    <row r="438" spans="1:2" x14ac:dyDescent="0.25">
      <c r="A438">
        <v>2032900190</v>
      </c>
      <c r="B438" t="s">
        <v>10</v>
      </c>
    </row>
    <row r="439" spans="1:2" x14ac:dyDescent="0.25">
      <c r="A439">
        <v>2032900200</v>
      </c>
      <c r="B439" t="s">
        <v>172</v>
      </c>
    </row>
    <row r="440" spans="1:2" x14ac:dyDescent="0.25">
      <c r="A440">
        <v>20329009</v>
      </c>
      <c r="B440" t="s">
        <v>10</v>
      </c>
    </row>
    <row r="441" spans="1:2" x14ac:dyDescent="0.25">
      <c r="A441">
        <v>203290091</v>
      </c>
      <c r="B441" t="s">
        <v>173</v>
      </c>
    </row>
    <row r="442" spans="1:2" x14ac:dyDescent="0.25">
      <c r="A442">
        <v>2032900911</v>
      </c>
      <c r="B442" t="s">
        <v>174</v>
      </c>
    </row>
    <row r="443" spans="1:2" x14ac:dyDescent="0.25">
      <c r="A443">
        <v>2032900912</v>
      </c>
      <c r="B443" t="s">
        <v>175</v>
      </c>
    </row>
    <row r="444" spans="1:2" x14ac:dyDescent="0.25">
      <c r="A444">
        <v>2032900919</v>
      </c>
      <c r="B444" t="s">
        <v>10</v>
      </c>
    </row>
    <row r="445" spans="1:2" x14ac:dyDescent="0.25">
      <c r="A445">
        <v>2032900920</v>
      </c>
      <c r="B445" t="s">
        <v>180</v>
      </c>
    </row>
    <row r="446" spans="1:2" x14ac:dyDescent="0.25">
      <c r="A446">
        <v>203290099</v>
      </c>
      <c r="B446" t="s">
        <v>10</v>
      </c>
    </row>
    <row r="447" spans="1:2" x14ac:dyDescent="0.25">
      <c r="A447">
        <v>2032900991</v>
      </c>
      <c r="B447" t="s">
        <v>174</v>
      </c>
    </row>
    <row r="448" spans="1:2" x14ac:dyDescent="0.25">
      <c r="A448">
        <v>2032900992</v>
      </c>
      <c r="B448" t="s">
        <v>176</v>
      </c>
    </row>
    <row r="449" spans="1:2" x14ac:dyDescent="0.25">
      <c r="A449">
        <v>2032900993</v>
      </c>
      <c r="B449" t="s">
        <v>177</v>
      </c>
    </row>
    <row r="450" spans="1:2" x14ac:dyDescent="0.25">
      <c r="A450">
        <v>2032900994</v>
      </c>
      <c r="B450" t="s">
        <v>178</v>
      </c>
    </row>
    <row r="451" spans="1:2" x14ac:dyDescent="0.25">
      <c r="A451">
        <v>2032900995</v>
      </c>
      <c r="B451" t="s">
        <v>143</v>
      </c>
    </row>
    <row r="452" spans="1:2" x14ac:dyDescent="0.25">
      <c r="A452">
        <v>2032900999</v>
      </c>
      <c r="B452" t="s">
        <v>10</v>
      </c>
    </row>
    <row r="453" spans="1:2" x14ac:dyDescent="0.25">
      <c r="A453">
        <v>204</v>
      </c>
      <c r="B453" t="s">
        <v>181</v>
      </c>
    </row>
    <row r="454" spans="1:2" x14ac:dyDescent="0.25">
      <c r="A454">
        <v>2041000</v>
      </c>
      <c r="B454" t="e">
        <f>- canales o medias canales de cordero. frescas o refrigeradas</f>
        <v>#NAME?</v>
      </c>
    </row>
    <row r="455" spans="1:2" x14ac:dyDescent="0.25">
      <c r="A455">
        <v>2041000100</v>
      </c>
      <c r="B455" t="s">
        <v>182</v>
      </c>
    </row>
    <row r="456" spans="1:2" x14ac:dyDescent="0.25">
      <c r="A456">
        <v>2041000900</v>
      </c>
      <c r="B456" t="s">
        <v>57</v>
      </c>
    </row>
    <row r="457" spans="1:2" x14ac:dyDescent="0.25">
      <c r="A457">
        <v>2042</v>
      </c>
      <c r="B457" t="s">
        <v>183</v>
      </c>
    </row>
    <row r="458" spans="1:2" x14ac:dyDescent="0.25">
      <c r="A458">
        <v>2042100000</v>
      </c>
      <c r="B458" t="e">
        <f>--En canales o medias canales</f>
        <v>#NAME?</v>
      </c>
    </row>
    <row r="459" spans="1:2" x14ac:dyDescent="0.25">
      <c r="A459">
        <v>2042200</v>
      </c>
      <c r="B459" t="e">
        <f>- - Los demas cortes (trozos) sin deshuesar</f>
        <v>#NAME?</v>
      </c>
    </row>
    <row r="460" spans="1:2" x14ac:dyDescent="0.25">
      <c r="A460">
        <v>2042200100</v>
      </c>
      <c r="B460" t="s">
        <v>184</v>
      </c>
    </row>
    <row r="461" spans="1:2" x14ac:dyDescent="0.25">
      <c r="A461">
        <v>2042200900</v>
      </c>
      <c r="B461" t="s">
        <v>10</v>
      </c>
    </row>
    <row r="462" spans="1:2" x14ac:dyDescent="0.25">
      <c r="A462">
        <v>2042300</v>
      </c>
      <c r="B462" t="e">
        <f>- - Deshuesadas</f>
        <v>#NAME?</v>
      </c>
    </row>
    <row r="463" spans="1:2" x14ac:dyDescent="0.25">
      <c r="A463">
        <v>2042300100</v>
      </c>
      <c r="B463" t="s">
        <v>184</v>
      </c>
    </row>
    <row r="464" spans="1:2" x14ac:dyDescent="0.25">
      <c r="A464">
        <v>2042300900</v>
      </c>
      <c r="B464" t="s">
        <v>57</v>
      </c>
    </row>
    <row r="465" spans="1:2" x14ac:dyDescent="0.25">
      <c r="A465">
        <v>2043000</v>
      </c>
      <c r="B465" t="e">
        <f>- canales o medias canales de cordero. congeladas</f>
        <v>#NAME?</v>
      </c>
    </row>
    <row r="466" spans="1:2" x14ac:dyDescent="0.25">
      <c r="A466">
        <v>2043000100</v>
      </c>
      <c r="B466" t="s">
        <v>182</v>
      </c>
    </row>
    <row r="467" spans="1:2" x14ac:dyDescent="0.25">
      <c r="A467">
        <v>2043000900</v>
      </c>
      <c r="B467" t="s">
        <v>57</v>
      </c>
    </row>
    <row r="468" spans="1:2" x14ac:dyDescent="0.25">
      <c r="A468">
        <v>2044</v>
      </c>
      <c r="B468" t="s">
        <v>185</v>
      </c>
    </row>
    <row r="469" spans="1:2" x14ac:dyDescent="0.25">
      <c r="A469">
        <v>2044100000</v>
      </c>
      <c r="B469" t="e">
        <f>--En canales o medias canales</f>
        <v>#NAME?</v>
      </c>
    </row>
    <row r="470" spans="1:2" x14ac:dyDescent="0.25">
      <c r="A470">
        <v>2044200</v>
      </c>
      <c r="B470" t="e">
        <f>- - Los demas cortes (trozos) sin deshuesar</f>
        <v>#NAME?</v>
      </c>
    </row>
    <row r="471" spans="1:2" x14ac:dyDescent="0.25">
      <c r="A471">
        <v>2044200100</v>
      </c>
      <c r="B471" t="s">
        <v>184</v>
      </c>
    </row>
    <row r="472" spans="1:2" x14ac:dyDescent="0.25">
      <c r="A472">
        <v>2044200900</v>
      </c>
      <c r="B472" t="s">
        <v>10</v>
      </c>
    </row>
    <row r="473" spans="1:2" x14ac:dyDescent="0.25">
      <c r="A473">
        <v>2044300</v>
      </c>
      <c r="B473" t="e">
        <f>- - Deshuesadas</f>
        <v>#NAME?</v>
      </c>
    </row>
    <row r="474" spans="1:2" x14ac:dyDescent="0.25">
      <c r="A474">
        <v>2044300100</v>
      </c>
      <c r="B474" t="s">
        <v>186</v>
      </c>
    </row>
    <row r="475" spans="1:2" x14ac:dyDescent="0.25">
      <c r="A475">
        <v>2044300900</v>
      </c>
      <c r="B475" t="s">
        <v>57</v>
      </c>
    </row>
    <row r="476" spans="1:2" x14ac:dyDescent="0.25">
      <c r="A476">
        <v>2045000000</v>
      </c>
      <c r="B476" t="e">
        <f>-Carne de animales de la especie caprina</f>
        <v>#NAME?</v>
      </c>
    </row>
    <row r="477" spans="1:2" x14ac:dyDescent="0.25">
      <c r="A477">
        <v>2050000</v>
      </c>
      <c r="B477" t="s">
        <v>187</v>
      </c>
    </row>
    <row r="478" spans="1:2" x14ac:dyDescent="0.25">
      <c r="A478">
        <v>20500001</v>
      </c>
      <c r="B478" t="s">
        <v>188</v>
      </c>
    </row>
    <row r="479" spans="1:2" x14ac:dyDescent="0.25">
      <c r="A479">
        <v>2050000110</v>
      </c>
      <c r="B479" t="s">
        <v>189</v>
      </c>
    </row>
    <row r="480" spans="1:2" x14ac:dyDescent="0.25">
      <c r="A480">
        <v>2050000120</v>
      </c>
      <c r="B480" t="s">
        <v>190</v>
      </c>
    </row>
    <row r="481" spans="1:2" x14ac:dyDescent="0.25">
      <c r="A481">
        <v>2050000190</v>
      </c>
      <c r="B481" t="s">
        <v>10</v>
      </c>
    </row>
    <row r="482" spans="1:2" x14ac:dyDescent="0.25">
      <c r="A482">
        <v>20500002</v>
      </c>
      <c r="B482" t="s">
        <v>191</v>
      </c>
    </row>
    <row r="483" spans="1:2" x14ac:dyDescent="0.25">
      <c r="A483">
        <v>2050000210</v>
      </c>
      <c r="B483" t="s">
        <v>189</v>
      </c>
    </row>
    <row r="484" spans="1:2" x14ac:dyDescent="0.25">
      <c r="A484">
        <v>2050000220</v>
      </c>
      <c r="B484" t="s">
        <v>192</v>
      </c>
    </row>
    <row r="485" spans="1:2" x14ac:dyDescent="0.25">
      <c r="A485">
        <v>2050000230</v>
      </c>
      <c r="B485" t="s">
        <v>190</v>
      </c>
    </row>
    <row r="486" spans="1:2" x14ac:dyDescent="0.25">
      <c r="A486">
        <v>2050000290</v>
      </c>
      <c r="B486" t="s">
        <v>10</v>
      </c>
    </row>
    <row r="487" spans="1:2" x14ac:dyDescent="0.25">
      <c r="A487">
        <v>20500009</v>
      </c>
      <c r="B487" t="s">
        <v>10</v>
      </c>
    </row>
    <row r="488" spans="1:2" x14ac:dyDescent="0.25">
      <c r="A488">
        <v>2050000910</v>
      </c>
      <c r="B488" t="s">
        <v>193</v>
      </c>
    </row>
    <row r="489" spans="1:2" x14ac:dyDescent="0.25">
      <c r="A489">
        <v>2050000990</v>
      </c>
      <c r="B489" t="s">
        <v>10</v>
      </c>
    </row>
    <row r="490" spans="1:2" x14ac:dyDescent="0.25">
      <c r="A490">
        <v>206</v>
      </c>
      <c r="B490" t="s">
        <v>194</v>
      </c>
    </row>
    <row r="491" spans="1:2" x14ac:dyDescent="0.25">
      <c r="A491">
        <v>2061000</v>
      </c>
      <c r="B491" t="e">
        <f>- de la especie bovina. frescos o refrigerados</f>
        <v>#NAME?</v>
      </c>
    </row>
    <row r="492" spans="1:2" x14ac:dyDescent="0.25">
      <c r="A492">
        <v>2061000100</v>
      </c>
      <c r="B492" t="s">
        <v>195</v>
      </c>
    </row>
    <row r="493" spans="1:2" x14ac:dyDescent="0.25">
      <c r="A493">
        <v>2061000200</v>
      </c>
      <c r="B493" t="s">
        <v>196</v>
      </c>
    </row>
    <row r="494" spans="1:2" x14ac:dyDescent="0.25">
      <c r="A494">
        <v>20610009</v>
      </c>
      <c r="B494" t="s">
        <v>10</v>
      </c>
    </row>
    <row r="495" spans="1:2" x14ac:dyDescent="0.25">
      <c r="A495">
        <v>2061000910</v>
      </c>
      <c r="B495" t="s">
        <v>197</v>
      </c>
    </row>
    <row r="496" spans="1:2" x14ac:dyDescent="0.25">
      <c r="A496">
        <v>2061000990</v>
      </c>
      <c r="B496" t="s">
        <v>10</v>
      </c>
    </row>
    <row r="497" spans="1:2" x14ac:dyDescent="0.25">
      <c r="A497">
        <v>2062</v>
      </c>
      <c r="B497" t="s">
        <v>198</v>
      </c>
    </row>
    <row r="498" spans="1:2" x14ac:dyDescent="0.25">
      <c r="A498">
        <v>2062100</v>
      </c>
      <c r="B498" t="e">
        <f>- - Lenguas</f>
        <v>#NAME?</v>
      </c>
    </row>
    <row r="499" spans="1:2" x14ac:dyDescent="0.25">
      <c r="A499">
        <v>2062100100</v>
      </c>
      <c r="B499" t="s">
        <v>199</v>
      </c>
    </row>
    <row r="500" spans="1:2" x14ac:dyDescent="0.25">
      <c r="A500">
        <v>2062100900</v>
      </c>
      <c r="B500" t="s">
        <v>57</v>
      </c>
    </row>
    <row r="501" spans="1:2" x14ac:dyDescent="0.25">
      <c r="A501">
        <v>2062200000</v>
      </c>
      <c r="B501" t="e">
        <f>--Higados</f>
        <v>#NAME?</v>
      </c>
    </row>
    <row r="502" spans="1:2" x14ac:dyDescent="0.25">
      <c r="A502">
        <v>20629</v>
      </c>
      <c r="B502" t="e">
        <f>- - Los demas</f>
        <v>#NAME?</v>
      </c>
    </row>
    <row r="503" spans="1:2" x14ac:dyDescent="0.25">
      <c r="A503">
        <v>2062910000</v>
      </c>
      <c r="B503" t="s">
        <v>200</v>
      </c>
    </row>
    <row r="504" spans="1:2" x14ac:dyDescent="0.25">
      <c r="A504">
        <v>2062990</v>
      </c>
      <c r="B504" t="s">
        <v>10</v>
      </c>
    </row>
    <row r="505" spans="1:2" x14ac:dyDescent="0.25">
      <c r="A505">
        <v>2062990100</v>
      </c>
      <c r="B505" t="s">
        <v>201</v>
      </c>
    </row>
    <row r="506" spans="1:2" x14ac:dyDescent="0.25">
      <c r="A506">
        <v>2062990200</v>
      </c>
      <c r="B506" t="s">
        <v>196</v>
      </c>
    </row>
    <row r="507" spans="1:2" x14ac:dyDescent="0.25">
      <c r="A507">
        <v>2062990300</v>
      </c>
      <c r="B507" t="s">
        <v>197</v>
      </c>
    </row>
    <row r="508" spans="1:2" x14ac:dyDescent="0.25">
      <c r="A508">
        <v>2062990900</v>
      </c>
      <c r="B508" t="s">
        <v>10</v>
      </c>
    </row>
    <row r="509" spans="1:2" x14ac:dyDescent="0.25">
      <c r="A509">
        <v>2063000000</v>
      </c>
      <c r="B509" t="e">
        <f>-de la especie porcina. frescos o refrigerados</f>
        <v>#NAME?</v>
      </c>
    </row>
    <row r="510" spans="1:2" x14ac:dyDescent="0.25">
      <c r="A510">
        <v>2064</v>
      </c>
      <c r="B510" t="s">
        <v>202</v>
      </c>
    </row>
    <row r="511" spans="1:2" x14ac:dyDescent="0.25">
      <c r="A511">
        <v>2064100000</v>
      </c>
      <c r="B511" t="e">
        <f>--Higados</f>
        <v>#NAME?</v>
      </c>
    </row>
    <row r="512" spans="1:2" x14ac:dyDescent="0.25">
      <c r="A512">
        <v>2064900000</v>
      </c>
      <c r="B512" t="e">
        <f>--Los demas</f>
        <v>#NAME?</v>
      </c>
    </row>
    <row r="513" spans="1:2" x14ac:dyDescent="0.25">
      <c r="A513">
        <v>2068000</v>
      </c>
      <c r="B513" t="e">
        <f>- Los demas. frescos o refrigerados</f>
        <v>#NAME?</v>
      </c>
    </row>
    <row r="514" spans="1:2" x14ac:dyDescent="0.25">
      <c r="A514">
        <v>20680001</v>
      </c>
      <c r="B514" t="s">
        <v>203</v>
      </c>
    </row>
    <row r="515" spans="1:2" x14ac:dyDescent="0.25">
      <c r="A515">
        <v>2068000110</v>
      </c>
      <c r="B515" t="s">
        <v>204</v>
      </c>
    </row>
    <row r="516" spans="1:2" x14ac:dyDescent="0.25">
      <c r="A516">
        <v>2068000120</v>
      </c>
      <c r="B516" t="s">
        <v>205</v>
      </c>
    </row>
    <row r="517" spans="1:2" x14ac:dyDescent="0.25">
      <c r="A517">
        <v>2068000900</v>
      </c>
      <c r="B517" t="s">
        <v>10</v>
      </c>
    </row>
    <row r="518" spans="1:2" x14ac:dyDescent="0.25">
      <c r="A518">
        <v>2069000</v>
      </c>
      <c r="B518" t="e">
        <f>- Los demas. congelados</f>
        <v>#NAME?</v>
      </c>
    </row>
    <row r="519" spans="1:2" x14ac:dyDescent="0.25">
      <c r="A519">
        <v>20690001</v>
      </c>
      <c r="B519" t="s">
        <v>203</v>
      </c>
    </row>
    <row r="520" spans="1:2" x14ac:dyDescent="0.25">
      <c r="A520">
        <v>2069000110</v>
      </c>
      <c r="B520" t="s">
        <v>204</v>
      </c>
    </row>
    <row r="521" spans="1:2" x14ac:dyDescent="0.25">
      <c r="A521">
        <v>2069000120</v>
      </c>
      <c r="B521" t="s">
        <v>205</v>
      </c>
    </row>
    <row r="522" spans="1:2" x14ac:dyDescent="0.25">
      <c r="A522">
        <v>2069000900</v>
      </c>
      <c r="B522" t="s">
        <v>10</v>
      </c>
    </row>
    <row r="523" spans="1:2" x14ac:dyDescent="0.25">
      <c r="A523">
        <v>207</v>
      </c>
      <c r="B523" t="s">
        <v>206</v>
      </c>
    </row>
    <row r="524" spans="1:2" x14ac:dyDescent="0.25">
      <c r="A524">
        <v>2071</v>
      </c>
      <c r="B524" t="s">
        <v>207</v>
      </c>
    </row>
    <row r="525" spans="1:2" x14ac:dyDescent="0.25">
      <c r="A525">
        <v>2071100</v>
      </c>
      <c r="B525" t="s">
        <v>208</v>
      </c>
    </row>
    <row r="526" spans="1:2" x14ac:dyDescent="0.25">
      <c r="A526">
        <v>20711001</v>
      </c>
      <c r="B526" t="s">
        <v>209</v>
      </c>
    </row>
    <row r="527" spans="1:2" x14ac:dyDescent="0.25">
      <c r="A527">
        <v>2071100110</v>
      </c>
      <c r="B527" t="s">
        <v>210</v>
      </c>
    </row>
    <row r="528" spans="1:2" x14ac:dyDescent="0.25">
      <c r="A528">
        <v>2071100190</v>
      </c>
      <c r="B528" t="s">
        <v>10</v>
      </c>
    </row>
    <row r="529" spans="1:2" x14ac:dyDescent="0.25">
      <c r="A529">
        <v>20711009</v>
      </c>
      <c r="B529" t="s">
        <v>10</v>
      </c>
    </row>
    <row r="530" spans="1:2" x14ac:dyDescent="0.25">
      <c r="A530">
        <v>2071100910</v>
      </c>
      <c r="B530" t="s">
        <v>210</v>
      </c>
    </row>
    <row r="531" spans="1:2" x14ac:dyDescent="0.25">
      <c r="A531">
        <v>2071100990</v>
      </c>
      <c r="B531" t="s">
        <v>10</v>
      </c>
    </row>
    <row r="532" spans="1:2" x14ac:dyDescent="0.25">
      <c r="A532">
        <v>2071200</v>
      </c>
      <c r="B532" t="e">
        <f>- - sin trocear. congelados</f>
        <v>#NAME?</v>
      </c>
    </row>
    <row r="533" spans="1:2" x14ac:dyDescent="0.25">
      <c r="A533">
        <v>20712001</v>
      </c>
      <c r="B533" t="s">
        <v>209</v>
      </c>
    </row>
    <row r="534" spans="1:2" x14ac:dyDescent="0.25">
      <c r="A534">
        <v>2071200110</v>
      </c>
      <c r="B534" t="s">
        <v>210</v>
      </c>
    </row>
    <row r="535" spans="1:2" x14ac:dyDescent="0.25">
      <c r="A535">
        <v>2071200190</v>
      </c>
      <c r="B535" t="s">
        <v>10</v>
      </c>
    </row>
    <row r="536" spans="1:2" x14ac:dyDescent="0.25">
      <c r="A536">
        <v>20712009</v>
      </c>
      <c r="B536" t="s">
        <v>10</v>
      </c>
    </row>
    <row r="537" spans="1:2" x14ac:dyDescent="0.25">
      <c r="A537">
        <v>2071200910</v>
      </c>
      <c r="B537" t="s">
        <v>210</v>
      </c>
    </row>
    <row r="538" spans="1:2" x14ac:dyDescent="0.25">
      <c r="A538">
        <v>2071200990</v>
      </c>
      <c r="B538" t="s">
        <v>10</v>
      </c>
    </row>
    <row r="539" spans="1:2" x14ac:dyDescent="0.25">
      <c r="A539">
        <v>2071300</v>
      </c>
      <c r="B539" t="e">
        <f>- - trozos y despojos. frescos o refrigerados</f>
        <v>#NAME?</v>
      </c>
    </row>
    <row r="540" spans="1:2" x14ac:dyDescent="0.25">
      <c r="A540">
        <v>2071300100</v>
      </c>
      <c r="B540" t="s">
        <v>211</v>
      </c>
    </row>
    <row r="541" spans="1:2" x14ac:dyDescent="0.25">
      <c r="A541">
        <v>2071300900</v>
      </c>
      <c r="B541" t="s">
        <v>10</v>
      </c>
    </row>
    <row r="542" spans="1:2" x14ac:dyDescent="0.25">
      <c r="A542">
        <v>2071400</v>
      </c>
      <c r="B542" t="e">
        <f>- - trozos y despojos. congelados</f>
        <v>#NAME?</v>
      </c>
    </row>
    <row r="543" spans="1:2" x14ac:dyDescent="0.25">
      <c r="A543">
        <v>2071400100</v>
      </c>
      <c r="B543" t="s">
        <v>212</v>
      </c>
    </row>
    <row r="544" spans="1:2" x14ac:dyDescent="0.25">
      <c r="A544">
        <v>2071400900</v>
      </c>
      <c r="B544" t="s">
        <v>10</v>
      </c>
    </row>
    <row r="545" spans="1:2" x14ac:dyDescent="0.25">
      <c r="A545">
        <v>2072</v>
      </c>
      <c r="B545" t="s">
        <v>213</v>
      </c>
    </row>
    <row r="546" spans="1:2" x14ac:dyDescent="0.25">
      <c r="A546">
        <v>2072400000</v>
      </c>
      <c r="B546" t="e">
        <f>--sin trocear. frescos o refrigerados</f>
        <v>#NAME?</v>
      </c>
    </row>
    <row r="547" spans="1:2" x14ac:dyDescent="0.25">
      <c r="A547">
        <v>2072500</v>
      </c>
      <c r="B547" t="e">
        <f>- - sin trocear. congelados</f>
        <v>#NAME?</v>
      </c>
    </row>
    <row r="548" spans="1:2" x14ac:dyDescent="0.25">
      <c r="A548">
        <v>2072500100</v>
      </c>
      <c r="B548" t="s">
        <v>214</v>
      </c>
    </row>
    <row r="549" spans="1:2" x14ac:dyDescent="0.25">
      <c r="A549">
        <v>2072500900</v>
      </c>
      <c r="B549" t="s">
        <v>57</v>
      </c>
    </row>
    <row r="550" spans="1:2" x14ac:dyDescent="0.25">
      <c r="A550">
        <v>2072600</v>
      </c>
      <c r="B550" t="e">
        <f>- - trozos y despojos. frescos o refrigerados</f>
        <v>#NAME?</v>
      </c>
    </row>
    <row r="551" spans="1:2" x14ac:dyDescent="0.25">
      <c r="A551">
        <v>2072600100</v>
      </c>
      <c r="B551" t="s">
        <v>211</v>
      </c>
    </row>
    <row r="552" spans="1:2" x14ac:dyDescent="0.25">
      <c r="A552">
        <v>2072600900</v>
      </c>
      <c r="B552" t="s">
        <v>10</v>
      </c>
    </row>
    <row r="553" spans="1:2" x14ac:dyDescent="0.25">
      <c r="A553">
        <v>2072700</v>
      </c>
      <c r="B553" t="e">
        <f>- - trozos y despojos. congelados</f>
        <v>#NAME?</v>
      </c>
    </row>
    <row r="554" spans="1:2" x14ac:dyDescent="0.25">
      <c r="A554">
        <v>2072700100</v>
      </c>
      <c r="B554" t="s">
        <v>211</v>
      </c>
    </row>
    <row r="555" spans="1:2" x14ac:dyDescent="0.25">
      <c r="A555">
        <v>2072700900</v>
      </c>
      <c r="B555" t="s">
        <v>10</v>
      </c>
    </row>
    <row r="556" spans="1:2" x14ac:dyDescent="0.25">
      <c r="A556">
        <v>2074</v>
      </c>
      <c r="B556" t="s">
        <v>215</v>
      </c>
    </row>
    <row r="557" spans="1:2" x14ac:dyDescent="0.25">
      <c r="A557">
        <v>2074100000</v>
      </c>
      <c r="B557" t="e">
        <f>--sin trocear. frescos o refrigerados</f>
        <v>#NAME?</v>
      </c>
    </row>
    <row r="558" spans="1:2" x14ac:dyDescent="0.25">
      <c r="A558">
        <v>2074200000</v>
      </c>
      <c r="B558" t="e">
        <f>--sin trocear. congelados</f>
        <v>#NAME?</v>
      </c>
    </row>
    <row r="559" spans="1:2" x14ac:dyDescent="0.25">
      <c r="A559">
        <v>2074300000</v>
      </c>
      <c r="B559" t="e">
        <f>--Higados grasos. frescos o refrigerados</f>
        <v>#NAME?</v>
      </c>
    </row>
    <row r="560" spans="1:2" x14ac:dyDescent="0.25">
      <c r="A560">
        <v>2074400000</v>
      </c>
      <c r="B560" t="e">
        <f>--Los demas. frescos o refrigerados</f>
        <v>#NAME?</v>
      </c>
    </row>
    <row r="561" spans="1:2" x14ac:dyDescent="0.25">
      <c r="A561">
        <v>2074500000</v>
      </c>
      <c r="B561" t="e">
        <f>--Los demas. congelados</f>
        <v>#NAME?</v>
      </c>
    </row>
    <row r="562" spans="1:2" x14ac:dyDescent="0.25">
      <c r="A562">
        <v>2075</v>
      </c>
      <c r="B562" t="s">
        <v>216</v>
      </c>
    </row>
    <row r="563" spans="1:2" x14ac:dyDescent="0.25">
      <c r="A563">
        <v>2075100000</v>
      </c>
      <c r="B563" t="e">
        <f>--sin trocear. frescos o refrigerados</f>
        <v>#NAME?</v>
      </c>
    </row>
    <row r="564" spans="1:2" x14ac:dyDescent="0.25">
      <c r="A564">
        <v>2075200000</v>
      </c>
      <c r="B564" t="e">
        <f>--sin trocear. congelados</f>
        <v>#NAME?</v>
      </c>
    </row>
    <row r="565" spans="1:2" x14ac:dyDescent="0.25">
      <c r="A565">
        <v>2075300000</v>
      </c>
      <c r="B565" t="e">
        <f>--Higados grasos. frescos o refrigerados</f>
        <v>#NAME?</v>
      </c>
    </row>
    <row r="566" spans="1:2" x14ac:dyDescent="0.25">
      <c r="A566">
        <v>2075400000</v>
      </c>
      <c r="B566" t="e">
        <f>--Los demas. frescos o refrigerados</f>
        <v>#NAME?</v>
      </c>
    </row>
    <row r="567" spans="1:2" x14ac:dyDescent="0.25">
      <c r="A567">
        <v>2075500000</v>
      </c>
      <c r="B567" t="e">
        <f>--Los demas. congelados</f>
        <v>#NAME?</v>
      </c>
    </row>
    <row r="568" spans="1:2" x14ac:dyDescent="0.25">
      <c r="A568">
        <v>2076000000</v>
      </c>
      <c r="B568" t="e">
        <f>-de pintada</f>
        <v>#NAME?</v>
      </c>
    </row>
    <row r="569" spans="1:2" x14ac:dyDescent="0.25">
      <c r="A569">
        <v>208</v>
      </c>
      <c r="B569" t="s">
        <v>217</v>
      </c>
    </row>
    <row r="570" spans="1:2" x14ac:dyDescent="0.25">
      <c r="A570">
        <v>2081000</v>
      </c>
      <c r="B570" t="e">
        <f>- de conejo o liebre</f>
        <v>#NAME?</v>
      </c>
    </row>
    <row r="571" spans="1:2" x14ac:dyDescent="0.25">
      <c r="A571">
        <v>20810001</v>
      </c>
      <c r="B571" t="s">
        <v>218</v>
      </c>
    </row>
    <row r="572" spans="1:2" x14ac:dyDescent="0.25">
      <c r="A572">
        <v>2081000110</v>
      </c>
      <c r="B572" t="s">
        <v>219</v>
      </c>
    </row>
    <row r="573" spans="1:2" x14ac:dyDescent="0.25">
      <c r="A573">
        <v>2081000190</v>
      </c>
      <c r="B573" t="s">
        <v>10</v>
      </c>
    </row>
    <row r="574" spans="1:2" x14ac:dyDescent="0.25">
      <c r="A574">
        <v>20810002</v>
      </c>
      <c r="B574" t="s">
        <v>220</v>
      </c>
    </row>
    <row r="575" spans="1:2" x14ac:dyDescent="0.25">
      <c r="A575">
        <v>208100021</v>
      </c>
      <c r="B575" t="s">
        <v>221</v>
      </c>
    </row>
    <row r="576" spans="1:2" x14ac:dyDescent="0.25">
      <c r="A576">
        <v>2081000211</v>
      </c>
      <c r="B576" t="s">
        <v>219</v>
      </c>
    </row>
    <row r="577" spans="1:2" x14ac:dyDescent="0.25">
      <c r="A577">
        <v>2081000219</v>
      </c>
      <c r="B577" t="s">
        <v>10</v>
      </c>
    </row>
    <row r="578" spans="1:2" x14ac:dyDescent="0.25">
      <c r="A578">
        <v>208100029</v>
      </c>
      <c r="B578" t="s">
        <v>10</v>
      </c>
    </row>
    <row r="579" spans="1:2" x14ac:dyDescent="0.25">
      <c r="A579">
        <v>2081000291</v>
      </c>
      <c r="B579" t="s">
        <v>219</v>
      </c>
    </row>
    <row r="580" spans="1:2" x14ac:dyDescent="0.25">
      <c r="A580">
        <v>2081000299</v>
      </c>
      <c r="B580" t="s">
        <v>10</v>
      </c>
    </row>
    <row r="581" spans="1:2" x14ac:dyDescent="0.25">
      <c r="A581">
        <v>2083000</v>
      </c>
      <c r="B581" t="e">
        <f>- de Primates</f>
        <v>#NAME?</v>
      </c>
    </row>
    <row r="582" spans="1:2" x14ac:dyDescent="0.25">
      <c r="A582">
        <v>2083000100</v>
      </c>
      <c r="B582" t="s">
        <v>222</v>
      </c>
    </row>
    <row r="583" spans="1:2" x14ac:dyDescent="0.25">
      <c r="A583">
        <v>2083000900</v>
      </c>
      <c r="B583" t="s">
        <v>10</v>
      </c>
    </row>
    <row r="584" spans="1:2" x14ac:dyDescent="0.25">
      <c r="A584">
        <v>2084000</v>
      </c>
      <c r="B584" t="e">
        <f>- de Ballenas. delfines y marsopas (Mamiferos del orden Cetacea), manaties y dugones o dugongos (Mamiferos del orden Sirenia), otarios y focas. leones marinos y morsas (Mamiferos del suborden Pinnipedia)</f>
        <v>#NAME?</v>
      </c>
    </row>
    <row r="585" spans="1:2" x14ac:dyDescent="0.25">
      <c r="A585">
        <v>2084000100</v>
      </c>
      <c r="B585" t="s">
        <v>222</v>
      </c>
    </row>
    <row r="586" spans="1:2" x14ac:dyDescent="0.25">
      <c r="A586">
        <v>2084000900</v>
      </c>
      <c r="B586" t="s">
        <v>10</v>
      </c>
    </row>
    <row r="587" spans="1:2" x14ac:dyDescent="0.25">
      <c r="A587">
        <v>2085000</v>
      </c>
      <c r="B587" t="e">
        <f>- de Reptiles (incluidas las serpientes y tortugas de mar)</f>
        <v>#NAME?</v>
      </c>
    </row>
    <row r="588" spans="1:2" x14ac:dyDescent="0.25">
      <c r="A588">
        <v>2085000100</v>
      </c>
      <c r="B588" t="s">
        <v>222</v>
      </c>
    </row>
    <row r="589" spans="1:2" x14ac:dyDescent="0.25">
      <c r="A589">
        <v>2085000900</v>
      </c>
      <c r="B589" t="s">
        <v>10</v>
      </c>
    </row>
    <row r="590" spans="1:2" x14ac:dyDescent="0.25">
      <c r="A590">
        <v>2086000</v>
      </c>
      <c r="B590" t="e">
        <f>- de Camellos y demas camelidos (Camelidae)</f>
        <v>#NAME?</v>
      </c>
    </row>
    <row r="591" spans="1:2" x14ac:dyDescent="0.25">
      <c r="A591">
        <v>2086000100</v>
      </c>
      <c r="B591" t="s">
        <v>222</v>
      </c>
    </row>
    <row r="592" spans="1:2" x14ac:dyDescent="0.25">
      <c r="A592">
        <v>2086000900</v>
      </c>
      <c r="B592" t="s">
        <v>10</v>
      </c>
    </row>
    <row r="593" spans="1:2" x14ac:dyDescent="0.25">
      <c r="A593">
        <v>2089000</v>
      </c>
      <c r="B593" t="e">
        <f>- Los demas</f>
        <v>#NAME?</v>
      </c>
    </row>
    <row r="594" spans="1:2" x14ac:dyDescent="0.25">
      <c r="A594">
        <v>20890001</v>
      </c>
      <c r="B594" t="s">
        <v>223</v>
      </c>
    </row>
    <row r="595" spans="1:2" x14ac:dyDescent="0.25">
      <c r="A595">
        <v>208900011</v>
      </c>
      <c r="B595" t="s">
        <v>222</v>
      </c>
    </row>
    <row r="596" spans="1:2" x14ac:dyDescent="0.25">
      <c r="A596">
        <v>2089000111</v>
      </c>
      <c r="B596" t="s">
        <v>69</v>
      </c>
    </row>
    <row r="597" spans="1:2" x14ac:dyDescent="0.25">
      <c r="A597">
        <v>2089000112</v>
      </c>
      <c r="B597" t="s">
        <v>70</v>
      </c>
    </row>
    <row r="598" spans="1:2" x14ac:dyDescent="0.25">
      <c r="A598">
        <v>2089000113</v>
      </c>
      <c r="B598" t="s">
        <v>224</v>
      </c>
    </row>
    <row r="599" spans="1:2" x14ac:dyDescent="0.25">
      <c r="A599">
        <v>2089000114</v>
      </c>
      <c r="B599" t="s">
        <v>225</v>
      </c>
    </row>
    <row r="600" spans="1:2" x14ac:dyDescent="0.25">
      <c r="A600">
        <v>2089000115</v>
      </c>
      <c r="B600" t="s">
        <v>226</v>
      </c>
    </row>
    <row r="601" spans="1:2" x14ac:dyDescent="0.25">
      <c r="A601">
        <v>2089000116</v>
      </c>
      <c r="B601" t="s">
        <v>227</v>
      </c>
    </row>
    <row r="602" spans="1:2" x14ac:dyDescent="0.25">
      <c r="A602">
        <v>2089000117</v>
      </c>
      <c r="B602" t="s">
        <v>228</v>
      </c>
    </row>
    <row r="603" spans="1:2" x14ac:dyDescent="0.25">
      <c r="A603">
        <v>2089000119</v>
      </c>
      <c r="B603" t="s">
        <v>10</v>
      </c>
    </row>
    <row r="604" spans="1:2" x14ac:dyDescent="0.25">
      <c r="A604">
        <v>208900019</v>
      </c>
      <c r="B604" t="s">
        <v>10</v>
      </c>
    </row>
    <row r="605" spans="1:2" x14ac:dyDescent="0.25">
      <c r="A605">
        <v>2089000191</v>
      </c>
      <c r="B605" t="s">
        <v>69</v>
      </c>
    </row>
    <row r="606" spans="1:2" x14ac:dyDescent="0.25">
      <c r="A606">
        <v>2089000192</v>
      </c>
      <c r="B606" t="s">
        <v>70</v>
      </c>
    </row>
    <row r="607" spans="1:2" x14ac:dyDescent="0.25">
      <c r="A607">
        <v>2089000193</v>
      </c>
      <c r="B607" t="s">
        <v>224</v>
      </c>
    </row>
    <row r="608" spans="1:2" x14ac:dyDescent="0.25">
      <c r="A608">
        <v>2089000194</v>
      </c>
      <c r="B608" t="s">
        <v>225</v>
      </c>
    </row>
    <row r="609" spans="1:2" x14ac:dyDescent="0.25">
      <c r="A609">
        <v>2089000195</v>
      </c>
      <c r="B609" t="s">
        <v>226</v>
      </c>
    </row>
    <row r="610" spans="1:2" x14ac:dyDescent="0.25">
      <c r="A610">
        <v>2089000196</v>
      </c>
      <c r="B610" t="s">
        <v>227</v>
      </c>
    </row>
    <row r="611" spans="1:2" x14ac:dyDescent="0.25">
      <c r="A611">
        <v>2089000197</v>
      </c>
      <c r="B611" t="s">
        <v>228</v>
      </c>
    </row>
    <row r="612" spans="1:2" x14ac:dyDescent="0.25">
      <c r="A612">
        <v>2089000199</v>
      </c>
      <c r="B612" t="s">
        <v>10</v>
      </c>
    </row>
    <row r="613" spans="1:2" x14ac:dyDescent="0.25">
      <c r="A613">
        <v>2089000300</v>
      </c>
      <c r="B613" t="s">
        <v>229</v>
      </c>
    </row>
    <row r="614" spans="1:2" x14ac:dyDescent="0.25">
      <c r="A614">
        <v>20890009</v>
      </c>
      <c r="B614" t="s">
        <v>10</v>
      </c>
    </row>
    <row r="615" spans="1:2" x14ac:dyDescent="0.25">
      <c r="A615">
        <v>2089000910</v>
      </c>
      <c r="B615" t="s">
        <v>222</v>
      </c>
    </row>
    <row r="616" spans="1:2" x14ac:dyDescent="0.25">
      <c r="A616">
        <v>2089000990</v>
      </c>
      <c r="B616" t="s">
        <v>10</v>
      </c>
    </row>
    <row r="617" spans="1:2" x14ac:dyDescent="0.25">
      <c r="A617">
        <v>209</v>
      </c>
      <c r="B617" t="s">
        <v>230</v>
      </c>
    </row>
    <row r="618" spans="1:2" x14ac:dyDescent="0.25">
      <c r="A618">
        <v>20910</v>
      </c>
      <c r="B618" t="e">
        <f>- de cerdo</f>
        <v>#NAME?</v>
      </c>
    </row>
    <row r="619" spans="1:2" x14ac:dyDescent="0.25">
      <c r="A619">
        <v>209101</v>
      </c>
      <c r="B619" t="s">
        <v>231</v>
      </c>
    </row>
    <row r="620" spans="1:2" x14ac:dyDescent="0.25">
      <c r="A620">
        <v>2091011</v>
      </c>
      <c r="B620" t="s">
        <v>232</v>
      </c>
    </row>
    <row r="621" spans="1:2" x14ac:dyDescent="0.25">
      <c r="A621">
        <v>2091011100</v>
      </c>
      <c r="B621" t="s">
        <v>233</v>
      </c>
    </row>
    <row r="622" spans="1:2" x14ac:dyDescent="0.25">
      <c r="A622">
        <v>2091011900</v>
      </c>
      <c r="B622" t="s">
        <v>10</v>
      </c>
    </row>
    <row r="623" spans="1:2" x14ac:dyDescent="0.25">
      <c r="A623">
        <v>2091019000</v>
      </c>
      <c r="B623" t="s">
        <v>10</v>
      </c>
    </row>
    <row r="624" spans="1:2" x14ac:dyDescent="0.25">
      <c r="A624">
        <v>209102</v>
      </c>
      <c r="B624" t="s">
        <v>234</v>
      </c>
    </row>
    <row r="625" spans="1:2" x14ac:dyDescent="0.25">
      <c r="A625">
        <v>2091021000</v>
      </c>
      <c r="B625" t="s">
        <v>235</v>
      </c>
    </row>
    <row r="626" spans="1:2" x14ac:dyDescent="0.25">
      <c r="A626">
        <v>2091029000</v>
      </c>
      <c r="B626" t="s">
        <v>57</v>
      </c>
    </row>
    <row r="627" spans="1:2" x14ac:dyDescent="0.25">
      <c r="A627">
        <v>2099000000</v>
      </c>
      <c r="B627" t="e">
        <f>-Los demas</f>
        <v>#NAME?</v>
      </c>
    </row>
    <row r="628" spans="1:2" x14ac:dyDescent="0.25">
      <c r="A628">
        <v>210</v>
      </c>
      <c r="B628" t="s">
        <v>236</v>
      </c>
    </row>
    <row r="629" spans="1:2" x14ac:dyDescent="0.25">
      <c r="A629">
        <v>2101</v>
      </c>
      <c r="B629" t="s">
        <v>237</v>
      </c>
    </row>
    <row r="630" spans="1:2" x14ac:dyDescent="0.25">
      <c r="A630">
        <v>2101100</v>
      </c>
      <c r="B630" t="e">
        <f>- - Jamones. paletas. y sus trozos. sin deshuesar</f>
        <v>#NAME?</v>
      </c>
    </row>
    <row r="631" spans="1:2" x14ac:dyDescent="0.25">
      <c r="A631">
        <v>2101100100</v>
      </c>
      <c r="B631" t="s">
        <v>238</v>
      </c>
    </row>
    <row r="632" spans="1:2" x14ac:dyDescent="0.25">
      <c r="A632">
        <v>2101100200</v>
      </c>
      <c r="B632" t="s">
        <v>172</v>
      </c>
    </row>
    <row r="633" spans="1:2" x14ac:dyDescent="0.25">
      <c r="A633">
        <v>2101200000</v>
      </c>
      <c r="B633" t="e">
        <f>--Tocino entreverado de panza (panceta) y sus trozos</f>
        <v>#NAME?</v>
      </c>
    </row>
    <row r="634" spans="1:2" x14ac:dyDescent="0.25">
      <c r="A634">
        <v>2101900</v>
      </c>
      <c r="B634" t="e">
        <f>- - las demas</f>
        <v>#NAME?</v>
      </c>
    </row>
    <row r="635" spans="1:2" x14ac:dyDescent="0.25">
      <c r="A635">
        <v>2101900100</v>
      </c>
      <c r="B635" t="s">
        <v>238</v>
      </c>
    </row>
    <row r="636" spans="1:2" x14ac:dyDescent="0.25">
      <c r="A636">
        <v>2101900200</v>
      </c>
      <c r="B636" t="s">
        <v>178</v>
      </c>
    </row>
    <row r="637" spans="1:2" x14ac:dyDescent="0.25">
      <c r="A637">
        <v>2101900900</v>
      </c>
      <c r="B637" t="s">
        <v>10</v>
      </c>
    </row>
    <row r="638" spans="1:2" x14ac:dyDescent="0.25">
      <c r="A638">
        <v>2102000000</v>
      </c>
      <c r="B638" t="e">
        <f>-Carne de la especie bovina</f>
        <v>#NAME?</v>
      </c>
    </row>
    <row r="639" spans="1:2" x14ac:dyDescent="0.25">
      <c r="A639">
        <v>2109</v>
      </c>
      <c r="B639" t="s">
        <v>239</v>
      </c>
    </row>
    <row r="640" spans="1:2" x14ac:dyDescent="0.25">
      <c r="A640">
        <v>2109100000</v>
      </c>
      <c r="B640" t="e">
        <f>--de Primates</f>
        <v>#NAME?</v>
      </c>
    </row>
    <row r="641" spans="1:2" x14ac:dyDescent="0.25">
      <c r="A641">
        <v>2109200000</v>
      </c>
      <c r="B641" t="e">
        <f>--de Ballenas. delfines y marsopas (Mamiferos del orden Cetacea), de manaties y dugones o dugongos (Mamiferos del orden Sirenia), de otarios y focas. leones marinos y morsas (Mamiferos del suborden Pinnipedia)</f>
        <v>#NAME?</v>
      </c>
    </row>
    <row r="642" spans="1:2" x14ac:dyDescent="0.25">
      <c r="A642">
        <v>2109300000</v>
      </c>
      <c r="B642" t="e">
        <f>--de Reptiles (incluidas las serpientes y tortugas de mar)</f>
        <v>#NAME?</v>
      </c>
    </row>
    <row r="643" spans="1:2" x14ac:dyDescent="0.25">
      <c r="A643">
        <v>21099</v>
      </c>
      <c r="B643" t="e">
        <f>- - Los demas</f>
        <v>#NAME?</v>
      </c>
    </row>
    <row r="644" spans="1:2" x14ac:dyDescent="0.25">
      <c r="A644">
        <v>210991</v>
      </c>
      <c r="B644" t="s">
        <v>240</v>
      </c>
    </row>
    <row r="645" spans="1:2" x14ac:dyDescent="0.25">
      <c r="A645">
        <v>2109911000</v>
      </c>
      <c r="B645" t="s">
        <v>241</v>
      </c>
    </row>
    <row r="646" spans="1:2" x14ac:dyDescent="0.25">
      <c r="A646">
        <v>2109919000</v>
      </c>
      <c r="B646" t="s">
        <v>10</v>
      </c>
    </row>
    <row r="647" spans="1:2" x14ac:dyDescent="0.25">
      <c r="A647">
        <v>2109920000</v>
      </c>
      <c r="B647" t="s">
        <v>242</v>
      </c>
    </row>
    <row r="648" spans="1:2" x14ac:dyDescent="0.25">
      <c r="A648">
        <v>2109930000</v>
      </c>
      <c r="B648" t="s">
        <v>243</v>
      </c>
    </row>
    <row r="649" spans="1:2" x14ac:dyDescent="0.25">
      <c r="A649">
        <v>2109940000</v>
      </c>
      <c r="B649" t="s">
        <v>244</v>
      </c>
    </row>
    <row r="650" spans="1:2" x14ac:dyDescent="0.25">
      <c r="A650">
        <v>2109990</v>
      </c>
      <c r="B650" t="s">
        <v>10</v>
      </c>
    </row>
    <row r="651" spans="1:2" x14ac:dyDescent="0.25">
      <c r="A651">
        <v>2109990100</v>
      </c>
      <c r="B651" t="s">
        <v>245</v>
      </c>
    </row>
    <row r="652" spans="1:2" x14ac:dyDescent="0.25">
      <c r="A652">
        <v>2109990900</v>
      </c>
      <c r="B652" t="s">
        <v>10</v>
      </c>
    </row>
    <row r="653" spans="1:2" x14ac:dyDescent="0.25">
      <c r="A653">
        <v>301</v>
      </c>
      <c r="B653" t="s">
        <v>246</v>
      </c>
    </row>
    <row r="654" spans="1:2" x14ac:dyDescent="0.25">
      <c r="A654">
        <v>3011</v>
      </c>
      <c r="B654" t="s">
        <v>247</v>
      </c>
    </row>
    <row r="655" spans="1:2" x14ac:dyDescent="0.25">
      <c r="A655">
        <v>30111</v>
      </c>
      <c r="B655" t="e">
        <f>- - de agua dulce</f>
        <v>#NAME?</v>
      </c>
    </row>
    <row r="656" spans="1:2" x14ac:dyDescent="0.25">
      <c r="A656">
        <v>3011110000</v>
      </c>
      <c r="B656" t="s">
        <v>248</v>
      </c>
    </row>
    <row r="657" spans="1:2" x14ac:dyDescent="0.25">
      <c r="A657">
        <v>3011190000</v>
      </c>
      <c r="B657" t="s">
        <v>10</v>
      </c>
    </row>
    <row r="658" spans="1:2" x14ac:dyDescent="0.25">
      <c r="A658">
        <v>3011900000</v>
      </c>
      <c r="B658" t="e">
        <f>--Los demas</f>
        <v>#NAME?</v>
      </c>
    </row>
    <row r="659" spans="1:2" x14ac:dyDescent="0.25">
      <c r="A659">
        <v>3019</v>
      </c>
      <c r="B659" t="s">
        <v>249</v>
      </c>
    </row>
    <row r="660" spans="1:2" x14ac:dyDescent="0.25">
      <c r="A660">
        <v>30191</v>
      </c>
      <c r="B660" t="e">
        <f>- - Truchas (Salmo trutta. Oncorhynchus mykiss. Oncorhynchus clarki. Oncorhynchus aguabonita. Oncorhynchus gilae. Oncorhynchus apache y Oncorhynchus chrysogaster)</f>
        <v>#NAME?</v>
      </c>
    </row>
    <row r="661" spans="1:2" x14ac:dyDescent="0.25">
      <c r="A661">
        <v>3019110000</v>
      </c>
      <c r="B661" t="s">
        <v>22</v>
      </c>
    </row>
    <row r="662" spans="1:2" x14ac:dyDescent="0.25">
      <c r="A662">
        <v>3019190000</v>
      </c>
      <c r="B662" t="s">
        <v>57</v>
      </c>
    </row>
    <row r="663" spans="1:2" x14ac:dyDescent="0.25">
      <c r="A663">
        <v>30192</v>
      </c>
      <c r="B663" t="e">
        <f>- - Anguilas (Anguilla spp.)</f>
        <v>#NAME?</v>
      </c>
    </row>
    <row r="664" spans="1:2" x14ac:dyDescent="0.25">
      <c r="A664">
        <v>3019210000</v>
      </c>
      <c r="B664" t="s">
        <v>22</v>
      </c>
    </row>
    <row r="665" spans="1:2" x14ac:dyDescent="0.25">
      <c r="A665">
        <v>3019290000</v>
      </c>
      <c r="B665" t="s">
        <v>57</v>
      </c>
    </row>
    <row r="666" spans="1:2" x14ac:dyDescent="0.25">
      <c r="A666">
        <v>30193</v>
      </c>
      <c r="B666" t="e">
        <f>- - Carpas (Cyprinus spp.. Carassius spp.. Ctenopharyngodon idellus. Hypophthalmichthys spp.. Cirrhinus spp.. Mylopharyngodon piceus. Catla catla. Labeo spp.. Osteochilus hasselti. Leptobarbus hoeveni. Megalobrama spp.)</f>
        <v>#NAME?</v>
      </c>
    </row>
    <row r="667" spans="1:2" x14ac:dyDescent="0.25">
      <c r="A667">
        <v>3019310000</v>
      </c>
      <c r="B667" t="s">
        <v>22</v>
      </c>
    </row>
    <row r="668" spans="1:2" x14ac:dyDescent="0.25">
      <c r="A668">
        <v>3019390000</v>
      </c>
      <c r="B668" t="s">
        <v>57</v>
      </c>
    </row>
    <row r="669" spans="1:2" x14ac:dyDescent="0.25">
      <c r="A669">
        <v>30194</v>
      </c>
      <c r="B669" t="e">
        <f>- - Atunes comunes o de aleta azul. del Atlantico y del Pacifico (Thunnus thynnus. Thunnus orientalis)</f>
        <v>#NAME?</v>
      </c>
    </row>
    <row r="670" spans="1:2" x14ac:dyDescent="0.25">
      <c r="A670">
        <v>3019410000</v>
      </c>
      <c r="B670" t="s">
        <v>22</v>
      </c>
    </row>
    <row r="671" spans="1:2" x14ac:dyDescent="0.25">
      <c r="A671">
        <v>3019490000</v>
      </c>
      <c r="B671" t="s">
        <v>10</v>
      </c>
    </row>
    <row r="672" spans="1:2" x14ac:dyDescent="0.25">
      <c r="A672">
        <v>30195</v>
      </c>
      <c r="B672" t="e">
        <f>- - Atunes del sur (Thunnus maccoyii)</f>
        <v>#NAME?</v>
      </c>
    </row>
    <row r="673" spans="1:2" x14ac:dyDescent="0.25">
      <c r="A673">
        <v>3019510000</v>
      </c>
      <c r="B673" t="s">
        <v>22</v>
      </c>
    </row>
    <row r="674" spans="1:2" x14ac:dyDescent="0.25">
      <c r="A674">
        <v>3019590000</v>
      </c>
      <c r="B674" t="s">
        <v>10</v>
      </c>
    </row>
    <row r="675" spans="1:2" x14ac:dyDescent="0.25">
      <c r="A675">
        <v>30199</v>
      </c>
      <c r="B675" t="e">
        <f>- - Los demas</f>
        <v>#NAME?</v>
      </c>
    </row>
    <row r="676" spans="1:2" x14ac:dyDescent="0.25">
      <c r="A676">
        <v>301991</v>
      </c>
      <c r="B676" t="s">
        <v>22</v>
      </c>
    </row>
    <row r="677" spans="1:2" x14ac:dyDescent="0.25">
      <c r="A677">
        <v>3019911000</v>
      </c>
      <c r="B677" t="s">
        <v>250</v>
      </c>
    </row>
    <row r="678" spans="1:2" x14ac:dyDescent="0.25">
      <c r="A678">
        <v>3019912000</v>
      </c>
      <c r="B678" t="s">
        <v>251</v>
      </c>
    </row>
    <row r="679" spans="1:2" x14ac:dyDescent="0.25">
      <c r="A679">
        <v>3019919000</v>
      </c>
      <c r="B679" t="s">
        <v>10</v>
      </c>
    </row>
    <row r="680" spans="1:2" x14ac:dyDescent="0.25">
      <c r="A680">
        <v>301999</v>
      </c>
      <c r="B680" t="s">
        <v>10</v>
      </c>
    </row>
    <row r="681" spans="1:2" x14ac:dyDescent="0.25">
      <c r="A681">
        <v>3019991000</v>
      </c>
      <c r="B681" t="s">
        <v>250</v>
      </c>
    </row>
    <row r="682" spans="1:2" x14ac:dyDescent="0.25">
      <c r="A682">
        <v>3019992000</v>
      </c>
      <c r="B682" t="s">
        <v>252</v>
      </c>
    </row>
    <row r="683" spans="1:2" x14ac:dyDescent="0.25">
      <c r="A683">
        <v>3019999000</v>
      </c>
      <c r="B683" t="s">
        <v>10</v>
      </c>
    </row>
    <row r="684" spans="1:2" x14ac:dyDescent="0.25">
      <c r="A684">
        <v>302</v>
      </c>
      <c r="B684" t="s">
        <v>253</v>
      </c>
    </row>
    <row r="685" spans="1:2" x14ac:dyDescent="0.25">
      <c r="A685">
        <v>3021</v>
      </c>
      <c r="B685" t="s">
        <v>254</v>
      </c>
    </row>
    <row r="686" spans="1:2" x14ac:dyDescent="0.25">
      <c r="A686">
        <v>3021100</v>
      </c>
      <c r="B686" t="e">
        <f>- - Truchas (Salmo trutta. Oncorhynchus mykiss. Oncorhynchus clarki. Oncorhynchus aguabonita. Oncorhynchus gilae. Oncorhynchus apache y Oncorhynchus chrysogaster)</f>
        <v>#NAME?</v>
      </c>
    </row>
    <row r="687" spans="1:2" x14ac:dyDescent="0.25">
      <c r="A687">
        <v>3021100100</v>
      </c>
      <c r="B687" t="s">
        <v>255</v>
      </c>
    </row>
    <row r="688" spans="1:2" x14ac:dyDescent="0.25">
      <c r="A688">
        <v>3021100900</v>
      </c>
      <c r="B688" t="s">
        <v>10</v>
      </c>
    </row>
    <row r="689" spans="1:2" x14ac:dyDescent="0.25">
      <c r="A689">
        <v>3021300000</v>
      </c>
      <c r="B689" t="e">
        <f>--Salmones del Pacifico (Oncorhynchus nerka. Oncorhynchus gorbuscha. Oncorhynchus keta. Oncorhynchus tschawytscha. Oncorhynchus kisutch. Oncorhynchus masou y Oncorhynchus rhodurus)</f>
        <v>#NAME?</v>
      </c>
    </row>
    <row r="690" spans="1:2" x14ac:dyDescent="0.25">
      <c r="A690">
        <v>3021400</v>
      </c>
      <c r="B690" t="e">
        <f>- - Salmones del Atlantico (Salmo salar) y Salmones del Danubio (Hucho Hucho)</f>
        <v>#NAME?</v>
      </c>
    </row>
    <row r="691" spans="1:2" x14ac:dyDescent="0.25">
      <c r="A691">
        <v>3021400100</v>
      </c>
      <c r="B691" t="s">
        <v>256</v>
      </c>
    </row>
    <row r="692" spans="1:2" x14ac:dyDescent="0.25">
      <c r="A692">
        <v>3021400200</v>
      </c>
      <c r="B692" t="s">
        <v>257</v>
      </c>
    </row>
    <row r="693" spans="1:2" x14ac:dyDescent="0.25">
      <c r="A693">
        <v>3021900000</v>
      </c>
      <c r="B693" t="e">
        <f>--Los demas</f>
        <v>#NAME?</v>
      </c>
    </row>
    <row r="694" spans="1:2" x14ac:dyDescent="0.25">
      <c r="A694">
        <v>3022</v>
      </c>
      <c r="B694" t="s">
        <v>258</v>
      </c>
    </row>
    <row r="695" spans="1:2" x14ac:dyDescent="0.25">
      <c r="A695">
        <v>3022100000</v>
      </c>
      <c r="B695" t="e">
        <f>--Fletanes (halibut) (Reinhardtius hippoglossoides. Hippoglossus hippoglossus. Hippoglossus stenolepis)</f>
        <v>#NAME?</v>
      </c>
    </row>
    <row r="696" spans="1:2" x14ac:dyDescent="0.25">
      <c r="A696">
        <v>3022200000</v>
      </c>
      <c r="B696" t="e">
        <f>--Sollas (Pleuronectes platessa)</f>
        <v>#NAME?</v>
      </c>
    </row>
    <row r="697" spans="1:2" x14ac:dyDescent="0.25">
      <c r="A697">
        <v>3022300000</v>
      </c>
      <c r="B697" t="e">
        <f>--Lenguados (Solea spp.)</f>
        <v>#NAME?</v>
      </c>
    </row>
    <row r="698" spans="1:2" x14ac:dyDescent="0.25">
      <c r="A698">
        <v>3022400000</v>
      </c>
      <c r="B698" t="e">
        <f>--Rodaballos (turbots) (Psetta maxima)</f>
        <v>#NAME?</v>
      </c>
    </row>
    <row r="699" spans="1:2" x14ac:dyDescent="0.25">
      <c r="A699">
        <v>3022900000</v>
      </c>
      <c r="B699" t="e">
        <f>--Los demas</f>
        <v>#NAME?</v>
      </c>
    </row>
    <row r="700" spans="1:2" x14ac:dyDescent="0.25">
      <c r="A700">
        <v>3023</v>
      </c>
      <c r="B700" t="s">
        <v>259</v>
      </c>
    </row>
    <row r="701" spans="1:2" x14ac:dyDescent="0.25">
      <c r="A701">
        <v>3023100000</v>
      </c>
      <c r="B701" t="e">
        <f>--Albacoras o Atunes blancos (Thunnus alalunga)</f>
        <v>#NAME?</v>
      </c>
    </row>
    <row r="702" spans="1:2" x14ac:dyDescent="0.25">
      <c r="A702">
        <v>3023200000</v>
      </c>
      <c r="B702" t="e">
        <f ca="1">--Atunes de aleta amarilla (rabiles)(Thunnus albacares)</f>
        <v>#NAME?</v>
      </c>
    </row>
    <row r="703" spans="1:2" x14ac:dyDescent="0.25">
      <c r="A703">
        <v>3023300000</v>
      </c>
      <c r="B703" t="e">
        <f>--Listados o bonitos de vientre rayado</f>
        <v>#NAME?</v>
      </c>
    </row>
    <row r="704" spans="1:2" x14ac:dyDescent="0.25">
      <c r="A704">
        <v>3023400000</v>
      </c>
      <c r="B704" t="e">
        <f>--Patudos o Atunes ojo grande (Thunnus obesus)</f>
        <v>#NAME?</v>
      </c>
    </row>
    <row r="705" spans="1:2" x14ac:dyDescent="0.25">
      <c r="A705">
        <v>3023500000</v>
      </c>
      <c r="B705" t="e">
        <f>--Atunes comunes o de aleta azul. del Atlantico y del Pacifico (Thunnus thynnus. Thunnus orientalis)</f>
        <v>#NAME?</v>
      </c>
    </row>
    <row r="706" spans="1:2" x14ac:dyDescent="0.25">
      <c r="A706">
        <v>3023600000</v>
      </c>
      <c r="B706" t="e">
        <f>--Atunes del sur (Thunnus maccoyii)</f>
        <v>#NAME?</v>
      </c>
    </row>
    <row r="707" spans="1:2" x14ac:dyDescent="0.25">
      <c r="A707">
        <v>3023900000</v>
      </c>
      <c r="B707" t="e">
        <f>--Los demas</f>
        <v>#NAME?</v>
      </c>
    </row>
    <row r="708" spans="1:2" x14ac:dyDescent="0.25">
      <c r="A708">
        <v>3024</v>
      </c>
      <c r="B708" t="s">
        <v>260</v>
      </c>
    </row>
    <row r="709" spans="1:2" x14ac:dyDescent="0.25">
      <c r="A709">
        <v>3024100000</v>
      </c>
      <c r="B709" t="e">
        <f>--Arenques (Clupea harengus. Clupea pallasii)</f>
        <v>#NAME?</v>
      </c>
    </row>
    <row r="710" spans="1:2" x14ac:dyDescent="0.25">
      <c r="A710">
        <v>30242</v>
      </c>
      <c r="B710" t="e">
        <f>- - Anchoas (Engraulis spp.)</f>
        <v>#NAME?</v>
      </c>
    </row>
    <row r="711" spans="1:2" x14ac:dyDescent="0.25">
      <c r="A711">
        <v>3024210000</v>
      </c>
      <c r="B711" t="s">
        <v>261</v>
      </c>
    </row>
    <row r="712" spans="1:2" x14ac:dyDescent="0.25">
      <c r="A712">
        <v>3024290000</v>
      </c>
      <c r="B712" t="s">
        <v>57</v>
      </c>
    </row>
    <row r="713" spans="1:2" x14ac:dyDescent="0.25">
      <c r="A713">
        <v>3024300000</v>
      </c>
      <c r="B713" t="s">
        <v>262</v>
      </c>
    </row>
    <row r="714" spans="1:2" x14ac:dyDescent="0.25">
      <c r="A714">
        <v>3024400000</v>
      </c>
      <c r="B714" t="e">
        <f>--Caballas (Scomber scombrus. Scomber australasicus. Scomber japonicus)</f>
        <v>#NAME?</v>
      </c>
    </row>
    <row r="715" spans="1:2" x14ac:dyDescent="0.25">
      <c r="A715">
        <v>3024500000</v>
      </c>
      <c r="B715" t="e">
        <f>--Jureles (Trachurus spp.)</f>
        <v>#NAME?</v>
      </c>
    </row>
    <row r="716" spans="1:2" x14ac:dyDescent="0.25">
      <c r="A716">
        <v>3024600000</v>
      </c>
      <c r="B716" t="e">
        <f>--Cobias (Rachycentron canadum)</f>
        <v>#NAME?</v>
      </c>
    </row>
    <row r="717" spans="1:2" x14ac:dyDescent="0.25">
      <c r="A717">
        <v>3024700000</v>
      </c>
      <c r="B717" t="e">
        <f>--Peces Espada (Xiphias gladius)</f>
        <v>#NAME?</v>
      </c>
    </row>
    <row r="718" spans="1:2" x14ac:dyDescent="0.25">
      <c r="A718">
        <v>30249</v>
      </c>
      <c r="B718" t="e">
        <f>- - Los demas</f>
        <v>#NAME?</v>
      </c>
    </row>
    <row r="719" spans="1:2" x14ac:dyDescent="0.25">
      <c r="A719">
        <v>3024910000</v>
      </c>
      <c r="B719" t="s">
        <v>263</v>
      </c>
    </row>
    <row r="720" spans="1:2" x14ac:dyDescent="0.25">
      <c r="A720">
        <v>3024990000</v>
      </c>
      <c r="B720" t="s">
        <v>10</v>
      </c>
    </row>
    <row r="721" spans="1:2" x14ac:dyDescent="0.25">
      <c r="A721">
        <v>3025</v>
      </c>
      <c r="B721" t="s">
        <v>264</v>
      </c>
    </row>
    <row r="722" spans="1:2" x14ac:dyDescent="0.25">
      <c r="A722">
        <v>3025100000</v>
      </c>
      <c r="B722" t="e">
        <f>--Bacalaos (Gadus morhua. Gadus ogac. Gadus macrocephalus)</f>
        <v>#NAME?</v>
      </c>
    </row>
    <row r="723" spans="1:2" x14ac:dyDescent="0.25">
      <c r="A723">
        <v>3025200000</v>
      </c>
      <c r="B723" t="e">
        <f>--Eglefinos (Melanogrammus aeglefinus)</f>
        <v>#NAME?</v>
      </c>
    </row>
    <row r="724" spans="1:2" x14ac:dyDescent="0.25">
      <c r="A724">
        <v>3025300000</v>
      </c>
      <c r="B724" t="e">
        <f>--Carboneros (Pollachius virens)</f>
        <v>#NAME?</v>
      </c>
    </row>
    <row r="725" spans="1:2" x14ac:dyDescent="0.25">
      <c r="A725">
        <v>3025400</v>
      </c>
      <c r="B725" t="e">
        <f>- - Merluzas (Merluccius spp.. Urophycis spp.)</f>
        <v>#NAME?</v>
      </c>
    </row>
    <row r="726" spans="1:2" x14ac:dyDescent="0.25">
      <c r="A726">
        <v>3025400100</v>
      </c>
      <c r="B726" t="s">
        <v>265</v>
      </c>
    </row>
    <row r="727" spans="1:2" x14ac:dyDescent="0.25">
      <c r="A727">
        <v>3025400200</v>
      </c>
      <c r="B727" t="s">
        <v>266</v>
      </c>
    </row>
    <row r="728" spans="1:2" x14ac:dyDescent="0.25">
      <c r="A728">
        <v>30254009</v>
      </c>
      <c r="B728" t="s">
        <v>10</v>
      </c>
    </row>
    <row r="729" spans="1:2" x14ac:dyDescent="0.25">
      <c r="A729">
        <v>3025400910</v>
      </c>
      <c r="B729" t="s">
        <v>267</v>
      </c>
    </row>
    <row r="730" spans="1:2" x14ac:dyDescent="0.25">
      <c r="A730">
        <v>3025400990</v>
      </c>
      <c r="B730" t="s">
        <v>10</v>
      </c>
    </row>
    <row r="731" spans="1:2" x14ac:dyDescent="0.25">
      <c r="A731">
        <v>3025500000</v>
      </c>
      <c r="B731" t="e">
        <f>--Abadejo de Alaska (Theragra chalcogramma)</f>
        <v>#NAME?</v>
      </c>
    </row>
    <row r="732" spans="1:2" x14ac:dyDescent="0.25">
      <c r="A732">
        <v>3025600</v>
      </c>
      <c r="B732" t="e">
        <f>- - Bacaladillas (Micromesistius poutassou. Micromesistius australis)</f>
        <v>#NAME?</v>
      </c>
    </row>
    <row r="733" spans="1:2" x14ac:dyDescent="0.25">
      <c r="A733">
        <v>3025600100</v>
      </c>
      <c r="B733" t="s">
        <v>268</v>
      </c>
    </row>
    <row r="734" spans="1:2" x14ac:dyDescent="0.25">
      <c r="A734">
        <v>3025600900</v>
      </c>
      <c r="B734" t="s">
        <v>10</v>
      </c>
    </row>
    <row r="735" spans="1:2" x14ac:dyDescent="0.25">
      <c r="A735">
        <v>3025900</v>
      </c>
      <c r="B735" t="e">
        <f>- - Los demas</f>
        <v>#NAME?</v>
      </c>
    </row>
    <row r="736" spans="1:2" x14ac:dyDescent="0.25">
      <c r="A736">
        <v>3025900100</v>
      </c>
      <c r="B736" t="s">
        <v>269</v>
      </c>
    </row>
    <row r="737" spans="1:2" x14ac:dyDescent="0.25">
      <c r="A737">
        <v>3025900200</v>
      </c>
      <c r="B737" t="s">
        <v>270</v>
      </c>
    </row>
    <row r="738" spans="1:2" x14ac:dyDescent="0.25">
      <c r="A738">
        <v>3025900900</v>
      </c>
      <c r="B738" t="s">
        <v>10</v>
      </c>
    </row>
    <row r="739" spans="1:2" x14ac:dyDescent="0.25">
      <c r="A739">
        <v>3027</v>
      </c>
      <c r="B739" t="s">
        <v>271</v>
      </c>
    </row>
    <row r="740" spans="1:2" x14ac:dyDescent="0.25">
      <c r="A740">
        <v>3027100000</v>
      </c>
      <c r="B740" t="e">
        <f>--Tilapias (Oreochromis spp.)</f>
        <v>#NAME?</v>
      </c>
    </row>
    <row r="741" spans="1:2" x14ac:dyDescent="0.25">
      <c r="A741">
        <v>30272</v>
      </c>
      <c r="B741" t="e">
        <f>- - Bagres o Peces gato (Pangasius spp.. Silurus spp.. Clarias spp.. Ictalurus spp.)</f>
        <v>#NAME?</v>
      </c>
    </row>
    <row r="742" spans="1:2" x14ac:dyDescent="0.25">
      <c r="A742">
        <v>3027210000</v>
      </c>
      <c r="B742" t="s">
        <v>272</v>
      </c>
    </row>
    <row r="743" spans="1:2" x14ac:dyDescent="0.25">
      <c r="A743">
        <v>3027290000</v>
      </c>
      <c r="B743" t="s">
        <v>10</v>
      </c>
    </row>
    <row r="744" spans="1:2" x14ac:dyDescent="0.25">
      <c r="A744">
        <v>3027300000</v>
      </c>
      <c r="B744" t="e">
        <f>--Carpas (Cyprinus spp.. Carassius spp.. Ctenopharyngodon idellus. Hypophthalmichthys spp.. Cirrhinus spp.. Mylopharyngodon piceus. Catla catla. Labeo spp.. Osteochilus hasselti. Leptobarbus hoeveni. Megalobrama spp.)</f>
        <v>#NAME?</v>
      </c>
    </row>
    <row r="745" spans="1:2" x14ac:dyDescent="0.25">
      <c r="A745">
        <v>3027400000</v>
      </c>
      <c r="B745" t="e">
        <f>--Anguilas (Anguilla spp.)</f>
        <v>#NAME?</v>
      </c>
    </row>
    <row r="746" spans="1:2" x14ac:dyDescent="0.25">
      <c r="A746">
        <v>3027900000</v>
      </c>
      <c r="B746" t="e">
        <f>--Los demas</f>
        <v>#NAME?</v>
      </c>
    </row>
    <row r="747" spans="1:2" x14ac:dyDescent="0.25">
      <c r="A747">
        <v>3028</v>
      </c>
      <c r="B747" t="s">
        <v>273</v>
      </c>
    </row>
    <row r="748" spans="1:2" x14ac:dyDescent="0.25">
      <c r="A748">
        <v>3028100</v>
      </c>
      <c r="B748" t="e">
        <f>- - Cazones y demas escualos</f>
        <v>#NAME?</v>
      </c>
    </row>
    <row r="749" spans="1:2" x14ac:dyDescent="0.25">
      <c r="A749">
        <v>30281001</v>
      </c>
      <c r="B749" t="s">
        <v>274</v>
      </c>
    </row>
    <row r="750" spans="1:2" x14ac:dyDescent="0.25">
      <c r="A750">
        <v>3028100110</v>
      </c>
      <c r="B750" t="s">
        <v>275</v>
      </c>
    </row>
    <row r="751" spans="1:2" x14ac:dyDescent="0.25">
      <c r="A751">
        <v>3028100120</v>
      </c>
      <c r="B751" t="s">
        <v>276</v>
      </c>
    </row>
    <row r="752" spans="1:2" x14ac:dyDescent="0.25">
      <c r="A752">
        <v>3028100130</v>
      </c>
      <c r="B752" t="s">
        <v>277</v>
      </c>
    </row>
    <row r="753" spans="1:2" x14ac:dyDescent="0.25">
      <c r="A753">
        <v>3028100140</v>
      </c>
      <c r="B753" t="s">
        <v>278</v>
      </c>
    </row>
    <row r="754" spans="1:2" x14ac:dyDescent="0.25">
      <c r="A754">
        <v>3028100190</v>
      </c>
      <c r="B754" t="s">
        <v>10</v>
      </c>
    </row>
    <row r="755" spans="1:2" x14ac:dyDescent="0.25">
      <c r="A755">
        <v>30281009</v>
      </c>
      <c r="B755" t="s">
        <v>10</v>
      </c>
    </row>
    <row r="756" spans="1:2" x14ac:dyDescent="0.25">
      <c r="A756">
        <v>3028100910</v>
      </c>
      <c r="B756" t="s">
        <v>275</v>
      </c>
    </row>
    <row r="757" spans="1:2" x14ac:dyDescent="0.25">
      <c r="A757">
        <v>3028100920</v>
      </c>
      <c r="B757" t="s">
        <v>276</v>
      </c>
    </row>
    <row r="758" spans="1:2" x14ac:dyDescent="0.25">
      <c r="A758">
        <v>3028100930</v>
      </c>
      <c r="B758" t="s">
        <v>277</v>
      </c>
    </row>
    <row r="759" spans="1:2" x14ac:dyDescent="0.25">
      <c r="A759">
        <v>3028100940</v>
      </c>
      <c r="B759" t="s">
        <v>278</v>
      </c>
    </row>
    <row r="760" spans="1:2" x14ac:dyDescent="0.25">
      <c r="A760">
        <v>3028100990</v>
      </c>
      <c r="B760" t="s">
        <v>10</v>
      </c>
    </row>
    <row r="761" spans="1:2" x14ac:dyDescent="0.25">
      <c r="A761">
        <v>3028200000</v>
      </c>
      <c r="B761" t="e">
        <f>--Rayas (Rajidae)</f>
        <v>#NAME?</v>
      </c>
    </row>
    <row r="762" spans="1:2" x14ac:dyDescent="0.25">
      <c r="A762">
        <v>30283</v>
      </c>
      <c r="B762" t="e">
        <f>- - Austromerluzas antarticas y Austromerluzas negras (Merluzas negras. Bacalaos de profundidad. nototenias negras)* (Dissostichus spp.)</f>
        <v>#NAME?</v>
      </c>
    </row>
    <row r="763" spans="1:2" x14ac:dyDescent="0.25">
      <c r="A763">
        <v>3028310000</v>
      </c>
      <c r="B763" t="s">
        <v>279</v>
      </c>
    </row>
    <row r="764" spans="1:2" x14ac:dyDescent="0.25">
      <c r="A764">
        <v>3028320000</v>
      </c>
      <c r="B764" t="s">
        <v>280</v>
      </c>
    </row>
    <row r="765" spans="1:2" x14ac:dyDescent="0.25">
      <c r="A765">
        <v>3028400000</v>
      </c>
      <c r="B765" t="e">
        <f>--Robalos (Dicentrarchus spp.)</f>
        <v>#NAME?</v>
      </c>
    </row>
    <row r="766" spans="1:2" x14ac:dyDescent="0.25">
      <c r="A766">
        <v>3028500</v>
      </c>
      <c r="B766" t="e">
        <f>- - Sargos (Doradas. Esparidos)* (Sparidae)</f>
        <v>#NAME?</v>
      </c>
    </row>
    <row r="767" spans="1:2" x14ac:dyDescent="0.25">
      <c r="A767">
        <v>3028500100</v>
      </c>
      <c r="B767" t="s">
        <v>281</v>
      </c>
    </row>
    <row r="768" spans="1:2" x14ac:dyDescent="0.25">
      <c r="A768">
        <v>3028500200</v>
      </c>
      <c r="B768" t="s">
        <v>282</v>
      </c>
    </row>
    <row r="769" spans="1:2" x14ac:dyDescent="0.25">
      <c r="A769">
        <v>3028500900</v>
      </c>
      <c r="B769" t="s">
        <v>10</v>
      </c>
    </row>
    <row r="770" spans="1:2" x14ac:dyDescent="0.25">
      <c r="A770">
        <v>30289</v>
      </c>
      <c r="B770" t="e">
        <f>- - Los demas</f>
        <v>#NAME?</v>
      </c>
    </row>
    <row r="771" spans="1:2" x14ac:dyDescent="0.25">
      <c r="A771">
        <v>3028910000</v>
      </c>
      <c r="B771" t="s">
        <v>283</v>
      </c>
    </row>
    <row r="772" spans="1:2" x14ac:dyDescent="0.25">
      <c r="A772">
        <v>302892</v>
      </c>
      <c r="B772" t="s">
        <v>284</v>
      </c>
    </row>
    <row r="773" spans="1:2" x14ac:dyDescent="0.25">
      <c r="A773">
        <v>3028921000</v>
      </c>
      <c r="B773" t="s">
        <v>285</v>
      </c>
    </row>
    <row r="774" spans="1:2" x14ac:dyDescent="0.25">
      <c r="A774">
        <v>3028922000</v>
      </c>
      <c r="B774" t="s">
        <v>286</v>
      </c>
    </row>
    <row r="775" spans="1:2" x14ac:dyDescent="0.25">
      <c r="A775">
        <v>3028923000</v>
      </c>
      <c r="B775" t="s">
        <v>287</v>
      </c>
    </row>
    <row r="776" spans="1:2" x14ac:dyDescent="0.25">
      <c r="A776">
        <v>3028924000</v>
      </c>
      <c r="B776" t="s">
        <v>288</v>
      </c>
    </row>
    <row r="777" spans="1:2" x14ac:dyDescent="0.25">
      <c r="A777">
        <v>302893</v>
      </c>
      <c r="B777" t="s">
        <v>289</v>
      </c>
    </row>
    <row r="778" spans="1:2" x14ac:dyDescent="0.25">
      <c r="A778">
        <v>3028931</v>
      </c>
      <c r="B778" t="s">
        <v>290</v>
      </c>
    </row>
    <row r="779" spans="1:2" x14ac:dyDescent="0.25">
      <c r="A779">
        <v>3028931100</v>
      </c>
      <c r="B779" t="s">
        <v>291</v>
      </c>
    </row>
    <row r="780" spans="1:2" x14ac:dyDescent="0.25">
      <c r="A780">
        <v>3028931900</v>
      </c>
      <c r="B780" t="s">
        <v>10</v>
      </c>
    </row>
    <row r="781" spans="1:2" x14ac:dyDescent="0.25">
      <c r="A781">
        <v>3028932000</v>
      </c>
      <c r="B781" t="s">
        <v>292</v>
      </c>
    </row>
    <row r="782" spans="1:2" x14ac:dyDescent="0.25">
      <c r="A782">
        <v>3028933</v>
      </c>
      <c r="B782" t="s">
        <v>293</v>
      </c>
    </row>
    <row r="783" spans="1:2" x14ac:dyDescent="0.25">
      <c r="A783">
        <v>3028933100</v>
      </c>
      <c r="B783" t="s">
        <v>294</v>
      </c>
    </row>
    <row r="784" spans="1:2" x14ac:dyDescent="0.25">
      <c r="A784">
        <v>3028933900</v>
      </c>
      <c r="B784" t="s">
        <v>10</v>
      </c>
    </row>
    <row r="785" spans="1:2" x14ac:dyDescent="0.25">
      <c r="A785">
        <v>3028934000</v>
      </c>
      <c r="B785" t="s">
        <v>295</v>
      </c>
    </row>
    <row r="786" spans="1:2" x14ac:dyDescent="0.25">
      <c r="A786">
        <v>3028935000</v>
      </c>
      <c r="B786" t="s">
        <v>296</v>
      </c>
    </row>
    <row r="787" spans="1:2" x14ac:dyDescent="0.25">
      <c r="A787">
        <v>3028936000</v>
      </c>
      <c r="B787" t="s">
        <v>297</v>
      </c>
    </row>
    <row r="788" spans="1:2" x14ac:dyDescent="0.25">
      <c r="A788">
        <v>3028937000</v>
      </c>
      <c r="B788" t="s">
        <v>298</v>
      </c>
    </row>
    <row r="789" spans="1:2" x14ac:dyDescent="0.25">
      <c r="A789">
        <v>3028938000</v>
      </c>
      <c r="B789" t="s">
        <v>299</v>
      </c>
    </row>
    <row r="790" spans="1:2" x14ac:dyDescent="0.25">
      <c r="A790">
        <v>302894</v>
      </c>
      <c r="B790" t="s">
        <v>300</v>
      </c>
    </row>
    <row r="791" spans="1:2" x14ac:dyDescent="0.25">
      <c r="A791">
        <v>3028941000</v>
      </c>
      <c r="B791" t="s">
        <v>301</v>
      </c>
    </row>
    <row r="792" spans="1:2" x14ac:dyDescent="0.25">
      <c r="A792">
        <v>3028942000</v>
      </c>
      <c r="B792" t="s">
        <v>302</v>
      </c>
    </row>
    <row r="793" spans="1:2" x14ac:dyDescent="0.25">
      <c r="A793">
        <v>3028943000</v>
      </c>
      <c r="B793" t="s">
        <v>303</v>
      </c>
    </row>
    <row r="794" spans="1:2" x14ac:dyDescent="0.25">
      <c r="A794">
        <v>3028944000</v>
      </c>
      <c r="B794" t="s">
        <v>304</v>
      </c>
    </row>
    <row r="795" spans="1:2" x14ac:dyDescent="0.25">
      <c r="A795">
        <v>3028945000</v>
      </c>
      <c r="B795" t="s">
        <v>305</v>
      </c>
    </row>
    <row r="796" spans="1:2" x14ac:dyDescent="0.25">
      <c r="A796">
        <v>3028990</v>
      </c>
      <c r="B796" t="s">
        <v>10</v>
      </c>
    </row>
    <row r="797" spans="1:2" x14ac:dyDescent="0.25">
      <c r="A797">
        <v>30289901</v>
      </c>
      <c r="B797" t="s">
        <v>306</v>
      </c>
    </row>
    <row r="798" spans="1:2" x14ac:dyDescent="0.25">
      <c r="A798">
        <v>3028990110</v>
      </c>
      <c r="B798" t="s">
        <v>307</v>
      </c>
    </row>
    <row r="799" spans="1:2" x14ac:dyDescent="0.25">
      <c r="A799">
        <v>3028990120</v>
      </c>
      <c r="B799" t="s">
        <v>308</v>
      </c>
    </row>
    <row r="800" spans="1:2" x14ac:dyDescent="0.25">
      <c r="A800">
        <v>3028990130</v>
      </c>
      <c r="B800" t="s">
        <v>309</v>
      </c>
    </row>
    <row r="801" spans="1:2" x14ac:dyDescent="0.25">
      <c r="A801">
        <v>3028990140</v>
      </c>
      <c r="B801" t="s">
        <v>310</v>
      </c>
    </row>
    <row r="802" spans="1:2" x14ac:dyDescent="0.25">
      <c r="A802">
        <v>3028990150</v>
      </c>
      <c r="B802" t="s">
        <v>311</v>
      </c>
    </row>
    <row r="803" spans="1:2" x14ac:dyDescent="0.25">
      <c r="A803">
        <v>3028990160</v>
      </c>
      <c r="B803" t="s">
        <v>312</v>
      </c>
    </row>
    <row r="804" spans="1:2" x14ac:dyDescent="0.25">
      <c r="A804">
        <v>3028990200</v>
      </c>
      <c r="B804" t="s">
        <v>313</v>
      </c>
    </row>
    <row r="805" spans="1:2" x14ac:dyDescent="0.25">
      <c r="A805">
        <v>3028990300</v>
      </c>
      <c r="B805" t="s">
        <v>314</v>
      </c>
    </row>
    <row r="806" spans="1:2" x14ac:dyDescent="0.25">
      <c r="A806">
        <v>3028990400</v>
      </c>
      <c r="B806" t="s">
        <v>315</v>
      </c>
    </row>
    <row r="807" spans="1:2" x14ac:dyDescent="0.25">
      <c r="A807">
        <v>3028990900</v>
      </c>
      <c r="B807" t="s">
        <v>10</v>
      </c>
    </row>
    <row r="808" spans="1:2" x14ac:dyDescent="0.25">
      <c r="A808">
        <v>3029</v>
      </c>
      <c r="B808" t="s">
        <v>316</v>
      </c>
    </row>
    <row r="809" spans="1:2" x14ac:dyDescent="0.25">
      <c r="A809">
        <v>3029100</v>
      </c>
      <c r="B809" t="e">
        <f>- - Higados. huevas y lechas</f>
        <v>#NAME?</v>
      </c>
    </row>
    <row r="810" spans="1:2" x14ac:dyDescent="0.25">
      <c r="A810">
        <v>3029100100</v>
      </c>
      <c r="B810" t="s">
        <v>317</v>
      </c>
    </row>
    <row r="811" spans="1:2" x14ac:dyDescent="0.25">
      <c r="A811">
        <v>3029100900</v>
      </c>
      <c r="B811" t="s">
        <v>10</v>
      </c>
    </row>
    <row r="812" spans="1:2" x14ac:dyDescent="0.25">
      <c r="A812">
        <v>3029200000</v>
      </c>
      <c r="B812" t="e">
        <f>--Aletas de tiburon</f>
        <v>#NAME?</v>
      </c>
    </row>
    <row r="813" spans="1:2" x14ac:dyDescent="0.25">
      <c r="A813">
        <v>3029900000</v>
      </c>
      <c r="B813" t="e">
        <f>--Los demas</f>
        <v>#NAME?</v>
      </c>
    </row>
    <row r="814" spans="1:2" x14ac:dyDescent="0.25">
      <c r="A814">
        <v>303</v>
      </c>
      <c r="B814" t="s">
        <v>318</v>
      </c>
    </row>
    <row r="815" spans="1:2" x14ac:dyDescent="0.25">
      <c r="A815">
        <v>3031</v>
      </c>
      <c r="B815" t="s">
        <v>319</v>
      </c>
    </row>
    <row r="816" spans="1:2" x14ac:dyDescent="0.25">
      <c r="A816">
        <v>3031100000</v>
      </c>
      <c r="B816" t="e">
        <f>--Salmones rojos (Oncorhynchus nerka)</f>
        <v>#NAME?</v>
      </c>
    </row>
    <row r="817" spans="1:2" x14ac:dyDescent="0.25">
      <c r="A817">
        <v>3031200000</v>
      </c>
      <c r="B817" t="e">
        <f>--Los demas Salmones del Pacifico (Oncorhynchus gorbuscha. Oncorhynchus keta. Oncorhynchus tschawytscha. Oncorhynchus kisutch. Oncorchynchus masou y Oncorhynchus rhodurus)</f>
        <v>#NAME?</v>
      </c>
    </row>
    <row r="818" spans="1:2" x14ac:dyDescent="0.25">
      <c r="A818">
        <v>3031300</v>
      </c>
      <c r="B818" t="e">
        <f>- - Salmones del Atlantico (Salmo salar) y Salmones del Danubio (Hucho Hucho)</f>
        <v>#NAME?</v>
      </c>
    </row>
    <row r="819" spans="1:2" x14ac:dyDescent="0.25">
      <c r="A819">
        <v>30313001</v>
      </c>
      <c r="B819" t="s">
        <v>320</v>
      </c>
    </row>
    <row r="820" spans="1:2" x14ac:dyDescent="0.25">
      <c r="A820">
        <v>3031300110</v>
      </c>
      <c r="B820" t="s">
        <v>256</v>
      </c>
    </row>
    <row r="821" spans="1:2" x14ac:dyDescent="0.25">
      <c r="A821">
        <v>3031300190</v>
      </c>
      <c r="B821" t="s">
        <v>10</v>
      </c>
    </row>
    <row r="822" spans="1:2" x14ac:dyDescent="0.25">
      <c r="A822">
        <v>30313009</v>
      </c>
      <c r="B822" t="s">
        <v>10</v>
      </c>
    </row>
    <row r="823" spans="1:2" x14ac:dyDescent="0.25">
      <c r="A823">
        <v>3031300910</v>
      </c>
      <c r="B823" t="s">
        <v>256</v>
      </c>
    </row>
    <row r="824" spans="1:2" x14ac:dyDescent="0.25">
      <c r="A824">
        <v>3031300990</v>
      </c>
      <c r="B824" t="s">
        <v>10</v>
      </c>
    </row>
    <row r="825" spans="1:2" x14ac:dyDescent="0.25">
      <c r="A825">
        <v>3031400</v>
      </c>
      <c r="B825" t="e">
        <f>- - Truchas (Salmo trutta. Oncorhynchus mykiss. Oncorhynchus clarki. Oncorhynchus aguabonita. Oncorhynchus gilae. Oncorhynchus apache y Oncorhynchus chrysogaster)</f>
        <v>#NAME?</v>
      </c>
    </row>
    <row r="826" spans="1:2" x14ac:dyDescent="0.25">
      <c r="A826">
        <v>3031400100</v>
      </c>
      <c r="B826" t="s">
        <v>321</v>
      </c>
    </row>
    <row r="827" spans="1:2" x14ac:dyDescent="0.25">
      <c r="A827">
        <v>3031400900</v>
      </c>
      <c r="B827" t="s">
        <v>10</v>
      </c>
    </row>
    <row r="828" spans="1:2" x14ac:dyDescent="0.25">
      <c r="A828">
        <v>3031900</v>
      </c>
      <c r="B828" t="e">
        <f>- - Los demas</f>
        <v>#NAME?</v>
      </c>
    </row>
    <row r="829" spans="1:2" x14ac:dyDescent="0.25">
      <c r="A829">
        <v>3031900100</v>
      </c>
      <c r="B829" t="s">
        <v>320</v>
      </c>
    </row>
    <row r="830" spans="1:2" x14ac:dyDescent="0.25">
      <c r="A830">
        <v>3031900900</v>
      </c>
      <c r="B830" t="s">
        <v>10</v>
      </c>
    </row>
    <row r="831" spans="1:2" x14ac:dyDescent="0.25">
      <c r="A831">
        <v>3032</v>
      </c>
      <c r="B831" t="s">
        <v>322</v>
      </c>
    </row>
    <row r="832" spans="1:2" x14ac:dyDescent="0.25">
      <c r="A832">
        <v>3032300</v>
      </c>
      <c r="B832" t="e">
        <f>- - Tilapias (Oreochromis spp.)</f>
        <v>#NAME?</v>
      </c>
    </row>
    <row r="833" spans="1:2" x14ac:dyDescent="0.25">
      <c r="A833">
        <v>3032300100</v>
      </c>
      <c r="B833" t="s">
        <v>323</v>
      </c>
    </row>
    <row r="834" spans="1:2" x14ac:dyDescent="0.25">
      <c r="A834">
        <v>3032300900</v>
      </c>
      <c r="B834" t="s">
        <v>10</v>
      </c>
    </row>
    <row r="835" spans="1:2" x14ac:dyDescent="0.25">
      <c r="A835">
        <v>30324</v>
      </c>
      <c r="B835" t="e">
        <f>- - Bagres o Peces gato (Pangasius spp.. Silurus spp.. Clarias spp.. Ictalurus spp.)</f>
        <v>#NAME?</v>
      </c>
    </row>
    <row r="836" spans="1:2" x14ac:dyDescent="0.25">
      <c r="A836">
        <v>3032410</v>
      </c>
      <c r="B836" t="s">
        <v>272</v>
      </c>
    </row>
    <row r="837" spans="1:2" x14ac:dyDescent="0.25">
      <c r="A837">
        <v>3032410100</v>
      </c>
      <c r="B837" t="s">
        <v>320</v>
      </c>
    </row>
    <row r="838" spans="1:2" x14ac:dyDescent="0.25">
      <c r="A838">
        <v>3032410900</v>
      </c>
      <c r="B838" t="s">
        <v>10</v>
      </c>
    </row>
    <row r="839" spans="1:2" x14ac:dyDescent="0.25">
      <c r="A839">
        <v>3032490</v>
      </c>
      <c r="B839" t="s">
        <v>10</v>
      </c>
    </row>
    <row r="840" spans="1:2" x14ac:dyDescent="0.25">
      <c r="A840">
        <v>3032490100</v>
      </c>
      <c r="B840" t="s">
        <v>323</v>
      </c>
    </row>
    <row r="841" spans="1:2" x14ac:dyDescent="0.25">
      <c r="A841">
        <v>3032490900</v>
      </c>
      <c r="B841" t="s">
        <v>10</v>
      </c>
    </row>
    <row r="842" spans="1:2" x14ac:dyDescent="0.25">
      <c r="A842">
        <v>3032500</v>
      </c>
      <c r="B842" t="e">
        <f>- - Carpas (Cyprinus spp.. Carassius spp.. Ctenopharyngodon idellus. Hypophthalmichthys spp.. Cirrhinus spp.. Mylopharyngodon piceus. Catla catla. Labeo spp.. Osteochilus hasselti. Leptobarbus hoeveni. Megalobrama spp.)</f>
        <v>#NAME?</v>
      </c>
    </row>
    <row r="843" spans="1:2" x14ac:dyDescent="0.25">
      <c r="A843">
        <v>3032500100</v>
      </c>
      <c r="B843" t="s">
        <v>323</v>
      </c>
    </row>
    <row r="844" spans="1:2" x14ac:dyDescent="0.25">
      <c r="A844">
        <v>3032500900</v>
      </c>
      <c r="B844" t="s">
        <v>10</v>
      </c>
    </row>
    <row r="845" spans="1:2" x14ac:dyDescent="0.25">
      <c r="A845">
        <v>3032600000</v>
      </c>
      <c r="B845" t="e">
        <f>--Anguilas (Anguilla spp.)</f>
        <v>#NAME?</v>
      </c>
    </row>
    <row r="846" spans="1:2" x14ac:dyDescent="0.25">
      <c r="A846">
        <v>3032900</v>
      </c>
      <c r="B846" t="e">
        <f>- - Los demas</f>
        <v>#NAME?</v>
      </c>
    </row>
    <row r="847" spans="1:2" x14ac:dyDescent="0.25">
      <c r="A847">
        <v>3032900100</v>
      </c>
      <c r="B847" t="s">
        <v>274</v>
      </c>
    </row>
    <row r="848" spans="1:2" x14ac:dyDescent="0.25">
      <c r="A848">
        <v>3032900900</v>
      </c>
      <c r="B848" t="s">
        <v>10</v>
      </c>
    </row>
    <row r="849" spans="1:2" x14ac:dyDescent="0.25">
      <c r="A849">
        <v>3033</v>
      </c>
      <c r="B849" t="s">
        <v>324</v>
      </c>
    </row>
    <row r="850" spans="1:2" x14ac:dyDescent="0.25">
      <c r="A850">
        <v>3033100000</v>
      </c>
      <c r="B850" t="e">
        <f>--Fletanes (halibut) (Reinhardtius hippoglossoides. Hippoglossus hippoglossus. Hippoglossus stenolepis)</f>
        <v>#NAME?</v>
      </c>
    </row>
    <row r="851" spans="1:2" x14ac:dyDescent="0.25">
      <c r="A851">
        <v>3033200000</v>
      </c>
      <c r="B851" t="e">
        <f>--Sollas (Pleuronectes platessa)</f>
        <v>#NAME?</v>
      </c>
    </row>
    <row r="852" spans="1:2" x14ac:dyDescent="0.25">
      <c r="A852">
        <v>3033300000</v>
      </c>
      <c r="B852" t="e">
        <f>--Lenguados (Solea spp.)</f>
        <v>#NAME?</v>
      </c>
    </row>
    <row r="853" spans="1:2" x14ac:dyDescent="0.25">
      <c r="A853">
        <v>3033400</v>
      </c>
      <c r="B853" t="e">
        <f>- - Rodaballos (turbots) (Psetta maxima)</f>
        <v>#NAME?</v>
      </c>
    </row>
    <row r="854" spans="1:2" x14ac:dyDescent="0.25">
      <c r="A854">
        <v>3033400100</v>
      </c>
      <c r="B854" t="s">
        <v>323</v>
      </c>
    </row>
    <row r="855" spans="1:2" x14ac:dyDescent="0.25">
      <c r="A855">
        <v>3033400900</v>
      </c>
      <c r="B855" t="s">
        <v>10</v>
      </c>
    </row>
    <row r="856" spans="1:2" x14ac:dyDescent="0.25">
      <c r="A856">
        <v>3033900000</v>
      </c>
      <c r="B856" t="e">
        <f>--Los demas</f>
        <v>#NAME?</v>
      </c>
    </row>
    <row r="857" spans="1:2" x14ac:dyDescent="0.25">
      <c r="A857">
        <v>3034</v>
      </c>
      <c r="B857" t="s">
        <v>325</v>
      </c>
    </row>
    <row r="858" spans="1:2" x14ac:dyDescent="0.25">
      <c r="A858">
        <v>3034100000</v>
      </c>
      <c r="B858" t="e">
        <f>--Albacoras o Atunes blancos (Thunnus alalunga)</f>
        <v>#NAME?</v>
      </c>
    </row>
    <row r="859" spans="1:2" x14ac:dyDescent="0.25">
      <c r="A859">
        <v>3034200000</v>
      </c>
      <c r="B859" t="e">
        <f>--Atunes de aleta amarilla (rabiles) (Thunnus albacares)</f>
        <v>#NAME?</v>
      </c>
    </row>
    <row r="860" spans="1:2" x14ac:dyDescent="0.25">
      <c r="A860">
        <v>3034300000</v>
      </c>
      <c r="B860" t="e">
        <f>--Listados o bonitos de vientre rayado</f>
        <v>#NAME?</v>
      </c>
    </row>
    <row r="861" spans="1:2" x14ac:dyDescent="0.25">
      <c r="A861">
        <v>3034400000</v>
      </c>
      <c r="B861" t="e">
        <f>--Patudos o Atunes ojo grande (Thunnus obesus)</f>
        <v>#NAME?</v>
      </c>
    </row>
    <row r="862" spans="1:2" x14ac:dyDescent="0.25">
      <c r="A862">
        <v>3034500000</v>
      </c>
      <c r="B862" t="e">
        <f>--Atunes comunes o de aleta azul. del Atlantico y del Pacifico (Thunnus thynnus.Thunnus orientalis)</f>
        <v>#NAME?</v>
      </c>
    </row>
    <row r="863" spans="1:2" x14ac:dyDescent="0.25">
      <c r="A863">
        <v>3034600000</v>
      </c>
      <c r="B863" t="e">
        <f>--Atunes del sur (Thunnus maccoyii)</f>
        <v>#NAME?</v>
      </c>
    </row>
    <row r="864" spans="1:2" x14ac:dyDescent="0.25">
      <c r="A864">
        <v>3034900000</v>
      </c>
      <c r="B864" t="e">
        <f>--Los demas</f>
        <v>#NAME?</v>
      </c>
    </row>
    <row r="865" spans="1:2" x14ac:dyDescent="0.25">
      <c r="A865">
        <v>3035</v>
      </c>
      <c r="B865" t="s">
        <v>326</v>
      </c>
    </row>
    <row r="866" spans="1:2" x14ac:dyDescent="0.25">
      <c r="A866">
        <v>3035100000</v>
      </c>
      <c r="B866" t="e">
        <f>--Arenques (Clupea harengus. Clupea pallasii)</f>
        <v>#NAME?</v>
      </c>
    </row>
    <row r="867" spans="1:2" x14ac:dyDescent="0.25">
      <c r="A867">
        <v>3035300000</v>
      </c>
      <c r="B867" t="s">
        <v>262</v>
      </c>
    </row>
    <row r="868" spans="1:2" x14ac:dyDescent="0.25">
      <c r="A868">
        <v>3035400</v>
      </c>
      <c r="B868" t="e">
        <f>- - Caballas (Scomber scombrus. Scomber australasicus. Scomber japonicus)</f>
        <v>#NAME?</v>
      </c>
    </row>
    <row r="869" spans="1:2" x14ac:dyDescent="0.25">
      <c r="A869">
        <v>3035400100</v>
      </c>
      <c r="B869" t="s">
        <v>320</v>
      </c>
    </row>
    <row r="870" spans="1:2" x14ac:dyDescent="0.25">
      <c r="A870">
        <v>3035400900</v>
      </c>
      <c r="B870" t="s">
        <v>57</v>
      </c>
    </row>
    <row r="871" spans="1:2" x14ac:dyDescent="0.25">
      <c r="A871">
        <v>3035500</v>
      </c>
      <c r="B871" t="e">
        <f>- - Jureles (Trachurus spp.)</f>
        <v>#NAME?</v>
      </c>
    </row>
    <row r="872" spans="1:2" x14ac:dyDescent="0.25">
      <c r="A872">
        <v>3035500100</v>
      </c>
      <c r="B872" t="s">
        <v>323</v>
      </c>
    </row>
    <row r="873" spans="1:2" x14ac:dyDescent="0.25">
      <c r="A873">
        <v>3035500900</v>
      </c>
      <c r="B873" t="s">
        <v>10</v>
      </c>
    </row>
    <row r="874" spans="1:2" x14ac:dyDescent="0.25">
      <c r="A874">
        <v>3035600</v>
      </c>
      <c r="B874" t="e">
        <f>- - Cobias (Rachycentron canadum)</f>
        <v>#NAME?</v>
      </c>
    </row>
    <row r="875" spans="1:2" x14ac:dyDescent="0.25">
      <c r="A875">
        <v>3035600100</v>
      </c>
      <c r="B875" t="s">
        <v>323</v>
      </c>
    </row>
    <row r="876" spans="1:2" x14ac:dyDescent="0.25">
      <c r="A876">
        <v>3035600900</v>
      </c>
      <c r="B876" t="s">
        <v>10</v>
      </c>
    </row>
    <row r="877" spans="1:2" x14ac:dyDescent="0.25">
      <c r="A877">
        <v>3035700</v>
      </c>
      <c r="B877" t="e">
        <f>- - Peces Espada (Xiphias gladius)</f>
        <v>#NAME?</v>
      </c>
    </row>
    <row r="878" spans="1:2" x14ac:dyDescent="0.25">
      <c r="A878">
        <v>3035700100</v>
      </c>
      <c r="B878" t="s">
        <v>327</v>
      </c>
    </row>
    <row r="879" spans="1:2" x14ac:dyDescent="0.25">
      <c r="A879">
        <v>3035700900</v>
      </c>
      <c r="B879" t="s">
        <v>10</v>
      </c>
    </row>
    <row r="880" spans="1:2" x14ac:dyDescent="0.25">
      <c r="A880">
        <v>30359</v>
      </c>
      <c r="B880" t="e">
        <f>- - Los demas</f>
        <v>#NAME?</v>
      </c>
    </row>
    <row r="881" spans="1:2" x14ac:dyDescent="0.25">
      <c r="A881">
        <v>3035910</v>
      </c>
      <c r="B881" t="s">
        <v>263</v>
      </c>
    </row>
    <row r="882" spans="1:2" x14ac:dyDescent="0.25">
      <c r="A882">
        <v>3035910100</v>
      </c>
      <c r="B882" t="s">
        <v>274</v>
      </c>
    </row>
    <row r="883" spans="1:2" x14ac:dyDescent="0.25">
      <c r="A883">
        <v>3035910900</v>
      </c>
      <c r="B883" t="s">
        <v>10</v>
      </c>
    </row>
    <row r="884" spans="1:2" x14ac:dyDescent="0.25">
      <c r="A884">
        <v>3035920</v>
      </c>
      <c r="B884" t="s">
        <v>261</v>
      </c>
    </row>
    <row r="885" spans="1:2" x14ac:dyDescent="0.25">
      <c r="A885">
        <v>3035920100</v>
      </c>
      <c r="B885" t="s">
        <v>274</v>
      </c>
    </row>
    <row r="886" spans="1:2" x14ac:dyDescent="0.25">
      <c r="A886">
        <v>3035920900</v>
      </c>
      <c r="B886" t="s">
        <v>10</v>
      </c>
    </row>
    <row r="887" spans="1:2" x14ac:dyDescent="0.25">
      <c r="A887">
        <v>3035990</v>
      </c>
      <c r="B887" t="s">
        <v>10</v>
      </c>
    </row>
    <row r="888" spans="1:2" x14ac:dyDescent="0.25">
      <c r="A888">
        <v>3035990100</v>
      </c>
      <c r="B888" t="s">
        <v>274</v>
      </c>
    </row>
    <row r="889" spans="1:2" x14ac:dyDescent="0.25">
      <c r="A889">
        <v>3035990900</v>
      </c>
      <c r="B889" t="s">
        <v>10</v>
      </c>
    </row>
    <row r="890" spans="1:2" x14ac:dyDescent="0.25">
      <c r="A890">
        <v>3036</v>
      </c>
      <c r="B890" t="s">
        <v>328</v>
      </c>
    </row>
    <row r="891" spans="1:2" x14ac:dyDescent="0.25">
      <c r="A891">
        <v>3036300000</v>
      </c>
      <c r="B891" t="e">
        <f>--Bacalaos (Gadus morhua. Gadus ogac. Gadus macrocephalus)</f>
        <v>#NAME?</v>
      </c>
    </row>
    <row r="892" spans="1:2" x14ac:dyDescent="0.25">
      <c r="A892">
        <v>3036400000</v>
      </c>
      <c r="B892" t="e">
        <f>--Eglefinos (Melanogrammus aeglefinus)</f>
        <v>#NAME?</v>
      </c>
    </row>
    <row r="893" spans="1:2" x14ac:dyDescent="0.25">
      <c r="A893">
        <v>3036500000</v>
      </c>
      <c r="B893" t="e">
        <f>--Carboneros (Pollachius virens)</f>
        <v>#NAME?</v>
      </c>
    </row>
    <row r="894" spans="1:2" x14ac:dyDescent="0.25">
      <c r="A894">
        <v>3036600</v>
      </c>
      <c r="B894" t="e">
        <f>- - Merluzas (Merluccius spp.. Urophycis spp.)</f>
        <v>#NAME?</v>
      </c>
    </row>
    <row r="895" spans="1:2" x14ac:dyDescent="0.25">
      <c r="A895">
        <v>30366001</v>
      </c>
      <c r="B895" t="s">
        <v>265</v>
      </c>
    </row>
    <row r="896" spans="1:2" x14ac:dyDescent="0.25">
      <c r="A896">
        <v>303660011</v>
      </c>
      <c r="B896" t="s">
        <v>329</v>
      </c>
    </row>
    <row r="897" spans="1:2" x14ac:dyDescent="0.25">
      <c r="A897">
        <v>3036600111</v>
      </c>
      <c r="B897" t="s">
        <v>330</v>
      </c>
    </row>
    <row r="898" spans="1:2" x14ac:dyDescent="0.25">
      <c r="A898">
        <v>3036600119</v>
      </c>
      <c r="B898" t="s">
        <v>10</v>
      </c>
    </row>
    <row r="899" spans="1:2" x14ac:dyDescent="0.25">
      <c r="A899">
        <v>303660012</v>
      </c>
      <c r="B899" t="s">
        <v>331</v>
      </c>
    </row>
    <row r="900" spans="1:2" x14ac:dyDescent="0.25">
      <c r="A900">
        <v>3036600121</v>
      </c>
      <c r="B900" t="s">
        <v>330</v>
      </c>
    </row>
    <row r="901" spans="1:2" x14ac:dyDescent="0.25">
      <c r="A901">
        <v>3036600129</v>
      </c>
      <c r="B901" t="s">
        <v>10</v>
      </c>
    </row>
    <row r="902" spans="1:2" x14ac:dyDescent="0.25">
      <c r="A902">
        <v>303660019</v>
      </c>
      <c r="B902" t="s">
        <v>57</v>
      </c>
    </row>
    <row r="903" spans="1:2" x14ac:dyDescent="0.25">
      <c r="A903">
        <v>3036600191</v>
      </c>
      <c r="B903" t="s">
        <v>332</v>
      </c>
    </row>
    <row r="904" spans="1:2" x14ac:dyDescent="0.25">
      <c r="A904">
        <v>3036600192</v>
      </c>
      <c r="B904" t="s">
        <v>333</v>
      </c>
    </row>
    <row r="905" spans="1:2" x14ac:dyDescent="0.25">
      <c r="A905">
        <v>3036600199</v>
      </c>
      <c r="B905" t="s">
        <v>10</v>
      </c>
    </row>
    <row r="906" spans="1:2" x14ac:dyDescent="0.25">
      <c r="A906">
        <v>30366002</v>
      </c>
      <c r="B906" t="s">
        <v>266</v>
      </c>
    </row>
    <row r="907" spans="1:2" x14ac:dyDescent="0.25">
      <c r="A907">
        <v>3036600210</v>
      </c>
      <c r="B907" t="s">
        <v>327</v>
      </c>
    </row>
    <row r="908" spans="1:2" x14ac:dyDescent="0.25">
      <c r="A908">
        <v>3036600290</v>
      </c>
      <c r="B908" t="s">
        <v>57</v>
      </c>
    </row>
    <row r="909" spans="1:2" x14ac:dyDescent="0.25">
      <c r="A909">
        <v>30366009</v>
      </c>
      <c r="B909" t="s">
        <v>57</v>
      </c>
    </row>
    <row r="910" spans="1:2" x14ac:dyDescent="0.25">
      <c r="A910">
        <v>3036600910</v>
      </c>
      <c r="B910" t="s">
        <v>327</v>
      </c>
    </row>
    <row r="911" spans="1:2" x14ac:dyDescent="0.25">
      <c r="A911">
        <v>3036600990</v>
      </c>
      <c r="B911" t="s">
        <v>57</v>
      </c>
    </row>
    <row r="912" spans="1:2" x14ac:dyDescent="0.25">
      <c r="A912">
        <v>3036700</v>
      </c>
      <c r="B912" t="e">
        <f>- - Abadejos de Alaska (Theragra chalcogramma)</f>
        <v>#NAME?</v>
      </c>
    </row>
    <row r="913" spans="1:2" x14ac:dyDescent="0.25">
      <c r="A913">
        <v>3036700100</v>
      </c>
      <c r="B913" t="s">
        <v>323</v>
      </c>
    </row>
    <row r="914" spans="1:2" x14ac:dyDescent="0.25">
      <c r="A914">
        <v>3036700900</v>
      </c>
      <c r="B914" t="s">
        <v>10</v>
      </c>
    </row>
    <row r="915" spans="1:2" x14ac:dyDescent="0.25">
      <c r="A915">
        <v>3036800</v>
      </c>
      <c r="B915" t="e">
        <f>- - Bacaladillas (Micromesistius poutassou. Micromesistius australis)</f>
        <v>#NAME?</v>
      </c>
    </row>
    <row r="916" spans="1:2" x14ac:dyDescent="0.25">
      <c r="A916">
        <v>30368001</v>
      </c>
      <c r="B916" t="s">
        <v>268</v>
      </c>
    </row>
    <row r="917" spans="1:2" x14ac:dyDescent="0.25">
      <c r="A917">
        <v>3036800110</v>
      </c>
      <c r="B917" t="s">
        <v>323</v>
      </c>
    </row>
    <row r="918" spans="1:2" x14ac:dyDescent="0.25">
      <c r="A918">
        <v>3036800190</v>
      </c>
      <c r="B918" t="s">
        <v>10</v>
      </c>
    </row>
    <row r="919" spans="1:2" x14ac:dyDescent="0.25">
      <c r="A919">
        <v>3036800900</v>
      </c>
      <c r="B919" t="s">
        <v>10</v>
      </c>
    </row>
    <row r="920" spans="1:2" x14ac:dyDescent="0.25">
      <c r="A920">
        <v>30369</v>
      </c>
      <c r="B920" t="e">
        <f>- - Los demas</f>
        <v>#NAME?</v>
      </c>
    </row>
    <row r="921" spans="1:2" x14ac:dyDescent="0.25">
      <c r="A921">
        <v>3036910</v>
      </c>
      <c r="B921" t="s">
        <v>334</v>
      </c>
    </row>
    <row r="922" spans="1:2" x14ac:dyDescent="0.25">
      <c r="A922">
        <v>3036910100</v>
      </c>
      <c r="B922" t="s">
        <v>320</v>
      </c>
    </row>
    <row r="923" spans="1:2" x14ac:dyDescent="0.25">
      <c r="A923">
        <v>3036910900</v>
      </c>
      <c r="B923" t="s">
        <v>10</v>
      </c>
    </row>
    <row r="924" spans="1:2" x14ac:dyDescent="0.25">
      <c r="A924">
        <v>3036990</v>
      </c>
      <c r="B924" t="s">
        <v>10</v>
      </c>
    </row>
    <row r="925" spans="1:2" x14ac:dyDescent="0.25">
      <c r="A925">
        <v>30369901</v>
      </c>
      <c r="B925" t="s">
        <v>335</v>
      </c>
    </row>
    <row r="926" spans="1:2" x14ac:dyDescent="0.25">
      <c r="A926">
        <v>3036990110</v>
      </c>
      <c r="B926" t="s">
        <v>269</v>
      </c>
    </row>
    <row r="927" spans="1:2" x14ac:dyDescent="0.25">
      <c r="A927">
        <v>3036990120</v>
      </c>
      <c r="B927" t="s">
        <v>336</v>
      </c>
    </row>
    <row r="928" spans="1:2" x14ac:dyDescent="0.25">
      <c r="A928">
        <v>3036990130</v>
      </c>
      <c r="B928" t="s">
        <v>337</v>
      </c>
    </row>
    <row r="929" spans="1:2" x14ac:dyDescent="0.25">
      <c r="A929">
        <v>3036990190</v>
      </c>
      <c r="B929" t="s">
        <v>10</v>
      </c>
    </row>
    <row r="930" spans="1:2" x14ac:dyDescent="0.25">
      <c r="A930">
        <v>30369909</v>
      </c>
      <c r="B930" t="s">
        <v>10</v>
      </c>
    </row>
    <row r="931" spans="1:2" x14ac:dyDescent="0.25">
      <c r="A931">
        <v>3036990910</v>
      </c>
      <c r="B931" t="s">
        <v>269</v>
      </c>
    </row>
    <row r="932" spans="1:2" x14ac:dyDescent="0.25">
      <c r="A932">
        <v>3036990920</v>
      </c>
      <c r="B932" t="s">
        <v>336</v>
      </c>
    </row>
    <row r="933" spans="1:2" x14ac:dyDescent="0.25">
      <c r="A933">
        <v>3036990930</v>
      </c>
      <c r="B933" t="s">
        <v>337</v>
      </c>
    </row>
    <row r="934" spans="1:2" x14ac:dyDescent="0.25">
      <c r="A934">
        <v>3036990990</v>
      </c>
      <c r="B934" t="s">
        <v>10</v>
      </c>
    </row>
    <row r="935" spans="1:2" x14ac:dyDescent="0.25">
      <c r="A935">
        <v>3038</v>
      </c>
      <c r="B935" t="s">
        <v>338</v>
      </c>
    </row>
    <row r="936" spans="1:2" x14ac:dyDescent="0.25">
      <c r="A936">
        <v>30381</v>
      </c>
      <c r="B936" t="e">
        <f>- - Cazones y demas escualos</f>
        <v>#NAME?</v>
      </c>
    </row>
    <row r="937" spans="1:2" x14ac:dyDescent="0.25">
      <c r="A937">
        <v>303811</v>
      </c>
      <c r="B937" t="s">
        <v>339</v>
      </c>
    </row>
    <row r="938" spans="1:2" x14ac:dyDescent="0.25">
      <c r="A938">
        <v>3038111</v>
      </c>
      <c r="B938" t="s">
        <v>340</v>
      </c>
    </row>
    <row r="939" spans="1:2" x14ac:dyDescent="0.25">
      <c r="A939">
        <v>3038111100</v>
      </c>
      <c r="B939" t="s">
        <v>341</v>
      </c>
    </row>
    <row r="940" spans="1:2" x14ac:dyDescent="0.25">
      <c r="A940">
        <v>3038111900</v>
      </c>
      <c r="B940" t="s">
        <v>10</v>
      </c>
    </row>
    <row r="941" spans="1:2" x14ac:dyDescent="0.25">
      <c r="A941">
        <v>3038112</v>
      </c>
      <c r="B941" t="s">
        <v>342</v>
      </c>
    </row>
    <row r="942" spans="1:2" x14ac:dyDescent="0.25">
      <c r="A942">
        <v>3038112100</v>
      </c>
      <c r="B942" t="s">
        <v>341</v>
      </c>
    </row>
    <row r="943" spans="1:2" x14ac:dyDescent="0.25">
      <c r="A943">
        <v>3038112900</v>
      </c>
      <c r="B943" t="s">
        <v>10</v>
      </c>
    </row>
    <row r="944" spans="1:2" x14ac:dyDescent="0.25">
      <c r="A944">
        <v>3038113</v>
      </c>
      <c r="B944" t="s">
        <v>343</v>
      </c>
    </row>
    <row r="945" spans="1:2" x14ac:dyDescent="0.25">
      <c r="A945">
        <v>3038113100</v>
      </c>
      <c r="B945" t="s">
        <v>341</v>
      </c>
    </row>
    <row r="946" spans="1:2" x14ac:dyDescent="0.25">
      <c r="A946">
        <v>3038113900</v>
      </c>
      <c r="B946" t="s">
        <v>10</v>
      </c>
    </row>
    <row r="947" spans="1:2" x14ac:dyDescent="0.25">
      <c r="A947">
        <v>3038114</v>
      </c>
      <c r="B947" t="s">
        <v>344</v>
      </c>
    </row>
    <row r="948" spans="1:2" x14ac:dyDescent="0.25">
      <c r="A948">
        <v>3038114100</v>
      </c>
      <c r="B948" t="s">
        <v>341</v>
      </c>
    </row>
    <row r="949" spans="1:2" x14ac:dyDescent="0.25">
      <c r="A949">
        <v>3038114900</v>
      </c>
      <c r="B949" t="s">
        <v>10</v>
      </c>
    </row>
    <row r="950" spans="1:2" x14ac:dyDescent="0.25">
      <c r="A950">
        <v>3038119</v>
      </c>
      <c r="B950" t="s">
        <v>10</v>
      </c>
    </row>
    <row r="951" spans="1:2" x14ac:dyDescent="0.25">
      <c r="A951">
        <v>3038119100</v>
      </c>
      <c r="B951" t="s">
        <v>341</v>
      </c>
    </row>
    <row r="952" spans="1:2" x14ac:dyDescent="0.25">
      <c r="A952">
        <v>3038119900</v>
      </c>
      <c r="B952" t="s">
        <v>10</v>
      </c>
    </row>
    <row r="953" spans="1:2" x14ac:dyDescent="0.25">
      <c r="A953">
        <v>3038190</v>
      </c>
      <c r="B953" t="s">
        <v>10</v>
      </c>
    </row>
    <row r="954" spans="1:2" x14ac:dyDescent="0.25">
      <c r="A954">
        <v>30381901</v>
      </c>
      <c r="B954" t="s">
        <v>335</v>
      </c>
    </row>
    <row r="955" spans="1:2" x14ac:dyDescent="0.25">
      <c r="A955">
        <v>3038190110</v>
      </c>
      <c r="B955" t="s">
        <v>275</v>
      </c>
    </row>
    <row r="956" spans="1:2" x14ac:dyDescent="0.25">
      <c r="A956">
        <v>3038190120</v>
      </c>
      <c r="B956" t="s">
        <v>276</v>
      </c>
    </row>
    <row r="957" spans="1:2" x14ac:dyDescent="0.25">
      <c r="A957">
        <v>3038190130</v>
      </c>
      <c r="B957" t="s">
        <v>277</v>
      </c>
    </row>
    <row r="958" spans="1:2" x14ac:dyDescent="0.25">
      <c r="A958">
        <v>3038190140</v>
      </c>
      <c r="B958" t="s">
        <v>278</v>
      </c>
    </row>
    <row r="959" spans="1:2" x14ac:dyDescent="0.25">
      <c r="A959">
        <v>3038190190</v>
      </c>
      <c r="B959" t="s">
        <v>10</v>
      </c>
    </row>
    <row r="960" spans="1:2" x14ac:dyDescent="0.25">
      <c r="A960">
        <v>30381909</v>
      </c>
      <c r="B960" t="s">
        <v>10</v>
      </c>
    </row>
    <row r="961" spans="1:2" x14ac:dyDescent="0.25">
      <c r="A961">
        <v>3038190910</v>
      </c>
      <c r="B961" t="s">
        <v>275</v>
      </c>
    </row>
    <row r="962" spans="1:2" x14ac:dyDescent="0.25">
      <c r="A962">
        <v>3038190920</v>
      </c>
      <c r="B962" t="s">
        <v>276</v>
      </c>
    </row>
    <row r="963" spans="1:2" x14ac:dyDescent="0.25">
      <c r="A963">
        <v>3038190930</v>
      </c>
      <c r="B963" t="s">
        <v>277</v>
      </c>
    </row>
    <row r="964" spans="1:2" x14ac:dyDescent="0.25">
      <c r="A964">
        <v>3038190940</v>
      </c>
      <c r="B964" t="s">
        <v>278</v>
      </c>
    </row>
    <row r="965" spans="1:2" x14ac:dyDescent="0.25">
      <c r="A965">
        <v>3038190990</v>
      </c>
      <c r="B965" t="s">
        <v>10</v>
      </c>
    </row>
    <row r="966" spans="1:2" x14ac:dyDescent="0.25">
      <c r="A966">
        <v>3038200</v>
      </c>
      <c r="B966" t="e">
        <f>- - Rayas (Rajidae)</f>
        <v>#NAME?</v>
      </c>
    </row>
    <row r="967" spans="1:2" x14ac:dyDescent="0.25">
      <c r="A967">
        <v>30382001</v>
      </c>
      <c r="B967" t="s">
        <v>323</v>
      </c>
    </row>
    <row r="968" spans="1:2" x14ac:dyDescent="0.25">
      <c r="A968">
        <v>303820011</v>
      </c>
      <c r="B968" t="s">
        <v>345</v>
      </c>
    </row>
    <row r="969" spans="1:2" x14ac:dyDescent="0.25">
      <c r="A969">
        <v>3038200111</v>
      </c>
      <c r="B969" t="s">
        <v>346</v>
      </c>
    </row>
    <row r="970" spans="1:2" x14ac:dyDescent="0.25">
      <c r="A970">
        <v>3038200119</v>
      </c>
      <c r="B970" t="s">
        <v>57</v>
      </c>
    </row>
    <row r="971" spans="1:2" x14ac:dyDescent="0.25">
      <c r="A971">
        <v>303820012</v>
      </c>
      <c r="B971" t="s">
        <v>347</v>
      </c>
    </row>
    <row r="972" spans="1:2" x14ac:dyDescent="0.25">
      <c r="A972">
        <v>3038200121</v>
      </c>
      <c r="B972" t="s">
        <v>346</v>
      </c>
    </row>
    <row r="973" spans="1:2" x14ac:dyDescent="0.25">
      <c r="A973">
        <v>3038200129</v>
      </c>
      <c r="B973" t="s">
        <v>57</v>
      </c>
    </row>
    <row r="974" spans="1:2" x14ac:dyDescent="0.25">
      <c r="A974">
        <v>303820019</v>
      </c>
      <c r="B974" t="s">
        <v>57</v>
      </c>
    </row>
    <row r="975" spans="1:2" x14ac:dyDescent="0.25">
      <c r="A975">
        <v>3038200191</v>
      </c>
      <c r="B975" t="s">
        <v>346</v>
      </c>
    </row>
    <row r="976" spans="1:2" x14ac:dyDescent="0.25">
      <c r="A976">
        <v>3038200199</v>
      </c>
      <c r="B976" t="s">
        <v>57</v>
      </c>
    </row>
    <row r="977" spans="1:2" x14ac:dyDescent="0.25">
      <c r="A977">
        <v>30382009</v>
      </c>
      <c r="B977" t="s">
        <v>10</v>
      </c>
    </row>
    <row r="978" spans="1:2" x14ac:dyDescent="0.25">
      <c r="A978">
        <v>303820091</v>
      </c>
      <c r="B978" t="s">
        <v>345</v>
      </c>
    </row>
    <row r="979" spans="1:2" x14ac:dyDescent="0.25">
      <c r="A979">
        <v>3038200911</v>
      </c>
      <c r="B979" t="s">
        <v>346</v>
      </c>
    </row>
    <row r="980" spans="1:2" x14ac:dyDescent="0.25">
      <c r="A980">
        <v>3038200919</v>
      </c>
      <c r="B980" t="s">
        <v>57</v>
      </c>
    </row>
    <row r="981" spans="1:2" x14ac:dyDescent="0.25">
      <c r="A981">
        <v>303820092</v>
      </c>
      <c r="B981" t="s">
        <v>347</v>
      </c>
    </row>
    <row r="982" spans="1:2" x14ac:dyDescent="0.25">
      <c r="A982">
        <v>3038200921</v>
      </c>
      <c r="B982" t="s">
        <v>346</v>
      </c>
    </row>
    <row r="983" spans="1:2" x14ac:dyDescent="0.25">
      <c r="A983">
        <v>3038200929</v>
      </c>
      <c r="B983" t="s">
        <v>57</v>
      </c>
    </row>
    <row r="984" spans="1:2" x14ac:dyDescent="0.25">
      <c r="A984">
        <v>303820099</v>
      </c>
      <c r="B984" t="s">
        <v>57</v>
      </c>
    </row>
    <row r="985" spans="1:2" x14ac:dyDescent="0.25">
      <c r="A985">
        <v>3038200991</v>
      </c>
      <c r="B985" t="s">
        <v>346</v>
      </c>
    </row>
    <row r="986" spans="1:2" x14ac:dyDescent="0.25">
      <c r="A986">
        <v>3038200999</v>
      </c>
      <c r="B986" t="s">
        <v>57</v>
      </c>
    </row>
    <row r="987" spans="1:2" x14ac:dyDescent="0.25">
      <c r="A987">
        <v>30383</v>
      </c>
      <c r="B987" t="e">
        <f>- - Austromerluzas antarticas y Austromerluzas negras (Merluzas negras. Bacalaos de profundidad. nototenias negras)* (Dissostichus spp.)</f>
        <v>#NAME?</v>
      </c>
    </row>
    <row r="988" spans="1:2" x14ac:dyDescent="0.25">
      <c r="A988">
        <v>303831</v>
      </c>
      <c r="B988" t="s">
        <v>279</v>
      </c>
    </row>
    <row r="989" spans="1:2" x14ac:dyDescent="0.25">
      <c r="A989">
        <v>3038311</v>
      </c>
      <c r="B989" t="s">
        <v>348</v>
      </c>
    </row>
    <row r="990" spans="1:2" x14ac:dyDescent="0.25">
      <c r="A990">
        <v>3038311100</v>
      </c>
      <c r="B990" t="s">
        <v>274</v>
      </c>
    </row>
    <row r="991" spans="1:2" x14ac:dyDescent="0.25">
      <c r="A991">
        <v>30383119</v>
      </c>
      <c r="B991" t="s">
        <v>10</v>
      </c>
    </row>
    <row r="992" spans="1:2" x14ac:dyDescent="0.25">
      <c r="A992">
        <v>3038311910</v>
      </c>
      <c r="B992" t="s">
        <v>349</v>
      </c>
    </row>
    <row r="993" spans="1:2" x14ac:dyDescent="0.25">
      <c r="A993">
        <v>3038311990</v>
      </c>
      <c r="B993" t="s">
        <v>57</v>
      </c>
    </row>
    <row r="994" spans="1:2" x14ac:dyDescent="0.25">
      <c r="A994">
        <v>3038319</v>
      </c>
      <c r="B994" t="s">
        <v>57</v>
      </c>
    </row>
    <row r="995" spans="1:2" x14ac:dyDescent="0.25">
      <c r="A995">
        <v>3038319100</v>
      </c>
      <c r="B995" t="s">
        <v>274</v>
      </c>
    </row>
    <row r="996" spans="1:2" x14ac:dyDescent="0.25">
      <c r="A996">
        <v>30383199</v>
      </c>
      <c r="B996" t="s">
        <v>10</v>
      </c>
    </row>
    <row r="997" spans="1:2" x14ac:dyDescent="0.25">
      <c r="A997">
        <v>3038319910</v>
      </c>
      <c r="B997" t="s">
        <v>349</v>
      </c>
    </row>
    <row r="998" spans="1:2" x14ac:dyDescent="0.25">
      <c r="A998">
        <v>3038319990</v>
      </c>
      <c r="B998" t="s">
        <v>10</v>
      </c>
    </row>
    <row r="999" spans="1:2" x14ac:dyDescent="0.25">
      <c r="A999">
        <v>303832</v>
      </c>
      <c r="B999" t="s">
        <v>280</v>
      </c>
    </row>
    <row r="1000" spans="1:2" x14ac:dyDescent="0.25">
      <c r="A1000">
        <v>3038321</v>
      </c>
      <c r="B1000" t="s">
        <v>348</v>
      </c>
    </row>
    <row r="1001" spans="1:2" x14ac:dyDescent="0.25">
      <c r="A1001">
        <v>3038321100</v>
      </c>
      <c r="B1001" t="s">
        <v>274</v>
      </c>
    </row>
    <row r="1002" spans="1:2" x14ac:dyDescent="0.25">
      <c r="A1002">
        <v>3038321900</v>
      </c>
      <c r="B1002" t="s">
        <v>10</v>
      </c>
    </row>
    <row r="1003" spans="1:2" x14ac:dyDescent="0.25">
      <c r="A1003">
        <v>3038329</v>
      </c>
      <c r="B1003" t="s">
        <v>57</v>
      </c>
    </row>
    <row r="1004" spans="1:2" x14ac:dyDescent="0.25">
      <c r="A1004">
        <v>3038329100</v>
      </c>
      <c r="B1004" t="s">
        <v>350</v>
      </c>
    </row>
    <row r="1005" spans="1:2" x14ac:dyDescent="0.25">
      <c r="A1005">
        <v>3038329900</v>
      </c>
      <c r="B1005" t="s">
        <v>10</v>
      </c>
    </row>
    <row r="1006" spans="1:2" x14ac:dyDescent="0.25">
      <c r="A1006">
        <v>3038400</v>
      </c>
      <c r="B1006" t="e">
        <f>- - Robalos (Dicentrarchus spp.)</f>
        <v>#NAME?</v>
      </c>
    </row>
    <row r="1007" spans="1:2" x14ac:dyDescent="0.25">
      <c r="A1007">
        <v>3038400100</v>
      </c>
      <c r="B1007" t="s">
        <v>320</v>
      </c>
    </row>
    <row r="1008" spans="1:2" x14ac:dyDescent="0.25">
      <c r="A1008">
        <v>3038400900</v>
      </c>
      <c r="B1008" t="s">
        <v>10</v>
      </c>
    </row>
    <row r="1009" spans="1:2" x14ac:dyDescent="0.25">
      <c r="A1009">
        <v>30389</v>
      </c>
      <c r="B1009" t="e">
        <f>- - Los demas</f>
        <v>#NAME?</v>
      </c>
    </row>
    <row r="1010" spans="1:2" x14ac:dyDescent="0.25">
      <c r="A1010">
        <v>3038910</v>
      </c>
      <c r="B1010" t="s">
        <v>313</v>
      </c>
    </row>
    <row r="1011" spans="1:2" x14ac:dyDescent="0.25">
      <c r="A1011">
        <v>3038910200</v>
      </c>
      <c r="B1011" t="s">
        <v>351</v>
      </c>
    </row>
    <row r="1012" spans="1:2" x14ac:dyDescent="0.25">
      <c r="A1012">
        <v>30389109</v>
      </c>
      <c r="B1012" t="s">
        <v>57</v>
      </c>
    </row>
    <row r="1013" spans="1:2" x14ac:dyDescent="0.25">
      <c r="A1013">
        <v>3038910910</v>
      </c>
      <c r="B1013" t="s">
        <v>320</v>
      </c>
    </row>
    <row r="1014" spans="1:2" x14ac:dyDescent="0.25">
      <c r="A1014">
        <v>3038910990</v>
      </c>
      <c r="B1014" t="s">
        <v>57</v>
      </c>
    </row>
    <row r="1015" spans="1:2" x14ac:dyDescent="0.25">
      <c r="A1015">
        <v>3038920</v>
      </c>
      <c r="B1015" t="s">
        <v>299</v>
      </c>
    </row>
    <row r="1016" spans="1:2" x14ac:dyDescent="0.25">
      <c r="A1016">
        <v>3038920100</v>
      </c>
      <c r="B1016" t="s">
        <v>320</v>
      </c>
    </row>
    <row r="1017" spans="1:2" x14ac:dyDescent="0.25">
      <c r="A1017">
        <v>3038920900</v>
      </c>
      <c r="B1017" t="s">
        <v>57</v>
      </c>
    </row>
    <row r="1018" spans="1:2" x14ac:dyDescent="0.25">
      <c r="A1018">
        <v>303893</v>
      </c>
      <c r="B1018" t="s">
        <v>352</v>
      </c>
    </row>
    <row r="1019" spans="1:2" x14ac:dyDescent="0.25">
      <c r="A1019">
        <v>3038932000</v>
      </c>
      <c r="B1019" t="s">
        <v>283</v>
      </c>
    </row>
    <row r="1020" spans="1:2" x14ac:dyDescent="0.25">
      <c r="A1020">
        <v>3038933</v>
      </c>
      <c r="B1020" t="s">
        <v>353</v>
      </c>
    </row>
    <row r="1021" spans="1:2" x14ac:dyDescent="0.25">
      <c r="A1021">
        <v>3038933100</v>
      </c>
      <c r="B1021" t="s">
        <v>327</v>
      </c>
    </row>
    <row r="1022" spans="1:2" x14ac:dyDescent="0.25">
      <c r="A1022">
        <v>3038933900</v>
      </c>
      <c r="B1022" t="s">
        <v>10</v>
      </c>
    </row>
    <row r="1023" spans="1:2" x14ac:dyDescent="0.25">
      <c r="A1023">
        <v>303894</v>
      </c>
      <c r="B1023" t="s">
        <v>354</v>
      </c>
    </row>
    <row r="1024" spans="1:2" x14ac:dyDescent="0.25">
      <c r="A1024">
        <v>3038941</v>
      </c>
      <c r="B1024" t="s">
        <v>285</v>
      </c>
    </row>
    <row r="1025" spans="1:2" x14ac:dyDescent="0.25">
      <c r="A1025">
        <v>3038941100</v>
      </c>
      <c r="B1025" t="s">
        <v>320</v>
      </c>
    </row>
    <row r="1026" spans="1:2" x14ac:dyDescent="0.25">
      <c r="A1026">
        <v>3038941900</v>
      </c>
      <c r="B1026" t="s">
        <v>10</v>
      </c>
    </row>
    <row r="1027" spans="1:2" x14ac:dyDescent="0.25">
      <c r="A1027">
        <v>3038942</v>
      </c>
      <c r="B1027" t="s">
        <v>286</v>
      </c>
    </row>
    <row r="1028" spans="1:2" x14ac:dyDescent="0.25">
      <c r="A1028">
        <v>3038942100</v>
      </c>
      <c r="B1028" t="s">
        <v>320</v>
      </c>
    </row>
    <row r="1029" spans="1:2" x14ac:dyDescent="0.25">
      <c r="A1029">
        <v>3038942900</v>
      </c>
      <c r="B1029" t="s">
        <v>10</v>
      </c>
    </row>
    <row r="1030" spans="1:2" x14ac:dyDescent="0.25">
      <c r="A1030">
        <v>3038943</v>
      </c>
      <c r="B1030" t="s">
        <v>297</v>
      </c>
    </row>
    <row r="1031" spans="1:2" x14ac:dyDescent="0.25">
      <c r="A1031">
        <v>3038943100</v>
      </c>
      <c r="B1031" t="s">
        <v>320</v>
      </c>
    </row>
    <row r="1032" spans="1:2" x14ac:dyDescent="0.25">
      <c r="A1032">
        <v>3038943900</v>
      </c>
      <c r="B1032" t="s">
        <v>10</v>
      </c>
    </row>
    <row r="1033" spans="1:2" x14ac:dyDescent="0.25">
      <c r="A1033">
        <v>3038944000</v>
      </c>
      <c r="B1033" t="s">
        <v>251</v>
      </c>
    </row>
    <row r="1034" spans="1:2" x14ac:dyDescent="0.25">
      <c r="A1034">
        <v>3038945000</v>
      </c>
      <c r="B1034" t="s">
        <v>288</v>
      </c>
    </row>
    <row r="1035" spans="1:2" x14ac:dyDescent="0.25">
      <c r="A1035">
        <v>3038946</v>
      </c>
      <c r="B1035" t="s">
        <v>355</v>
      </c>
    </row>
    <row r="1036" spans="1:2" x14ac:dyDescent="0.25">
      <c r="A1036">
        <v>3038946100</v>
      </c>
      <c r="B1036" t="s">
        <v>320</v>
      </c>
    </row>
    <row r="1037" spans="1:2" x14ac:dyDescent="0.25">
      <c r="A1037">
        <v>3038946900</v>
      </c>
      <c r="B1037" t="s">
        <v>10</v>
      </c>
    </row>
    <row r="1038" spans="1:2" x14ac:dyDescent="0.25">
      <c r="A1038">
        <v>303895</v>
      </c>
      <c r="B1038" t="s">
        <v>356</v>
      </c>
    </row>
    <row r="1039" spans="1:2" x14ac:dyDescent="0.25">
      <c r="A1039">
        <v>3038951</v>
      </c>
      <c r="B1039" t="s">
        <v>290</v>
      </c>
    </row>
    <row r="1040" spans="1:2" x14ac:dyDescent="0.25">
      <c r="A1040">
        <v>30389511</v>
      </c>
      <c r="B1040" t="s">
        <v>274</v>
      </c>
    </row>
    <row r="1041" spans="1:2" x14ac:dyDescent="0.25">
      <c r="A1041">
        <v>3038951110</v>
      </c>
      <c r="B1041" t="s">
        <v>291</v>
      </c>
    </row>
    <row r="1042" spans="1:2" x14ac:dyDescent="0.25">
      <c r="A1042">
        <v>3038951190</v>
      </c>
      <c r="B1042" t="s">
        <v>10</v>
      </c>
    </row>
    <row r="1043" spans="1:2" x14ac:dyDescent="0.25">
      <c r="A1043">
        <v>30389519</v>
      </c>
      <c r="B1043" t="s">
        <v>10</v>
      </c>
    </row>
    <row r="1044" spans="1:2" x14ac:dyDescent="0.25">
      <c r="A1044">
        <v>3038951910</v>
      </c>
      <c r="B1044" t="s">
        <v>291</v>
      </c>
    </row>
    <row r="1045" spans="1:2" x14ac:dyDescent="0.25">
      <c r="A1045">
        <v>3038951990</v>
      </c>
      <c r="B1045" t="s">
        <v>10</v>
      </c>
    </row>
    <row r="1046" spans="1:2" x14ac:dyDescent="0.25">
      <c r="A1046">
        <v>3038952</v>
      </c>
      <c r="B1046" t="s">
        <v>292</v>
      </c>
    </row>
    <row r="1047" spans="1:2" x14ac:dyDescent="0.25">
      <c r="A1047">
        <v>3038952100</v>
      </c>
      <c r="B1047" t="s">
        <v>323</v>
      </c>
    </row>
    <row r="1048" spans="1:2" x14ac:dyDescent="0.25">
      <c r="A1048">
        <v>3038952900</v>
      </c>
      <c r="B1048" t="s">
        <v>10</v>
      </c>
    </row>
    <row r="1049" spans="1:2" x14ac:dyDescent="0.25">
      <c r="A1049">
        <v>3038953</v>
      </c>
      <c r="B1049" t="s">
        <v>293</v>
      </c>
    </row>
    <row r="1050" spans="1:2" x14ac:dyDescent="0.25">
      <c r="A1050">
        <v>30389531</v>
      </c>
      <c r="B1050" t="s">
        <v>274</v>
      </c>
    </row>
    <row r="1051" spans="1:2" x14ac:dyDescent="0.25">
      <c r="A1051">
        <v>3038953110</v>
      </c>
      <c r="B1051" t="s">
        <v>294</v>
      </c>
    </row>
    <row r="1052" spans="1:2" x14ac:dyDescent="0.25">
      <c r="A1052">
        <v>3038953190</v>
      </c>
      <c r="B1052" t="s">
        <v>10</v>
      </c>
    </row>
    <row r="1053" spans="1:2" x14ac:dyDescent="0.25">
      <c r="A1053">
        <v>30389539</v>
      </c>
      <c r="B1053" t="s">
        <v>10</v>
      </c>
    </row>
    <row r="1054" spans="1:2" x14ac:dyDescent="0.25">
      <c r="A1054">
        <v>3038953910</v>
      </c>
      <c r="B1054" t="s">
        <v>294</v>
      </c>
    </row>
    <row r="1055" spans="1:2" x14ac:dyDescent="0.25">
      <c r="A1055">
        <v>3038953990</v>
      </c>
      <c r="B1055" t="s">
        <v>10</v>
      </c>
    </row>
    <row r="1056" spans="1:2" x14ac:dyDescent="0.25">
      <c r="A1056">
        <v>3038954</v>
      </c>
      <c r="B1056" t="s">
        <v>357</v>
      </c>
    </row>
    <row r="1057" spans="1:2" x14ac:dyDescent="0.25">
      <c r="A1057">
        <v>3038954100</v>
      </c>
      <c r="B1057" t="s">
        <v>274</v>
      </c>
    </row>
    <row r="1058" spans="1:2" x14ac:dyDescent="0.25">
      <c r="A1058">
        <v>3038954900</v>
      </c>
      <c r="B1058" t="s">
        <v>10</v>
      </c>
    </row>
    <row r="1059" spans="1:2" x14ac:dyDescent="0.25">
      <c r="A1059">
        <v>3038955</v>
      </c>
      <c r="B1059" t="s">
        <v>296</v>
      </c>
    </row>
    <row r="1060" spans="1:2" x14ac:dyDescent="0.25">
      <c r="A1060">
        <v>3038955100</v>
      </c>
      <c r="B1060" t="s">
        <v>274</v>
      </c>
    </row>
    <row r="1061" spans="1:2" x14ac:dyDescent="0.25">
      <c r="A1061">
        <v>3038955900</v>
      </c>
      <c r="B1061" t="s">
        <v>10</v>
      </c>
    </row>
    <row r="1062" spans="1:2" x14ac:dyDescent="0.25">
      <c r="A1062">
        <v>3038956</v>
      </c>
      <c r="B1062" t="s">
        <v>298</v>
      </c>
    </row>
    <row r="1063" spans="1:2" x14ac:dyDescent="0.25">
      <c r="A1063">
        <v>3038956100</v>
      </c>
      <c r="B1063" t="s">
        <v>274</v>
      </c>
    </row>
    <row r="1064" spans="1:2" x14ac:dyDescent="0.25">
      <c r="A1064">
        <v>3038956900</v>
      </c>
      <c r="B1064" t="s">
        <v>10</v>
      </c>
    </row>
    <row r="1065" spans="1:2" x14ac:dyDescent="0.25">
      <c r="A1065">
        <v>303896</v>
      </c>
      <c r="B1065" t="s">
        <v>300</v>
      </c>
    </row>
    <row r="1066" spans="1:2" x14ac:dyDescent="0.25">
      <c r="A1066">
        <v>3038961</v>
      </c>
      <c r="B1066" t="s">
        <v>301</v>
      </c>
    </row>
    <row r="1067" spans="1:2" x14ac:dyDescent="0.25">
      <c r="A1067">
        <v>3038961100</v>
      </c>
      <c r="B1067" t="s">
        <v>274</v>
      </c>
    </row>
    <row r="1068" spans="1:2" x14ac:dyDescent="0.25">
      <c r="A1068">
        <v>3038961900</v>
      </c>
      <c r="B1068" t="s">
        <v>10</v>
      </c>
    </row>
    <row r="1069" spans="1:2" x14ac:dyDescent="0.25">
      <c r="A1069">
        <v>3038962</v>
      </c>
      <c r="B1069" t="s">
        <v>358</v>
      </c>
    </row>
    <row r="1070" spans="1:2" x14ac:dyDescent="0.25">
      <c r="A1070">
        <v>3038962100</v>
      </c>
      <c r="B1070" t="s">
        <v>274</v>
      </c>
    </row>
    <row r="1071" spans="1:2" x14ac:dyDescent="0.25">
      <c r="A1071">
        <v>3038962900</v>
      </c>
      <c r="B1071" t="s">
        <v>10</v>
      </c>
    </row>
    <row r="1072" spans="1:2" x14ac:dyDescent="0.25">
      <c r="A1072">
        <v>3038963</v>
      </c>
      <c r="B1072" t="s">
        <v>303</v>
      </c>
    </row>
    <row r="1073" spans="1:2" x14ac:dyDescent="0.25">
      <c r="A1073">
        <v>3038963100</v>
      </c>
      <c r="B1073" t="s">
        <v>274</v>
      </c>
    </row>
    <row r="1074" spans="1:2" x14ac:dyDescent="0.25">
      <c r="A1074">
        <v>3038963900</v>
      </c>
      <c r="B1074" t="s">
        <v>10</v>
      </c>
    </row>
    <row r="1075" spans="1:2" x14ac:dyDescent="0.25">
      <c r="A1075">
        <v>3038964</v>
      </c>
      <c r="B1075" t="s">
        <v>304</v>
      </c>
    </row>
    <row r="1076" spans="1:2" x14ac:dyDescent="0.25">
      <c r="A1076">
        <v>3038964100</v>
      </c>
      <c r="B1076" t="s">
        <v>274</v>
      </c>
    </row>
    <row r="1077" spans="1:2" x14ac:dyDescent="0.25">
      <c r="A1077">
        <v>3038964900</v>
      </c>
      <c r="B1077" t="s">
        <v>10</v>
      </c>
    </row>
    <row r="1078" spans="1:2" x14ac:dyDescent="0.25">
      <c r="A1078">
        <v>3038965</v>
      </c>
      <c r="B1078" t="s">
        <v>305</v>
      </c>
    </row>
    <row r="1079" spans="1:2" x14ac:dyDescent="0.25">
      <c r="A1079">
        <v>3038965100</v>
      </c>
      <c r="B1079" t="s">
        <v>274</v>
      </c>
    </row>
    <row r="1080" spans="1:2" x14ac:dyDescent="0.25">
      <c r="A1080">
        <v>3038965900</v>
      </c>
      <c r="B1080" t="s">
        <v>10</v>
      </c>
    </row>
    <row r="1081" spans="1:2" x14ac:dyDescent="0.25">
      <c r="A1081">
        <v>3038990</v>
      </c>
      <c r="B1081" t="s">
        <v>10</v>
      </c>
    </row>
    <row r="1082" spans="1:2" x14ac:dyDescent="0.25">
      <c r="A1082">
        <v>30389901</v>
      </c>
      <c r="B1082" t="s">
        <v>323</v>
      </c>
    </row>
    <row r="1083" spans="1:2" x14ac:dyDescent="0.25">
      <c r="A1083">
        <v>3038990110</v>
      </c>
      <c r="B1083" t="s">
        <v>314</v>
      </c>
    </row>
    <row r="1084" spans="1:2" x14ac:dyDescent="0.25">
      <c r="A1084">
        <v>3038990120</v>
      </c>
      <c r="B1084" t="s">
        <v>359</v>
      </c>
    </row>
    <row r="1085" spans="1:2" x14ac:dyDescent="0.25">
      <c r="A1085">
        <v>3038990130</v>
      </c>
      <c r="B1085" t="s">
        <v>360</v>
      </c>
    </row>
    <row r="1086" spans="1:2" x14ac:dyDescent="0.25">
      <c r="A1086">
        <v>3038990140</v>
      </c>
      <c r="B1086" t="s">
        <v>361</v>
      </c>
    </row>
    <row r="1087" spans="1:2" x14ac:dyDescent="0.25">
      <c r="A1087">
        <v>3038990150</v>
      </c>
      <c r="B1087" t="s">
        <v>362</v>
      </c>
    </row>
    <row r="1088" spans="1:2" x14ac:dyDescent="0.25">
      <c r="A1088">
        <v>303899016</v>
      </c>
      <c r="B1088" t="s">
        <v>306</v>
      </c>
    </row>
    <row r="1089" spans="1:2" x14ac:dyDescent="0.25">
      <c r="A1089">
        <v>3038990161</v>
      </c>
      <c r="B1089" t="s">
        <v>307</v>
      </c>
    </row>
    <row r="1090" spans="1:2" x14ac:dyDescent="0.25">
      <c r="A1090">
        <v>3038990162</v>
      </c>
      <c r="B1090" t="s">
        <v>363</v>
      </c>
    </row>
    <row r="1091" spans="1:2" x14ac:dyDescent="0.25">
      <c r="A1091">
        <v>3038990163</v>
      </c>
      <c r="B1091" t="s">
        <v>309</v>
      </c>
    </row>
    <row r="1092" spans="1:2" x14ac:dyDescent="0.25">
      <c r="A1092">
        <v>3038990164</v>
      </c>
      <c r="B1092" t="s">
        <v>364</v>
      </c>
    </row>
    <row r="1093" spans="1:2" x14ac:dyDescent="0.25">
      <c r="A1093">
        <v>3038990165</v>
      </c>
      <c r="B1093" t="s">
        <v>311</v>
      </c>
    </row>
    <row r="1094" spans="1:2" x14ac:dyDescent="0.25">
      <c r="A1094">
        <v>3038990166</v>
      </c>
      <c r="B1094" t="s">
        <v>312</v>
      </c>
    </row>
    <row r="1095" spans="1:2" x14ac:dyDescent="0.25">
      <c r="A1095">
        <v>303899019</v>
      </c>
      <c r="B1095" t="s">
        <v>10</v>
      </c>
    </row>
    <row r="1096" spans="1:2" x14ac:dyDescent="0.25">
      <c r="A1096">
        <v>3038990191</v>
      </c>
      <c r="B1096" t="s">
        <v>315</v>
      </c>
    </row>
    <row r="1097" spans="1:2" x14ac:dyDescent="0.25">
      <c r="A1097">
        <v>3038990192</v>
      </c>
      <c r="B1097" t="s">
        <v>365</v>
      </c>
    </row>
    <row r="1098" spans="1:2" x14ac:dyDescent="0.25">
      <c r="A1098">
        <v>3038990193</v>
      </c>
      <c r="B1098" t="s">
        <v>366</v>
      </c>
    </row>
    <row r="1099" spans="1:2" x14ac:dyDescent="0.25">
      <c r="A1099">
        <v>3038990194</v>
      </c>
      <c r="B1099" t="s">
        <v>367</v>
      </c>
    </row>
    <row r="1100" spans="1:2" x14ac:dyDescent="0.25">
      <c r="A1100">
        <v>3038990195</v>
      </c>
      <c r="B1100" t="s">
        <v>368</v>
      </c>
    </row>
    <row r="1101" spans="1:2" x14ac:dyDescent="0.25">
      <c r="A1101">
        <v>3038990199</v>
      </c>
      <c r="B1101" t="s">
        <v>10</v>
      </c>
    </row>
    <row r="1102" spans="1:2" x14ac:dyDescent="0.25">
      <c r="A1102">
        <v>30389909</v>
      </c>
      <c r="B1102" t="s">
        <v>10</v>
      </c>
    </row>
    <row r="1103" spans="1:2" x14ac:dyDescent="0.25">
      <c r="A1103">
        <v>3038990910</v>
      </c>
      <c r="B1103" t="s">
        <v>314</v>
      </c>
    </row>
    <row r="1104" spans="1:2" x14ac:dyDescent="0.25">
      <c r="A1104">
        <v>3038990920</v>
      </c>
      <c r="B1104" t="s">
        <v>359</v>
      </c>
    </row>
    <row r="1105" spans="1:2" x14ac:dyDescent="0.25">
      <c r="A1105">
        <v>3038990930</v>
      </c>
      <c r="B1105" t="s">
        <v>360</v>
      </c>
    </row>
    <row r="1106" spans="1:2" x14ac:dyDescent="0.25">
      <c r="A1106">
        <v>3038990940</v>
      </c>
      <c r="B1106" t="s">
        <v>361</v>
      </c>
    </row>
    <row r="1107" spans="1:2" x14ac:dyDescent="0.25">
      <c r="A1107">
        <v>3038990950</v>
      </c>
      <c r="B1107" t="s">
        <v>362</v>
      </c>
    </row>
    <row r="1108" spans="1:2" x14ac:dyDescent="0.25">
      <c r="A1108">
        <v>303899096</v>
      </c>
      <c r="B1108" t="s">
        <v>306</v>
      </c>
    </row>
    <row r="1109" spans="1:2" x14ac:dyDescent="0.25">
      <c r="A1109">
        <v>3038990961</v>
      </c>
      <c r="B1109" t="s">
        <v>307</v>
      </c>
    </row>
    <row r="1110" spans="1:2" x14ac:dyDescent="0.25">
      <c r="A1110">
        <v>3038990962</v>
      </c>
      <c r="B1110" t="s">
        <v>363</v>
      </c>
    </row>
    <row r="1111" spans="1:2" x14ac:dyDescent="0.25">
      <c r="A1111">
        <v>3038990963</v>
      </c>
      <c r="B1111" t="s">
        <v>309</v>
      </c>
    </row>
    <row r="1112" spans="1:2" x14ac:dyDescent="0.25">
      <c r="A1112">
        <v>3038990964</v>
      </c>
      <c r="B1112" t="s">
        <v>364</v>
      </c>
    </row>
    <row r="1113" spans="1:2" x14ac:dyDescent="0.25">
      <c r="A1113">
        <v>3038990965</v>
      </c>
      <c r="B1113" t="s">
        <v>311</v>
      </c>
    </row>
    <row r="1114" spans="1:2" x14ac:dyDescent="0.25">
      <c r="A1114">
        <v>3038990966</v>
      </c>
      <c r="B1114" t="s">
        <v>312</v>
      </c>
    </row>
    <row r="1115" spans="1:2" x14ac:dyDescent="0.25">
      <c r="A1115">
        <v>303899099</v>
      </c>
      <c r="B1115" t="s">
        <v>10</v>
      </c>
    </row>
    <row r="1116" spans="1:2" x14ac:dyDescent="0.25">
      <c r="A1116">
        <v>3038990991</v>
      </c>
      <c r="B1116" t="s">
        <v>315</v>
      </c>
    </row>
    <row r="1117" spans="1:2" x14ac:dyDescent="0.25">
      <c r="A1117">
        <v>3038990992</v>
      </c>
      <c r="B1117" t="s">
        <v>365</v>
      </c>
    </row>
    <row r="1118" spans="1:2" x14ac:dyDescent="0.25">
      <c r="A1118">
        <v>3038990993</v>
      </c>
      <c r="B1118" t="s">
        <v>366</v>
      </c>
    </row>
    <row r="1119" spans="1:2" x14ac:dyDescent="0.25">
      <c r="A1119">
        <v>3038990994</v>
      </c>
      <c r="B1119" t="s">
        <v>367</v>
      </c>
    </row>
    <row r="1120" spans="1:2" x14ac:dyDescent="0.25">
      <c r="A1120">
        <v>3038990995</v>
      </c>
      <c r="B1120" t="s">
        <v>368</v>
      </c>
    </row>
    <row r="1121" spans="1:2" x14ac:dyDescent="0.25">
      <c r="A1121">
        <v>3038990999</v>
      </c>
      <c r="B1121" t="s">
        <v>10</v>
      </c>
    </row>
    <row r="1122" spans="1:2" x14ac:dyDescent="0.25">
      <c r="A1122">
        <v>3039</v>
      </c>
      <c r="B1122" t="s">
        <v>316</v>
      </c>
    </row>
    <row r="1123" spans="1:2" x14ac:dyDescent="0.25">
      <c r="A1123">
        <v>3039100</v>
      </c>
      <c r="B1123" t="e">
        <f>- - Higados. huevas y lechas</f>
        <v>#NAME?</v>
      </c>
    </row>
    <row r="1124" spans="1:2" x14ac:dyDescent="0.25">
      <c r="A1124">
        <v>3039100100</v>
      </c>
      <c r="B1124" t="s">
        <v>317</v>
      </c>
    </row>
    <row r="1125" spans="1:2" x14ac:dyDescent="0.25">
      <c r="A1125">
        <v>30391009</v>
      </c>
      <c r="B1125" t="s">
        <v>10</v>
      </c>
    </row>
    <row r="1126" spans="1:2" x14ac:dyDescent="0.25">
      <c r="A1126">
        <v>3039100910</v>
      </c>
      <c r="B1126" t="s">
        <v>314</v>
      </c>
    </row>
    <row r="1127" spans="1:2" x14ac:dyDescent="0.25">
      <c r="A1127">
        <v>3039100920</v>
      </c>
      <c r="B1127" t="s">
        <v>369</v>
      </c>
    </row>
    <row r="1128" spans="1:2" x14ac:dyDescent="0.25">
      <c r="A1128">
        <v>3039100990</v>
      </c>
      <c r="B1128" t="s">
        <v>10</v>
      </c>
    </row>
    <row r="1129" spans="1:2" x14ac:dyDescent="0.25">
      <c r="A1129">
        <v>3039200</v>
      </c>
      <c r="B1129" t="e">
        <f>- - Aletas de tiburon</f>
        <v>#NAME?</v>
      </c>
    </row>
    <row r="1130" spans="1:2" x14ac:dyDescent="0.25">
      <c r="A1130">
        <v>30392001</v>
      </c>
      <c r="B1130" t="s">
        <v>274</v>
      </c>
    </row>
    <row r="1131" spans="1:2" x14ac:dyDescent="0.25">
      <c r="A1131">
        <v>3039200110</v>
      </c>
      <c r="B1131" t="s">
        <v>275</v>
      </c>
    </row>
    <row r="1132" spans="1:2" x14ac:dyDescent="0.25">
      <c r="A1132">
        <v>3039200120</v>
      </c>
      <c r="B1132" t="s">
        <v>276</v>
      </c>
    </row>
    <row r="1133" spans="1:2" x14ac:dyDescent="0.25">
      <c r="A1133">
        <v>3039200130</v>
      </c>
      <c r="B1133" t="s">
        <v>277</v>
      </c>
    </row>
    <row r="1134" spans="1:2" x14ac:dyDescent="0.25">
      <c r="A1134">
        <v>3039200140</v>
      </c>
      <c r="B1134" t="s">
        <v>278</v>
      </c>
    </row>
    <row r="1135" spans="1:2" x14ac:dyDescent="0.25">
      <c r="A1135">
        <v>3039200190</v>
      </c>
      <c r="B1135" t="s">
        <v>10</v>
      </c>
    </row>
    <row r="1136" spans="1:2" x14ac:dyDescent="0.25">
      <c r="A1136">
        <v>30392009</v>
      </c>
      <c r="B1136" t="s">
        <v>10</v>
      </c>
    </row>
    <row r="1137" spans="1:2" x14ac:dyDescent="0.25">
      <c r="A1137">
        <v>3039200910</v>
      </c>
      <c r="B1137" t="s">
        <v>275</v>
      </c>
    </row>
    <row r="1138" spans="1:2" x14ac:dyDescent="0.25">
      <c r="A1138">
        <v>3039200920</v>
      </c>
      <c r="B1138" t="s">
        <v>276</v>
      </c>
    </row>
    <row r="1139" spans="1:2" x14ac:dyDescent="0.25">
      <c r="A1139">
        <v>3039200930</v>
      </c>
      <c r="B1139" t="s">
        <v>277</v>
      </c>
    </row>
    <row r="1140" spans="1:2" x14ac:dyDescent="0.25">
      <c r="A1140">
        <v>3039200940</v>
      </c>
      <c r="B1140" t="s">
        <v>278</v>
      </c>
    </row>
    <row r="1141" spans="1:2" x14ac:dyDescent="0.25">
      <c r="A1141">
        <v>3039200990</v>
      </c>
      <c r="B1141" t="s">
        <v>10</v>
      </c>
    </row>
    <row r="1142" spans="1:2" x14ac:dyDescent="0.25">
      <c r="A1142">
        <v>30399</v>
      </c>
      <c r="B1142" t="e">
        <f>- - Los demas</f>
        <v>#NAME?</v>
      </c>
    </row>
    <row r="1143" spans="1:2" x14ac:dyDescent="0.25">
      <c r="A1143">
        <v>3039910</v>
      </c>
      <c r="B1143" t="s">
        <v>370</v>
      </c>
    </row>
    <row r="1144" spans="1:2" x14ac:dyDescent="0.25">
      <c r="A1144">
        <v>3039910100</v>
      </c>
      <c r="B1144" t="s">
        <v>274</v>
      </c>
    </row>
    <row r="1145" spans="1:2" x14ac:dyDescent="0.25">
      <c r="A1145">
        <v>30399109</v>
      </c>
      <c r="B1145" t="s">
        <v>10</v>
      </c>
    </row>
    <row r="1146" spans="1:2" x14ac:dyDescent="0.25">
      <c r="A1146">
        <v>3039910910</v>
      </c>
      <c r="B1146" t="s">
        <v>349</v>
      </c>
    </row>
    <row r="1147" spans="1:2" x14ac:dyDescent="0.25">
      <c r="A1147">
        <v>3039910990</v>
      </c>
      <c r="B1147" t="s">
        <v>10</v>
      </c>
    </row>
    <row r="1148" spans="1:2" x14ac:dyDescent="0.25">
      <c r="A1148">
        <v>3039920</v>
      </c>
      <c r="B1148" t="s">
        <v>371</v>
      </c>
    </row>
    <row r="1149" spans="1:2" x14ac:dyDescent="0.25">
      <c r="A1149">
        <v>3039920100</v>
      </c>
      <c r="B1149" t="s">
        <v>274</v>
      </c>
    </row>
    <row r="1150" spans="1:2" x14ac:dyDescent="0.25">
      <c r="A1150">
        <v>3039920900</v>
      </c>
      <c r="B1150" t="s">
        <v>10</v>
      </c>
    </row>
    <row r="1151" spans="1:2" x14ac:dyDescent="0.25">
      <c r="A1151">
        <v>3039990</v>
      </c>
      <c r="B1151" t="s">
        <v>10</v>
      </c>
    </row>
    <row r="1152" spans="1:2" x14ac:dyDescent="0.25">
      <c r="A1152">
        <v>30399901</v>
      </c>
      <c r="B1152" t="s">
        <v>327</v>
      </c>
    </row>
    <row r="1153" spans="1:2" x14ac:dyDescent="0.25">
      <c r="A1153">
        <v>303999011</v>
      </c>
      <c r="B1153" t="s">
        <v>314</v>
      </c>
    </row>
    <row r="1154" spans="1:2" x14ac:dyDescent="0.25">
      <c r="A1154">
        <v>3039990111</v>
      </c>
      <c r="B1154" t="s">
        <v>372</v>
      </c>
    </row>
    <row r="1155" spans="1:2" x14ac:dyDescent="0.25">
      <c r="A1155">
        <v>3039990112</v>
      </c>
      <c r="B1155" t="s">
        <v>373</v>
      </c>
    </row>
    <row r="1156" spans="1:2" x14ac:dyDescent="0.25">
      <c r="A1156">
        <v>3039990113</v>
      </c>
      <c r="B1156" t="s">
        <v>374</v>
      </c>
    </row>
    <row r="1157" spans="1:2" x14ac:dyDescent="0.25">
      <c r="A1157">
        <v>3039990119</v>
      </c>
      <c r="B1157" t="s">
        <v>10</v>
      </c>
    </row>
    <row r="1158" spans="1:2" x14ac:dyDescent="0.25">
      <c r="A1158">
        <v>3039990120</v>
      </c>
      <c r="B1158" t="s">
        <v>369</v>
      </c>
    </row>
    <row r="1159" spans="1:2" x14ac:dyDescent="0.25">
      <c r="A1159">
        <v>303999013</v>
      </c>
      <c r="B1159" t="s">
        <v>375</v>
      </c>
    </row>
    <row r="1160" spans="1:2" x14ac:dyDescent="0.25">
      <c r="A1160">
        <v>3039990131</v>
      </c>
      <c r="B1160" t="s">
        <v>373</v>
      </c>
    </row>
    <row r="1161" spans="1:2" x14ac:dyDescent="0.25">
      <c r="A1161">
        <v>3039990139</v>
      </c>
      <c r="B1161" t="s">
        <v>10</v>
      </c>
    </row>
    <row r="1162" spans="1:2" x14ac:dyDescent="0.25">
      <c r="A1162">
        <v>303999014</v>
      </c>
      <c r="B1162" t="s">
        <v>279</v>
      </c>
    </row>
    <row r="1163" spans="1:2" x14ac:dyDescent="0.25">
      <c r="A1163">
        <v>3039990141</v>
      </c>
      <c r="B1163" t="s">
        <v>376</v>
      </c>
    </row>
    <row r="1164" spans="1:2" x14ac:dyDescent="0.25">
      <c r="A1164">
        <v>3039990149</v>
      </c>
      <c r="B1164" t="s">
        <v>10</v>
      </c>
    </row>
    <row r="1165" spans="1:2" x14ac:dyDescent="0.25">
      <c r="A1165">
        <v>303999015</v>
      </c>
      <c r="B1165" t="s">
        <v>280</v>
      </c>
    </row>
    <row r="1166" spans="1:2" x14ac:dyDescent="0.25">
      <c r="A1166">
        <v>3039990151</v>
      </c>
      <c r="B1166" t="s">
        <v>376</v>
      </c>
    </row>
    <row r="1167" spans="1:2" x14ac:dyDescent="0.25">
      <c r="A1167">
        <v>3039990159</v>
      </c>
      <c r="B1167" t="s">
        <v>10</v>
      </c>
    </row>
    <row r="1168" spans="1:2" x14ac:dyDescent="0.25">
      <c r="A1168">
        <v>3039990160</v>
      </c>
      <c r="B1168" t="s">
        <v>334</v>
      </c>
    </row>
    <row r="1169" spans="1:2" x14ac:dyDescent="0.25">
      <c r="A1169">
        <v>3039990190</v>
      </c>
      <c r="B1169" t="s">
        <v>10</v>
      </c>
    </row>
    <row r="1170" spans="1:2" x14ac:dyDescent="0.25">
      <c r="A1170">
        <v>30399909</v>
      </c>
      <c r="B1170" t="s">
        <v>10</v>
      </c>
    </row>
    <row r="1171" spans="1:2" x14ac:dyDescent="0.25">
      <c r="A1171">
        <v>303999091</v>
      </c>
      <c r="B1171" t="s">
        <v>314</v>
      </c>
    </row>
    <row r="1172" spans="1:2" x14ac:dyDescent="0.25">
      <c r="A1172">
        <v>3039990911</v>
      </c>
      <c r="B1172" t="s">
        <v>372</v>
      </c>
    </row>
    <row r="1173" spans="1:2" x14ac:dyDescent="0.25">
      <c r="A1173">
        <v>3039990912</v>
      </c>
      <c r="B1173" t="s">
        <v>373</v>
      </c>
    </row>
    <row r="1174" spans="1:2" x14ac:dyDescent="0.25">
      <c r="A1174">
        <v>3039990913</v>
      </c>
      <c r="B1174" t="s">
        <v>374</v>
      </c>
    </row>
    <row r="1175" spans="1:2" x14ac:dyDescent="0.25">
      <c r="A1175">
        <v>3039990919</v>
      </c>
      <c r="B1175" t="s">
        <v>10</v>
      </c>
    </row>
    <row r="1176" spans="1:2" x14ac:dyDescent="0.25">
      <c r="A1176">
        <v>3039990920</v>
      </c>
      <c r="B1176" t="s">
        <v>369</v>
      </c>
    </row>
    <row r="1177" spans="1:2" x14ac:dyDescent="0.25">
      <c r="A1177">
        <v>303999093</v>
      </c>
      <c r="B1177" t="s">
        <v>375</v>
      </c>
    </row>
    <row r="1178" spans="1:2" x14ac:dyDescent="0.25">
      <c r="A1178">
        <v>3039990931</v>
      </c>
      <c r="B1178" t="s">
        <v>373</v>
      </c>
    </row>
    <row r="1179" spans="1:2" x14ac:dyDescent="0.25">
      <c r="A1179">
        <v>3039990939</v>
      </c>
      <c r="B1179" t="s">
        <v>10</v>
      </c>
    </row>
    <row r="1180" spans="1:2" x14ac:dyDescent="0.25">
      <c r="A1180">
        <v>303999094</v>
      </c>
      <c r="B1180" t="s">
        <v>279</v>
      </c>
    </row>
    <row r="1181" spans="1:2" x14ac:dyDescent="0.25">
      <c r="A1181">
        <v>3039990941</v>
      </c>
      <c r="B1181" t="s">
        <v>376</v>
      </c>
    </row>
    <row r="1182" spans="1:2" x14ac:dyDescent="0.25">
      <c r="A1182">
        <v>3039990949</v>
      </c>
      <c r="B1182" t="s">
        <v>377</v>
      </c>
    </row>
    <row r="1183" spans="1:2" x14ac:dyDescent="0.25">
      <c r="A1183">
        <v>303999095</v>
      </c>
      <c r="B1183" t="s">
        <v>280</v>
      </c>
    </row>
    <row r="1184" spans="1:2" x14ac:dyDescent="0.25">
      <c r="A1184">
        <v>3039990951</v>
      </c>
      <c r="B1184" t="s">
        <v>376</v>
      </c>
    </row>
    <row r="1185" spans="1:2" x14ac:dyDescent="0.25">
      <c r="A1185">
        <v>3039990959</v>
      </c>
      <c r="B1185" t="s">
        <v>10</v>
      </c>
    </row>
    <row r="1186" spans="1:2" x14ac:dyDescent="0.25">
      <c r="A1186">
        <v>3039990960</v>
      </c>
      <c r="B1186" t="s">
        <v>334</v>
      </c>
    </row>
    <row r="1187" spans="1:2" x14ac:dyDescent="0.25">
      <c r="A1187">
        <v>3039990990</v>
      </c>
      <c r="B1187" t="s">
        <v>10</v>
      </c>
    </row>
    <row r="1188" spans="1:2" x14ac:dyDescent="0.25">
      <c r="A1188">
        <v>304</v>
      </c>
      <c r="B1188" t="s">
        <v>378</v>
      </c>
    </row>
    <row r="1189" spans="1:2" x14ac:dyDescent="0.25">
      <c r="A1189">
        <v>3043</v>
      </c>
      <c r="B1189" t="s">
        <v>379</v>
      </c>
    </row>
    <row r="1190" spans="1:2" x14ac:dyDescent="0.25">
      <c r="A1190">
        <v>3043100000</v>
      </c>
      <c r="B1190" t="e">
        <f>--Tilapias (Oreochromis spp.)</f>
        <v>#NAME?</v>
      </c>
    </row>
    <row r="1191" spans="1:2" x14ac:dyDescent="0.25">
      <c r="A1191">
        <v>30432</v>
      </c>
      <c r="B1191" t="e">
        <f>- - Bagres o Peces gato (Pangasius spp.. Silurus spp.. Clarias spp.. Ictalurus spp.)</f>
        <v>#NAME?</v>
      </c>
    </row>
    <row r="1192" spans="1:2" x14ac:dyDescent="0.25">
      <c r="A1192">
        <v>3043210000</v>
      </c>
      <c r="B1192" t="s">
        <v>272</v>
      </c>
    </row>
    <row r="1193" spans="1:2" x14ac:dyDescent="0.25">
      <c r="A1193">
        <v>3043290000</v>
      </c>
      <c r="B1193" t="s">
        <v>10</v>
      </c>
    </row>
    <row r="1194" spans="1:2" x14ac:dyDescent="0.25">
      <c r="A1194">
        <v>3043300000</v>
      </c>
      <c r="B1194" t="e">
        <f>--Percas del Nilo (Lates niloticus)</f>
        <v>#NAME?</v>
      </c>
    </row>
    <row r="1195" spans="1:2" x14ac:dyDescent="0.25">
      <c r="A1195">
        <v>3043900000</v>
      </c>
      <c r="B1195" t="e">
        <f>--Los demas</f>
        <v>#NAME?</v>
      </c>
    </row>
    <row r="1196" spans="1:2" x14ac:dyDescent="0.25">
      <c r="A1196">
        <v>3044</v>
      </c>
      <c r="B1196" t="s">
        <v>380</v>
      </c>
    </row>
    <row r="1197" spans="1:2" x14ac:dyDescent="0.25">
      <c r="A1197">
        <v>3044100</v>
      </c>
      <c r="B1197" t="s">
        <v>381</v>
      </c>
    </row>
    <row r="1198" spans="1:2" x14ac:dyDescent="0.25">
      <c r="A1198">
        <v>3044100100</v>
      </c>
      <c r="B1198" t="s">
        <v>256</v>
      </c>
    </row>
    <row r="1199" spans="1:2" x14ac:dyDescent="0.25">
      <c r="A1199">
        <v>3044100900</v>
      </c>
      <c r="B1199" t="s">
        <v>10</v>
      </c>
    </row>
    <row r="1200" spans="1:2" x14ac:dyDescent="0.25">
      <c r="A1200">
        <v>3044200</v>
      </c>
      <c r="B1200" t="e">
        <f>- - Truchas (Salmo trutta. Oncorhynchus mykiss. Oncorhynchus clarki. Oncorhynchus aguabonita. Oncorhynchus gilae. Oncorhynchus apache y Oncorhynchus chrysogaster)</f>
        <v>#NAME?</v>
      </c>
    </row>
    <row r="1201" spans="1:2" x14ac:dyDescent="0.25">
      <c r="A1201">
        <v>3044200100</v>
      </c>
      <c r="B1201" t="s">
        <v>382</v>
      </c>
    </row>
    <row r="1202" spans="1:2" x14ac:dyDescent="0.25">
      <c r="A1202">
        <v>3044200900</v>
      </c>
      <c r="B1202" t="s">
        <v>10</v>
      </c>
    </row>
    <row r="1203" spans="1:2" x14ac:dyDescent="0.25">
      <c r="A1203">
        <v>3044300000</v>
      </c>
      <c r="B1203" t="e">
        <f>--Pescados planos (Pleuronectidae. Bothidae. Cynoglossidae. Soleidae. Scophthalmidae y Citharidae)</f>
        <v>#NAME?</v>
      </c>
    </row>
    <row r="1204" spans="1:2" x14ac:dyDescent="0.25">
      <c r="A1204">
        <v>3044400</v>
      </c>
      <c r="B1204" t="e">
        <f>- - Pescados de las familias Bregmacerotidae. Euclichthyidae. Gadidae. Macrouridae. Melanonidae. Merlucciidae. Moridae y Muraenolepididae</f>
        <v>#NAME?</v>
      </c>
    </row>
    <row r="1205" spans="1:2" x14ac:dyDescent="0.25">
      <c r="A1205">
        <v>3044400100</v>
      </c>
      <c r="B1205" t="s">
        <v>383</v>
      </c>
    </row>
    <row r="1206" spans="1:2" x14ac:dyDescent="0.25">
      <c r="A1206">
        <v>3044400200</v>
      </c>
      <c r="B1206" t="s">
        <v>270</v>
      </c>
    </row>
    <row r="1207" spans="1:2" x14ac:dyDescent="0.25">
      <c r="A1207">
        <v>3044400300</v>
      </c>
      <c r="B1207" t="s">
        <v>268</v>
      </c>
    </row>
    <row r="1208" spans="1:2" x14ac:dyDescent="0.25">
      <c r="A1208">
        <v>3044400900</v>
      </c>
      <c r="B1208" t="s">
        <v>10</v>
      </c>
    </row>
    <row r="1209" spans="1:2" x14ac:dyDescent="0.25">
      <c r="A1209">
        <v>3044500000</v>
      </c>
      <c r="B1209" t="e">
        <f>--Peces Espada (Xiphias gladius)</f>
        <v>#NAME?</v>
      </c>
    </row>
    <row r="1210" spans="1:2" x14ac:dyDescent="0.25">
      <c r="A1210">
        <v>3044600</v>
      </c>
      <c r="B1210" t="e">
        <f>- - Austromerluzas antarticas y Austromerluzas negras (Merluzas negras. Bacalaos de profundidad. nototenias negras)* (Dissostichus spp.)</f>
        <v>#NAME?</v>
      </c>
    </row>
    <row r="1211" spans="1:2" x14ac:dyDescent="0.25">
      <c r="A1211">
        <v>3044600100</v>
      </c>
      <c r="B1211" t="s">
        <v>384</v>
      </c>
    </row>
    <row r="1212" spans="1:2" x14ac:dyDescent="0.25">
      <c r="A1212">
        <v>3044600900</v>
      </c>
      <c r="B1212" t="s">
        <v>57</v>
      </c>
    </row>
    <row r="1213" spans="1:2" x14ac:dyDescent="0.25">
      <c r="A1213">
        <v>3044700</v>
      </c>
      <c r="B1213" t="e">
        <f>- - Cazones y demas escualos</f>
        <v>#NAME?</v>
      </c>
    </row>
    <row r="1214" spans="1:2" x14ac:dyDescent="0.25">
      <c r="A1214">
        <v>3044700100</v>
      </c>
      <c r="B1214" t="s">
        <v>275</v>
      </c>
    </row>
    <row r="1215" spans="1:2" x14ac:dyDescent="0.25">
      <c r="A1215">
        <v>3044700200</v>
      </c>
      <c r="B1215" t="s">
        <v>276</v>
      </c>
    </row>
    <row r="1216" spans="1:2" x14ac:dyDescent="0.25">
      <c r="A1216">
        <v>3044700300</v>
      </c>
      <c r="B1216" t="s">
        <v>277</v>
      </c>
    </row>
    <row r="1217" spans="1:2" x14ac:dyDescent="0.25">
      <c r="A1217">
        <v>3044700400</v>
      </c>
      <c r="B1217" t="s">
        <v>278</v>
      </c>
    </row>
    <row r="1218" spans="1:2" x14ac:dyDescent="0.25">
      <c r="A1218">
        <v>3044700900</v>
      </c>
      <c r="B1218" t="s">
        <v>10</v>
      </c>
    </row>
    <row r="1219" spans="1:2" x14ac:dyDescent="0.25">
      <c r="A1219">
        <v>3044800</v>
      </c>
      <c r="B1219" t="e">
        <f>- - Rayas (Rajidae)</f>
        <v>#NAME?</v>
      </c>
    </row>
    <row r="1220" spans="1:2" x14ac:dyDescent="0.25">
      <c r="A1220">
        <v>3044800100</v>
      </c>
      <c r="B1220" t="s">
        <v>345</v>
      </c>
    </row>
    <row r="1221" spans="1:2" x14ac:dyDescent="0.25">
      <c r="A1221">
        <v>3044800200</v>
      </c>
      <c r="B1221" t="s">
        <v>347</v>
      </c>
    </row>
    <row r="1222" spans="1:2" x14ac:dyDescent="0.25">
      <c r="A1222">
        <v>3044800900</v>
      </c>
      <c r="B1222" t="s">
        <v>57</v>
      </c>
    </row>
    <row r="1223" spans="1:2" x14ac:dyDescent="0.25">
      <c r="A1223">
        <v>30449</v>
      </c>
      <c r="B1223" t="e">
        <f>- - Los demas</f>
        <v>#NAME?</v>
      </c>
    </row>
    <row r="1224" spans="1:2" x14ac:dyDescent="0.25">
      <c r="A1224">
        <v>3044910000</v>
      </c>
      <c r="B1224" t="s">
        <v>385</v>
      </c>
    </row>
    <row r="1225" spans="1:2" x14ac:dyDescent="0.25">
      <c r="A1225">
        <v>3044920000</v>
      </c>
      <c r="B1225" t="s">
        <v>286</v>
      </c>
    </row>
    <row r="1226" spans="1:2" x14ac:dyDescent="0.25">
      <c r="A1226">
        <v>3044990</v>
      </c>
      <c r="B1226" t="s">
        <v>10</v>
      </c>
    </row>
    <row r="1227" spans="1:2" x14ac:dyDescent="0.25">
      <c r="A1227">
        <v>3044990100</v>
      </c>
      <c r="B1227" t="s">
        <v>386</v>
      </c>
    </row>
    <row r="1228" spans="1:2" x14ac:dyDescent="0.25">
      <c r="A1228">
        <v>30449902</v>
      </c>
      <c r="B1228" t="s">
        <v>387</v>
      </c>
    </row>
    <row r="1229" spans="1:2" x14ac:dyDescent="0.25">
      <c r="A1229">
        <v>3044990210</v>
      </c>
      <c r="B1229" t="s">
        <v>307</v>
      </c>
    </row>
    <row r="1230" spans="1:2" x14ac:dyDescent="0.25">
      <c r="A1230">
        <v>3044990220</v>
      </c>
      <c r="B1230" t="s">
        <v>363</v>
      </c>
    </row>
    <row r="1231" spans="1:2" x14ac:dyDescent="0.25">
      <c r="A1231">
        <v>3044990230</v>
      </c>
      <c r="B1231" t="s">
        <v>296</v>
      </c>
    </row>
    <row r="1232" spans="1:2" x14ac:dyDescent="0.25">
      <c r="A1232">
        <v>3044990240</v>
      </c>
      <c r="B1232" t="s">
        <v>309</v>
      </c>
    </row>
    <row r="1233" spans="1:2" x14ac:dyDescent="0.25">
      <c r="A1233">
        <v>3044990250</v>
      </c>
      <c r="B1233" t="s">
        <v>364</v>
      </c>
    </row>
    <row r="1234" spans="1:2" x14ac:dyDescent="0.25">
      <c r="A1234">
        <v>3044990260</v>
      </c>
      <c r="B1234" t="s">
        <v>311</v>
      </c>
    </row>
    <row r="1235" spans="1:2" x14ac:dyDescent="0.25">
      <c r="A1235">
        <v>3044990270</v>
      </c>
      <c r="B1235" t="s">
        <v>312</v>
      </c>
    </row>
    <row r="1236" spans="1:2" x14ac:dyDescent="0.25">
      <c r="A1236">
        <v>3044990280</v>
      </c>
      <c r="B1236" t="s">
        <v>290</v>
      </c>
    </row>
    <row r="1237" spans="1:2" x14ac:dyDescent="0.25">
      <c r="A1237">
        <v>3044990290</v>
      </c>
      <c r="B1237" t="s">
        <v>293</v>
      </c>
    </row>
    <row r="1238" spans="1:2" x14ac:dyDescent="0.25">
      <c r="A1238">
        <v>3044990300</v>
      </c>
      <c r="B1238" t="s">
        <v>388</v>
      </c>
    </row>
    <row r="1239" spans="1:2" x14ac:dyDescent="0.25">
      <c r="A1239">
        <v>3044990400</v>
      </c>
      <c r="B1239" t="s">
        <v>313</v>
      </c>
    </row>
    <row r="1240" spans="1:2" x14ac:dyDescent="0.25">
      <c r="A1240">
        <v>3044990600</v>
      </c>
      <c r="B1240" t="s">
        <v>315</v>
      </c>
    </row>
    <row r="1241" spans="1:2" x14ac:dyDescent="0.25">
      <c r="A1241">
        <v>3044990700</v>
      </c>
      <c r="B1241" t="s">
        <v>314</v>
      </c>
    </row>
    <row r="1242" spans="1:2" x14ac:dyDescent="0.25">
      <c r="A1242">
        <v>3044990900</v>
      </c>
      <c r="B1242" t="s">
        <v>10</v>
      </c>
    </row>
    <row r="1243" spans="1:2" x14ac:dyDescent="0.25">
      <c r="A1243">
        <v>3045</v>
      </c>
      <c r="B1243" t="s">
        <v>389</v>
      </c>
    </row>
    <row r="1244" spans="1:2" x14ac:dyDescent="0.25">
      <c r="A1244">
        <v>3045100000</v>
      </c>
      <c r="B1244" t="s">
        <v>390</v>
      </c>
    </row>
    <row r="1245" spans="1:2" x14ac:dyDescent="0.25">
      <c r="A1245">
        <v>3045200000</v>
      </c>
      <c r="B1245" t="e">
        <f>--Salmonidos</f>
        <v>#NAME?</v>
      </c>
    </row>
    <row r="1246" spans="1:2" x14ac:dyDescent="0.25">
      <c r="A1246">
        <v>3045300</v>
      </c>
      <c r="B1246" t="e">
        <f>- - Pescados de las familias Bregmacerotidae. Euclichthyidae. Gadidae. Macrouridae. Melanonidae. Merlucciidae. Moridae y Muraenolepididae</f>
        <v>#NAME?</v>
      </c>
    </row>
    <row r="1247" spans="1:2" x14ac:dyDescent="0.25">
      <c r="A1247">
        <v>30453001</v>
      </c>
      <c r="B1247" t="s">
        <v>265</v>
      </c>
    </row>
    <row r="1248" spans="1:2" x14ac:dyDescent="0.25">
      <c r="A1248">
        <v>3045300110</v>
      </c>
      <c r="B1248" t="s">
        <v>391</v>
      </c>
    </row>
    <row r="1249" spans="1:2" x14ac:dyDescent="0.25">
      <c r="A1249">
        <v>3045300190</v>
      </c>
      <c r="B1249" t="s">
        <v>10</v>
      </c>
    </row>
    <row r="1250" spans="1:2" x14ac:dyDescent="0.25">
      <c r="A1250">
        <v>3045300200</v>
      </c>
      <c r="B1250" t="s">
        <v>270</v>
      </c>
    </row>
    <row r="1251" spans="1:2" x14ac:dyDescent="0.25">
      <c r="A1251">
        <v>3045300300</v>
      </c>
      <c r="B1251" t="s">
        <v>268</v>
      </c>
    </row>
    <row r="1252" spans="1:2" x14ac:dyDescent="0.25">
      <c r="A1252">
        <v>3045300900</v>
      </c>
      <c r="B1252" t="s">
        <v>10</v>
      </c>
    </row>
    <row r="1253" spans="1:2" x14ac:dyDescent="0.25">
      <c r="A1253">
        <v>3045400000</v>
      </c>
      <c r="B1253" t="e">
        <f>--Peces Espada (Xiphias gladius)</f>
        <v>#NAME?</v>
      </c>
    </row>
    <row r="1254" spans="1:2" x14ac:dyDescent="0.25">
      <c r="A1254">
        <v>3045500</v>
      </c>
      <c r="B1254" t="e">
        <f>- - Austromerluzas antarticas y Austromerluzas negras (Merluzas negras. Bacalaos de profundidad. nototenias negras)* (Dissostichus spp.)</f>
        <v>#NAME?</v>
      </c>
    </row>
    <row r="1255" spans="1:2" x14ac:dyDescent="0.25">
      <c r="A1255">
        <v>3045500100</v>
      </c>
      <c r="B1255" t="s">
        <v>384</v>
      </c>
    </row>
    <row r="1256" spans="1:2" x14ac:dyDescent="0.25">
      <c r="A1256">
        <v>3045500900</v>
      </c>
      <c r="B1256" t="s">
        <v>10</v>
      </c>
    </row>
    <row r="1257" spans="1:2" x14ac:dyDescent="0.25">
      <c r="A1257">
        <v>3045600000</v>
      </c>
      <c r="B1257" t="e">
        <f>--Cazones y demas escualos</f>
        <v>#NAME?</v>
      </c>
    </row>
    <row r="1258" spans="1:2" x14ac:dyDescent="0.25">
      <c r="A1258">
        <v>3045700000</v>
      </c>
      <c r="B1258" t="e">
        <f>--Rayas (Rajidae)</f>
        <v>#NAME?</v>
      </c>
    </row>
    <row r="1259" spans="1:2" x14ac:dyDescent="0.25">
      <c r="A1259">
        <v>3045900</v>
      </c>
      <c r="B1259" t="e">
        <f>- - Los demas</f>
        <v>#NAME?</v>
      </c>
    </row>
    <row r="1260" spans="1:2" x14ac:dyDescent="0.25">
      <c r="A1260">
        <v>3045900100</v>
      </c>
      <c r="B1260" t="s">
        <v>313</v>
      </c>
    </row>
    <row r="1261" spans="1:2" x14ac:dyDescent="0.25">
      <c r="A1261">
        <v>3045900200</v>
      </c>
      <c r="B1261" t="s">
        <v>314</v>
      </c>
    </row>
    <row r="1262" spans="1:2" x14ac:dyDescent="0.25">
      <c r="A1262">
        <v>3045900400</v>
      </c>
      <c r="B1262" t="s">
        <v>315</v>
      </c>
    </row>
    <row r="1263" spans="1:2" x14ac:dyDescent="0.25">
      <c r="A1263">
        <v>3045900900</v>
      </c>
      <c r="B1263" t="s">
        <v>10</v>
      </c>
    </row>
    <row r="1264" spans="1:2" x14ac:dyDescent="0.25">
      <c r="A1264">
        <v>3046</v>
      </c>
      <c r="B1264" t="s">
        <v>392</v>
      </c>
    </row>
    <row r="1265" spans="1:2" x14ac:dyDescent="0.25">
      <c r="A1265">
        <v>3046100000</v>
      </c>
      <c r="B1265" t="e">
        <f>--Tilapias (Oreochromis spp.)</f>
        <v>#NAME?</v>
      </c>
    </row>
    <row r="1266" spans="1:2" x14ac:dyDescent="0.25">
      <c r="A1266">
        <v>30462</v>
      </c>
      <c r="B1266" t="e">
        <f>- - Bagres o Peces gato (Pangasius spp.. Silurus spp.. Clarias spp.. Ictalurus spp.)</f>
        <v>#NAME?</v>
      </c>
    </row>
    <row r="1267" spans="1:2" x14ac:dyDescent="0.25">
      <c r="A1267">
        <v>3046210</v>
      </c>
      <c r="B1267" t="s">
        <v>272</v>
      </c>
    </row>
    <row r="1268" spans="1:2" x14ac:dyDescent="0.25">
      <c r="A1268">
        <v>3046210100</v>
      </c>
      <c r="B1268" t="s">
        <v>393</v>
      </c>
    </row>
    <row r="1269" spans="1:2" x14ac:dyDescent="0.25">
      <c r="A1269">
        <v>3046210200</v>
      </c>
      <c r="B1269" t="s">
        <v>394</v>
      </c>
    </row>
    <row r="1270" spans="1:2" x14ac:dyDescent="0.25">
      <c r="A1270">
        <v>3046210900</v>
      </c>
      <c r="B1270" t="s">
        <v>10</v>
      </c>
    </row>
    <row r="1271" spans="1:2" x14ac:dyDescent="0.25">
      <c r="A1271">
        <v>3046290000</v>
      </c>
      <c r="B1271" t="s">
        <v>10</v>
      </c>
    </row>
    <row r="1272" spans="1:2" x14ac:dyDescent="0.25">
      <c r="A1272">
        <v>3046300000</v>
      </c>
      <c r="B1272" t="e">
        <f>--Percas del Nilo (Lates niloticus)</f>
        <v>#NAME?</v>
      </c>
    </row>
    <row r="1273" spans="1:2" x14ac:dyDescent="0.25">
      <c r="A1273">
        <v>3046900000</v>
      </c>
      <c r="B1273" t="e">
        <f>--Los demas</f>
        <v>#NAME?</v>
      </c>
    </row>
    <row r="1274" spans="1:2" x14ac:dyDescent="0.25">
      <c r="A1274">
        <v>3047</v>
      </c>
      <c r="B1274" t="s">
        <v>395</v>
      </c>
    </row>
    <row r="1275" spans="1:2" x14ac:dyDescent="0.25">
      <c r="A1275">
        <v>3047100000</v>
      </c>
      <c r="B1275" t="e">
        <f>--Bacalaos (Gadus morhua. Gadus ogac. Gadus macrocephalus)</f>
        <v>#NAME?</v>
      </c>
    </row>
    <row r="1276" spans="1:2" x14ac:dyDescent="0.25">
      <c r="A1276">
        <v>3047200000</v>
      </c>
      <c r="B1276" t="e">
        <f>--Eglefinos (Melanogrammus aeglefinus)</f>
        <v>#NAME?</v>
      </c>
    </row>
    <row r="1277" spans="1:2" x14ac:dyDescent="0.25">
      <c r="A1277">
        <v>3047300000</v>
      </c>
      <c r="B1277" t="e">
        <f>--Carboneros (Pollachius virens)</f>
        <v>#NAME?</v>
      </c>
    </row>
    <row r="1278" spans="1:2" x14ac:dyDescent="0.25">
      <c r="A1278">
        <v>3047400</v>
      </c>
      <c r="B1278" t="e">
        <f>- - Merluzas (Merluccius spp.. Urophycis spp.)</f>
        <v>#NAME?</v>
      </c>
    </row>
    <row r="1279" spans="1:2" x14ac:dyDescent="0.25">
      <c r="A1279">
        <v>30474001</v>
      </c>
      <c r="B1279" t="s">
        <v>396</v>
      </c>
    </row>
    <row r="1280" spans="1:2" x14ac:dyDescent="0.25">
      <c r="A1280">
        <v>304740011</v>
      </c>
      <c r="B1280" t="s">
        <v>397</v>
      </c>
    </row>
    <row r="1281" spans="1:2" x14ac:dyDescent="0.25">
      <c r="A1281">
        <v>3047400111</v>
      </c>
      <c r="B1281" t="s">
        <v>398</v>
      </c>
    </row>
    <row r="1282" spans="1:2" x14ac:dyDescent="0.25">
      <c r="A1282">
        <v>3047400112</v>
      </c>
      <c r="B1282" t="s">
        <v>399</v>
      </c>
    </row>
    <row r="1283" spans="1:2" x14ac:dyDescent="0.25">
      <c r="A1283">
        <v>3047400113</v>
      </c>
      <c r="B1283" t="s">
        <v>400</v>
      </c>
    </row>
    <row r="1284" spans="1:2" x14ac:dyDescent="0.25">
      <c r="A1284">
        <v>3047400114</v>
      </c>
      <c r="B1284" t="s">
        <v>401</v>
      </c>
    </row>
    <row r="1285" spans="1:2" x14ac:dyDescent="0.25">
      <c r="A1285">
        <v>3047400119</v>
      </c>
      <c r="B1285" t="s">
        <v>10</v>
      </c>
    </row>
    <row r="1286" spans="1:2" x14ac:dyDescent="0.25">
      <c r="A1286">
        <v>304740012</v>
      </c>
      <c r="B1286" t="s">
        <v>402</v>
      </c>
    </row>
    <row r="1287" spans="1:2" x14ac:dyDescent="0.25">
      <c r="A1287">
        <v>3047400121</v>
      </c>
      <c r="B1287" t="s">
        <v>398</v>
      </c>
    </row>
    <row r="1288" spans="1:2" x14ac:dyDescent="0.25">
      <c r="A1288">
        <v>3047400129</v>
      </c>
      <c r="B1288" t="s">
        <v>10</v>
      </c>
    </row>
    <row r="1289" spans="1:2" x14ac:dyDescent="0.25">
      <c r="A1289">
        <v>3047400130</v>
      </c>
      <c r="B1289" t="s">
        <v>403</v>
      </c>
    </row>
    <row r="1290" spans="1:2" x14ac:dyDescent="0.25">
      <c r="A1290">
        <v>3047400190</v>
      </c>
      <c r="B1290" t="s">
        <v>10</v>
      </c>
    </row>
    <row r="1291" spans="1:2" x14ac:dyDescent="0.25">
      <c r="A1291">
        <v>30474002</v>
      </c>
      <c r="B1291" t="s">
        <v>404</v>
      </c>
    </row>
    <row r="1292" spans="1:2" x14ac:dyDescent="0.25">
      <c r="A1292">
        <v>304740021</v>
      </c>
      <c r="B1292" t="s">
        <v>397</v>
      </c>
    </row>
    <row r="1293" spans="1:2" x14ac:dyDescent="0.25">
      <c r="A1293">
        <v>3047400211</v>
      </c>
      <c r="B1293" t="s">
        <v>398</v>
      </c>
    </row>
    <row r="1294" spans="1:2" x14ac:dyDescent="0.25">
      <c r="A1294">
        <v>3047400212</v>
      </c>
      <c r="B1294" t="s">
        <v>399</v>
      </c>
    </row>
    <row r="1295" spans="1:2" x14ac:dyDescent="0.25">
      <c r="A1295">
        <v>3047400219</v>
      </c>
      <c r="B1295" t="s">
        <v>10</v>
      </c>
    </row>
    <row r="1296" spans="1:2" x14ac:dyDescent="0.25">
      <c r="A1296">
        <v>304740022</v>
      </c>
      <c r="B1296" t="s">
        <v>402</v>
      </c>
    </row>
    <row r="1297" spans="1:2" x14ac:dyDescent="0.25">
      <c r="A1297">
        <v>3047400221</v>
      </c>
      <c r="B1297" t="s">
        <v>399</v>
      </c>
    </row>
    <row r="1298" spans="1:2" x14ac:dyDescent="0.25">
      <c r="A1298">
        <v>3047400222</v>
      </c>
      <c r="B1298" t="s">
        <v>398</v>
      </c>
    </row>
    <row r="1299" spans="1:2" x14ac:dyDescent="0.25">
      <c r="A1299">
        <v>3047400229</v>
      </c>
      <c r="B1299" t="s">
        <v>10</v>
      </c>
    </row>
    <row r="1300" spans="1:2" x14ac:dyDescent="0.25">
      <c r="A1300">
        <v>3047400230</v>
      </c>
      <c r="B1300" t="s">
        <v>403</v>
      </c>
    </row>
    <row r="1301" spans="1:2" x14ac:dyDescent="0.25">
      <c r="A1301">
        <v>3047400290</v>
      </c>
      <c r="B1301" t="s">
        <v>10</v>
      </c>
    </row>
    <row r="1302" spans="1:2" x14ac:dyDescent="0.25">
      <c r="A1302">
        <v>30474009</v>
      </c>
      <c r="B1302" t="s">
        <v>10</v>
      </c>
    </row>
    <row r="1303" spans="1:2" x14ac:dyDescent="0.25">
      <c r="A1303">
        <v>304740092</v>
      </c>
      <c r="B1303" t="s">
        <v>402</v>
      </c>
    </row>
    <row r="1304" spans="1:2" x14ac:dyDescent="0.25">
      <c r="A1304">
        <v>3047400921</v>
      </c>
      <c r="B1304" t="s">
        <v>399</v>
      </c>
    </row>
    <row r="1305" spans="1:2" x14ac:dyDescent="0.25">
      <c r="A1305">
        <v>3047400922</v>
      </c>
      <c r="B1305" t="s">
        <v>405</v>
      </c>
    </row>
    <row r="1306" spans="1:2" x14ac:dyDescent="0.25">
      <c r="A1306">
        <v>3047400923</v>
      </c>
      <c r="B1306" t="s">
        <v>406</v>
      </c>
    </row>
    <row r="1307" spans="1:2" x14ac:dyDescent="0.25">
      <c r="A1307">
        <v>3047400929</v>
      </c>
      <c r="B1307" t="s">
        <v>10</v>
      </c>
    </row>
    <row r="1308" spans="1:2" x14ac:dyDescent="0.25">
      <c r="A1308">
        <v>3047400930</v>
      </c>
      <c r="B1308" t="s">
        <v>403</v>
      </c>
    </row>
    <row r="1309" spans="1:2" x14ac:dyDescent="0.25">
      <c r="A1309">
        <v>304740094</v>
      </c>
      <c r="B1309" t="s">
        <v>407</v>
      </c>
    </row>
    <row r="1310" spans="1:2" x14ac:dyDescent="0.25">
      <c r="A1310">
        <v>3047400941</v>
      </c>
      <c r="B1310" t="s">
        <v>408</v>
      </c>
    </row>
    <row r="1311" spans="1:2" x14ac:dyDescent="0.25">
      <c r="A1311">
        <v>3047400942</v>
      </c>
      <c r="B1311" t="s">
        <v>409</v>
      </c>
    </row>
    <row r="1312" spans="1:2" x14ac:dyDescent="0.25">
      <c r="A1312">
        <v>3047400943</v>
      </c>
      <c r="B1312" t="s">
        <v>410</v>
      </c>
    </row>
    <row r="1313" spans="1:2" x14ac:dyDescent="0.25">
      <c r="A1313">
        <v>3047400944</v>
      </c>
      <c r="B1313" t="s">
        <v>411</v>
      </c>
    </row>
    <row r="1314" spans="1:2" x14ac:dyDescent="0.25">
      <c r="A1314">
        <v>3047400945</v>
      </c>
      <c r="B1314" t="s">
        <v>412</v>
      </c>
    </row>
    <row r="1315" spans="1:2" x14ac:dyDescent="0.25">
      <c r="A1315">
        <v>3047400946</v>
      </c>
      <c r="B1315" t="s">
        <v>413</v>
      </c>
    </row>
    <row r="1316" spans="1:2" x14ac:dyDescent="0.25">
      <c r="A1316">
        <v>3047400949</v>
      </c>
      <c r="B1316" t="s">
        <v>10</v>
      </c>
    </row>
    <row r="1317" spans="1:2" x14ac:dyDescent="0.25">
      <c r="A1317">
        <v>304740095</v>
      </c>
      <c r="B1317" t="s">
        <v>414</v>
      </c>
    </row>
    <row r="1318" spans="1:2" x14ac:dyDescent="0.25">
      <c r="A1318">
        <v>3047400951</v>
      </c>
      <c r="B1318" t="s">
        <v>408</v>
      </c>
    </row>
    <row r="1319" spans="1:2" x14ac:dyDescent="0.25">
      <c r="A1319">
        <v>3047400952</v>
      </c>
      <c r="B1319" t="s">
        <v>409</v>
      </c>
    </row>
    <row r="1320" spans="1:2" x14ac:dyDescent="0.25">
      <c r="A1320">
        <v>3047400953</v>
      </c>
      <c r="B1320" t="s">
        <v>410</v>
      </c>
    </row>
    <row r="1321" spans="1:2" x14ac:dyDescent="0.25">
      <c r="A1321">
        <v>3047400954</v>
      </c>
      <c r="B1321" t="s">
        <v>411</v>
      </c>
    </row>
    <row r="1322" spans="1:2" x14ac:dyDescent="0.25">
      <c r="A1322">
        <v>3047400955</v>
      </c>
      <c r="B1322" t="s">
        <v>412</v>
      </c>
    </row>
    <row r="1323" spans="1:2" x14ac:dyDescent="0.25">
      <c r="A1323">
        <v>3047400959</v>
      </c>
      <c r="B1323" t="s">
        <v>10</v>
      </c>
    </row>
    <row r="1324" spans="1:2" x14ac:dyDescent="0.25">
      <c r="A1324">
        <v>304740099</v>
      </c>
      <c r="B1324" t="s">
        <v>10</v>
      </c>
    </row>
    <row r="1325" spans="1:2" x14ac:dyDescent="0.25">
      <c r="A1325">
        <v>3047400991</v>
      </c>
      <c r="B1325" t="s">
        <v>415</v>
      </c>
    </row>
    <row r="1326" spans="1:2" x14ac:dyDescent="0.25">
      <c r="A1326">
        <v>3047400992</v>
      </c>
      <c r="B1326" t="s">
        <v>416</v>
      </c>
    </row>
    <row r="1327" spans="1:2" x14ac:dyDescent="0.25">
      <c r="A1327">
        <v>3047500000</v>
      </c>
      <c r="B1327" t="e">
        <f>--Abadejos de Alaska (Theragra chalcogramma)</f>
        <v>#NAME?</v>
      </c>
    </row>
    <row r="1328" spans="1:2" x14ac:dyDescent="0.25">
      <c r="A1328">
        <v>3047900</v>
      </c>
      <c r="B1328" t="e">
        <f>- - Los demas</f>
        <v>#NAME?</v>
      </c>
    </row>
    <row r="1329" spans="1:2" x14ac:dyDescent="0.25">
      <c r="A1329">
        <v>30479001</v>
      </c>
      <c r="B1329" t="s">
        <v>270</v>
      </c>
    </row>
    <row r="1330" spans="1:2" x14ac:dyDescent="0.25">
      <c r="A1330">
        <v>304790011</v>
      </c>
      <c r="B1330" t="s">
        <v>274</v>
      </c>
    </row>
    <row r="1331" spans="1:2" x14ac:dyDescent="0.25">
      <c r="A1331">
        <v>3047900111</v>
      </c>
      <c r="B1331" t="s">
        <v>417</v>
      </c>
    </row>
    <row r="1332" spans="1:2" x14ac:dyDescent="0.25">
      <c r="A1332">
        <v>3047900112</v>
      </c>
      <c r="B1332" t="s">
        <v>418</v>
      </c>
    </row>
    <row r="1333" spans="1:2" x14ac:dyDescent="0.25">
      <c r="A1333">
        <v>3047900113</v>
      </c>
      <c r="B1333" t="s">
        <v>419</v>
      </c>
    </row>
    <row r="1334" spans="1:2" x14ac:dyDescent="0.25">
      <c r="A1334">
        <v>3047900114</v>
      </c>
      <c r="B1334" t="s">
        <v>420</v>
      </c>
    </row>
    <row r="1335" spans="1:2" x14ac:dyDescent="0.25">
      <c r="A1335">
        <v>3047900119</v>
      </c>
      <c r="B1335" t="s">
        <v>10</v>
      </c>
    </row>
    <row r="1336" spans="1:2" x14ac:dyDescent="0.25">
      <c r="A1336">
        <v>304790019</v>
      </c>
      <c r="B1336" t="s">
        <v>10</v>
      </c>
    </row>
    <row r="1337" spans="1:2" x14ac:dyDescent="0.25">
      <c r="A1337">
        <v>3047900191</v>
      </c>
      <c r="B1337" t="s">
        <v>417</v>
      </c>
    </row>
    <row r="1338" spans="1:2" x14ac:dyDescent="0.25">
      <c r="A1338">
        <v>3047900192</v>
      </c>
      <c r="B1338" t="s">
        <v>418</v>
      </c>
    </row>
    <row r="1339" spans="1:2" x14ac:dyDescent="0.25">
      <c r="A1339">
        <v>3047900193</v>
      </c>
      <c r="B1339" t="s">
        <v>419</v>
      </c>
    </row>
    <row r="1340" spans="1:2" x14ac:dyDescent="0.25">
      <c r="A1340">
        <v>3047900194</v>
      </c>
      <c r="B1340" t="s">
        <v>420</v>
      </c>
    </row>
    <row r="1341" spans="1:2" x14ac:dyDescent="0.25">
      <c r="A1341">
        <v>3047900199</v>
      </c>
      <c r="B1341" t="s">
        <v>10</v>
      </c>
    </row>
    <row r="1342" spans="1:2" x14ac:dyDescent="0.25">
      <c r="A1342">
        <v>3047900200</v>
      </c>
      <c r="B1342" t="s">
        <v>268</v>
      </c>
    </row>
    <row r="1343" spans="1:2" x14ac:dyDescent="0.25">
      <c r="A1343">
        <v>3047900900</v>
      </c>
      <c r="B1343" t="s">
        <v>10</v>
      </c>
    </row>
    <row r="1344" spans="1:2" x14ac:dyDescent="0.25">
      <c r="A1344">
        <v>3048</v>
      </c>
      <c r="B1344" t="s">
        <v>421</v>
      </c>
    </row>
    <row r="1345" spans="1:2" x14ac:dyDescent="0.25">
      <c r="A1345">
        <v>3048100</v>
      </c>
      <c r="B1345" t="s">
        <v>381</v>
      </c>
    </row>
    <row r="1346" spans="1:2" x14ac:dyDescent="0.25">
      <c r="A1346">
        <v>3048100100</v>
      </c>
      <c r="B1346" t="s">
        <v>256</v>
      </c>
    </row>
    <row r="1347" spans="1:2" x14ac:dyDescent="0.25">
      <c r="A1347">
        <v>3048100900</v>
      </c>
      <c r="B1347" t="s">
        <v>10</v>
      </c>
    </row>
    <row r="1348" spans="1:2" x14ac:dyDescent="0.25">
      <c r="A1348">
        <v>3048200</v>
      </c>
      <c r="B1348" t="e">
        <f>- - Truchas (Salmo trutta. Oncorhynchus mykiss. Oncorhynchus clarki. Oncorhynchus aguabonita. Oncorhynchus gilae. Oncorhynchus apache y Oncorhynchus chrysogaster)</f>
        <v>#NAME?</v>
      </c>
    </row>
    <row r="1349" spans="1:2" x14ac:dyDescent="0.25">
      <c r="A1349">
        <v>3048200100</v>
      </c>
      <c r="B1349" t="s">
        <v>382</v>
      </c>
    </row>
    <row r="1350" spans="1:2" x14ac:dyDescent="0.25">
      <c r="A1350">
        <v>3048200900</v>
      </c>
      <c r="B1350" t="s">
        <v>10</v>
      </c>
    </row>
    <row r="1351" spans="1:2" x14ac:dyDescent="0.25">
      <c r="A1351">
        <v>3048300000</v>
      </c>
      <c r="B1351" t="e">
        <f>--Pescados planos (Pleuronectidae. Bothidae. Cynoglossidae. Soleidae. Scophthalmidae y Citharidae)</f>
        <v>#NAME?</v>
      </c>
    </row>
    <row r="1352" spans="1:2" x14ac:dyDescent="0.25">
      <c r="A1352">
        <v>3048400000</v>
      </c>
      <c r="B1352" t="e">
        <f>--Peces Espada (Xiphias gladius)</f>
        <v>#NAME?</v>
      </c>
    </row>
    <row r="1353" spans="1:2" x14ac:dyDescent="0.25">
      <c r="A1353">
        <v>30485</v>
      </c>
      <c r="B1353" t="e">
        <f>- - Austromerluzas antarticas y Austromerluzas negras (Merluzas negras. Bacalaos de profundidad. nototenias negras)* (Dissostichus spp.)</f>
        <v>#NAME?</v>
      </c>
    </row>
    <row r="1354" spans="1:2" x14ac:dyDescent="0.25">
      <c r="A1354">
        <v>3048510</v>
      </c>
      <c r="B1354" t="s">
        <v>279</v>
      </c>
    </row>
    <row r="1355" spans="1:2" x14ac:dyDescent="0.25">
      <c r="A1355">
        <v>3048510100</v>
      </c>
      <c r="B1355" t="s">
        <v>422</v>
      </c>
    </row>
    <row r="1356" spans="1:2" x14ac:dyDescent="0.25">
      <c r="A1356">
        <v>3048510200</v>
      </c>
      <c r="B1356" t="s">
        <v>423</v>
      </c>
    </row>
    <row r="1357" spans="1:2" x14ac:dyDescent="0.25">
      <c r="A1357">
        <v>3048510900</v>
      </c>
      <c r="B1357" t="s">
        <v>10</v>
      </c>
    </row>
    <row r="1358" spans="1:2" x14ac:dyDescent="0.25">
      <c r="A1358">
        <v>3048520</v>
      </c>
      <c r="B1358" t="s">
        <v>280</v>
      </c>
    </row>
    <row r="1359" spans="1:2" x14ac:dyDescent="0.25">
      <c r="A1359">
        <v>3048520100</v>
      </c>
      <c r="B1359" t="s">
        <v>422</v>
      </c>
    </row>
    <row r="1360" spans="1:2" x14ac:dyDescent="0.25">
      <c r="A1360">
        <v>3048520200</v>
      </c>
      <c r="B1360" t="s">
        <v>423</v>
      </c>
    </row>
    <row r="1361" spans="1:2" x14ac:dyDescent="0.25">
      <c r="A1361">
        <v>3048520900</v>
      </c>
      <c r="B1361" t="s">
        <v>10</v>
      </c>
    </row>
    <row r="1362" spans="1:2" x14ac:dyDescent="0.25">
      <c r="A1362">
        <v>3048600000</v>
      </c>
      <c r="B1362" t="e">
        <f>--Arenques (Clupea harengus. Clupea pallasii)</f>
        <v>#NAME?</v>
      </c>
    </row>
    <row r="1363" spans="1:2" x14ac:dyDescent="0.25">
      <c r="A1363">
        <v>3048700000</v>
      </c>
      <c r="B1363" t="s">
        <v>424</v>
      </c>
    </row>
    <row r="1364" spans="1:2" x14ac:dyDescent="0.25">
      <c r="A1364">
        <v>30488</v>
      </c>
      <c r="B1364" t="e">
        <f>- - Cazones. demas escualos y Rayas (Rajidae)</f>
        <v>#NAME?</v>
      </c>
    </row>
    <row r="1365" spans="1:2" x14ac:dyDescent="0.25">
      <c r="A1365">
        <v>3048810000</v>
      </c>
      <c r="B1365" t="s">
        <v>339</v>
      </c>
    </row>
    <row r="1366" spans="1:2" x14ac:dyDescent="0.25">
      <c r="A1366">
        <v>3048890</v>
      </c>
      <c r="B1366" t="s">
        <v>10</v>
      </c>
    </row>
    <row r="1367" spans="1:2" x14ac:dyDescent="0.25">
      <c r="A1367">
        <v>30488901</v>
      </c>
      <c r="B1367" t="s">
        <v>425</v>
      </c>
    </row>
    <row r="1368" spans="1:2" x14ac:dyDescent="0.25">
      <c r="A1368">
        <v>3048890110</v>
      </c>
      <c r="B1368" t="s">
        <v>275</v>
      </c>
    </row>
    <row r="1369" spans="1:2" x14ac:dyDescent="0.25">
      <c r="A1369">
        <v>3048890120</v>
      </c>
      <c r="B1369" t="s">
        <v>276</v>
      </c>
    </row>
    <row r="1370" spans="1:2" x14ac:dyDescent="0.25">
      <c r="A1370">
        <v>3048890130</v>
      </c>
      <c r="B1370" t="s">
        <v>277</v>
      </c>
    </row>
    <row r="1371" spans="1:2" x14ac:dyDescent="0.25">
      <c r="A1371">
        <v>3048890140</v>
      </c>
      <c r="B1371" t="s">
        <v>278</v>
      </c>
    </row>
    <row r="1372" spans="1:2" x14ac:dyDescent="0.25">
      <c r="A1372">
        <v>3048890190</v>
      </c>
      <c r="B1372" t="s">
        <v>10</v>
      </c>
    </row>
    <row r="1373" spans="1:2" x14ac:dyDescent="0.25">
      <c r="A1373">
        <v>30488902</v>
      </c>
      <c r="B1373" t="s">
        <v>369</v>
      </c>
    </row>
    <row r="1374" spans="1:2" x14ac:dyDescent="0.25">
      <c r="A1374">
        <v>3048890210</v>
      </c>
      <c r="B1374" t="s">
        <v>426</v>
      </c>
    </row>
    <row r="1375" spans="1:2" x14ac:dyDescent="0.25">
      <c r="A1375">
        <v>3048890220</v>
      </c>
      <c r="B1375" t="s">
        <v>347</v>
      </c>
    </row>
    <row r="1376" spans="1:2" x14ac:dyDescent="0.25">
      <c r="A1376">
        <v>3048890290</v>
      </c>
      <c r="B1376" t="s">
        <v>10</v>
      </c>
    </row>
    <row r="1377" spans="1:2" x14ac:dyDescent="0.25">
      <c r="A1377">
        <v>30489</v>
      </c>
      <c r="B1377" t="e">
        <f>- - Los demas</f>
        <v>#NAME?</v>
      </c>
    </row>
    <row r="1378" spans="1:2" x14ac:dyDescent="0.25">
      <c r="A1378">
        <v>3048910000</v>
      </c>
      <c r="B1378" t="s">
        <v>283</v>
      </c>
    </row>
    <row r="1379" spans="1:2" x14ac:dyDescent="0.25">
      <c r="A1379">
        <v>3048920</v>
      </c>
      <c r="B1379" t="s">
        <v>285</v>
      </c>
    </row>
    <row r="1380" spans="1:2" x14ac:dyDescent="0.25">
      <c r="A1380">
        <v>3048920100</v>
      </c>
      <c r="B1380" t="s">
        <v>393</v>
      </c>
    </row>
    <row r="1381" spans="1:2" x14ac:dyDescent="0.25">
      <c r="A1381">
        <v>3048920200</v>
      </c>
      <c r="B1381" t="s">
        <v>394</v>
      </c>
    </row>
    <row r="1382" spans="1:2" x14ac:dyDescent="0.25">
      <c r="A1382">
        <v>3048920900</v>
      </c>
      <c r="B1382" t="s">
        <v>10</v>
      </c>
    </row>
    <row r="1383" spans="1:2" x14ac:dyDescent="0.25">
      <c r="A1383">
        <v>3048930</v>
      </c>
      <c r="B1383" t="s">
        <v>286</v>
      </c>
    </row>
    <row r="1384" spans="1:2" x14ac:dyDescent="0.25">
      <c r="A1384">
        <v>30489301</v>
      </c>
      <c r="B1384" t="s">
        <v>427</v>
      </c>
    </row>
    <row r="1385" spans="1:2" x14ac:dyDescent="0.25">
      <c r="A1385">
        <v>304893011</v>
      </c>
      <c r="B1385" t="s">
        <v>274</v>
      </c>
    </row>
    <row r="1386" spans="1:2" x14ac:dyDescent="0.25">
      <c r="A1386">
        <v>3048930111</v>
      </c>
      <c r="B1386" t="s">
        <v>419</v>
      </c>
    </row>
    <row r="1387" spans="1:2" x14ac:dyDescent="0.25">
      <c r="A1387">
        <v>3048930112</v>
      </c>
      <c r="B1387" t="s">
        <v>420</v>
      </c>
    </row>
    <row r="1388" spans="1:2" x14ac:dyDescent="0.25">
      <c r="A1388">
        <v>3048930113</v>
      </c>
      <c r="B1388" t="s">
        <v>417</v>
      </c>
    </row>
    <row r="1389" spans="1:2" x14ac:dyDescent="0.25">
      <c r="A1389">
        <v>3048930114</v>
      </c>
      <c r="B1389" t="s">
        <v>418</v>
      </c>
    </row>
    <row r="1390" spans="1:2" x14ac:dyDescent="0.25">
      <c r="A1390">
        <v>3048930119</v>
      </c>
      <c r="B1390" t="s">
        <v>10</v>
      </c>
    </row>
    <row r="1391" spans="1:2" x14ac:dyDescent="0.25">
      <c r="A1391">
        <v>304893019</v>
      </c>
      <c r="B1391" t="s">
        <v>10</v>
      </c>
    </row>
    <row r="1392" spans="1:2" x14ac:dyDescent="0.25">
      <c r="A1392">
        <v>3048930191</v>
      </c>
      <c r="B1392" t="s">
        <v>419</v>
      </c>
    </row>
    <row r="1393" spans="1:2" x14ac:dyDescent="0.25">
      <c r="A1393">
        <v>3048930192</v>
      </c>
      <c r="B1393" t="s">
        <v>420</v>
      </c>
    </row>
    <row r="1394" spans="1:2" x14ac:dyDescent="0.25">
      <c r="A1394">
        <v>3048930193</v>
      </c>
      <c r="B1394" t="s">
        <v>417</v>
      </c>
    </row>
    <row r="1395" spans="1:2" x14ac:dyDescent="0.25">
      <c r="A1395">
        <v>3048930194</v>
      </c>
      <c r="B1395" t="s">
        <v>418</v>
      </c>
    </row>
    <row r="1396" spans="1:2" x14ac:dyDescent="0.25">
      <c r="A1396">
        <v>3048930199</v>
      </c>
      <c r="B1396" t="s">
        <v>10</v>
      </c>
    </row>
    <row r="1397" spans="1:2" x14ac:dyDescent="0.25">
      <c r="A1397">
        <v>30489309</v>
      </c>
      <c r="B1397" t="s">
        <v>10</v>
      </c>
    </row>
    <row r="1398" spans="1:2" x14ac:dyDescent="0.25">
      <c r="A1398">
        <v>3048930910</v>
      </c>
      <c r="B1398" t="s">
        <v>393</v>
      </c>
    </row>
    <row r="1399" spans="1:2" x14ac:dyDescent="0.25">
      <c r="A1399">
        <v>3048930920</v>
      </c>
      <c r="B1399" t="s">
        <v>394</v>
      </c>
    </row>
    <row r="1400" spans="1:2" x14ac:dyDescent="0.25">
      <c r="A1400">
        <v>3048930990</v>
      </c>
      <c r="B1400" t="s">
        <v>10</v>
      </c>
    </row>
    <row r="1401" spans="1:2" x14ac:dyDescent="0.25">
      <c r="A1401">
        <v>3048990</v>
      </c>
      <c r="B1401" t="s">
        <v>10</v>
      </c>
    </row>
    <row r="1402" spans="1:2" x14ac:dyDescent="0.25">
      <c r="A1402">
        <v>30489901</v>
      </c>
      <c r="B1402" t="s">
        <v>314</v>
      </c>
    </row>
    <row r="1403" spans="1:2" x14ac:dyDescent="0.25">
      <c r="A1403">
        <v>3048990110</v>
      </c>
      <c r="B1403" t="s">
        <v>417</v>
      </c>
    </row>
    <row r="1404" spans="1:2" x14ac:dyDescent="0.25">
      <c r="A1404">
        <v>3048990120</v>
      </c>
      <c r="B1404" t="s">
        <v>418</v>
      </c>
    </row>
    <row r="1405" spans="1:2" x14ac:dyDescent="0.25">
      <c r="A1405">
        <v>3048990130</v>
      </c>
      <c r="B1405" t="s">
        <v>420</v>
      </c>
    </row>
    <row r="1406" spans="1:2" x14ac:dyDescent="0.25">
      <c r="A1406">
        <v>3048990140</v>
      </c>
      <c r="B1406" t="s">
        <v>428</v>
      </c>
    </row>
    <row r="1407" spans="1:2" x14ac:dyDescent="0.25">
      <c r="A1407">
        <v>3048990190</v>
      </c>
      <c r="B1407" t="s">
        <v>10</v>
      </c>
    </row>
    <row r="1408" spans="1:2" x14ac:dyDescent="0.25">
      <c r="A1408">
        <v>30489902</v>
      </c>
      <c r="B1408" t="s">
        <v>365</v>
      </c>
    </row>
    <row r="1409" spans="1:2" x14ac:dyDescent="0.25">
      <c r="A1409">
        <v>3048990210</v>
      </c>
      <c r="B1409" t="s">
        <v>399</v>
      </c>
    </row>
    <row r="1410" spans="1:2" x14ac:dyDescent="0.25">
      <c r="A1410">
        <v>3048990290</v>
      </c>
      <c r="B1410" t="s">
        <v>10</v>
      </c>
    </row>
    <row r="1411" spans="1:2" x14ac:dyDescent="0.25">
      <c r="A1411">
        <v>30489903</v>
      </c>
      <c r="B1411" t="s">
        <v>313</v>
      </c>
    </row>
    <row r="1412" spans="1:2" x14ac:dyDescent="0.25">
      <c r="A1412">
        <v>3048990310</v>
      </c>
      <c r="B1412" t="s">
        <v>399</v>
      </c>
    </row>
    <row r="1413" spans="1:2" x14ac:dyDescent="0.25">
      <c r="A1413">
        <v>3048990390</v>
      </c>
      <c r="B1413" t="s">
        <v>10</v>
      </c>
    </row>
    <row r="1414" spans="1:2" x14ac:dyDescent="0.25">
      <c r="A1414">
        <v>30489904</v>
      </c>
      <c r="B1414" t="s">
        <v>429</v>
      </c>
    </row>
    <row r="1415" spans="1:2" x14ac:dyDescent="0.25">
      <c r="A1415">
        <v>3048990410</v>
      </c>
      <c r="B1415" t="s">
        <v>417</v>
      </c>
    </row>
    <row r="1416" spans="1:2" x14ac:dyDescent="0.25">
      <c r="A1416">
        <v>3048990420</v>
      </c>
      <c r="B1416" t="s">
        <v>418</v>
      </c>
    </row>
    <row r="1417" spans="1:2" x14ac:dyDescent="0.25">
      <c r="A1417">
        <v>3048990430</v>
      </c>
      <c r="B1417" t="s">
        <v>419</v>
      </c>
    </row>
    <row r="1418" spans="1:2" x14ac:dyDescent="0.25">
      <c r="A1418">
        <v>3048990490</v>
      </c>
      <c r="B1418" t="s">
        <v>10</v>
      </c>
    </row>
    <row r="1419" spans="1:2" x14ac:dyDescent="0.25">
      <c r="A1419">
        <v>3048990500</v>
      </c>
      <c r="B1419" t="s">
        <v>430</v>
      </c>
    </row>
    <row r="1420" spans="1:2" x14ac:dyDescent="0.25">
      <c r="A1420">
        <v>30489906</v>
      </c>
      <c r="B1420" t="s">
        <v>431</v>
      </c>
    </row>
    <row r="1421" spans="1:2" x14ac:dyDescent="0.25">
      <c r="A1421">
        <v>3048990610</v>
      </c>
      <c r="B1421" t="s">
        <v>417</v>
      </c>
    </row>
    <row r="1422" spans="1:2" x14ac:dyDescent="0.25">
      <c r="A1422">
        <v>3048990620</v>
      </c>
      <c r="B1422" t="s">
        <v>418</v>
      </c>
    </row>
    <row r="1423" spans="1:2" x14ac:dyDescent="0.25">
      <c r="A1423">
        <v>3048990630</v>
      </c>
      <c r="B1423" t="s">
        <v>419</v>
      </c>
    </row>
    <row r="1424" spans="1:2" x14ac:dyDescent="0.25">
      <c r="A1424">
        <v>3048990640</v>
      </c>
      <c r="B1424" t="s">
        <v>432</v>
      </c>
    </row>
    <row r="1425" spans="1:2" x14ac:dyDescent="0.25">
      <c r="A1425">
        <v>3048990690</v>
      </c>
      <c r="B1425" t="s">
        <v>10</v>
      </c>
    </row>
    <row r="1426" spans="1:2" x14ac:dyDescent="0.25">
      <c r="A1426">
        <v>30489907</v>
      </c>
      <c r="B1426" t="s">
        <v>433</v>
      </c>
    </row>
    <row r="1427" spans="1:2" x14ac:dyDescent="0.25">
      <c r="A1427">
        <v>3048990710</v>
      </c>
      <c r="B1427" t="s">
        <v>307</v>
      </c>
    </row>
    <row r="1428" spans="1:2" x14ac:dyDescent="0.25">
      <c r="A1428">
        <v>3048990720</v>
      </c>
      <c r="B1428" t="s">
        <v>363</v>
      </c>
    </row>
    <row r="1429" spans="1:2" x14ac:dyDescent="0.25">
      <c r="A1429">
        <v>3048990730</v>
      </c>
      <c r="B1429" t="s">
        <v>296</v>
      </c>
    </row>
    <row r="1430" spans="1:2" x14ac:dyDescent="0.25">
      <c r="A1430">
        <v>3048990740</v>
      </c>
      <c r="B1430" t="s">
        <v>309</v>
      </c>
    </row>
    <row r="1431" spans="1:2" x14ac:dyDescent="0.25">
      <c r="A1431">
        <v>3048990750</v>
      </c>
      <c r="B1431" t="s">
        <v>364</v>
      </c>
    </row>
    <row r="1432" spans="1:2" x14ac:dyDescent="0.25">
      <c r="A1432">
        <v>3048990760</v>
      </c>
      <c r="B1432" t="s">
        <v>311</v>
      </c>
    </row>
    <row r="1433" spans="1:2" x14ac:dyDescent="0.25">
      <c r="A1433">
        <v>3048990770</v>
      </c>
      <c r="B1433" t="s">
        <v>312</v>
      </c>
    </row>
    <row r="1434" spans="1:2" x14ac:dyDescent="0.25">
      <c r="A1434">
        <v>3048990780</v>
      </c>
      <c r="B1434" t="s">
        <v>290</v>
      </c>
    </row>
    <row r="1435" spans="1:2" x14ac:dyDescent="0.25">
      <c r="A1435">
        <v>3048990790</v>
      </c>
      <c r="B1435" t="s">
        <v>293</v>
      </c>
    </row>
    <row r="1436" spans="1:2" x14ac:dyDescent="0.25">
      <c r="A1436">
        <v>3048990800</v>
      </c>
      <c r="B1436" t="s">
        <v>388</v>
      </c>
    </row>
    <row r="1437" spans="1:2" x14ac:dyDescent="0.25">
      <c r="A1437">
        <v>30489909</v>
      </c>
      <c r="B1437" t="s">
        <v>10</v>
      </c>
    </row>
    <row r="1438" spans="1:2" x14ac:dyDescent="0.25">
      <c r="A1438">
        <v>3048990950</v>
      </c>
      <c r="B1438" t="s">
        <v>361</v>
      </c>
    </row>
    <row r="1439" spans="1:2" x14ac:dyDescent="0.25">
      <c r="A1439">
        <v>3048990960</v>
      </c>
      <c r="B1439" t="s">
        <v>362</v>
      </c>
    </row>
    <row r="1440" spans="1:2" x14ac:dyDescent="0.25">
      <c r="A1440">
        <v>3048990970</v>
      </c>
      <c r="B1440" t="s">
        <v>434</v>
      </c>
    </row>
    <row r="1441" spans="1:2" x14ac:dyDescent="0.25">
      <c r="A1441">
        <v>3048990980</v>
      </c>
      <c r="B1441" t="s">
        <v>315</v>
      </c>
    </row>
    <row r="1442" spans="1:2" x14ac:dyDescent="0.25">
      <c r="A1442">
        <v>3048990990</v>
      </c>
      <c r="B1442" t="s">
        <v>10</v>
      </c>
    </row>
    <row r="1443" spans="1:2" x14ac:dyDescent="0.25">
      <c r="A1443">
        <v>3049</v>
      </c>
      <c r="B1443" t="s">
        <v>435</v>
      </c>
    </row>
    <row r="1444" spans="1:2" x14ac:dyDescent="0.25">
      <c r="A1444">
        <v>3049100</v>
      </c>
      <c r="B1444" t="e">
        <f>- - Peces Espada (Xiphias gladius)</f>
        <v>#NAME?</v>
      </c>
    </row>
    <row r="1445" spans="1:2" x14ac:dyDescent="0.25">
      <c r="A1445">
        <v>3049100100</v>
      </c>
      <c r="B1445" t="s">
        <v>436</v>
      </c>
    </row>
    <row r="1446" spans="1:2" x14ac:dyDescent="0.25">
      <c r="A1446">
        <v>3049100200</v>
      </c>
      <c r="B1446" t="s">
        <v>437</v>
      </c>
    </row>
    <row r="1447" spans="1:2" x14ac:dyDescent="0.25">
      <c r="A1447">
        <v>3049100900</v>
      </c>
      <c r="B1447" t="s">
        <v>10</v>
      </c>
    </row>
    <row r="1448" spans="1:2" x14ac:dyDescent="0.25">
      <c r="A1448">
        <v>30492</v>
      </c>
      <c r="B1448" t="e">
        <f>- - Austromerluzas antarticas y Austromerluzas negras (Merluzas negras. Bacalaos de profundidad. nototenias negras)* (Dissostichus spp.)</f>
        <v>#NAME?</v>
      </c>
    </row>
    <row r="1449" spans="1:2" x14ac:dyDescent="0.25">
      <c r="A1449">
        <v>304921</v>
      </c>
      <c r="B1449" t="s">
        <v>279</v>
      </c>
    </row>
    <row r="1450" spans="1:2" x14ac:dyDescent="0.25">
      <c r="A1450">
        <v>3049211000</v>
      </c>
      <c r="B1450" t="s">
        <v>438</v>
      </c>
    </row>
    <row r="1451" spans="1:2" x14ac:dyDescent="0.25">
      <c r="A1451">
        <v>3049212</v>
      </c>
      <c r="B1451" t="s">
        <v>439</v>
      </c>
    </row>
    <row r="1452" spans="1:2" x14ac:dyDescent="0.25">
      <c r="A1452">
        <v>3049212100</v>
      </c>
      <c r="B1452" t="s">
        <v>440</v>
      </c>
    </row>
    <row r="1453" spans="1:2" x14ac:dyDescent="0.25">
      <c r="A1453">
        <v>3049212900</v>
      </c>
      <c r="B1453" t="s">
        <v>10</v>
      </c>
    </row>
    <row r="1454" spans="1:2" x14ac:dyDescent="0.25">
      <c r="A1454">
        <v>3049219</v>
      </c>
      <c r="B1454" t="s">
        <v>10</v>
      </c>
    </row>
    <row r="1455" spans="1:2" x14ac:dyDescent="0.25">
      <c r="A1455">
        <v>3049219100</v>
      </c>
      <c r="B1455" t="s">
        <v>436</v>
      </c>
    </row>
    <row r="1456" spans="1:2" x14ac:dyDescent="0.25">
      <c r="A1456">
        <v>3049219200</v>
      </c>
      <c r="B1456" t="s">
        <v>437</v>
      </c>
    </row>
    <row r="1457" spans="1:2" x14ac:dyDescent="0.25">
      <c r="A1457">
        <v>3049219900</v>
      </c>
      <c r="B1457" t="s">
        <v>10</v>
      </c>
    </row>
    <row r="1458" spans="1:2" x14ac:dyDescent="0.25">
      <c r="A1458">
        <v>304922</v>
      </c>
      <c r="B1458" t="s">
        <v>280</v>
      </c>
    </row>
    <row r="1459" spans="1:2" x14ac:dyDescent="0.25">
      <c r="A1459">
        <v>3049221000</v>
      </c>
      <c r="B1459" t="s">
        <v>438</v>
      </c>
    </row>
    <row r="1460" spans="1:2" x14ac:dyDescent="0.25">
      <c r="A1460">
        <v>3049222</v>
      </c>
      <c r="B1460" t="s">
        <v>439</v>
      </c>
    </row>
    <row r="1461" spans="1:2" x14ac:dyDescent="0.25">
      <c r="A1461">
        <v>3049222100</v>
      </c>
      <c r="B1461" t="s">
        <v>440</v>
      </c>
    </row>
    <row r="1462" spans="1:2" x14ac:dyDescent="0.25">
      <c r="A1462">
        <v>3049222900</v>
      </c>
      <c r="B1462" t="s">
        <v>10</v>
      </c>
    </row>
    <row r="1463" spans="1:2" x14ac:dyDescent="0.25">
      <c r="A1463">
        <v>3049229</v>
      </c>
      <c r="B1463" t="s">
        <v>10</v>
      </c>
    </row>
    <row r="1464" spans="1:2" x14ac:dyDescent="0.25">
      <c r="A1464">
        <v>3049229100</v>
      </c>
      <c r="B1464" t="s">
        <v>436</v>
      </c>
    </row>
    <row r="1465" spans="1:2" x14ac:dyDescent="0.25">
      <c r="A1465">
        <v>3049229200</v>
      </c>
      <c r="B1465" t="s">
        <v>437</v>
      </c>
    </row>
    <row r="1466" spans="1:2" x14ac:dyDescent="0.25">
      <c r="A1466">
        <v>3049229900</v>
      </c>
      <c r="B1466" t="s">
        <v>10</v>
      </c>
    </row>
    <row r="1467" spans="1:2" x14ac:dyDescent="0.25">
      <c r="A1467">
        <v>3049300000</v>
      </c>
      <c r="B1467" t="s">
        <v>441</v>
      </c>
    </row>
    <row r="1468" spans="1:2" x14ac:dyDescent="0.25">
      <c r="A1468">
        <v>3049400</v>
      </c>
      <c r="B1468" t="e">
        <f>--Abadejos de Alaska (Theragra chalcogramma)</f>
        <v>#NAME?</v>
      </c>
    </row>
    <row r="1469" spans="1:2" x14ac:dyDescent="0.25">
      <c r="A1469">
        <v>3049400100</v>
      </c>
      <c r="B1469" t="s">
        <v>442</v>
      </c>
    </row>
    <row r="1470" spans="1:2" x14ac:dyDescent="0.25">
      <c r="A1470">
        <v>3049400900</v>
      </c>
      <c r="B1470" t="s">
        <v>10</v>
      </c>
    </row>
    <row r="1471" spans="1:2" x14ac:dyDescent="0.25">
      <c r="A1471">
        <v>3049500</v>
      </c>
      <c r="B1471" t="e">
        <f>- - Pescados de las familias Bregmacerotidae. Euclichthyidae. Gadidae. Macrouridae. Melanonidae. Merlucciidae. Moridae y Muraenolepididae. excepto Los Abadejos de Alaska (Theragra chalcogramma)</f>
        <v>#NAME?</v>
      </c>
    </row>
    <row r="1472" spans="1:2" x14ac:dyDescent="0.25">
      <c r="A1472">
        <v>30495001</v>
      </c>
      <c r="B1472" t="s">
        <v>443</v>
      </c>
    </row>
    <row r="1473" spans="1:2" x14ac:dyDescent="0.25">
      <c r="A1473">
        <v>304950011</v>
      </c>
      <c r="B1473" t="s">
        <v>444</v>
      </c>
    </row>
    <row r="1474" spans="1:2" x14ac:dyDescent="0.25">
      <c r="A1474">
        <v>3049500112</v>
      </c>
      <c r="B1474" t="s">
        <v>391</v>
      </c>
    </row>
    <row r="1475" spans="1:2" x14ac:dyDescent="0.25">
      <c r="A1475">
        <v>3049500119</v>
      </c>
      <c r="B1475" t="s">
        <v>10</v>
      </c>
    </row>
    <row r="1476" spans="1:2" x14ac:dyDescent="0.25">
      <c r="A1476">
        <v>304950012</v>
      </c>
      <c r="B1476" t="s">
        <v>445</v>
      </c>
    </row>
    <row r="1477" spans="1:2" x14ac:dyDescent="0.25">
      <c r="A1477">
        <v>3049500121</v>
      </c>
      <c r="B1477" t="s">
        <v>446</v>
      </c>
    </row>
    <row r="1478" spans="1:2" x14ac:dyDescent="0.25">
      <c r="A1478">
        <v>3049500129</v>
      </c>
      <c r="B1478" t="s">
        <v>10</v>
      </c>
    </row>
    <row r="1479" spans="1:2" x14ac:dyDescent="0.25">
      <c r="A1479">
        <v>304950019</v>
      </c>
      <c r="B1479" t="s">
        <v>10</v>
      </c>
    </row>
    <row r="1480" spans="1:2" x14ac:dyDescent="0.25">
      <c r="A1480">
        <v>3049500191</v>
      </c>
      <c r="B1480" t="s">
        <v>447</v>
      </c>
    </row>
    <row r="1481" spans="1:2" x14ac:dyDescent="0.25">
      <c r="A1481">
        <v>3049500192</v>
      </c>
      <c r="B1481" t="s">
        <v>446</v>
      </c>
    </row>
    <row r="1482" spans="1:2" x14ac:dyDescent="0.25">
      <c r="A1482">
        <v>3049500199</v>
      </c>
      <c r="B1482" t="s">
        <v>10</v>
      </c>
    </row>
    <row r="1483" spans="1:2" x14ac:dyDescent="0.25">
      <c r="A1483">
        <v>30495009</v>
      </c>
      <c r="B1483" t="s">
        <v>10</v>
      </c>
    </row>
    <row r="1484" spans="1:2" x14ac:dyDescent="0.25">
      <c r="A1484">
        <v>304950091</v>
      </c>
      <c r="B1484" t="s">
        <v>448</v>
      </c>
    </row>
    <row r="1485" spans="1:2" x14ac:dyDescent="0.25">
      <c r="A1485">
        <v>3049500911</v>
      </c>
      <c r="B1485" t="s">
        <v>270</v>
      </c>
    </row>
    <row r="1486" spans="1:2" x14ac:dyDescent="0.25">
      <c r="A1486">
        <v>3049500912</v>
      </c>
      <c r="B1486" t="s">
        <v>268</v>
      </c>
    </row>
    <row r="1487" spans="1:2" x14ac:dyDescent="0.25">
      <c r="A1487">
        <v>3049500919</v>
      </c>
      <c r="B1487" t="s">
        <v>10</v>
      </c>
    </row>
    <row r="1488" spans="1:2" x14ac:dyDescent="0.25">
      <c r="A1488">
        <v>304950092</v>
      </c>
      <c r="B1488" t="s">
        <v>449</v>
      </c>
    </row>
    <row r="1489" spans="1:2" x14ac:dyDescent="0.25">
      <c r="A1489">
        <v>3049500921</v>
      </c>
      <c r="B1489" t="s">
        <v>270</v>
      </c>
    </row>
    <row r="1490" spans="1:2" x14ac:dyDescent="0.25">
      <c r="A1490">
        <v>3049500922</v>
      </c>
      <c r="B1490" t="s">
        <v>268</v>
      </c>
    </row>
    <row r="1491" spans="1:2" x14ac:dyDescent="0.25">
      <c r="A1491">
        <v>3049500929</v>
      </c>
      <c r="B1491" t="s">
        <v>10</v>
      </c>
    </row>
    <row r="1492" spans="1:2" x14ac:dyDescent="0.25">
      <c r="A1492">
        <v>3049500930</v>
      </c>
      <c r="B1492" t="s">
        <v>442</v>
      </c>
    </row>
    <row r="1493" spans="1:2" x14ac:dyDescent="0.25">
      <c r="A1493">
        <v>304950099</v>
      </c>
      <c r="B1493" t="s">
        <v>10</v>
      </c>
    </row>
    <row r="1494" spans="1:2" x14ac:dyDescent="0.25">
      <c r="A1494">
        <v>3049500991</v>
      </c>
      <c r="B1494" t="s">
        <v>270</v>
      </c>
    </row>
    <row r="1495" spans="1:2" x14ac:dyDescent="0.25">
      <c r="A1495">
        <v>3049500992</v>
      </c>
      <c r="B1495" t="s">
        <v>268</v>
      </c>
    </row>
    <row r="1496" spans="1:2" x14ac:dyDescent="0.25">
      <c r="A1496">
        <v>3049500999</v>
      </c>
      <c r="B1496" t="s">
        <v>10</v>
      </c>
    </row>
    <row r="1497" spans="1:2" x14ac:dyDescent="0.25">
      <c r="A1497">
        <v>3049600</v>
      </c>
      <c r="B1497" t="e">
        <f>- - Cazones y demas escualos.</f>
        <v>#NAME?</v>
      </c>
    </row>
    <row r="1498" spans="1:2" x14ac:dyDescent="0.25">
      <c r="A1498">
        <v>3049600100</v>
      </c>
      <c r="B1498" t="s">
        <v>275</v>
      </c>
    </row>
    <row r="1499" spans="1:2" x14ac:dyDescent="0.25">
      <c r="A1499">
        <v>3049600200</v>
      </c>
      <c r="B1499" t="s">
        <v>276</v>
      </c>
    </row>
    <row r="1500" spans="1:2" x14ac:dyDescent="0.25">
      <c r="A1500">
        <v>3049600300</v>
      </c>
      <c r="B1500" t="s">
        <v>277</v>
      </c>
    </row>
    <row r="1501" spans="1:2" x14ac:dyDescent="0.25">
      <c r="A1501">
        <v>3049600400</v>
      </c>
      <c r="B1501" t="s">
        <v>278</v>
      </c>
    </row>
    <row r="1502" spans="1:2" x14ac:dyDescent="0.25">
      <c r="A1502">
        <v>3049600900</v>
      </c>
      <c r="B1502" t="s">
        <v>10</v>
      </c>
    </row>
    <row r="1503" spans="1:2" x14ac:dyDescent="0.25">
      <c r="A1503">
        <v>3049700</v>
      </c>
      <c r="B1503" t="s">
        <v>450</v>
      </c>
    </row>
    <row r="1504" spans="1:2" x14ac:dyDescent="0.25">
      <c r="A1504">
        <v>3049700100</v>
      </c>
      <c r="B1504" t="s">
        <v>436</v>
      </c>
    </row>
    <row r="1505" spans="1:2" x14ac:dyDescent="0.25">
      <c r="A1505">
        <v>3049700200</v>
      </c>
      <c r="B1505" t="s">
        <v>437</v>
      </c>
    </row>
    <row r="1506" spans="1:2" x14ac:dyDescent="0.25">
      <c r="A1506">
        <v>3049700900</v>
      </c>
      <c r="B1506" t="s">
        <v>10</v>
      </c>
    </row>
    <row r="1507" spans="1:2" x14ac:dyDescent="0.25">
      <c r="A1507">
        <v>3049900</v>
      </c>
      <c r="B1507" t="e">
        <f>- - Los demas</f>
        <v>#NAME?</v>
      </c>
    </row>
    <row r="1508" spans="1:2" x14ac:dyDescent="0.25">
      <c r="A1508">
        <v>30499003</v>
      </c>
      <c r="B1508" t="s">
        <v>314</v>
      </c>
    </row>
    <row r="1509" spans="1:2" x14ac:dyDescent="0.25">
      <c r="A1509">
        <v>304990031</v>
      </c>
      <c r="B1509" t="s">
        <v>451</v>
      </c>
    </row>
    <row r="1510" spans="1:2" x14ac:dyDescent="0.25">
      <c r="A1510">
        <v>3049900313</v>
      </c>
      <c r="B1510" t="s">
        <v>452</v>
      </c>
    </row>
    <row r="1511" spans="1:2" x14ac:dyDescent="0.25">
      <c r="A1511">
        <v>3049900319</v>
      </c>
      <c r="B1511" t="s">
        <v>10</v>
      </c>
    </row>
    <row r="1512" spans="1:2" x14ac:dyDescent="0.25">
      <c r="A1512">
        <v>304990039</v>
      </c>
      <c r="B1512" t="s">
        <v>10</v>
      </c>
    </row>
    <row r="1513" spans="1:2" x14ac:dyDescent="0.25">
      <c r="A1513">
        <v>3049900393</v>
      </c>
      <c r="B1513" t="s">
        <v>452</v>
      </c>
    </row>
    <row r="1514" spans="1:2" x14ac:dyDescent="0.25">
      <c r="A1514">
        <v>3049900399</v>
      </c>
      <c r="B1514" t="s">
        <v>10</v>
      </c>
    </row>
    <row r="1515" spans="1:2" x14ac:dyDescent="0.25">
      <c r="A1515">
        <v>30499009</v>
      </c>
      <c r="B1515" t="s">
        <v>10</v>
      </c>
    </row>
    <row r="1516" spans="1:2" x14ac:dyDescent="0.25">
      <c r="A1516">
        <v>304990091</v>
      </c>
      <c r="B1516" t="s">
        <v>448</v>
      </c>
    </row>
    <row r="1517" spans="1:2" x14ac:dyDescent="0.25">
      <c r="A1517">
        <v>3049900911</v>
      </c>
      <c r="B1517" t="s">
        <v>313</v>
      </c>
    </row>
    <row r="1518" spans="1:2" x14ac:dyDescent="0.25">
      <c r="A1518">
        <v>3049900913</v>
      </c>
      <c r="B1518" t="s">
        <v>315</v>
      </c>
    </row>
    <row r="1519" spans="1:2" x14ac:dyDescent="0.25">
      <c r="A1519">
        <v>3049900919</v>
      </c>
      <c r="B1519" t="s">
        <v>10</v>
      </c>
    </row>
    <row r="1520" spans="1:2" x14ac:dyDescent="0.25">
      <c r="A1520">
        <v>304990092</v>
      </c>
      <c r="B1520" t="s">
        <v>449</v>
      </c>
    </row>
    <row r="1521" spans="1:2" x14ac:dyDescent="0.25">
      <c r="A1521">
        <v>3049900921</v>
      </c>
      <c r="B1521" t="s">
        <v>313</v>
      </c>
    </row>
    <row r="1522" spans="1:2" x14ac:dyDescent="0.25">
      <c r="A1522">
        <v>3049900923</v>
      </c>
      <c r="B1522" t="s">
        <v>315</v>
      </c>
    </row>
    <row r="1523" spans="1:2" x14ac:dyDescent="0.25">
      <c r="A1523">
        <v>3049900929</v>
      </c>
      <c r="B1523" t="s">
        <v>10</v>
      </c>
    </row>
    <row r="1524" spans="1:2" x14ac:dyDescent="0.25">
      <c r="A1524">
        <v>304990099</v>
      </c>
      <c r="B1524" t="s">
        <v>10</v>
      </c>
    </row>
    <row r="1525" spans="1:2" x14ac:dyDescent="0.25">
      <c r="A1525">
        <v>3049900991</v>
      </c>
      <c r="B1525" t="s">
        <v>313</v>
      </c>
    </row>
    <row r="1526" spans="1:2" x14ac:dyDescent="0.25">
      <c r="A1526">
        <v>3049900993</v>
      </c>
      <c r="B1526" t="s">
        <v>315</v>
      </c>
    </row>
    <row r="1527" spans="1:2" x14ac:dyDescent="0.25">
      <c r="A1527">
        <v>3049900999</v>
      </c>
      <c r="B1527" t="s">
        <v>10</v>
      </c>
    </row>
    <row r="1528" spans="1:2" x14ac:dyDescent="0.25">
      <c r="A1528">
        <v>305</v>
      </c>
      <c r="B1528" t="s">
        <v>453</v>
      </c>
    </row>
    <row r="1529" spans="1:2" x14ac:dyDescent="0.25">
      <c r="A1529">
        <v>3051000</v>
      </c>
      <c r="B1529" t="s">
        <v>454</v>
      </c>
    </row>
    <row r="1530" spans="1:2" x14ac:dyDescent="0.25">
      <c r="A1530">
        <v>3051000100</v>
      </c>
      <c r="B1530" t="s">
        <v>455</v>
      </c>
    </row>
    <row r="1531" spans="1:2" x14ac:dyDescent="0.25">
      <c r="A1531">
        <v>3051000200</v>
      </c>
      <c r="B1531" t="s">
        <v>456</v>
      </c>
    </row>
    <row r="1532" spans="1:2" x14ac:dyDescent="0.25">
      <c r="A1532">
        <v>3051000900</v>
      </c>
      <c r="B1532" t="s">
        <v>10</v>
      </c>
    </row>
    <row r="1533" spans="1:2" x14ac:dyDescent="0.25">
      <c r="A1533">
        <v>3052000</v>
      </c>
      <c r="B1533" t="e">
        <f>- Higados. huevas y lechas. de pescado. secos. ahumados. salados o En salmuera</f>
        <v>#NAME?</v>
      </c>
    </row>
    <row r="1534" spans="1:2" x14ac:dyDescent="0.25">
      <c r="A1534">
        <v>3052000100</v>
      </c>
      <c r="B1534" t="s">
        <v>317</v>
      </c>
    </row>
    <row r="1535" spans="1:2" x14ac:dyDescent="0.25">
      <c r="A1535">
        <v>3052000900</v>
      </c>
      <c r="B1535" t="s">
        <v>10</v>
      </c>
    </row>
    <row r="1536" spans="1:2" x14ac:dyDescent="0.25">
      <c r="A1536">
        <v>3053</v>
      </c>
      <c r="B1536" t="s">
        <v>457</v>
      </c>
    </row>
    <row r="1537" spans="1:2" x14ac:dyDescent="0.25">
      <c r="A1537">
        <v>3053100000</v>
      </c>
      <c r="B1537" t="s">
        <v>390</v>
      </c>
    </row>
    <row r="1538" spans="1:2" x14ac:dyDescent="0.25">
      <c r="A1538">
        <v>30532</v>
      </c>
      <c r="B1538" t="e">
        <f>- - Pescados de las familias Bregmacerotidae. Euclichthyidae. Gadidae. Macrouridae. Melanonidae. Merlucciidae. Moridae y Muraenolepididae</f>
        <v>#NAME?</v>
      </c>
    </row>
    <row r="1539" spans="1:2" x14ac:dyDescent="0.25">
      <c r="A1539">
        <v>3053210000</v>
      </c>
      <c r="B1539" t="s">
        <v>458</v>
      </c>
    </row>
    <row r="1540" spans="1:2" x14ac:dyDescent="0.25">
      <c r="A1540">
        <v>3053220000</v>
      </c>
      <c r="B1540" t="s">
        <v>459</v>
      </c>
    </row>
    <row r="1541" spans="1:2" x14ac:dyDescent="0.25">
      <c r="A1541">
        <v>3053230000</v>
      </c>
      <c r="B1541" t="s">
        <v>460</v>
      </c>
    </row>
    <row r="1542" spans="1:2" x14ac:dyDescent="0.25">
      <c r="A1542">
        <v>3053290</v>
      </c>
      <c r="B1542" t="s">
        <v>10</v>
      </c>
    </row>
    <row r="1543" spans="1:2" x14ac:dyDescent="0.25">
      <c r="A1543">
        <v>3053290100</v>
      </c>
      <c r="B1543" t="s">
        <v>461</v>
      </c>
    </row>
    <row r="1544" spans="1:2" x14ac:dyDescent="0.25">
      <c r="A1544">
        <v>3053290200</v>
      </c>
      <c r="B1544" t="s">
        <v>270</v>
      </c>
    </row>
    <row r="1545" spans="1:2" x14ac:dyDescent="0.25">
      <c r="A1545">
        <v>3053290300</v>
      </c>
      <c r="B1545" t="s">
        <v>268</v>
      </c>
    </row>
    <row r="1546" spans="1:2" x14ac:dyDescent="0.25">
      <c r="A1546">
        <v>3053290900</v>
      </c>
      <c r="B1546" t="s">
        <v>10</v>
      </c>
    </row>
    <row r="1547" spans="1:2" x14ac:dyDescent="0.25">
      <c r="A1547">
        <v>3053900</v>
      </c>
      <c r="B1547" t="e">
        <f>- - Los demas</f>
        <v>#NAME?</v>
      </c>
    </row>
    <row r="1548" spans="1:2" x14ac:dyDescent="0.25">
      <c r="A1548">
        <v>3053900100</v>
      </c>
      <c r="B1548" t="s">
        <v>455</v>
      </c>
    </row>
    <row r="1549" spans="1:2" x14ac:dyDescent="0.25">
      <c r="A1549">
        <v>3053900200</v>
      </c>
      <c r="B1549" t="s">
        <v>456</v>
      </c>
    </row>
    <row r="1550" spans="1:2" x14ac:dyDescent="0.25">
      <c r="A1550">
        <v>3053900300</v>
      </c>
      <c r="B1550" t="s">
        <v>462</v>
      </c>
    </row>
    <row r="1551" spans="1:2" x14ac:dyDescent="0.25">
      <c r="A1551">
        <v>30539004</v>
      </c>
      <c r="B1551" t="s">
        <v>463</v>
      </c>
    </row>
    <row r="1552" spans="1:2" x14ac:dyDescent="0.25">
      <c r="A1552">
        <v>3053900410</v>
      </c>
      <c r="B1552" t="s">
        <v>307</v>
      </c>
    </row>
    <row r="1553" spans="1:2" x14ac:dyDescent="0.25">
      <c r="A1553">
        <v>3053900420</v>
      </c>
      <c r="B1553" t="s">
        <v>363</v>
      </c>
    </row>
    <row r="1554" spans="1:2" x14ac:dyDescent="0.25">
      <c r="A1554">
        <v>3053900430</v>
      </c>
      <c r="B1554" t="s">
        <v>296</v>
      </c>
    </row>
    <row r="1555" spans="1:2" x14ac:dyDescent="0.25">
      <c r="A1555">
        <v>3053900440</v>
      </c>
      <c r="B1555" t="s">
        <v>309</v>
      </c>
    </row>
    <row r="1556" spans="1:2" x14ac:dyDescent="0.25">
      <c r="A1556">
        <v>3053900450</v>
      </c>
      <c r="B1556" t="s">
        <v>364</v>
      </c>
    </row>
    <row r="1557" spans="1:2" x14ac:dyDescent="0.25">
      <c r="A1557">
        <v>3053900460</v>
      </c>
      <c r="B1557" t="s">
        <v>311</v>
      </c>
    </row>
    <row r="1558" spans="1:2" x14ac:dyDescent="0.25">
      <c r="A1558">
        <v>3053900470</v>
      </c>
      <c r="B1558" t="s">
        <v>312</v>
      </c>
    </row>
    <row r="1559" spans="1:2" x14ac:dyDescent="0.25">
      <c r="A1559">
        <v>3053900480</v>
      </c>
      <c r="B1559" t="s">
        <v>290</v>
      </c>
    </row>
    <row r="1560" spans="1:2" x14ac:dyDescent="0.25">
      <c r="A1560">
        <v>3053900490</v>
      </c>
      <c r="B1560" t="s">
        <v>293</v>
      </c>
    </row>
    <row r="1561" spans="1:2" x14ac:dyDescent="0.25">
      <c r="A1561">
        <v>3053900500</v>
      </c>
      <c r="B1561" t="s">
        <v>388</v>
      </c>
    </row>
    <row r="1562" spans="1:2" x14ac:dyDescent="0.25">
      <c r="A1562">
        <v>3053900600</v>
      </c>
      <c r="B1562" t="s">
        <v>313</v>
      </c>
    </row>
    <row r="1563" spans="1:2" x14ac:dyDescent="0.25">
      <c r="A1563">
        <v>3053900700</v>
      </c>
      <c r="B1563" t="s">
        <v>314</v>
      </c>
    </row>
    <row r="1564" spans="1:2" x14ac:dyDescent="0.25">
      <c r="A1564">
        <v>30539008</v>
      </c>
      <c r="B1564" t="s">
        <v>464</v>
      </c>
    </row>
    <row r="1565" spans="1:2" x14ac:dyDescent="0.25">
      <c r="A1565">
        <v>3053900810</v>
      </c>
      <c r="B1565" t="s">
        <v>369</v>
      </c>
    </row>
    <row r="1566" spans="1:2" x14ac:dyDescent="0.25">
      <c r="A1566">
        <v>3053900890</v>
      </c>
      <c r="B1566" t="s">
        <v>10</v>
      </c>
    </row>
    <row r="1567" spans="1:2" x14ac:dyDescent="0.25">
      <c r="A1567">
        <v>3053900900</v>
      </c>
      <c r="B1567" t="s">
        <v>10</v>
      </c>
    </row>
    <row r="1568" spans="1:2" x14ac:dyDescent="0.25">
      <c r="A1568">
        <v>3054</v>
      </c>
      <c r="B1568" t="s">
        <v>465</v>
      </c>
    </row>
    <row r="1569" spans="1:2" x14ac:dyDescent="0.25">
      <c r="A1569">
        <v>3054100</v>
      </c>
      <c r="B1569" t="s">
        <v>381</v>
      </c>
    </row>
    <row r="1570" spans="1:2" x14ac:dyDescent="0.25">
      <c r="A1570">
        <v>3054100100</v>
      </c>
      <c r="B1570" t="s">
        <v>256</v>
      </c>
    </row>
    <row r="1571" spans="1:2" x14ac:dyDescent="0.25">
      <c r="A1571">
        <v>3054100900</v>
      </c>
      <c r="B1571" t="s">
        <v>10</v>
      </c>
    </row>
    <row r="1572" spans="1:2" x14ac:dyDescent="0.25">
      <c r="A1572">
        <v>3054200000</v>
      </c>
      <c r="B1572" t="e">
        <f>--Arenques (Clupea harengus. Clupea pallasii)</f>
        <v>#NAME?</v>
      </c>
    </row>
    <row r="1573" spans="1:2" x14ac:dyDescent="0.25">
      <c r="A1573">
        <v>3054300000</v>
      </c>
      <c r="B1573" t="e">
        <f>--Truchas (Salmo trutta. Oncorhynchus mykiss. Oncorhynchus clarki. Oncorhynchus aguabonita. Oncorhynchus gilae. Oncorhynchus apache y Oncorhynchus chrysogaster)</f>
        <v>#NAME?</v>
      </c>
    </row>
    <row r="1574" spans="1:2" x14ac:dyDescent="0.25">
      <c r="A1574">
        <v>3054400000</v>
      </c>
      <c r="B1574" t="s">
        <v>390</v>
      </c>
    </row>
    <row r="1575" spans="1:2" x14ac:dyDescent="0.25">
      <c r="A1575">
        <v>30549</v>
      </c>
      <c r="B1575" t="e">
        <f>- - Los demas</f>
        <v>#NAME?</v>
      </c>
    </row>
    <row r="1576" spans="1:2" x14ac:dyDescent="0.25">
      <c r="A1576">
        <v>3054910000</v>
      </c>
      <c r="B1576" t="s">
        <v>458</v>
      </c>
    </row>
    <row r="1577" spans="1:2" x14ac:dyDescent="0.25">
      <c r="A1577">
        <v>3054920000</v>
      </c>
      <c r="B1577" t="s">
        <v>466</v>
      </c>
    </row>
    <row r="1578" spans="1:2" x14ac:dyDescent="0.25">
      <c r="A1578">
        <v>3054990</v>
      </c>
      <c r="B1578" t="s">
        <v>10</v>
      </c>
    </row>
    <row r="1579" spans="1:2" x14ac:dyDescent="0.25">
      <c r="A1579">
        <v>3054990100</v>
      </c>
      <c r="B1579" t="s">
        <v>384</v>
      </c>
    </row>
    <row r="1580" spans="1:2" x14ac:dyDescent="0.25">
      <c r="A1580">
        <v>3054990200</v>
      </c>
      <c r="B1580" t="s">
        <v>467</v>
      </c>
    </row>
    <row r="1581" spans="1:2" x14ac:dyDescent="0.25">
      <c r="A1581">
        <v>30549903</v>
      </c>
      <c r="B1581" t="s">
        <v>265</v>
      </c>
    </row>
    <row r="1582" spans="1:2" x14ac:dyDescent="0.25">
      <c r="A1582">
        <v>3054990310</v>
      </c>
      <c r="B1582" t="s">
        <v>468</v>
      </c>
    </row>
    <row r="1583" spans="1:2" x14ac:dyDescent="0.25">
      <c r="A1583">
        <v>3054990390</v>
      </c>
      <c r="B1583" t="s">
        <v>10</v>
      </c>
    </row>
    <row r="1584" spans="1:2" x14ac:dyDescent="0.25">
      <c r="A1584">
        <v>30549904</v>
      </c>
      <c r="B1584" t="s">
        <v>387</v>
      </c>
    </row>
    <row r="1585" spans="1:2" x14ac:dyDescent="0.25">
      <c r="A1585">
        <v>3054990410</v>
      </c>
      <c r="B1585" t="s">
        <v>307</v>
      </c>
    </row>
    <row r="1586" spans="1:2" x14ac:dyDescent="0.25">
      <c r="A1586">
        <v>3054990420</v>
      </c>
      <c r="B1586" t="s">
        <v>363</v>
      </c>
    </row>
    <row r="1587" spans="1:2" x14ac:dyDescent="0.25">
      <c r="A1587">
        <v>3054990430</v>
      </c>
      <c r="B1587" t="s">
        <v>296</v>
      </c>
    </row>
    <row r="1588" spans="1:2" x14ac:dyDescent="0.25">
      <c r="A1588">
        <v>3054990440</v>
      </c>
      <c r="B1588" t="s">
        <v>309</v>
      </c>
    </row>
    <row r="1589" spans="1:2" x14ac:dyDescent="0.25">
      <c r="A1589">
        <v>3054990450</v>
      </c>
      <c r="B1589" t="s">
        <v>364</v>
      </c>
    </row>
    <row r="1590" spans="1:2" x14ac:dyDescent="0.25">
      <c r="A1590">
        <v>3054990460</v>
      </c>
      <c r="B1590" t="s">
        <v>311</v>
      </c>
    </row>
    <row r="1591" spans="1:2" x14ac:dyDescent="0.25">
      <c r="A1591">
        <v>3054990470</v>
      </c>
      <c r="B1591" t="s">
        <v>312</v>
      </c>
    </row>
    <row r="1592" spans="1:2" x14ac:dyDescent="0.25">
      <c r="A1592">
        <v>3054990480</v>
      </c>
      <c r="B1592" t="s">
        <v>290</v>
      </c>
    </row>
    <row r="1593" spans="1:2" x14ac:dyDescent="0.25">
      <c r="A1593">
        <v>3054990490</v>
      </c>
      <c r="B1593" t="s">
        <v>293</v>
      </c>
    </row>
    <row r="1594" spans="1:2" x14ac:dyDescent="0.25">
      <c r="A1594">
        <v>3054990500</v>
      </c>
      <c r="B1594" t="s">
        <v>388</v>
      </c>
    </row>
    <row r="1595" spans="1:2" x14ac:dyDescent="0.25">
      <c r="A1595">
        <v>3054990600</v>
      </c>
      <c r="B1595" t="s">
        <v>313</v>
      </c>
    </row>
    <row r="1596" spans="1:2" x14ac:dyDescent="0.25">
      <c r="A1596">
        <v>3054990700</v>
      </c>
      <c r="B1596" t="s">
        <v>314</v>
      </c>
    </row>
    <row r="1597" spans="1:2" x14ac:dyDescent="0.25">
      <c r="A1597">
        <v>30549908</v>
      </c>
      <c r="B1597" t="s">
        <v>464</v>
      </c>
    </row>
    <row r="1598" spans="1:2" x14ac:dyDescent="0.25">
      <c r="A1598">
        <v>3054990810</v>
      </c>
      <c r="B1598" t="s">
        <v>369</v>
      </c>
    </row>
    <row r="1599" spans="1:2" x14ac:dyDescent="0.25">
      <c r="A1599">
        <v>3054990890</v>
      </c>
      <c r="B1599" t="s">
        <v>10</v>
      </c>
    </row>
    <row r="1600" spans="1:2" x14ac:dyDescent="0.25">
      <c r="A1600">
        <v>30549909</v>
      </c>
      <c r="B1600" t="s">
        <v>10</v>
      </c>
    </row>
    <row r="1601" spans="1:2" x14ac:dyDescent="0.25">
      <c r="A1601">
        <v>3054990910</v>
      </c>
      <c r="B1601" t="s">
        <v>270</v>
      </c>
    </row>
    <row r="1602" spans="1:2" x14ac:dyDescent="0.25">
      <c r="A1602">
        <v>3054990920</v>
      </c>
      <c r="B1602" t="s">
        <v>268</v>
      </c>
    </row>
    <row r="1603" spans="1:2" x14ac:dyDescent="0.25">
      <c r="A1603">
        <v>3054990990</v>
      </c>
      <c r="B1603" t="s">
        <v>10</v>
      </c>
    </row>
    <row r="1604" spans="1:2" x14ac:dyDescent="0.25">
      <c r="A1604">
        <v>3055</v>
      </c>
      <c r="B1604" t="s">
        <v>469</v>
      </c>
    </row>
    <row r="1605" spans="1:2" x14ac:dyDescent="0.25">
      <c r="A1605">
        <v>3055100000</v>
      </c>
      <c r="B1605" t="e">
        <f>--Bacalaos (Gadus morhua. Gadus ogac. Gadus macrocephalus)</f>
        <v>#NAME?</v>
      </c>
    </row>
    <row r="1606" spans="1:2" x14ac:dyDescent="0.25">
      <c r="A1606">
        <v>3055200000</v>
      </c>
      <c r="B1606" t="s">
        <v>390</v>
      </c>
    </row>
    <row r="1607" spans="1:2" x14ac:dyDescent="0.25">
      <c r="A1607">
        <v>30553</v>
      </c>
      <c r="B1607" t="e">
        <f>- - Pescados de las familias Bregmacerotidae. Euclichthyidae. Gadidae. Macrouridae. Melanonidae. Merlucciidae. Moridae y Muraenolepididae. excepto Los Bacalaos (Gadus morhua. Gadus ogac. Gadus macrocephalus)</f>
        <v>#NAME?</v>
      </c>
    </row>
    <row r="1608" spans="1:2" x14ac:dyDescent="0.25">
      <c r="A1608">
        <v>3055310000</v>
      </c>
      <c r="B1608" t="s">
        <v>470</v>
      </c>
    </row>
    <row r="1609" spans="1:2" x14ac:dyDescent="0.25">
      <c r="A1609">
        <v>3055390</v>
      </c>
      <c r="B1609" t="s">
        <v>10</v>
      </c>
    </row>
    <row r="1610" spans="1:2" x14ac:dyDescent="0.25">
      <c r="A1610">
        <v>3055390100</v>
      </c>
      <c r="B1610" t="s">
        <v>461</v>
      </c>
    </row>
    <row r="1611" spans="1:2" x14ac:dyDescent="0.25">
      <c r="A1611">
        <v>3055390200</v>
      </c>
      <c r="B1611" t="s">
        <v>270</v>
      </c>
    </row>
    <row r="1612" spans="1:2" x14ac:dyDescent="0.25">
      <c r="A1612">
        <v>3055390300</v>
      </c>
      <c r="B1612" t="s">
        <v>268</v>
      </c>
    </row>
    <row r="1613" spans="1:2" x14ac:dyDescent="0.25">
      <c r="A1613">
        <v>3055390900</v>
      </c>
      <c r="B1613" t="s">
        <v>10</v>
      </c>
    </row>
    <row r="1614" spans="1:2" x14ac:dyDescent="0.25">
      <c r="A1614">
        <v>3055400</v>
      </c>
      <c r="B1614" t="s">
        <v>471</v>
      </c>
    </row>
    <row r="1615" spans="1:2" x14ac:dyDescent="0.25">
      <c r="A1615">
        <v>3055400100</v>
      </c>
      <c r="B1615" t="s">
        <v>472</v>
      </c>
    </row>
    <row r="1616" spans="1:2" x14ac:dyDescent="0.25">
      <c r="A1616">
        <v>3055400200</v>
      </c>
      <c r="B1616" t="s">
        <v>473</v>
      </c>
    </row>
    <row r="1617" spans="1:2" x14ac:dyDescent="0.25">
      <c r="A1617">
        <v>3055400900</v>
      </c>
      <c r="B1617" t="s">
        <v>10</v>
      </c>
    </row>
    <row r="1618" spans="1:2" x14ac:dyDescent="0.25">
      <c r="A1618">
        <v>3055900</v>
      </c>
      <c r="B1618" t="e">
        <f>- - Los demas</f>
        <v>#NAME?</v>
      </c>
    </row>
    <row r="1619" spans="1:2" x14ac:dyDescent="0.25">
      <c r="A1619">
        <v>30559001</v>
      </c>
      <c r="B1619" t="s">
        <v>474</v>
      </c>
    </row>
    <row r="1620" spans="1:2" x14ac:dyDescent="0.25">
      <c r="A1620">
        <v>3055900110</v>
      </c>
      <c r="B1620" t="s">
        <v>275</v>
      </c>
    </row>
    <row r="1621" spans="1:2" x14ac:dyDescent="0.25">
      <c r="A1621">
        <v>3055900120</v>
      </c>
      <c r="B1621" t="s">
        <v>276</v>
      </c>
    </row>
    <row r="1622" spans="1:2" x14ac:dyDescent="0.25">
      <c r="A1622">
        <v>3055900130</v>
      </c>
      <c r="B1622" t="s">
        <v>277</v>
      </c>
    </row>
    <row r="1623" spans="1:2" x14ac:dyDescent="0.25">
      <c r="A1623">
        <v>3055900140</v>
      </c>
      <c r="B1623" t="s">
        <v>278</v>
      </c>
    </row>
    <row r="1624" spans="1:2" x14ac:dyDescent="0.25">
      <c r="A1624">
        <v>3055900190</v>
      </c>
      <c r="B1624" t="s">
        <v>10</v>
      </c>
    </row>
    <row r="1625" spans="1:2" x14ac:dyDescent="0.25">
      <c r="A1625">
        <v>3055900200</v>
      </c>
      <c r="B1625" t="s">
        <v>369</v>
      </c>
    </row>
    <row r="1626" spans="1:2" x14ac:dyDescent="0.25">
      <c r="A1626">
        <v>3055900300</v>
      </c>
      <c r="B1626" t="s">
        <v>384</v>
      </c>
    </row>
    <row r="1627" spans="1:2" x14ac:dyDescent="0.25">
      <c r="A1627">
        <v>3055900400</v>
      </c>
      <c r="B1627" t="s">
        <v>467</v>
      </c>
    </row>
    <row r="1628" spans="1:2" x14ac:dyDescent="0.25">
      <c r="A1628">
        <v>30559005</v>
      </c>
      <c r="B1628" t="s">
        <v>463</v>
      </c>
    </row>
    <row r="1629" spans="1:2" x14ac:dyDescent="0.25">
      <c r="A1629">
        <v>3055900510</v>
      </c>
      <c r="B1629" t="s">
        <v>307</v>
      </c>
    </row>
    <row r="1630" spans="1:2" x14ac:dyDescent="0.25">
      <c r="A1630">
        <v>3055900520</v>
      </c>
      <c r="B1630" t="s">
        <v>363</v>
      </c>
    </row>
    <row r="1631" spans="1:2" x14ac:dyDescent="0.25">
      <c r="A1631">
        <v>3055900530</v>
      </c>
      <c r="B1631" t="s">
        <v>296</v>
      </c>
    </row>
    <row r="1632" spans="1:2" x14ac:dyDescent="0.25">
      <c r="A1632">
        <v>3055900540</v>
      </c>
      <c r="B1632" t="s">
        <v>309</v>
      </c>
    </row>
    <row r="1633" spans="1:2" x14ac:dyDescent="0.25">
      <c r="A1633">
        <v>3055900550</v>
      </c>
      <c r="B1633" t="s">
        <v>364</v>
      </c>
    </row>
    <row r="1634" spans="1:2" x14ac:dyDescent="0.25">
      <c r="A1634">
        <v>3055900560</v>
      </c>
      <c r="B1634" t="s">
        <v>311</v>
      </c>
    </row>
    <row r="1635" spans="1:2" x14ac:dyDescent="0.25">
      <c r="A1635">
        <v>3055900570</v>
      </c>
      <c r="B1635" t="s">
        <v>312</v>
      </c>
    </row>
    <row r="1636" spans="1:2" x14ac:dyDescent="0.25">
      <c r="A1636">
        <v>3055900580</v>
      </c>
      <c r="B1636" t="s">
        <v>290</v>
      </c>
    </row>
    <row r="1637" spans="1:2" x14ac:dyDescent="0.25">
      <c r="A1637">
        <v>3055900590</v>
      </c>
      <c r="B1637" t="s">
        <v>293</v>
      </c>
    </row>
    <row r="1638" spans="1:2" x14ac:dyDescent="0.25">
      <c r="A1638">
        <v>3055900600</v>
      </c>
      <c r="B1638" t="s">
        <v>388</v>
      </c>
    </row>
    <row r="1639" spans="1:2" x14ac:dyDescent="0.25">
      <c r="A1639">
        <v>3055900700</v>
      </c>
      <c r="B1639" t="s">
        <v>313</v>
      </c>
    </row>
    <row r="1640" spans="1:2" x14ac:dyDescent="0.25">
      <c r="A1640">
        <v>30559009</v>
      </c>
      <c r="B1640" t="s">
        <v>10</v>
      </c>
    </row>
    <row r="1641" spans="1:2" x14ac:dyDescent="0.25">
      <c r="A1641">
        <v>3055900910</v>
      </c>
      <c r="B1641" t="s">
        <v>314</v>
      </c>
    </row>
    <row r="1642" spans="1:2" x14ac:dyDescent="0.25">
      <c r="A1642">
        <v>3055900920</v>
      </c>
      <c r="B1642" t="s">
        <v>315</v>
      </c>
    </row>
    <row r="1643" spans="1:2" x14ac:dyDescent="0.25">
      <c r="A1643">
        <v>3055900990</v>
      </c>
      <c r="B1643" t="s">
        <v>10</v>
      </c>
    </row>
    <row r="1644" spans="1:2" x14ac:dyDescent="0.25">
      <c r="A1644">
        <v>3056</v>
      </c>
      <c r="B1644" t="s">
        <v>475</v>
      </c>
    </row>
    <row r="1645" spans="1:2" x14ac:dyDescent="0.25">
      <c r="A1645">
        <v>3056100000</v>
      </c>
      <c r="B1645" t="e">
        <f>--Arenques (Clupea harengus. Clupea pallasii)</f>
        <v>#NAME?</v>
      </c>
    </row>
    <row r="1646" spans="1:2" x14ac:dyDescent="0.25">
      <c r="A1646">
        <v>3056200000</v>
      </c>
      <c r="B1646" t="e">
        <f>--Bacalaos (Gadus morhua. Gadus ogac. Gadus macrocephalus)</f>
        <v>#NAME?</v>
      </c>
    </row>
    <row r="1647" spans="1:2" x14ac:dyDescent="0.25">
      <c r="A1647">
        <v>3056300</v>
      </c>
      <c r="B1647" t="e">
        <f>- - Anchoas (Engraulis spp.)</f>
        <v>#NAME?</v>
      </c>
    </row>
    <row r="1648" spans="1:2" x14ac:dyDescent="0.25">
      <c r="A1648">
        <v>30563001</v>
      </c>
      <c r="B1648" t="s">
        <v>476</v>
      </c>
    </row>
    <row r="1649" spans="1:2" x14ac:dyDescent="0.25">
      <c r="A1649">
        <v>3056300110</v>
      </c>
      <c r="B1649" t="s">
        <v>477</v>
      </c>
    </row>
    <row r="1650" spans="1:2" x14ac:dyDescent="0.25">
      <c r="A1650">
        <v>3056300190</v>
      </c>
      <c r="B1650" t="s">
        <v>10</v>
      </c>
    </row>
    <row r="1651" spans="1:2" x14ac:dyDescent="0.25">
      <c r="A1651">
        <v>30563009</v>
      </c>
      <c r="B1651" t="s">
        <v>57</v>
      </c>
    </row>
    <row r="1652" spans="1:2" x14ac:dyDescent="0.25">
      <c r="A1652">
        <v>3056300910</v>
      </c>
      <c r="B1652" t="s">
        <v>477</v>
      </c>
    </row>
    <row r="1653" spans="1:2" x14ac:dyDescent="0.25">
      <c r="A1653">
        <v>3056300990</v>
      </c>
      <c r="B1653" t="s">
        <v>10</v>
      </c>
    </row>
    <row r="1654" spans="1:2" x14ac:dyDescent="0.25">
      <c r="A1654">
        <v>3056400000</v>
      </c>
      <c r="B1654" t="s">
        <v>390</v>
      </c>
    </row>
    <row r="1655" spans="1:2" x14ac:dyDescent="0.25">
      <c r="A1655">
        <v>30569</v>
      </c>
      <c r="B1655" t="e">
        <f>- - Los demas</f>
        <v>#NAME?</v>
      </c>
    </row>
    <row r="1656" spans="1:2" x14ac:dyDescent="0.25">
      <c r="A1656">
        <v>3056910000</v>
      </c>
      <c r="B1656" t="s">
        <v>466</v>
      </c>
    </row>
    <row r="1657" spans="1:2" x14ac:dyDescent="0.25">
      <c r="A1657">
        <v>3056990</v>
      </c>
      <c r="B1657" t="s">
        <v>10</v>
      </c>
    </row>
    <row r="1658" spans="1:2" x14ac:dyDescent="0.25">
      <c r="A1658">
        <v>3056990100</v>
      </c>
      <c r="B1658" t="s">
        <v>384</v>
      </c>
    </row>
    <row r="1659" spans="1:2" x14ac:dyDescent="0.25">
      <c r="A1659">
        <v>3056990200</v>
      </c>
      <c r="B1659" t="s">
        <v>467</v>
      </c>
    </row>
    <row r="1660" spans="1:2" x14ac:dyDescent="0.25">
      <c r="A1660">
        <v>30569903</v>
      </c>
      <c r="B1660" t="s">
        <v>387</v>
      </c>
    </row>
    <row r="1661" spans="1:2" x14ac:dyDescent="0.25">
      <c r="A1661">
        <v>3056990310</v>
      </c>
      <c r="B1661" t="s">
        <v>307</v>
      </c>
    </row>
    <row r="1662" spans="1:2" x14ac:dyDescent="0.25">
      <c r="A1662">
        <v>3056990320</v>
      </c>
      <c r="B1662" t="s">
        <v>363</v>
      </c>
    </row>
    <row r="1663" spans="1:2" x14ac:dyDescent="0.25">
      <c r="A1663">
        <v>3056990330</v>
      </c>
      <c r="B1663" t="s">
        <v>296</v>
      </c>
    </row>
    <row r="1664" spans="1:2" x14ac:dyDescent="0.25">
      <c r="A1664">
        <v>3056990340</v>
      </c>
      <c r="B1664" t="s">
        <v>309</v>
      </c>
    </row>
    <row r="1665" spans="1:2" x14ac:dyDescent="0.25">
      <c r="A1665">
        <v>3056990350</v>
      </c>
      <c r="B1665" t="s">
        <v>364</v>
      </c>
    </row>
    <row r="1666" spans="1:2" x14ac:dyDescent="0.25">
      <c r="A1666">
        <v>3056990360</v>
      </c>
      <c r="B1666" t="s">
        <v>311</v>
      </c>
    </row>
    <row r="1667" spans="1:2" x14ac:dyDescent="0.25">
      <c r="A1667">
        <v>3056990370</v>
      </c>
      <c r="B1667" t="s">
        <v>312</v>
      </c>
    </row>
    <row r="1668" spans="1:2" x14ac:dyDescent="0.25">
      <c r="A1668">
        <v>3056990380</v>
      </c>
      <c r="B1668" t="s">
        <v>290</v>
      </c>
    </row>
    <row r="1669" spans="1:2" x14ac:dyDescent="0.25">
      <c r="A1669">
        <v>3056990390</v>
      </c>
      <c r="B1669" t="s">
        <v>293</v>
      </c>
    </row>
    <row r="1670" spans="1:2" x14ac:dyDescent="0.25">
      <c r="A1670">
        <v>3056990400</v>
      </c>
      <c r="B1670" t="s">
        <v>388</v>
      </c>
    </row>
    <row r="1671" spans="1:2" x14ac:dyDescent="0.25">
      <c r="A1671">
        <v>3056990500</v>
      </c>
      <c r="B1671" t="s">
        <v>313</v>
      </c>
    </row>
    <row r="1672" spans="1:2" x14ac:dyDescent="0.25">
      <c r="A1672">
        <v>30569906</v>
      </c>
      <c r="B1672" t="s">
        <v>478</v>
      </c>
    </row>
    <row r="1673" spans="1:2" x14ac:dyDescent="0.25">
      <c r="A1673">
        <v>3056990610</v>
      </c>
      <c r="B1673" t="s">
        <v>461</v>
      </c>
    </row>
    <row r="1674" spans="1:2" x14ac:dyDescent="0.25">
      <c r="A1674">
        <v>3056990620</v>
      </c>
      <c r="B1674" t="s">
        <v>270</v>
      </c>
    </row>
    <row r="1675" spans="1:2" x14ac:dyDescent="0.25">
      <c r="A1675">
        <v>3056990630</v>
      </c>
      <c r="B1675" t="s">
        <v>268</v>
      </c>
    </row>
    <row r="1676" spans="1:2" x14ac:dyDescent="0.25">
      <c r="A1676">
        <v>3056990690</v>
      </c>
      <c r="B1676" t="s">
        <v>10</v>
      </c>
    </row>
    <row r="1677" spans="1:2" x14ac:dyDescent="0.25">
      <c r="A1677">
        <v>3056990700</v>
      </c>
      <c r="B1677" t="s">
        <v>314</v>
      </c>
    </row>
    <row r="1678" spans="1:2" x14ac:dyDescent="0.25">
      <c r="A1678">
        <v>30569908</v>
      </c>
      <c r="B1678" t="s">
        <v>464</v>
      </c>
    </row>
    <row r="1679" spans="1:2" x14ac:dyDescent="0.25">
      <c r="A1679">
        <v>3056990810</v>
      </c>
      <c r="B1679" t="s">
        <v>369</v>
      </c>
    </row>
    <row r="1680" spans="1:2" x14ac:dyDescent="0.25">
      <c r="A1680">
        <v>3056990890</v>
      </c>
      <c r="B1680" t="s">
        <v>10</v>
      </c>
    </row>
    <row r="1681" spans="1:2" x14ac:dyDescent="0.25">
      <c r="A1681">
        <v>3056990900</v>
      </c>
      <c r="B1681" t="s">
        <v>10</v>
      </c>
    </row>
    <row r="1682" spans="1:2" x14ac:dyDescent="0.25">
      <c r="A1682">
        <v>3057</v>
      </c>
      <c r="B1682" t="s">
        <v>479</v>
      </c>
    </row>
    <row r="1683" spans="1:2" x14ac:dyDescent="0.25">
      <c r="A1683">
        <v>3057100</v>
      </c>
      <c r="B1683" t="e">
        <f>- - Aletas de tiburon</f>
        <v>#NAME?</v>
      </c>
    </row>
    <row r="1684" spans="1:2" x14ac:dyDescent="0.25">
      <c r="A1684">
        <v>30571001</v>
      </c>
      <c r="B1684" t="s">
        <v>480</v>
      </c>
    </row>
    <row r="1685" spans="1:2" x14ac:dyDescent="0.25">
      <c r="A1685">
        <v>3057100110</v>
      </c>
      <c r="B1685" t="s">
        <v>481</v>
      </c>
    </row>
    <row r="1686" spans="1:2" x14ac:dyDescent="0.25">
      <c r="A1686">
        <v>3057100120</v>
      </c>
      <c r="B1686" t="s">
        <v>482</v>
      </c>
    </row>
    <row r="1687" spans="1:2" x14ac:dyDescent="0.25">
      <c r="A1687">
        <v>3057100130</v>
      </c>
      <c r="B1687" t="s">
        <v>483</v>
      </c>
    </row>
    <row r="1688" spans="1:2" x14ac:dyDescent="0.25">
      <c r="A1688">
        <v>3057100140</v>
      </c>
      <c r="B1688" t="s">
        <v>278</v>
      </c>
    </row>
    <row r="1689" spans="1:2" x14ac:dyDescent="0.25">
      <c r="A1689">
        <v>3057100190</v>
      </c>
      <c r="B1689" t="s">
        <v>10</v>
      </c>
    </row>
    <row r="1690" spans="1:2" x14ac:dyDescent="0.25">
      <c r="A1690">
        <v>3057100900</v>
      </c>
      <c r="B1690" t="s">
        <v>10</v>
      </c>
    </row>
    <row r="1691" spans="1:2" x14ac:dyDescent="0.25">
      <c r="A1691">
        <v>3057200000</v>
      </c>
      <c r="B1691" t="e">
        <f>--cabezas. colas y vejigas natatorias. de pescado</f>
        <v>#NAME?</v>
      </c>
    </row>
    <row r="1692" spans="1:2" x14ac:dyDescent="0.25">
      <c r="A1692">
        <v>3057900000</v>
      </c>
      <c r="B1692" t="e">
        <f>--Los demas</f>
        <v>#NAME?</v>
      </c>
    </row>
    <row r="1693" spans="1:2" x14ac:dyDescent="0.25">
      <c r="A1693">
        <v>306</v>
      </c>
      <c r="B1693" t="s">
        <v>484</v>
      </c>
    </row>
    <row r="1694" spans="1:2" x14ac:dyDescent="0.25">
      <c r="A1694">
        <v>3061</v>
      </c>
      <c r="B1694" t="s">
        <v>485</v>
      </c>
    </row>
    <row r="1695" spans="1:2" x14ac:dyDescent="0.25">
      <c r="A1695">
        <v>30611</v>
      </c>
      <c r="B1695" t="e">
        <f>- - Langostas (Palinurus spp.. Panulirus spp.. Jasus spp.)</f>
        <v>#NAME?</v>
      </c>
    </row>
    <row r="1696" spans="1:2" x14ac:dyDescent="0.25">
      <c r="A1696">
        <v>3061110</v>
      </c>
      <c r="B1696" t="s">
        <v>486</v>
      </c>
    </row>
    <row r="1697" spans="1:2" x14ac:dyDescent="0.25">
      <c r="A1697">
        <v>3061110100</v>
      </c>
      <c r="B1697" t="s">
        <v>320</v>
      </c>
    </row>
    <row r="1698" spans="1:2" x14ac:dyDescent="0.25">
      <c r="A1698">
        <v>3061110900</v>
      </c>
      <c r="B1698" t="s">
        <v>10</v>
      </c>
    </row>
    <row r="1699" spans="1:2" x14ac:dyDescent="0.25">
      <c r="A1699">
        <v>3061190</v>
      </c>
      <c r="B1699" t="s">
        <v>57</v>
      </c>
    </row>
    <row r="1700" spans="1:2" x14ac:dyDescent="0.25">
      <c r="A1700">
        <v>3061190100</v>
      </c>
      <c r="B1700" t="s">
        <v>320</v>
      </c>
    </row>
    <row r="1701" spans="1:2" x14ac:dyDescent="0.25">
      <c r="A1701">
        <v>3061190900</v>
      </c>
      <c r="B1701" t="s">
        <v>10</v>
      </c>
    </row>
    <row r="1702" spans="1:2" x14ac:dyDescent="0.25">
      <c r="A1702">
        <v>3061200</v>
      </c>
      <c r="B1702" t="e">
        <f>- - Bogavantes (Homarus spp.)</f>
        <v>#NAME?</v>
      </c>
    </row>
    <row r="1703" spans="1:2" x14ac:dyDescent="0.25">
      <c r="A1703">
        <v>3061200100</v>
      </c>
      <c r="B1703" t="s">
        <v>487</v>
      </c>
    </row>
    <row r="1704" spans="1:2" x14ac:dyDescent="0.25">
      <c r="A1704">
        <v>3061200900</v>
      </c>
      <c r="B1704" t="s">
        <v>10</v>
      </c>
    </row>
    <row r="1705" spans="1:2" x14ac:dyDescent="0.25">
      <c r="A1705">
        <v>3061400</v>
      </c>
      <c r="B1705" t="e">
        <f>- - Cangrejos (excepto macruros)</f>
        <v>#NAME?</v>
      </c>
    </row>
    <row r="1706" spans="1:2" x14ac:dyDescent="0.25">
      <c r="A1706">
        <v>30614001</v>
      </c>
      <c r="B1706" t="s">
        <v>488</v>
      </c>
    </row>
    <row r="1707" spans="1:2" x14ac:dyDescent="0.25">
      <c r="A1707">
        <v>3061400110</v>
      </c>
      <c r="B1707" t="s">
        <v>487</v>
      </c>
    </row>
    <row r="1708" spans="1:2" x14ac:dyDescent="0.25">
      <c r="A1708">
        <v>3061400190</v>
      </c>
      <c r="B1708" t="s">
        <v>10</v>
      </c>
    </row>
    <row r="1709" spans="1:2" x14ac:dyDescent="0.25">
      <c r="A1709">
        <v>30614009</v>
      </c>
      <c r="B1709" t="s">
        <v>10</v>
      </c>
    </row>
    <row r="1710" spans="1:2" x14ac:dyDescent="0.25">
      <c r="A1710">
        <v>306140091</v>
      </c>
      <c r="B1710" t="s">
        <v>489</v>
      </c>
    </row>
    <row r="1711" spans="1:2" x14ac:dyDescent="0.25">
      <c r="A1711">
        <v>3061400911</v>
      </c>
      <c r="B1711" t="s">
        <v>487</v>
      </c>
    </row>
    <row r="1712" spans="1:2" x14ac:dyDescent="0.25">
      <c r="A1712">
        <v>3061400919</v>
      </c>
      <c r="B1712" t="s">
        <v>10</v>
      </c>
    </row>
    <row r="1713" spans="1:2" x14ac:dyDescent="0.25">
      <c r="A1713">
        <v>306140099</v>
      </c>
      <c r="B1713" t="s">
        <v>10</v>
      </c>
    </row>
    <row r="1714" spans="1:2" x14ac:dyDescent="0.25">
      <c r="A1714">
        <v>3061400991</v>
      </c>
      <c r="B1714" t="s">
        <v>487</v>
      </c>
    </row>
    <row r="1715" spans="1:2" x14ac:dyDescent="0.25">
      <c r="A1715">
        <v>3061400999</v>
      </c>
      <c r="B1715" t="s">
        <v>10</v>
      </c>
    </row>
    <row r="1716" spans="1:2" x14ac:dyDescent="0.25">
      <c r="A1716">
        <v>3061500</v>
      </c>
      <c r="B1716" t="e">
        <f>- - Cigalas (Nephrops norvegicus)</f>
        <v>#NAME?</v>
      </c>
    </row>
    <row r="1717" spans="1:2" x14ac:dyDescent="0.25">
      <c r="A1717">
        <v>3061500100</v>
      </c>
      <c r="B1717" t="s">
        <v>487</v>
      </c>
    </row>
    <row r="1718" spans="1:2" x14ac:dyDescent="0.25">
      <c r="A1718">
        <v>3061500900</v>
      </c>
      <c r="B1718" t="s">
        <v>10</v>
      </c>
    </row>
    <row r="1719" spans="1:2" x14ac:dyDescent="0.25">
      <c r="A1719">
        <v>30616</v>
      </c>
      <c r="B1719" t="e">
        <f>- - Camarones. langostinos y demas decapodos Natantia. de agua fria (Pandalus spp.. Crangon Crangon)</f>
        <v>#NAME?</v>
      </c>
    </row>
    <row r="1720" spans="1:2" x14ac:dyDescent="0.25">
      <c r="A1720">
        <v>3061610</v>
      </c>
      <c r="B1720" t="s">
        <v>340</v>
      </c>
    </row>
    <row r="1721" spans="1:2" x14ac:dyDescent="0.25">
      <c r="A1721">
        <v>30616101</v>
      </c>
      <c r="B1721" t="s">
        <v>490</v>
      </c>
    </row>
    <row r="1722" spans="1:2" x14ac:dyDescent="0.25">
      <c r="A1722">
        <v>3061610110</v>
      </c>
      <c r="B1722" t="s">
        <v>274</v>
      </c>
    </row>
    <row r="1723" spans="1:2" x14ac:dyDescent="0.25">
      <c r="A1723">
        <v>3061610190</v>
      </c>
      <c r="B1723" t="s">
        <v>10</v>
      </c>
    </row>
    <row r="1724" spans="1:2" x14ac:dyDescent="0.25">
      <c r="A1724">
        <v>3061610900</v>
      </c>
      <c r="B1724" t="s">
        <v>10</v>
      </c>
    </row>
    <row r="1725" spans="1:2" x14ac:dyDescent="0.25">
      <c r="A1725">
        <v>3061690</v>
      </c>
      <c r="B1725" t="s">
        <v>10</v>
      </c>
    </row>
    <row r="1726" spans="1:2" x14ac:dyDescent="0.25">
      <c r="A1726">
        <v>30616901</v>
      </c>
      <c r="B1726" t="s">
        <v>274</v>
      </c>
    </row>
    <row r="1727" spans="1:2" x14ac:dyDescent="0.25">
      <c r="A1727">
        <v>306169011</v>
      </c>
      <c r="B1727" t="s">
        <v>490</v>
      </c>
    </row>
    <row r="1728" spans="1:2" x14ac:dyDescent="0.25">
      <c r="A1728">
        <v>3061690111</v>
      </c>
      <c r="B1728" t="s">
        <v>487</v>
      </c>
    </row>
    <row r="1729" spans="1:2" x14ac:dyDescent="0.25">
      <c r="A1729">
        <v>3061690119</v>
      </c>
      <c r="B1729" t="s">
        <v>10</v>
      </c>
    </row>
    <row r="1730" spans="1:2" x14ac:dyDescent="0.25">
      <c r="A1730">
        <v>306169019</v>
      </c>
      <c r="B1730" t="s">
        <v>10</v>
      </c>
    </row>
    <row r="1731" spans="1:2" x14ac:dyDescent="0.25">
      <c r="A1731">
        <v>3061690191</v>
      </c>
      <c r="B1731" t="s">
        <v>487</v>
      </c>
    </row>
    <row r="1732" spans="1:2" x14ac:dyDescent="0.25">
      <c r="A1732">
        <v>3061690199</v>
      </c>
      <c r="B1732" t="s">
        <v>10</v>
      </c>
    </row>
    <row r="1733" spans="1:2" x14ac:dyDescent="0.25">
      <c r="A1733">
        <v>30616909</v>
      </c>
      <c r="B1733" t="s">
        <v>10</v>
      </c>
    </row>
    <row r="1734" spans="1:2" x14ac:dyDescent="0.25">
      <c r="A1734">
        <v>306169091</v>
      </c>
      <c r="B1734" t="s">
        <v>490</v>
      </c>
    </row>
    <row r="1735" spans="1:2" x14ac:dyDescent="0.25">
      <c r="A1735">
        <v>3061690911</v>
      </c>
      <c r="B1735" t="s">
        <v>487</v>
      </c>
    </row>
    <row r="1736" spans="1:2" x14ac:dyDescent="0.25">
      <c r="A1736">
        <v>3061690919</v>
      </c>
      <c r="B1736" t="s">
        <v>10</v>
      </c>
    </row>
    <row r="1737" spans="1:2" x14ac:dyDescent="0.25">
      <c r="A1737">
        <v>306169099</v>
      </c>
      <c r="B1737" t="s">
        <v>10</v>
      </c>
    </row>
    <row r="1738" spans="1:2" x14ac:dyDescent="0.25">
      <c r="A1738">
        <v>3061690991</v>
      </c>
      <c r="B1738" t="s">
        <v>487</v>
      </c>
    </row>
    <row r="1739" spans="1:2" x14ac:dyDescent="0.25">
      <c r="A1739">
        <v>3061690999</v>
      </c>
      <c r="B1739" t="s">
        <v>10</v>
      </c>
    </row>
    <row r="1740" spans="1:2" x14ac:dyDescent="0.25">
      <c r="A1740">
        <v>30617</v>
      </c>
      <c r="B1740" t="e">
        <f>- - Los demas Camarones. langostinos y demas decapodos Natantia</f>
        <v>#NAME?</v>
      </c>
    </row>
    <row r="1741" spans="1:2" x14ac:dyDescent="0.25">
      <c r="A1741">
        <v>3061710</v>
      </c>
      <c r="B1741" t="s">
        <v>340</v>
      </c>
    </row>
    <row r="1742" spans="1:2" x14ac:dyDescent="0.25">
      <c r="A1742">
        <v>3061710100</v>
      </c>
      <c r="B1742" t="s">
        <v>491</v>
      </c>
    </row>
    <row r="1743" spans="1:2" x14ac:dyDescent="0.25">
      <c r="A1743">
        <v>30617102</v>
      </c>
      <c r="B1743" t="s">
        <v>492</v>
      </c>
    </row>
    <row r="1744" spans="1:2" x14ac:dyDescent="0.25">
      <c r="A1744">
        <v>3061710210</v>
      </c>
      <c r="B1744" t="s">
        <v>274</v>
      </c>
    </row>
    <row r="1745" spans="1:2" x14ac:dyDescent="0.25">
      <c r="A1745">
        <v>3061710220</v>
      </c>
      <c r="B1745" t="s">
        <v>493</v>
      </c>
    </row>
    <row r="1746" spans="1:2" x14ac:dyDescent="0.25">
      <c r="A1746">
        <v>3061710290</v>
      </c>
      <c r="B1746" t="s">
        <v>10</v>
      </c>
    </row>
    <row r="1747" spans="1:2" x14ac:dyDescent="0.25">
      <c r="A1747">
        <v>3061710900</v>
      </c>
      <c r="B1747" t="s">
        <v>10</v>
      </c>
    </row>
    <row r="1748" spans="1:2" x14ac:dyDescent="0.25">
      <c r="A1748">
        <v>3061790</v>
      </c>
      <c r="B1748" t="s">
        <v>10</v>
      </c>
    </row>
    <row r="1749" spans="1:2" x14ac:dyDescent="0.25">
      <c r="A1749">
        <v>30617901</v>
      </c>
      <c r="B1749" t="s">
        <v>327</v>
      </c>
    </row>
    <row r="1750" spans="1:2" x14ac:dyDescent="0.25">
      <c r="A1750">
        <v>306179011</v>
      </c>
      <c r="B1750" t="s">
        <v>490</v>
      </c>
    </row>
    <row r="1751" spans="1:2" x14ac:dyDescent="0.25">
      <c r="A1751">
        <v>3061790111</v>
      </c>
      <c r="B1751" t="s">
        <v>487</v>
      </c>
    </row>
    <row r="1752" spans="1:2" x14ac:dyDescent="0.25">
      <c r="A1752">
        <v>3061790113</v>
      </c>
      <c r="B1752" t="s">
        <v>494</v>
      </c>
    </row>
    <row r="1753" spans="1:2" x14ac:dyDescent="0.25">
      <c r="A1753">
        <v>3061790114</v>
      </c>
      <c r="B1753" t="s">
        <v>495</v>
      </c>
    </row>
    <row r="1754" spans="1:2" x14ac:dyDescent="0.25">
      <c r="A1754">
        <v>3061790115</v>
      </c>
      <c r="B1754" t="s">
        <v>496</v>
      </c>
    </row>
    <row r="1755" spans="1:2" x14ac:dyDescent="0.25">
      <c r="A1755">
        <v>3061790119</v>
      </c>
      <c r="B1755" t="s">
        <v>10</v>
      </c>
    </row>
    <row r="1756" spans="1:2" x14ac:dyDescent="0.25">
      <c r="A1756">
        <v>306179019</v>
      </c>
      <c r="B1756" t="s">
        <v>10</v>
      </c>
    </row>
    <row r="1757" spans="1:2" x14ac:dyDescent="0.25">
      <c r="A1757">
        <v>3061790191</v>
      </c>
      <c r="B1757" t="s">
        <v>487</v>
      </c>
    </row>
    <row r="1758" spans="1:2" x14ac:dyDescent="0.25">
      <c r="A1758">
        <v>3061790199</v>
      </c>
      <c r="B1758" t="s">
        <v>10</v>
      </c>
    </row>
    <row r="1759" spans="1:2" x14ac:dyDescent="0.25">
      <c r="A1759">
        <v>30617902</v>
      </c>
      <c r="B1759" t="s">
        <v>493</v>
      </c>
    </row>
    <row r="1760" spans="1:2" x14ac:dyDescent="0.25">
      <c r="A1760">
        <v>306179021</v>
      </c>
      <c r="B1760" t="s">
        <v>490</v>
      </c>
    </row>
    <row r="1761" spans="1:2" x14ac:dyDescent="0.25">
      <c r="A1761">
        <v>3061790211</v>
      </c>
      <c r="B1761" t="s">
        <v>494</v>
      </c>
    </row>
    <row r="1762" spans="1:2" x14ac:dyDescent="0.25">
      <c r="A1762">
        <v>3061790212</v>
      </c>
      <c r="B1762" t="s">
        <v>495</v>
      </c>
    </row>
    <row r="1763" spans="1:2" x14ac:dyDescent="0.25">
      <c r="A1763">
        <v>3061790213</v>
      </c>
      <c r="B1763" t="s">
        <v>496</v>
      </c>
    </row>
    <row r="1764" spans="1:2" x14ac:dyDescent="0.25">
      <c r="A1764">
        <v>3061790214</v>
      </c>
      <c r="B1764" t="s">
        <v>487</v>
      </c>
    </row>
    <row r="1765" spans="1:2" x14ac:dyDescent="0.25">
      <c r="A1765">
        <v>3061790219</v>
      </c>
      <c r="B1765" t="s">
        <v>10</v>
      </c>
    </row>
    <row r="1766" spans="1:2" x14ac:dyDescent="0.25">
      <c r="A1766">
        <v>3061790290</v>
      </c>
      <c r="B1766" t="s">
        <v>10</v>
      </c>
    </row>
    <row r="1767" spans="1:2" x14ac:dyDescent="0.25">
      <c r="A1767">
        <v>30617909</v>
      </c>
      <c r="B1767" t="s">
        <v>10</v>
      </c>
    </row>
    <row r="1768" spans="1:2" x14ac:dyDescent="0.25">
      <c r="A1768">
        <v>306179091</v>
      </c>
      <c r="B1768" t="s">
        <v>490</v>
      </c>
    </row>
    <row r="1769" spans="1:2" x14ac:dyDescent="0.25">
      <c r="A1769">
        <v>3061790911</v>
      </c>
      <c r="B1769" t="s">
        <v>487</v>
      </c>
    </row>
    <row r="1770" spans="1:2" x14ac:dyDescent="0.25">
      <c r="A1770">
        <v>3061790913</v>
      </c>
      <c r="B1770" t="s">
        <v>494</v>
      </c>
    </row>
    <row r="1771" spans="1:2" x14ac:dyDescent="0.25">
      <c r="A1771">
        <v>3061790914</v>
      </c>
      <c r="B1771" t="s">
        <v>495</v>
      </c>
    </row>
    <row r="1772" spans="1:2" x14ac:dyDescent="0.25">
      <c r="A1772">
        <v>3061790915</v>
      </c>
      <c r="B1772" t="s">
        <v>496</v>
      </c>
    </row>
    <row r="1773" spans="1:2" x14ac:dyDescent="0.25">
      <c r="A1773">
        <v>3061790919</v>
      </c>
      <c r="B1773" t="s">
        <v>10</v>
      </c>
    </row>
    <row r="1774" spans="1:2" x14ac:dyDescent="0.25">
      <c r="A1774">
        <v>306179099</v>
      </c>
      <c r="B1774" t="s">
        <v>10</v>
      </c>
    </row>
    <row r="1775" spans="1:2" x14ac:dyDescent="0.25">
      <c r="A1775">
        <v>3061790991</v>
      </c>
      <c r="B1775" t="s">
        <v>487</v>
      </c>
    </row>
    <row r="1776" spans="1:2" x14ac:dyDescent="0.25">
      <c r="A1776">
        <v>3061790999</v>
      </c>
      <c r="B1776" t="s">
        <v>10</v>
      </c>
    </row>
    <row r="1777" spans="1:2" x14ac:dyDescent="0.25">
      <c r="A1777">
        <v>30619</v>
      </c>
      <c r="B1777" t="s">
        <v>497</v>
      </c>
    </row>
    <row r="1778" spans="1:2" x14ac:dyDescent="0.25">
      <c r="A1778">
        <v>3061910</v>
      </c>
      <c r="B1778" t="s">
        <v>498</v>
      </c>
    </row>
    <row r="1779" spans="1:2" x14ac:dyDescent="0.25">
      <c r="A1779">
        <v>3061910100</v>
      </c>
      <c r="B1779" t="s">
        <v>487</v>
      </c>
    </row>
    <row r="1780" spans="1:2" x14ac:dyDescent="0.25">
      <c r="A1780">
        <v>3061910900</v>
      </c>
      <c r="B1780" t="s">
        <v>10</v>
      </c>
    </row>
    <row r="1781" spans="1:2" x14ac:dyDescent="0.25">
      <c r="A1781">
        <v>3061990</v>
      </c>
      <c r="B1781" t="s">
        <v>10</v>
      </c>
    </row>
    <row r="1782" spans="1:2" x14ac:dyDescent="0.25">
      <c r="A1782">
        <v>30619901</v>
      </c>
      <c r="B1782" t="s">
        <v>335</v>
      </c>
    </row>
    <row r="1783" spans="1:2" x14ac:dyDescent="0.25">
      <c r="A1783">
        <v>3061990110</v>
      </c>
      <c r="B1783" t="s">
        <v>487</v>
      </c>
    </row>
    <row r="1784" spans="1:2" x14ac:dyDescent="0.25">
      <c r="A1784">
        <v>3061990190</v>
      </c>
      <c r="B1784" t="s">
        <v>10</v>
      </c>
    </row>
    <row r="1785" spans="1:2" x14ac:dyDescent="0.25">
      <c r="A1785">
        <v>30619909</v>
      </c>
      <c r="B1785" t="s">
        <v>10</v>
      </c>
    </row>
    <row r="1786" spans="1:2" x14ac:dyDescent="0.25">
      <c r="A1786">
        <v>3061990910</v>
      </c>
      <c r="B1786" t="s">
        <v>487</v>
      </c>
    </row>
    <row r="1787" spans="1:2" x14ac:dyDescent="0.25">
      <c r="A1787">
        <v>3061990990</v>
      </c>
      <c r="B1787" t="s">
        <v>10</v>
      </c>
    </row>
    <row r="1788" spans="1:2" x14ac:dyDescent="0.25">
      <c r="A1788">
        <v>3063</v>
      </c>
      <c r="B1788" t="s">
        <v>499</v>
      </c>
    </row>
    <row r="1789" spans="1:2" x14ac:dyDescent="0.25">
      <c r="A1789">
        <v>3063100</v>
      </c>
      <c r="B1789" t="s">
        <v>500</v>
      </c>
    </row>
    <row r="1790" spans="1:2" x14ac:dyDescent="0.25">
      <c r="A1790">
        <v>3063100100</v>
      </c>
      <c r="B1790" t="s">
        <v>501</v>
      </c>
    </row>
    <row r="1791" spans="1:2" x14ac:dyDescent="0.25">
      <c r="A1791">
        <v>3063100900</v>
      </c>
      <c r="B1791" t="s">
        <v>57</v>
      </c>
    </row>
    <row r="1792" spans="1:2" x14ac:dyDescent="0.25">
      <c r="A1792">
        <v>3063200</v>
      </c>
      <c r="B1792" t="s">
        <v>502</v>
      </c>
    </row>
    <row r="1793" spans="1:2" x14ac:dyDescent="0.25">
      <c r="A1793">
        <v>3063200100</v>
      </c>
      <c r="B1793" t="s">
        <v>487</v>
      </c>
    </row>
    <row r="1794" spans="1:2" x14ac:dyDescent="0.25">
      <c r="A1794">
        <v>3063200900</v>
      </c>
      <c r="B1794" t="s">
        <v>10</v>
      </c>
    </row>
    <row r="1795" spans="1:2" x14ac:dyDescent="0.25">
      <c r="A1795">
        <v>3063300</v>
      </c>
      <c r="B1795" t="s">
        <v>503</v>
      </c>
    </row>
    <row r="1796" spans="1:2" x14ac:dyDescent="0.25">
      <c r="A1796">
        <v>3063300100</v>
      </c>
      <c r="B1796" t="s">
        <v>487</v>
      </c>
    </row>
    <row r="1797" spans="1:2" x14ac:dyDescent="0.25">
      <c r="A1797">
        <v>3063300900</v>
      </c>
      <c r="B1797" t="s">
        <v>10</v>
      </c>
    </row>
    <row r="1798" spans="1:2" x14ac:dyDescent="0.25">
      <c r="A1798">
        <v>3063400</v>
      </c>
      <c r="B1798" t="s">
        <v>504</v>
      </c>
    </row>
    <row r="1799" spans="1:2" x14ac:dyDescent="0.25">
      <c r="A1799">
        <v>3063400100</v>
      </c>
      <c r="B1799" t="s">
        <v>501</v>
      </c>
    </row>
    <row r="1800" spans="1:2" x14ac:dyDescent="0.25">
      <c r="A1800">
        <v>3063400900</v>
      </c>
      <c r="B1800" t="s">
        <v>57</v>
      </c>
    </row>
    <row r="1801" spans="1:2" x14ac:dyDescent="0.25">
      <c r="A1801">
        <v>3063500</v>
      </c>
      <c r="B1801" t="s">
        <v>505</v>
      </c>
    </row>
    <row r="1802" spans="1:2" x14ac:dyDescent="0.25">
      <c r="A1802">
        <v>3063500100</v>
      </c>
      <c r="B1802" t="s">
        <v>487</v>
      </c>
    </row>
    <row r="1803" spans="1:2" x14ac:dyDescent="0.25">
      <c r="A1803">
        <v>3063500900</v>
      </c>
      <c r="B1803" t="s">
        <v>10</v>
      </c>
    </row>
    <row r="1804" spans="1:2" x14ac:dyDescent="0.25">
      <c r="A1804">
        <v>3063600</v>
      </c>
      <c r="B1804" t="e">
        <f>- - Los demas Camarones. langostinos y demas decapodos Natantia.</f>
        <v>#NAME?</v>
      </c>
    </row>
    <row r="1805" spans="1:2" x14ac:dyDescent="0.25">
      <c r="A1805">
        <v>3063600100</v>
      </c>
      <c r="B1805" t="s">
        <v>491</v>
      </c>
    </row>
    <row r="1806" spans="1:2" x14ac:dyDescent="0.25">
      <c r="A1806">
        <v>30636009</v>
      </c>
      <c r="B1806" t="s">
        <v>10</v>
      </c>
    </row>
    <row r="1807" spans="1:2" x14ac:dyDescent="0.25">
      <c r="A1807">
        <v>306360091</v>
      </c>
      <c r="B1807" t="s">
        <v>487</v>
      </c>
    </row>
    <row r="1808" spans="1:2" x14ac:dyDescent="0.25">
      <c r="A1808">
        <v>3063600911</v>
      </c>
      <c r="B1808" t="s">
        <v>506</v>
      </c>
    </row>
    <row r="1809" spans="1:2" x14ac:dyDescent="0.25">
      <c r="A1809">
        <v>3063600919</v>
      </c>
      <c r="B1809" t="s">
        <v>10</v>
      </c>
    </row>
    <row r="1810" spans="1:2" x14ac:dyDescent="0.25">
      <c r="A1810">
        <v>306360099</v>
      </c>
      <c r="B1810" t="s">
        <v>10</v>
      </c>
    </row>
    <row r="1811" spans="1:2" x14ac:dyDescent="0.25">
      <c r="A1811">
        <v>3063600991</v>
      </c>
      <c r="B1811" t="s">
        <v>506</v>
      </c>
    </row>
    <row r="1812" spans="1:2" x14ac:dyDescent="0.25">
      <c r="A1812">
        <v>3063600999</v>
      </c>
      <c r="B1812" t="s">
        <v>10</v>
      </c>
    </row>
    <row r="1813" spans="1:2" x14ac:dyDescent="0.25">
      <c r="A1813">
        <v>30639</v>
      </c>
      <c r="B1813" t="s">
        <v>507</v>
      </c>
    </row>
    <row r="1814" spans="1:2" x14ac:dyDescent="0.25">
      <c r="A1814">
        <v>3063910</v>
      </c>
      <c r="B1814" t="s">
        <v>508</v>
      </c>
    </row>
    <row r="1815" spans="1:2" x14ac:dyDescent="0.25">
      <c r="A1815">
        <v>3063910100</v>
      </c>
      <c r="B1815" t="s">
        <v>501</v>
      </c>
    </row>
    <row r="1816" spans="1:2" x14ac:dyDescent="0.25">
      <c r="A1816">
        <v>3063910900</v>
      </c>
      <c r="B1816" t="s">
        <v>57</v>
      </c>
    </row>
    <row r="1817" spans="1:2" x14ac:dyDescent="0.25">
      <c r="A1817">
        <v>3063990</v>
      </c>
      <c r="B1817" t="s">
        <v>10</v>
      </c>
    </row>
    <row r="1818" spans="1:2" x14ac:dyDescent="0.25">
      <c r="A1818">
        <v>3063990100</v>
      </c>
      <c r="B1818" t="s">
        <v>487</v>
      </c>
    </row>
    <row r="1819" spans="1:2" x14ac:dyDescent="0.25">
      <c r="A1819">
        <v>3063990900</v>
      </c>
      <c r="B1819" t="s">
        <v>10</v>
      </c>
    </row>
    <row r="1820" spans="1:2" x14ac:dyDescent="0.25">
      <c r="A1820">
        <v>3069</v>
      </c>
      <c r="B1820" t="s">
        <v>28</v>
      </c>
    </row>
    <row r="1821" spans="1:2" x14ac:dyDescent="0.25">
      <c r="A1821">
        <v>3069100</v>
      </c>
      <c r="B1821" t="s">
        <v>500</v>
      </c>
    </row>
    <row r="1822" spans="1:2" x14ac:dyDescent="0.25">
      <c r="A1822">
        <v>3069100100</v>
      </c>
      <c r="B1822" t="s">
        <v>501</v>
      </c>
    </row>
    <row r="1823" spans="1:2" x14ac:dyDescent="0.25">
      <c r="A1823">
        <v>3069100900</v>
      </c>
      <c r="B1823" t="s">
        <v>57</v>
      </c>
    </row>
    <row r="1824" spans="1:2" x14ac:dyDescent="0.25">
      <c r="A1824">
        <v>3069200</v>
      </c>
      <c r="B1824" t="s">
        <v>502</v>
      </c>
    </row>
    <row r="1825" spans="1:2" x14ac:dyDescent="0.25">
      <c r="A1825">
        <v>3069200100</v>
      </c>
      <c r="B1825" t="s">
        <v>487</v>
      </c>
    </row>
    <row r="1826" spans="1:2" x14ac:dyDescent="0.25">
      <c r="A1826">
        <v>3069200900</v>
      </c>
      <c r="B1826" t="s">
        <v>10</v>
      </c>
    </row>
    <row r="1827" spans="1:2" x14ac:dyDescent="0.25">
      <c r="A1827">
        <v>3069300</v>
      </c>
      <c r="B1827" t="s">
        <v>509</v>
      </c>
    </row>
    <row r="1828" spans="1:2" x14ac:dyDescent="0.25">
      <c r="A1828">
        <v>3069300100</v>
      </c>
      <c r="B1828" t="s">
        <v>487</v>
      </c>
    </row>
    <row r="1829" spans="1:2" x14ac:dyDescent="0.25">
      <c r="A1829">
        <v>3069300900</v>
      </c>
      <c r="B1829" t="s">
        <v>10</v>
      </c>
    </row>
    <row r="1830" spans="1:2" x14ac:dyDescent="0.25">
      <c r="A1830">
        <v>3069400</v>
      </c>
      <c r="B1830" t="s">
        <v>504</v>
      </c>
    </row>
    <row r="1831" spans="1:2" x14ac:dyDescent="0.25">
      <c r="A1831">
        <v>3069400100</v>
      </c>
      <c r="B1831" t="s">
        <v>501</v>
      </c>
    </row>
    <row r="1832" spans="1:2" x14ac:dyDescent="0.25">
      <c r="A1832">
        <v>3069400900</v>
      </c>
      <c r="B1832" t="s">
        <v>57</v>
      </c>
    </row>
    <row r="1833" spans="1:2" x14ac:dyDescent="0.25">
      <c r="A1833">
        <v>3069500</v>
      </c>
      <c r="B1833" t="s">
        <v>505</v>
      </c>
    </row>
    <row r="1834" spans="1:2" x14ac:dyDescent="0.25">
      <c r="A1834">
        <v>3069500100</v>
      </c>
      <c r="B1834" t="s">
        <v>491</v>
      </c>
    </row>
    <row r="1835" spans="1:2" x14ac:dyDescent="0.25">
      <c r="A1835">
        <v>30695009</v>
      </c>
      <c r="B1835" t="s">
        <v>10</v>
      </c>
    </row>
    <row r="1836" spans="1:2" x14ac:dyDescent="0.25">
      <c r="A1836">
        <v>306950091</v>
      </c>
      <c r="B1836" t="s">
        <v>487</v>
      </c>
    </row>
    <row r="1837" spans="1:2" x14ac:dyDescent="0.25">
      <c r="A1837">
        <v>3069500911</v>
      </c>
      <c r="B1837" t="s">
        <v>506</v>
      </c>
    </row>
    <row r="1838" spans="1:2" x14ac:dyDescent="0.25">
      <c r="A1838">
        <v>3069500919</v>
      </c>
      <c r="B1838" t="s">
        <v>10</v>
      </c>
    </row>
    <row r="1839" spans="1:2" x14ac:dyDescent="0.25">
      <c r="A1839">
        <v>306950099</v>
      </c>
      <c r="B1839" t="s">
        <v>10</v>
      </c>
    </row>
    <row r="1840" spans="1:2" x14ac:dyDescent="0.25">
      <c r="A1840">
        <v>3069500991</v>
      </c>
      <c r="B1840" t="s">
        <v>506</v>
      </c>
    </row>
    <row r="1841" spans="1:2" x14ac:dyDescent="0.25">
      <c r="A1841">
        <v>3069500999</v>
      </c>
      <c r="B1841" t="s">
        <v>10</v>
      </c>
    </row>
    <row r="1842" spans="1:2" x14ac:dyDescent="0.25">
      <c r="A1842">
        <v>30699</v>
      </c>
      <c r="B1842" t="s">
        <v>507</v>
      </c>
    </row>
    <row r="1843" spans="1:2" x14ac:dyDescent="0.25">
      <c r="A1843">
        <v>3069910</v>
      </c>
      <c r="B1843" t="s">
        <v>508</v>
      </c>
    </row>
    <row r="1844" spans="1:2" x14ac:dyDescent="0.25">
      <c r="A1844">
        <v>3069910100</v>
      </c>
      <c r="B1844" t="s">
        <v>501</v>
      </c>
    </row>
    <row r="1845" spans="1:2" x14ac:dyDescent="0.25">
      <c r="A1845">
        <v>3069910900</v>
      </c>
      <c r="B1845" t="s">
        <v>57</v>
      </c>
    </row>
    <row r="1846" spans="1:2" x14ac:dyDescent="0.25">
      <c r="A1846">
        <v>3069990</v>
      </c>
      <c r="B1846" t="s">
        <v>10</v>
      </c>
    </row>
    <row r="1847" spans="1:2" x14ac:dyDescent="0.25">
      <c r="A1847">
        <v>3069990100</v>
      </c>
      <c r="B1847" t="s">
        <v>487</v>
      </c>
    </row>
    <row r="1848" spans="1:2" x14ac:dyDescent="0.25">
      <c r="A1848">
        <v>3069990900</v>
      </c>
      <c r="B1848" t="s">
        <v>10</v>
      </c>
    </row>
    <row r="1849" spans="1:2" x14ac:dyDescent="0.25">
      <c r="A1849">
        <v>307</v>
      </c>
      <c r="B1849" t="s">
        <v>510</v>
      </c>
    </row>
    <row r="1850" spans="1:2" x14ac:dyDescent="0.25">
      <c r="A1850">
        <v>3071</v>
      </c>
      <c r="B1850" t="s">
        <v>511</v>
      </c>
    </row>
    <row r="1851" spans="1:2" x14ac:dyDescent="0.25">
      <c r="A1851">
        <v>3071100000</v>
      </c>
      <c r="B1851" t="e">
        <f>--Vivas. frescas o refrigeradas</f>
        <v>#NAME?</v>
      </c>
    </row>
    <row r="1852" spans="1:2" x14ac:dyDescent="0.25">
      <c r="A1852">
        <v>3071200000</v>
      </c>
      <c r="B1852" t="s">
        <v>512</v>
      </c>
    </row>
    <row r="1853" spans="1:2" x14ac:dyDescent="0.25">
      <c r="A1853">
        <v>3071900</v>
      </c>
      <c r="B1853" t="e">
        <f>- - las demas</f>
        <v>#NAME?</v>
      </c>
    </row>
    <row r="1854" spans="1:2" x14ac:dyDescent="0.25">
      <c r="A1854">
        <v>3071900200</v>
      </c>
      <c r="B1854" t="s">
        <v>487</v>
      </c>
    </row>
    <row r="1855" spans="1:2" x14ac:dyDescent="0.25">
      <c r="A1855">
        <v>3071900900</v>
      </c>
      <c r="B1855" t="s">
        <v>10</v>
      </c>
    </row>
    <row r="1856" spans="1:2" x14ac:dyDescent="0.25">
      <c r="A1856">
        <v>3072</v>
      </c>
      <c r="B1856" t="s">
        <v>513</v>
      </c>
    </row>
    <row r="1857" spans="1:2" x14ac:dyDescent="0.25">
      <c r="A1857">
        <v>3072100000</v>
      </c>
      <c r="B1857" t="e">
        <f>--Vivos. frescos o refrigerados</f>
        <v>#NAME?</v>
      </c>
    </row>
    <row r="1858" spans="1:2" x14ac:dyDescent="0.25">
      <c r="A1858">
        <v>3072200</v>
      </c>
      <c r="B1858" t="e">
        <f>- - Congelados.</f>
        <v>#NAME?</v>
      </c>
    </row>
    <row r="1859" spans="1:2" x14ac:dyDescent="0.25">
      <c r="A1859">
        <v>3072200100</v>
      </c>
      <c r="B1859" t="s">
        <v>320</v>
      </c>
    </row>
    <row r="1860" spans="1:2" x14ac:dyDescent="0.25">
      <c r="A1860">
        <v>3072200900</v>
      </c>
      <c r="B1860" t="s">
        <v>10</v>
      </c>
    </row>
    <row r="1861" spans="1:2" x14ac:dyDescent="0.25">
      <c r="A1861">
        <v>3072900</v>
      </c>
      <c r="B1861" t="e">
        <f>- - Los demas</f>
        <v>#NAME?</v>
      </c>
    </row>
    <row r="1862" spans="1:2" x14ac:dyDescent="0.25">
      <c r="A1862">
        <v>3072900100</v>
      </c>
      <c r="B1862" t="s">
        <v>487</v>
      </c>
    </row>
    <row r="1863" spans="1:2" x14ac:dyDescent="0.25">
      <c r="A1863">
        <v>3072900900</v>
      </c>
      <c r="B1863" t="s">
        <v>10</v>
      </c>
    </row>
    <row r="1864" spans="1:2" x14ac:dyDescent="0.25">
      <c r="A1864">
        <v>3073</v>
      </c>
      <c r="B1864" t="s">
        <v>514</v>
      </c>
    </row>
    <row r="1865" spans="1:2" x14ac:dyDescent="0.25">
      <c r="A1865">
        <v>3073100000</v>
      </c>
      <c r="B1865" t="e">
        <f>--Vivos. frescos o refrigerados</f>
        <v>#NAME?</v>
      </c>
    </row>
    <row r="1866" spans="1:2" x14ac:dyDescent="0.25">
      <c r="A1866">
        <v>3073200</v>
      </c>
      <c r="B1866" t="e">
        <f>- - Congelados.</f>
        <v>#NAME?</v>
      </c>
    </row>
    <row r="1867" spans="1:2" x14ac:dyDescent="0.25">
      <c r="A1867">
        <v>3073200100</v>
      </c>
      <c r="B1867" t="s">
        <v>274</v>
      </c>
    </row>
    <row r="1868" spans="1:2" x14ac:dyDescent="0.25">
      <c r="A1868">
        <v>3073200900</v>
      </c>
      <c r="B1868" t="s">
        <v>10</v>
      </c>
    </row>
    <row r="1869" spans="1:2" x14ac:dyDescent="0.25">
      <c r="A1869">
        <v>3073900</v>
      </c>
      <c r="B1869" t="e">
        <f>- - Los demas</f>
        <v>#NAME?</v>
      </c>
    </row>
    <row r="1870" spans="1:2" x14ac:dyDescent="0.25">
      <c r="A1870">
        <v>3073900200</v>
      </c>
      <c r="B1870" t="s">
        <v>487</v>
      </c>
    </row>
    <row r="1871" spans="1:2" x14ac:dyDescent="0.25">
      <c r="A1871">
        <v>3073900900</v>
      </c>
      <c r="B1871" t="s">
        <v>10</v>
      </c>
    </row>
    <row r="1872" spans="1:2" x14ac:dyDescent="0.25">
      <c r="A1872">
        <v>3074</v>
      </c>
      <c r="B1872" t="s">
        <v>515</v>
      </c>
    </row>
    <row r="1873" spans="1:2" x14ac:dyDescent="0.25">
      <c r="A1873">
        <v>3074200</v>
      </c>
      <c r="B1873" t="e">
        <f>--Vivos. frescos o refrigerados</f>
        <v>#NAME?</v>
      </c>
    </row>
    <row r="1874" spans="1:2" x14ac:dyDescent="0.25">
      <c r="A1874">
        <v>3074200100</v>
      </c>
      <c r="B1874" t="s">
        <v>516</v>
      </c>
    </row>
    <row r="1875" spans="1:2" x14ac:dyDescent="0.25">
      <c r="A1875">
        <v>3074200900</v>
      </c>
      <c r="B1875" t="s">
        <v>10</v>
      </c>
    </row>
    <row r="1876" spans="1:2" x14ac:dyDescent="0.25">
      <c r="A1876">
        <v>30743</v>
      </c>
      <c r="B1876" t="e">
        <f>- - Congelados.</f>
        <v>#NAME?</v>
      </c>
    </row>
    <row r="1877" spans="1:2" x14ac:dyDescent="0.25">
      <c r="A1877">
        <v>3074310</v>
      </c>
      <c r="B1877" t="s">
        <v>517</v>
      </c>
    </row>
    <row r="1878" spans="1:2" x14ac:dyDescent="0.25">
      <c r="A1878">
        <v>30743101</v>
      </c>
      <c r="B1878" t="s">
        <v>518</v>
      </c>
    </row>
    <row r="1879" spans="1:2" x14ac:dyDescent="0.25">
      <c r="A1879">
        <v>3074310110</v>
      </c>
      <c r="B1879" t="s">
        <v>519</v>
      </c>
    </row>
    <row r="1880" spans="1:2" x14ac:dyDescent="0.25">
      <c r="A1880">
        <v>3074310120</v>
      </c>
      <c r="B1880" t="s">
        <v>520</v>
      </c>
    </row>
    <row r="1881" spans="1:2" x14ac:dyDescent="0.25">
      <c r="A1881">
        <v>3074310130</v>
      </c>
      <c r="B1881" t="s">
        <v>521</v>
      </c>
    </row>
    <row r="1882" spans="1:2" x14ac:dyDescent="0.25">
      <c r="A1882">
        <v>3074310140</v>
      </c>
      <c r="B1882" t="s">
        <v>522</v>
      </c>
    </row>
    <row r="1883" spans="1:2" x14ac:dyDescent="0.25">
      <c r="A1883">
        <v>3074310150</v>
      </c>
      <c r="B1883" t="s">
        <v>523</v>
      </c>
    </row>
    <row r="1884" spans="1:2" x14ac:dyDescent="0.25">
      <c r="A1884">
        <v>307431016</v>
      </c>
      <c r="B1884" t="s">
        <v>524</v>
      </c>
    </row>
    <row r="1885" spans="1:2" x14ac:dyDescent="0.25">
      <c r="A1885">
        <v>3074310161</v>
      </c>
      <c r="B1885" t="s">
        <v>525</v>
      </c>
    </row>
    <row r="1886" spans="1:2" x14ac:dyDescent="0.25">
      <c r="A1886">
        <v>3074310169</v>
      </c>
      <c r="B1886" t="s">
        <v>10</v>
      </c>
    </row>
    <row r="1887" spans="1:2" x14ac:dyDescent="0.25">
      <c r="A1887">
        <v>3074310170</v>
      </c>
      <c r="B1887" t="s">
        <v>487</v>
      </c>
    </row>
    <row r="1888" spans="1:2" x14ac:dyDescent="0.25">
      <c r="A1888">
        <v>3074310190</v>
      </c>
      <c r="B1888" t="s">
        <v>10</v>
      </c>
    </row>
    <row r="1889" spans="1:2" x14ac:dyDescent="0.25">
      <c r="A1889">
        <v>3074310900</v>
      </c>
      <c r="B1889" t="s">
        <v>10</v>
      </c>
    </row>
    <row r="1890" spans="1:2" x14ac:dyDescent="0.25">
      <c r="A1890">
        <v>3074320000</v>
      </c>
      <c r="B1890" t="s">
        <v>526</v>
      </c>
    </row>
    <row r="1891" spans="1:2" x14ac:dyDescent="0.25">
      <c r="A1891">
        <v>3074900</v>
      </c>
      <c r="B1891" t="e">
        <f>- - Los demas.</f>
        <v>#NAME?</v>
      </c>
    </row>
    <row r="1892" spans="1:2" x14ac:dyDescent="0.25">
      <c r="A1892">
        <v>3074900100</v>
      </c>
      <c r="B1892" t="s">
        <v>527</v>
      </c>
    </row>
    <row r="1893" spans="1:2" x14ac:dyDescent="0.25">
      <c r="A1893">
        <v>3074900200</v>
      </c>
      <c r="B1893" t="s">
        <v>487</v>
      </c>
    </row>
    <row r="1894" spans="1:2" x14ac:dyDescent="0.25">
      <c r="A1894">
        <v>3074900900</v>
      </c>
      <c r="B1894" t="s">
        <v>10</v>
      </c>
    </row>
    <row r="1895" spans="1:2" x14ac:dyDescent="0.25">
      <c r="A1895">
        <v>3075</v>
      </c>
      <c r="B1895" t="s">
        <v>528</v>
      </c>
    </row>
    <row r="1896" spans="1:2" x14ac:dyDescent="0.25">
      <c r="A1896">
        <v>3075100000</v>
      </c>
      <c r="B1896" t="e">
        <f>--Vivos. frescos o refrigerados</f>
        <v>#NAME?</v>
      </c>
    </row>
    <row r="1897" spans="1:2" x14ac:dyDescent="0.25">
      <c r="A1897">
        <v>3075200</v>
      </c>
      <c r="B1897" t="e">
        <f>- - Congelados.</f>
        <v>#NAME?</v>
      </c>
    </row>
    <row r="1898" spans="1:2" x14ac:dyDescent="0.25">
      <c r="A1898">
        <v>3075200100</v>
      </c>
      <c r="B1898" t="s">
        <v>487</v>
      </c>
    </row>
    <row r="1899" spans="1:2" x14ac:dyDescent="0.25">
      <c r="A1899">
        <v>3075200900</v>
      </c>
      <c r="B1899" t="s">
        <v>10</v>
      </c>
    </row>
    <row r="1900" spans="1:2" x14ac:dyDescent="0.25">
      <c r="A1900">
        <v>3075900</v>
      </c>
      <c r="B1900" t="e">
        <f>- - Los demas</f>
        <v>#NAME?</v>
      </c>
    </row>
    <row r="1901" spans="1:2" x14ac:dyDescent="0.25">
      <c r="A1901">
        <v>3075900100</v>
      </c>
      <c r="B1901" t="s">
        <v>527</v>
      </c>
    </row>
    <row r="1902" spans="1:2" x14ac:dyDescent="0.25">
      <c r="A1902">
        <v>3075900200</v>
      </c>
      <c r="B1902" t="s">
        <v>487</v>
      </c>
    </row>
    <row r="1903" spans="1:2" x14ac:dyDescent="0.25">
      <c r="A1903">
        <v>3075900900</v>
      </c>
      <c r="B1903" t="s">
        <v>10</v>
      </c>
    </row>
    <row r="1904" spans="1:2" x14ac:dyDescent="0.25">
      <c r="A1904">
        <v>3076000</v>
      </c>
      <c r="B1904" t="e">
        <f>- Caracoles. excepto Los de mar</f>
        <v>#NAME?</v>
      </c>
    </row>
    <row r="1905" spans="1:2" x14ac:dyDescent="0.25">
      <c r="A1905">
        <v>30760001</v>
      </c>
      <c r="B1905" t="s">
        <v>529</v>
      </c>
    </row>
    <row r="1906" spans="1:2" x14ac:dyDescent="0.25">
      <c r="A1906">
        <v>3076000110</v>
      </c>
      <c r="B1906" t="s">
        <v>487</v>
      </c>
    </row>
    <row r="1907" spans="1:2" x14ac:dyDescent="0.25">
      <c r="A1907">
        <v>3076000190</v>
      </c>
      <c r="B1907" t="s">
        <v>10</v>
      </c>
    </row>
    <row r="1908" spans="1:2" x14ac:dyDescent="0.25">
      <c r="A1908">
        <v>30760009</v>
      </c>
      <c r="B1908" t="s">
        <v>10</v>
      </c>
    </row>
    <row r="1909" spans="1:2" x14ac:dyDescent="0.25">
      <c r="A1909">
        <v>3076000910</v>
      </c>
      <c r="B1909" t="s">
        <v>487</v>
      </c>
    </row>
    <row r="1910" spans="1:2" x14ac:dyDescent="0.25">
      <c r="A1910">
        <v>3076000990</v>
      </c>
      <c r="B1910" t="s">
        <v>10</v>
      </c>
    </row>
    <row r="1911" spans="1:2" x14ac:dyDescent="0.25">
      <c r="A1911">
        <v>3077</v>
      </c>
      <c r="B1911" t="s">
        <v>530</v>
      </c>
    </row>
    <row r="1912" spans="1:2" x14ac:dyDescent="0.25">
      <c r="A1912">
        <v>3077100000</v>
      </c>
      <c r="B1912" t="e">
        <f>--Vivos. frescos o refrigerados</f>
        <v>#NAME?</v>
      </c>
    </row>
    <row r="1913" spans="1:2" x14ac:dyDescent="0.25">
      <c r="A1913">
        <v>3077200</v>
      </c>
      <c r="B1913" t="e">
        <f>- - Congelados.</f>
        <v>#NAME?</v>
      </c>
    </row>
    <row r="1914" spans="1:2" x14ac:dyDescent="0.25">
      <c r="A1914">
        <v>3077200100</v>
      </c>
      <c r="B1914" t="s">
        <v>487</v>
      </c>
    </row>
    <row r="1915" spans="1:2" x14ac:dyDescent="0.25">
      <c r="A1915">
        <v>3077200900</v>
      </c>
      <c r="B1915" t="s">
        <v>10</v>
      </c>
    </row>
    <row r="1916" spans="1:2" x14ac:dyDescent="0.25">
      <c r="A1916">
        <v>3077900</v>
      </c>
      <c r="B1916" t="e">
        <f>- - Los demas</f>
        <v>#NAME?</v>
      </c>
    </row>
    <row r="1917" spans="1:2" x14ac:dyDescent="0.25">
      <c r="A1917">
        <v>3077900100</v>
      </c>
      <c r="B1917" t="s">
        <v>487</v>
      </c>
    </row>
    <row r="1918" spans="1:2" x14ac:dyDescent="0.25">
      <c r="A1918">
        <v>3077900900</v>
      </c>
      <c r="B1918" t="s">
        <v>10</v>
      </c>
    </row>
    <row r="1919" spans="1:2" x14ac:dyDescent="0.25">
      <c r="A1919">
        <v>3078</v>
      </c>
      <c r="B1919" t="s">
        <v>531</v>
      </c>
    </row>
    <row r="1920" spans="1:2" x14ac:dyDescent="0.25">
      <c r="A1920">
        <v>3078100000</v>
      </c>
      <c r="B1920" t="s">
        <v>532</v>
      </c>
    </row>
    <row r="1921" spans="1:2" x14ac:dyDescent="0.25">
      <c r="A1921">
        <v>3078200000</v>
      </c>
      <c r="B1921" t="s">
        <v>533</v>
      </c>
    </row>
    <row r="1922" spans="1:2" x14ac:dyDescent="0.25">
      <c r="A1922">
        <v>3078300000</v>
      </c>
      <c r="B1922" t="s">
        <v>534</v>
      </c>
    </row>
    <row r="1923" spans="1:2" x14ac:dyDescent="0.25">
      <c r="A1923">
        <v>3078400000</v>
      </c>
      <c r="B1923" t="s">
        <v>535</v>
      </c>
    </row>
    <row r="1924" spans="1:2" x14ac:dyDescent="0.25">
      <c r="A1924">
        <v>3078700</v>
      </c>
      <c r="B1924" t="s">
        <v>536</v>
      </c>
    </row>
    <row r="1925" spans="1:2" x14ac:dyDescent="0.25">
      <c r="A1925">
        <v>3078700100</v>
      </c>
      <c r="B1925" t="s">
        <v>487</v>
      </c>
    </row>
    <row r="1926" spans="1:2" x14ac:dyDescent="0.25">
      <c r="A1926">
        <v>3078700900</v>
      </c>
      <c r="B1926" t="s">
        <v>10</v>
      </c>
    </row>
    <row r="1927" spans="1:2" x14ac:dyDescent="0.25">
      <c r="A1927">
        <v>3078800</v>
      </c>
      <c r="B1927" t="s">
        <v>537</v>
      </c>
    </row>
    <row r="1928" spans="1:2" x14ac:dyDescent="0.25">
      <c r="A1928">
        <v>3078800100</v>
      </c>
      <c r="B1928" t="s">
        <v>487</v>
      </c>
    </row>
    <row r="1929" spans="1:2" x14ac:dyDescent="0.25">
      <c r="A1929">
        <v>3078800900</v>
      </c>
      <c r="B1929" t="s">
        <v>10</v>
      </c>
    </row>
    <row r="1930" spans="1:2" x14ac:dyDescent="0.25">
      <c r="A1930">
        <v>3079</v>
      </c>
      <c r="B1930" t="s">
        <v>538</v>
      </c>
    </row>
    <row r="1931" spans="1:2" x14ac:dyDescent="0.25">
      <c r="A1931">
        <v>3079100</v>
      </c>
      <c r="B1931" t="e">
        <f>- - Vivos. frescos o refrigerados</f>
        <v>#NAME?</v>
      </c>
    </row>
    <row r="1932" spans="1:2" x14ac:dyDescent="0.25">
      <c r="A1932">
        <v>30791001</v>
      </c>
      <c r="B1932" t="s">
        <v>539</v>
      </c>
    </row>
    <row r="1933" spans="1:2" x14ac:dyDescent="0.25">
      <c r="A1933">
        <v>3079100110</v>
      </c>
      <c r="B1933" t="s">
        <v>327</v>
      </c>
    </row>
    <row r="1934" spans="1:2" x14ac:dyDescent="0.25">
      <c r="A1934">
        <v>3079100190</v>
      </c>
      <c r="B1934" t="s">
        <v>10</v>
      </c>
    </row>
    <row r="1935" spans="1:2" x14ac:dyDescent="0.25">
      <c r="A1935">
        <v>3079100900</v>
      </c>
      <c r="B1935" t="s">
        <v>10</v>
      </c>
    </row>
    <row r="1936" spans="1:2" x14ac:dyDescent="0.25">
      <c r="A1936">
        <v>3079200</v>
      </c>
      <c r="B1936" t="e">
        <f>- - Congelados.</f>
        <v>#NAME?</v>
      </c>
    </row>
    <row r="1937" spans="1:2" x14ac:dyDescent="0.25">
      <c r="A1937">
        <v>30792001</v>
      </c>
      <c r="B1937" t="s">
        <v>540</v>
      </c>
    </row>
    <row r="1938" spans="1:2" x14ac:dyDescent="0.25">
      <c r="A1938">
        <v>307920011</v>
      </c>
      <c r="B1938" t="s">
        <v>320</v>
      </c>
    </row>
    <row r="1939" spans="1:2" x14ac:dyDescent="0.25">
      <c r="A1939">
        <v>3079200111</v>
      </c>
      <c r="B1939" t="s">
        <v>501</v>
      </c>
    </row>
    <row r="1940" spans="1:2" x14ac:dyDescent="0.25">
      <c r="A1940">
        <v>3079200119</v>
      </c>
      <c r="B1940" t="s">
        <v>10</v>
      </c>
    </row>
    <row r="1941" spans="1:2" x14ac:dyDescent="0.25">
      <c r="A1941">
        <v>307920019</v>
      </c>
      <c r="B1941" t="s">
        <v>10</v>
      </c>
    </row>
    <row r="1942" spans="1:2" x14ac:dyDescent="0.25">
      <c r="A1942">
        <v>3079200191</v>
      </c>
      <c r="B1942" t="s">
        <v>501</v>
      </c>
    </row>
    <row r="1943" spans="1:2" x14ac:dyDescent="0.25">
      <c r="A1943">
        <v>3079200199</v>
      </c>
      <c r="B1943" t="s">
        <v>10</v>
      </c>
    </row>
    <row r="1944" spans="1:2" x14ac:dyDescent="0.25">
      <c r="A1944">
        <v>3079200900</v>
      </c>
      <c r="B1944" t="s">
        <v>10</v>
      </c>
    </row>
    <row r="1945" spans="1:2" x14ac:dyDescent="0.25">
      <c r="A1945">
        <v>3079900</v>
      </c>
      <c r="B1945" t="e">
        <f>- - Los demas</f>
        <v>#NAME?</v>
      </c>
    </row>
    <row r="1946" spans="1:2" x14ac:dyDescent="0.25">
      <c r="A1946">
        <v>30799002</v>
      </c>
      <c r="B1946" t="s">
        <v>541</v>
      </c>
    </row>
    <row r="1947" spans="1:2" x14ac:dyDescent="0.25">
      <c r="A1947">
        <v>307990021</v>
      </c>
      <c r="B1947" t="s">
        <v>327</v>
      </c>
    </row>
    <row r="1948" spans="1:2" x14ac:dyDescent="0.25">
      <c r="A1948">
        <v>3079900211</v>
      </c>
      <c r="B1948" t="s">
        <v>542</v>
      </c>
    </row>
    <row r="1949" spans="1:2" x14ac:dyDescent="0.25">
      <c r="A1949">
        <v>3079900219</v>
      </c>
      <c r="B1949" t="s">
        <v>57</v>
      </c>
    </row>
    <row r="1950" spans="1:2" x14ac:dyDescent="0.25">
      <c r="A1950">
        <v>3079900290</v>
      </c>
      <c r="B1950" t="s">
        <v>10</v>
      </c>
    </row>
    <row r="1951" spans="1:2" x14ac:dyDescent="0.25">
      <c r="A1951">
        <v>30799009</v>
      </c>
      <c r="B1951" t="s">
        <v>10</v>
      </c>
    </row>
    <row r="1952" spans="1:2" x14ac:dyDescent="0.25">
      <c r="A1952">
        <v>3079900920</v>
      </c>
      <c r="B1952" t="s">
        <v>487</v>
      </c>
    </row>
    <row r="1953" spans="1:2" x14ac:dyDescent="0.25">
      <c r="A1953">
        <v>3079900990</v>
      </c>
      <c r="B1953" t="s">
        <v>10</v>
      </c>
    </row>
    <row r="1954" spans="1:2" x14ac:dyDescent="0.25">
      <c r="A1954">
        <v>308</v>
      </c>
      <c r="B1954" t="s">
        <v>543</v>
      </c>
    </row>
    <row r="1955" spans="1:2" x14ac:dyDescent="0.25">
      <c r="A1955">
        <v>3081</v>
      </c>
      <c r="B1955" t="s">
        <v>544</v>
      </c>
    </row>
    <row r="1956" spans="1:2" x14ac:dyDescent="0.25">
      <c r="A1956">
        <v>3081100000</v>
      </c>
      <c r="B1956" t="e">
        <f>--Vivos. frescos o refrigerados</f>
        <v>#NAME?</v>
      </c>
    </row>
    <row r="1957" spans="1:2" x14ac:dyDescent="0.25">
      <c r="A1957">
        <v>3081200000</v>
      </c>
      <c r="B1957" t="e">
        <f>--congelados</f>
        <v>#NAME?</v>
      </c>
    </row>
    <row r="1958" spans="1:2" x14ac:dyDescent="0.25">
      <c r="A1958">
        <v>3081900</v>
      </c>
      <c r="B1958" t="e">
        <f>- - Los demas</f>
        <v>#NAME?</v>
      </c>
    </row>
    <row r="1959" spans="1:2" x14ac:dyDescent="0.25">
      <c r="A1959">
        <v>3081900100</v>
      </c>
      <c r="B1959" t="s">
        <v>487</v>
      </c>
    </row>
    <row r="1960" spans="1:2" x14ac:dyDescent="0.25">
      <c r="A1960">
        <v>3081900900</v>
      </c>
      <c r="B1960" t="s">
        <v>10</v>
      </c>
    </row>
    <row r="1961" spans="1:2" x14ac:dyDescent="0.25">
      <c r="A1961">
        <v>3082</v>
      </c>
      <c r="B1961" t="s">
        <v>545</v>
      </c>
    </row>
    <row r="1962" spans="1:2" x14ac:dyDescent="0.25">
      <c r="A1962">
        <v>3082100000</v>
      </c>
      <c r="B1962" t="e">
        <f>--Vivos. frescos o refrigerados</f>
        <v>#NAME?</v>
      </c>
    </row>
    <row r="1963" spans="1:2" x14ac:dyDescent="0.25">
      <c r="A1963">
        <v>3082200000</v>
      </c>
      <c r="B1963" t="e">
        <f>--congelados</f>
        <v>#NAME?</v>
      </c>
    </row>
    <row r="1964" spans="1:2" x14ac:dyDescent="0.25">
      <c r="A1964">
        <v>3082900</v>
      </c>
      <c r="B1964" t="e">
        <f>- - Los demas</f>
        <v>#NAME?</v>
      </c>
    </row>
    <row r="1965" spans="1:2" x14ac:dyDescent="0.25">
      <c r="A1965">
        <v>3082900100</v>
      </c>
      <c r="B1965" t="s">
        <v>487</v>
      </c>
    </row>
    <row r="1966" spans="1:2" x14ac:dyDescent="0.25">
      <c r="A1966">
        <v>3082900900</v>
      </c>
      <c r="B1966" t="s">
        <v>10</v>
      </c>
    </row>
    <row r="1967" spans="1:2" x14ac:dyDescent="0.25">
      <c r="A1967">
        <v>3083000</v>
      </c>
      <c r="B1967" t="e">
        <f>- Medusas (Rhopilema spp.)</f>
        <v>#NAME?</v>
      </c>
    </row>
    <row r="1968" spans="1:2" x14ac:dyDescent="0.25">
      <c r="A1968">
        <v>3083000100</v>
      </c>
      <c r="B1968" t="s">
        <v>501</v>
      </c>
    </row>
    <row r="1969" spans="1:2" x14ac:dyDescent="0.25">
      <c r="A1969">
        <v>3083000900</v>
      </c>
      <c r="B1969" t="s">
        <v>57</v>
      </c>
    </row>
    <row r="1970" spans="1:2" x14ac:dyDescent="0.25">
      <c r="A1970">
        <v>3089000</v>
      </c>
      <c r="B1970" t="e">
        <f>- Los demas</f>
        <v>#NAME?</v>
      </c>
    </row>
    <row r="1971" spans="1:2" x14ac:dyDescent="0.25">
      <c r="A1971">
        <v>3089000100</v>
      </c>
      <c r="B1971" t="s">
        <v>487</v>
      </c>
    </row>
    <row r="1972" spans="1:2" x14ac:dyDescent="0.25">
      <c r="A1972">
        <v>3089000900</v>
      </c>
      <c r="B1972" t="s">
        <v>10</v>
      </c>
    </row>
    <row r="1973" spans="1:2" x14ac:dyDescent="0.25">
      <c r="A1973">
        <v>401</v>
      </c>
      <c r="B1973" t="s">
        <v>546</v>
      </c>
    </row>
    <row r="1974" spans="1:2" x14ac:dyDescent="0.25">
      <c r="A1974">
        <v>40110</v>
      </c>
      <c r="B1974" t="s">
        <v>547</v>
      </c>
    </row>
    <row r="1975" spans="1:2" x14ac:dyDescent="0.25">
      <c r="A1975">
        <v>4011010</v>
      </c>
      <c r="B1975" t="s">
        <v>548</v>
      </c>
    </row>
    <row r="1976" spans="1:2" x14ac:dyDescent="0.25">
      <c r="A1976">
        <v>4011010100</v>
      </c>
      <c r="B1976" t="s">
        <v>549</v>
      </c>
    </row>
    <row r="1977" spans="1:2" x14ac:dyDescent="0.25">
      <c r="A1977">
        <v>4011010900</v>
      </c>
      <c r="B1977" t="s">
        <v>57</v>
      </c>
    </row>
    <row r="1978" spans="1:2" x14ac:dyDescent="0.25">
      <c r="A1978">
        <v>4011090000</v>
      </c>
      <c r="B1978" t="s">
        <v>57</v>
      </c>
    </row>
    <row r="1979" spans="1:2" x14ac:dyDescent="0.25">
      <c r="A1979">
        <v>40120</v>
      </c>
      <c r="B1979" t="s">
        <v>550</v>
      </c>
    </row>
    <row r="1980" spans="1:2" x14ac:dyDescent="0.25">
      <c r="A1980">
        <v>4012010</v>
      </c>
      <c r="B1980" t="s">
        <v>548</v>
      </c>
    </row>
    <row r="1981" spans="1:2" x14ac:dyDescent="0.25">
      <c r="A1981">
        <v>4012010100</v>
      </c>
      <c r="B1981" t="s">
        <v>549</v>
      </c>
    </row>
    <row r="1982" spans="1:2" x14ac:dyDescent="0.25">
      <c r="A1982">
        <v>4012010900</v>
      </c>
      <c r="B1982" t="s">
        <v>57</v>
      </c>
    </row>
    <row r="1983" spans="1:2" x14ac:dyDescent="0.25">
      <c r="A1983">
        <v>4012090000</v>
      </c>
      <c r="B1983" t="s">
        <v>57</v>
      </c>
    </row>
    <row r="1984" spans="1:2" x14ac:dyDescent="0.25">
      <c r="A1984">
        <v>40140</v>
      </c>
      <c r="B1984" t="s">
        <v>551</v>
      </c>
    </row>
    <row r="1985" spans="1:2" x14ac:dyDescent="0.25">
      <c r="A1985">
        <v>4014010000</v>
      </c>
      <c r="B1985" t="s">
        <v>552</v>
      </c>
    </row>
    <row r="1986" spans="1:2" x14ac:dyDescent="0.25">
      <c r="A1986">
        <v>401402</v>
      </c>
      <c r="B1986" t="s">
        <v>553</v>
      </c>
    </row>
    <row r="1987" spans="1:2" x14ac:dyDescent="0.25">
      <c r="A1987">
        <v>4014021</v>
      </c>
      <c r="B1987" t="s">
        <v>554</v>
      </c>
    </row>
    <row r="1988" spans="1:2" x14ac:dyDescent="0.25">
      <c r="A1988">
        <v>40140211</v>
      </c>
      <c r="B1988" t="s">
        <v>555</v>
      </c>
    </row>
    <row r="1989" spans="1:2" x14ac:dyDescent="0.25">
      <c r="A1989">
        <v>4014021110</v>
      </c>
      <c r="B1989" t="s">
        <v>556</v>
      </c>
    </row>
    <row r="1990" spans="1:2" x14ac:dyDescent="0.25">
      <c r="A1990">
        <v>4014021190</v>
      </c>
      <c r="B1990" t="s">
        <v>57</v>
      </c>
    </row>
    <row r="1991" spans="1:2" x14ac:dyDescent="0.25">
      <c r="A1991">
        <v>40140219</v>
      </c>
      <c r="B1991" t="s">
        <v>57</v>
      </c>
    </row>
    <row r="1992" spans="1:2" x14ac:dyDescent="0.25">
      <c r="A1992">
        <v>4014021910</v>
      </c>
      <c r="B1992" t="s">
        <v>556</v>
      </c>
    </row>
    <row r="1993" spans="1:2" x14ac:dyDescent="0.25">
      <c r="A1993">
        <v>4014021990</v>
      </c>
      <c r="B1993" t="s">
        <v>57</v>
      </c>
    </row>
    <row r="1994" spans="1:2" x14ac:dyDescent="0.25">
      <c r="A1994">
        <v>4014029</v>
      </c>
      <c r="B1994" t="s">
        <v>57</v>
      </c>
    </row>
    <row r="1995" spans="1:2" x14ac:dyDescent="0.25">
      <c r="A1995">
        <v>4014029100</v>
      </c>
      <c r="B1995" t="s">
        <v>556</v>
      </c>
    </row>
    <row r="1996" spans="1:2" x14ac:dyDescent="0.25">
      <c r="A1996">
        <v>4014029900</v>
      </c>
      <c r="B1996" t="s">
        <v>57</v>
      </c>
    </row>
    <row r="1997" spans="1:2" x14ac:dyDescent="0.25">
      <c r="A1997">
        <v>40150</v>
      </c>
      <c r="B1997" t="s">
        <v>557</v>
      </c>
    </row>
    <row r="1998" spans="1:2" x14ac:dyDescent="0.25">
      <c r="A1998">
        <v>4015010000</v>
      </c>
      <c r="B1998" t="s">
        <v>552</v>
      </c>
    </row>
    <row r="1999" spans="1:2" x14ac:dyDescent="0.25">
      <c r="A1999">
        <v>401502</v>
      </c>
      <c r="B1999" t="s">
        <v>553</v>
      </c>
    </row>
    <row r="2000" spans="1:2" x14ac:dyDescent="0.25">
      <c r="A2000">
        <v>4015021</v>
      </c>
      <c r="B2000" t="s">
        <v>554</v>
      </c>
    </row>
    <row r="2001" spans="1:2" x14ac:dyDescent="0.25">
      <c r="A2001">
        <v>40150211</v>
      </c>
      <c r="B2001" t="s">
        <v>555</v>
      </c>
    </row>
    <row r="2002" spans="1:2" x14ac:dyDescent="0.25">
      <c r="A2002">
        <v>4015021110</v>
      </c>
      <c r="B2002" t="s">
        <v>556</v>
      </c>
    </row>
    <row r="2003" spans="1:2" x14ac:dyDescent="0.25">
      <c r="A2003">
        <v>4015021190</v>
      </c>
      <c r="B2003" t="s">
        <v>57</v>
      </c>
    </row>
    <row r="2004" spans="1:2" x14ac:dyDescent="0.25">
      <c r="A2004">
        <v>40150219</v>
      </c>
      <c r="B2004" t="s">
        <v>57</v>
      </c>
    </row>
    <row r="2005" spans="1:2" x14ac:dyDescent="0.25">
      <c r="A2005">
        <v>4015021910</v>
      </c>
      <c r="B2005" t="s">
        <v>556</v>
      </c>
    </row>
    <row r="2006" spans="1:2" x14ac:dyDescent="0.25">
      <c r="A2006">
        <v>4015021990</v>
      </c>
      <c r="B2006" t="s">
        <v>57</v>
      </c>
    </row>
    <row r="2007" spans="1:2" x14ac:dyDescent="0.25">
      <c r="A2007">
        <v>4015029</v>
      </c>
      <c r="B2007" t="s">
        <v>57</v>
      </c>
    </row>
    <row r="2008" spans="1:2" x14ac:dyDescent="0.25">
      <c r="A2008">
        <v>4015029100</v>
      </c>
      <c r="B2008" t="s">
        <v>556</v>
      </c>
    </row>
    <row r="2009" spans="1:2" x14ac:dyDescent="0.25">
      <c r="A2009">
        <v>4015029900</v>
      </c>
      <c r="B2009" t="s">
        <v>57</v>
      </c>
    </row>
    <row r="2010" spans="1:2" x14ac:dyDescent="0.25">
      <c r="A2010">
        <v>402</v>
      </c>
      <c r="B2010" t="s">
        <v>558</v>
      </c>
    </row>
    <row r="2011" spans="1:2" x14ac:dyDescent="0.25">
      <c r="A2011">
        <v>40210</v>
      </c>
      <c r="B2011" t="s">
        <v>559</v>
      </c>
    </row>
    <row r="2012" spans="1:2" x14ac:dyDescent="0.25">
      <c r="A2012">
        <v>4021010</v>
      </c>
      <c r="B2012" t="s">
        <v>560</v>
      </c>
    </row>
    <row r="2013" spans="1:2" x14ac:dyDescent="0.25">
      <c r="A2013">
        <v>40210101</v>
      </c>
      <c r="B2013" t="s">
        <v>211</v>
      </c>
    </row>
    <row r="2014" spans="1:2" x14ac:dyDescent="0.25">
      <c r="A2014">
        <v>4021010110</v>
      </c>
      <c r="B2014" t="s">
        <v>561</v>
      </c>
    </row>
    <row r="2015" spans="1:2" x14ac:dyDescent="0.25">
      <c r="A2015">
        <v>4021010190</v>
      </c>
      <c r="B2015" t="s">
        <v>57</v>
      </c>
    </row>
    <row r="2016" spans="1:2" x14ac:dyDescent="0.25">
      <c r="A2016">
        <v>4021010900</v>
      </c>
      <c r="B2016" t="s">
        <v>57</v>
      </c>
    </row>
    <row r="2017" spans="1:2" x14ac:dyDescent="0.25">
      <c r="A2017">
        <v>4021090</v>
      </c>
      <c r="B2017" t="s">
        <v>57</v>
      </c>
    </row>
    <row r="2018" spans="1:2" x14ac:dyDescent="0.25">
      <c r="A2018">
        <v>40210901</v>
      </c>
      <c r="B2018" t="s">
        <v>211</v>
      </c>
    </row>
    <row r="2019" spans="1:2" x14ac:dyDescent="0.25">
      <c r="A2019">
        <v>4021090110</v>
      </c>
      <c r="B2019" t="s">
        <v>561</v>
      </c>
    </row>
    <row r="2020" spans="1:2" x14ac:dyDescent="0.25">
      <c r="A2020">
        <v>4021090190</v>
      </c>
      <c r="B2020" t="s">
        <v>57</v>
      </c>
    </row>
    <row r="2021" spans="1:2" x14ac:dyDescent="0.25">
      <c r="A2021">
        <v>4021090900</v>
      </c>
      <c r="B2021" t="s">
        <v>57</v>
      </c>
    </row>
    <row r="2022" spans="1:2" x14ac:dyDescent="0.25">
      <c r="A2022">
        <v>4022</v>
      </c>
      <c r="B2022" t="s">
        <v>562</v>
      </c>
    </row>
    <row r="2023" spans="1:2" x14ac:dyDescent="0.25">
      <c r="A2023">
        <v>40221</v>
      </c>
      <c r="B2023" t="e">
        <f>- - sin adicion de azucar ni otro edulcorante</f>
        <v>#NAME?</v>
      </c>
    </row>
    <row r="2024" spans="1:2" x14ac:dyDescent="0.25">
      <c r="A2024">
        <v>4022110</v>
      </c>
      <c r="B2024" t="s">
        <v>563</v>
      </c>
    </row>
    <row r="2025" spans="1:2" x14ac:dyDescent="0.25">
      <c r="A2025">
        <v>40221101</v>
      </c>
      <c r="B2025" t="s">
        <v>211</v>
      </c>
    </row>
    <row r="2026" spans="1:2" x14ac:dyDescent="0.25">
      <c r="A2026">
        <v>4022110110</v>
      </c>
      <c r="B2026" t="s">
        <v>561</v>
      </c>
    </row>
    <row r="2027" spans="1:2" x14ac:dyDescent="0.25">
      <c r="A2027">
        <v>4022110190</v>
      </c>
      <c r="B2027" t="s">
        <v>57</v>
      </c>
    </row>
    <row r="2028" spans="1:2" x14ac:dyDescent="0.25">
      <c r="A2028">
        <v>4022110900</v>
      </c>
      <c r="B2028" t="s">
        <v>57</v>
      </c>
    </row>
    <row r="2029" spans="1:2" x14ac:dyDescent="0.25">
      <c r="A2029">
        <v>4022120</v>
      </c>
      <c r="B2029" t="s">
        <v>564</v>
      </c>
    </row>
    <row r="2030" spans="1:2" x14ac:dyDescent="0.25">
      <c r="A2030">
        <v>40221201</v>
      </c>
      <c r="B2030" t="s">
        <v>211</v>
      </c>
    </row>
    <row r="2031" spans="1:2" x14ac:dyDescent="0.25">
      <c r="A2031">
        <v>4022120110</v>
      </c>
      <c r="B2031" t="s">
        <v>561</v>
      </c>
    </row>
    <row r="2032" spans="1:2" x14ac:dyDescent="0.25">
      <c r="A2032">
        <v>4022120190</v>
      </c>
      <c r="B2032" t="s">
        <v>57</v>
      </c>
    </row>
    <row r="2033" spans="1:2" x14ac:dyDescent="0.25">
      <c r="A2033">
        <v>4022120900</v>
      </c>
      <c r="B2033" t="s">
        <v>57</v>
      </c>
    </row>
    <row r="2034" spans="1:2" x14ac:dyDescent="0.25">
      <c r="A2034">
        <v>4022130</v>
      </c>
      <c r="B2034" t="s">
        <v>553</v>
      </c>
    </row>
    <row r="2035" spans="1:2" x14ac:dyDescent="0.25">
      <c r="A2035">
        <v>40221301</v>
      </c>
      <c r="B2035" t="s">
        <v>211</v>
      </c>
    </row>
    <row r="2036" spans="1:2" x14ac:dyDescent="0.25">
      <c r="A2036">
        <v>402213011</v>
      </c>
      <c r="B2036" t="s">
        <v>561</v>
      </c>
    </row>
    <row r="2037" spans="1:2" x14ac:dyDescent="0.25">
      <c r="A2037">
        <v>4022130111</v>
      </c>
      <c r="B2037" t="s">
        <v>565</v>
      </c>
    </row>
    <row r="2038" spans="1:2" x14ac:dyDescent="0.25">
      <c r="A2038">
        <v>4022130119</v>
      </c>
      <c r="B2038" t="s">
        <v>57</v>
      </c>
    </row>
    <row r="2039" spans="1:2" x14ac:dyDescent="0.25">
      <c r="A2039">
        <v>402213019</v>
      </c>
      <c r="B2039" t="s">
        <v>57</v>
      </c>
    </row>
    <row r="2040" spans="1:2" x14ac:dyDescent="0.25">
      <c r="A2040">
        <v>4022130191</v>
      </c>
      <c r="B2040" t="s">
        <v>556</v>
      </c>
    </row>
    <row r="2041" spans="1:2" x14ac:dyDescent="0.25">
      <c r="A2041">
        <v>4022130199</v>
      </c>
      <c r="B2041" t="s">
        <v>57</v>
      </c>
    </row>
    <row r="2042" spans="1:2" x14ac:dyDescent="0.25">
      <c r="A2042">
        <v>40221309</v>
      </c>
      <c r="B2042" t="s">
        <v>57</v>
      </c>
    </row>
    <row r="2043" spans="1:2" x14ac:dyDescent="0.25">
      <c r="A2043">
        <v>4022130910</v>
      </c>
      <c r="B2043" t="s">
        <v>556</v>
      </c>
    </row>
    <row r="2044" spans="1:2" x14ac:dyDescent="0.25">
      <c r="A2044">
        <v>4022130990</v>
      </c>
      <c r="B2044" t="s">
        <v>57</v>
      </c>
    </row>
    <row r="2045" spans="1:2" x14ac:dyDescent="0.25">
      <c r="A2045">
        <v>40229</v>
      </c>
      <c r="B2045" t="e">
        <f>- - las demas</f>
        <v>#NAME?</v>
      </c>
    </row>
    <row r="2046" spans="1:2" x14ac:dyDescent="0.25">
      <c r="A2046">
        <v>4022910</v>
      </c>
      <c r="B2046" t="s">
        <v>563</v>
      </c>
    </row>
    <row r="2047" spans="1:2" x14ac:dyDescent="0.25">
      <c r="A2047">
        <v>40229101</v>
      </c>
      <c r="B2047" t="s">
        <v>566</v>
      </c>
    </row>
    <row r="2048" spans="1:2" x14ac:dyDescent="0.25">
      <c r="A2048">
        <v>4022910110</v>
      </c>
      <c r="B2048" t="s">
        <v>561</v>
      </c>
    </row>
    <row r="2049" spans="1:2" x14ac:dyDescent="0.25">
      <c r="A2049">
        <v>4022910190</v>
      </c>
      <c r="B2049" t="s">
        <v>57</v>
      </c>
    </row>
    <row r="2050" spans="1:2" x14ac:dyDescent="0.25">
      <c r="A2050">
        <v>4022910900</v>
      </c>
      <c r="B2050" t="s">
        <v>57</v>
      </c>
    </row>
    <row r="2051" spans="1:2" x14ac:dyDescent="0.25">
      <c r="A2051">
        <v>4022920</v>
      </c>
      <c r="B2051" t="s">
        <v>564</v>
      </c>
    </row>
    <row r="2052" spans="1:2" x14ac:dyDescent="0.25">
      <c r="A2052">
        <v>40229201</v>
      </c>
      <c r="B2052" t="s">
        <v>566</v>
      </c>
    </row>
    <row r="2053" spans="1:2" x14ac:dyDescent="0.25">
      <c r="A2053">
        <v>4022920110</v>
      </c>
      <c r="B2053" t="s">
        <v>561</v>
      </c>
    </row>
    <row r="2054" spans="1:2" x14ac:dyDescent="0.25">
      <c r="A2054">
        <v>4022920190</v>
      </c>
      <c r="B2054" t="s">
        <v>57</v>
      </c>
    </row>
    <row r="2055" spans="1:2" x14ac:dyDescent="0.25">
      <c r="A2055">
        <v>4022920900</v>
      </c>
      <c r="B2055" t="s">
        <v>57</v>
      </c>
    </row>
    <row r="2056" spans="1:2" x14ac:dyDescent="0.25">
      <c r="A2056">
        <v>4022930</v>
      </c>
      <c r="B2056" t="s">
        <v>553</v>
      </c>
    </row>
    <row r="2057" spans="1:2" x14ac:dyDescent="0.25">
      <c r="A2057">
        <v>40229301</v>
      </c>
      <c r="B2057" t="s">
        <v>566</v>
      </c>
    </row>
    <row r="2058" spans="1:2" x14ac:dyDescent="0.25">
      <c r="A2058">
        <v>402293011</v>
      </c>
      <c r="B2058" t="s">
        <v>561</v>
      </c>
    </row>
    <row r="2059" spans="1:2" x14ac:dyDescent="0.25">
      <c r="A2059">
        <v>4022930111</v>
      </c>
      <c r="B2059" t="s">
        <v>556</v>
      </c>
    </row>
    <row r="2060" spans="1:2" x14ac:dyDescent="0.25">
      <c r="A2060">
        <v>4022930119</v>
      </c>
      <c r="B2060" t="s">
        <v>57</v>
      </c>
    </row>
    <row r="2061" spans="1:2" x14ac:dyDescent="0.25">
      <c r="A2061">
        <v>402293019</v>
      </c>
      <c r="B2061" t="s">
        <v>57</v>
      </c>
    </row>
    <row r="2062" spans="1:2" x14ac:dyDescent="0.25">
      <c r="A2062">
        <v>4022930191</v>
      </c>
      <c r="B2062" t="s">
        <v>556</v>
      </c>
    </row>
    <row r="2063" spans="1:2" x14ac:dyDescent="0.25">
      <c r="A2063">
        <v>4022930199</v>
      </c>
      <c r="B2063" t="s">
        <v>57</v>
      </c>
    </row>
    <row r="2064" spans="1:2" x14ac:dyDescent="0.25">
      <c r="A2064">
        <v>40229309</v>
      </c>
      <c r="B2064" t="s">
        <v>57</v>
      </c>
    </row>
    <row r="2065" spans="1:2" x14ac:dyDescent="0.25">
      <c r="A2065">
        <v>4022930910</v>
      </c>
      <c r="B2065" t="s">
        <v>556</v>
      </c>
    </row>
    <row r="2066" spans="1:2" x14ac:dyDescent="0.25">
      <c r="A2066">
        <v>4022930990</v>
      </c>
      <c r="B2066" t="s">
        <v>57</v>
      </c>
    </row>
    <row r="2067" spans="1:2" x14ac:dyDescent="0.25">
      <c r="A2067">
        <v>4029</v>
      </c>
      <c r="B2067" t="s">
        <v>567</v>
      </c>
    </row>
    <row r="2068" spans="1:2" x14ac:dyDescent="0.25">
      <c r="A2068">
        <v>4029100</v>
      </c>
      <c r="B2068" t="e">
        <f>- - sin adicion de azucar ni otro edulcorante</f>
        <v>#NAME?</v>
      </c>
    </row>
    <row r="2069" spans="1:2" x14ac:dyDescent="0.25">
      <c r="A2069">
        <v>40291001</v>
      </c>
      <c r="B2069" t="s">
        <v>568</v>
      </c>
    </row>
    <row r="2070" spans="1:2" x14ac:dyDescent="0.25">
      <c r="A2070">
        <v>4029100110</v>
      </c>
      <c r="B2070" t="s">
        <v>561</v>
      </c>
    </row>
    <row r="2071" spans="1:2" x14ac:dyDescent="0.25">
      <c r="A2071">
        <v>4029100190</v>
      </c>
      <c r="B2071" t="s">
        <v>57</v>
      </c>
    </row>
    <row r="2072" spans="1:2" x14ac:dyDescent="0.25">
      <c r="A2072">
        <v>4029100900</v>
      </c>
      <c r="B2072" t="s">
        <v>10</v>
      </c>
    </row>
    <row r="2073" spans="1:2" x14ac:dyDescent="0.25">
      <c r="A2073">
        <v>4029900</v>
      </c>
      <c r="B2073" t="e">
        <f>- - las demas</f>
        <v>#NAME?</v>
      </c>
    </row>
    <row r="2074" spans="1:2" x14ac:dyDescent="0.25">
      <c r="A2074">
        <v>40299001</v>
      </c>
      <c r="B2074" t="s">
        <v>568</v>
      </c>
    </row>
    <row r="2075" spans="1:2" x14ac:dyDescent="0.25">
      <c r="A2075">
        <v>4029900110</v>
      </c>
      <c r="B2075" t="s">
        <v>561</v>
      </c>
    </row>
    <row r="2076" spans="1:2" x14ac:dyDescent="0.25">
      <c r="A2076">
        <v>4029900190</v>
      </c>
      <c r="B2076" t="s">
        <v>57</v>
      </c>
    </row>
    <row r="2077" spans="1:2" x14ac:dyDescent="0.25">
      <c r="A2077">
        <v>4029900900</v>
      </c>
      <c r="B2077" t="s">
        <v>10</v>
      </c>
    </row>
    <row r="2078" spans="1:2" x14ac:dyDescent="0.25">
      <c r="A2078">
        <v>403</v>
      </c>
      <c r="B2078" t="s">
        <v>569</v>
      </c>
    </row>
    <row r="2079" spans="1:2" x14ac:dyDescent="0.25">
      <c r="A2079">
        <v>4031000</v>
      </c>
      <c r="B2079" t="e">
        <f>- Yogur</f>
        <v>#NAME?</v>
      </c>
    </row>
    <row r="2080" spans="1:2" x14ac:dyDescent="0.25">
      <c r="A2080">
        <v>40310001</v>
      </c>
      <c r="B2080" t="s">
        <v>340</v>
      </c>
    </row>
    <row r="2081" spans="1:2" x14ac:dyDescent="0.25">
      <c r="A2081">
        <v>403100011</v>
      </c>
      <c r="B2081" t="s">
        <v>570</v>
      </c>
    </row>
    <row r="2082" spans="1:2" x14ac:dyDescent="0.25">
      <c r="A2082">
        <v>4031000111</v>
      </c>
      <c r="B2082" t="s">
        <v>571</v>
      </c>
    </row>
    <row r="2083" spans="1:2" x14ac:dyDescent="0.25">
      <c r="A2083">
        <v>4031000119</v>
      </c>
      <c r="B2083" t="s">
        <v>10</v>
      </c>
    </row>
    <row r="2084" spans="1:2" x14ac:dyDescent="0.25">
      <c r="A2084">
        <v>403100019</v>
      </c>
      <c r="B2084" t="s">
        <v>10</v>
      </c>
    </row>
    <row r="2085" spans="1:2" x14ac:dyDescent="0.25">
      <c r="A2085">
        <v>4031000191</v>
      </c>
      <c r="B2085" t="s">
        <v>571</v>
      </c>
    </row>
    <row r="2086" spans="1:2" x14ac:dyDescent="0.25">
      <c r="A2086">
        <v>4031000199</v>
      </c>
      <c r="B2086" t="s">
        <v>10</v>
      </c>
    </row>
    <row r="2087" spans="1:2" x14ac:dyDescent="0.25">
      <c r="A2087">
        <v>40310009</v>
      </c>
      <c r="B2087" t="s">
        <v>10</v>
      </c>
    </row>
    <row r="2088" spans="1:2" x14ac:dyDescent="0.25">
      <c r="A2088">
        <v>403100091</v>
      </c>
      <c r="B2088" t="s">
        <v>570</v>
      </c>
    </row>
    <row r="2089" spans="1:2" x14ac:dyDescent="0.25">
      <c r="A2089">
        <v>4031000911</v>
      </c>
      <c r="B2089" t="s">
        <v>571</v>
      </c>
    </row>
    <row r="2090" spans="1:2" x14ac:dyDescent="0.25">
      <c r="A2090">
        <v>4031000919</v>
      </c>
      <c r="B2090" t="s">
        <v>10</v>
      </c>
    </row>
    <row r="2091" spans="1:2" x14ac:dyDescent="0.25">
      <c r="A2091">
        <v>403100099</v>
      </c>
      <c r="B2091" t="s">
        <v>10</v>
      </c>
    </row>
    <row r="2092" spans="1:2" x14ac:dyDescent="0.25">
      <c r="A2092">
        <v>4031000991</v>
      </c>
      <c r="B2092" t="s">
        <v>571</v>
      </c>
    </row>
    <row r="2093" spans="1:2" x14ac:dyDescent="0.25">
      <c r="A2093">
        <v>4031000999</v>
      </c>
      <c r="B2093" t="s">
        <v>10</v>
      </c>
    </row>
    <row r="2094" spans="1:2" x14ac:dyDescent="0.25">
      <c r="A2094">
        <v>4039000</v>
      </c>
      <c r="B2094" t="e">
        <f>- Los demas</f>
        <v>#NAME?</v>
      </c>
    </row>
    <row r="2095" spans="1:2" x14ac:dyDescent="0.25">
      <c r="A2095">
        <v>40390001</v>
      </c>
      <c r="B2095" t="s">
        <v>570</v>
      </c>
    </row>
    <row r="2096" spans="1:2" x14ac:dyDescent="0.25">
      <c r="A2096">
        <v>4039000110</v>
      </c>
      <c r="B2096" t="s">
        <v>571</v>
      </c>
    </row>
    <row r="2097" spans="1:2" x14ac:dyDescent="0.25">
      <c r="A2097">
        <v>4039000190</v>
      </c>
      <c r="B2097" t="s">
        <v>10</v>
      </c>
    </row>
    <row r="2098" spans="1:2" x14ac:dyDescent="0.25">
      <c r="A2098">
        <v>40390009</v>
      </c>
      <c r="B2098" t="s">
        <v>10</v>
      </c>
    </row>
    <row r="2099" spans="1:2" x14ac:dyDescent="0.25">
      <c r="A2099">
        <v>4039000910</v>
      </c>
      <c r="B2099" t="s">
        <v>571</v>
      </c>
    </row>
    <row r="2100" spans="1:2" x14ac:dyDescent="0.25">
      <c r="A2100">
        <v>4039000990</v>
      </c>
      <c r="B2100" t="s">
        <v>10</v>
      </c>
    </row>
    <row r="2101" spans="1:2" x14ac:dyDescent="0.25">
      <c r="A2101">
        <v>404</v>
      </c>
      <c r="B2101" t="s">
        <v>572</v>
      </c>
    </row>
    <row r="2102" spans="1:2" x14ac:dyDescent="0.25">
      <c r="A2102">
        <v>4041000000</v>
      </c>
      <c r="B2102" t="e">
        <f>-Lactosuero. aunque este modificado. incluso concentrado o Con adicion de azucar u otro edulcorante</f>
        <v>#NAME?</v>
      </c>
    </row>
    <row r="2103" spans="1:2" x14ac:dyDescent="0.25">
      <c r="A2103">
        <v>4049000000</v>
      </c>
      <c r="B2103" t="e">
        <f>-Los demas</f>
        <v>#NAME?</v>
      </c>
    </row>
    <row r="2104" spans="1:2" x14ac:dyDescent="0.25">
      <c r="A2104">
        <v>405</v>
      </c>
      <c r="B2104" t="s">
        <v>573</v>
      </c>
    </row>
    <row r="2105" spans="1:2" x14ac:dyDescent="0.25">
      <c r="A2105">
        <v>4051000</v>
      </c>
      <c r="B2105" t="s">
        <v>574</v>
      </c>
    </row>
    <row r="2106" spans="1:2" x14ac:dyDescent="0.25">
      <c r="A2106">
        <v>4051000100</v>
      </c>
      <c r="B2106" t="s">
        <v>320</v>
      </c>
    </row>
    <row r="2107" spans="1:2" x14ac:dyDescent="0.25">
      <c r="A2107">
        <v>4051000900</v>
      </c>
      <c r="B2107" t="s">
        <v>57</v>
      </c>
    </row>
    <row r="2108" spans="1:2" x14ac:dyDescent="0.25">
      <c r="A2108">
        <v>4052000</v>
      </c>
      <c r="B2108" t="e">
        <f>- Pastas lacteas para untar</f>
        <v>#NAME?</v>
      </c>
    </row>
    <row r="2109" spans="1:2" x14ac:dyDescent="0.25">
      <c r="A2109">
        <v>40520001</v>
      </c>
      <c r="B2109" t="s">
        <v>320</v>
      </c>
    </row>
    <row r="2110" spans="1:2" x14ac:dyDescent="0.25">
      <c r="A2110">
        <v>4052000110</v>
      </c>
      <c r="B2110" t="s">
        <v>575</v>
      </c>
    </row>
    <row r="2111" spans="1:2" x14ac:dyDescent="0.25">
      <c r="A2111">
        <v>4052000190</v>
      </c>
      <c r="B2111" t="s">
        <v>57</v>
      </c>
    </row>
    <row r="2112" spans="1:2" x14ac:dyDescent="0.25">
      <c r="A2112">
        <v>40520009</v>
      </c>
      <c r="B2112" t="s">
        <v>57</v>
      </c>
    </row>
    <row r="2113" spans="1:2" x14ac:dyDescent="0.25">
      <c r="A2113">
        <v>4052000910</v>
      </c>
      <c r="B2113" t="s">
        <v>575</v>
      </c>
    </row>
    <row r="2114" spans="1:2" x14ac:dyDescent="0.25">
      <c r="A2114">
        <v>4052000990</v>
      </c>
      <c r="B2114" t="s">
        <v>57</v>
      </c>
    </row>
    <row r="2115" spans="1:2" x14ac:dyDescent="0.25">
      <c r="A2115">
        <v>40590</v>
      </c>
      <c r="B2115" t="e">
        <f>- las demas</f>
        <v>#NAME?</v>
      </c>
    </row>
    <row r="2116" spans="1:2" x14ac:dyDescent="0.25">
      <c r="A2116">
        <v>4059010000</v>
      </c>
      <c r="B2116" t="s">
        <v>576</v>
      </c>
    </row>
    <row r="2117" spans="1:2" x14ac:dyDescent="0.25">
      <c r="A2117">
        <v>4059090</v>
      </c>
      <c r="B2117" t="s">
        <v>57</v>
      </c>
    </row>
    <row r="2118" spans="1:2" x14ac:dyDescent="0.25">
      <c r="A2118">
        <v>4059090100</v>
      </c>
      <c r="B2118" t="s">
        <v>575</v>
      </c>
    </row>
    <row r="2119" spans="1:2" x14ac:dyDescent="0.25">
      <c r="A2119">
        <v>4059090900</v>
      </c>
      <c r="B2119" t="s">
        <v>57</v>
      </c>
    </row>
    <row r="2120" spans="1:2" x14ac:dyDescent="0.25">
      <c r="A2120">
        <v>406</v>
      </c>
      <c r="B2120" t="s">
        <v>577</v>
      </c>
    </row>
    <row r="2121" spans="1:2" x14ac:dyDescent="0.25">
      <c r="A2121">
        <v>40610</v>
      </c>
      <c r="B2121" t="s">
        <v>578</v>
      </c>
    </row>
    <row r="2122" spans="1:2" x14ac:dyDescent="0.25">
      <c r="A2122">
        <v>4061010</v>
      </c>
      <c r="B2122" t="s">
        <v>579</v>
      </c>
    </row>
    <row r="2123" spans="1:2" x14ac:dyDescent="0.25">
      <c r="A2123">
        <v>40610101</v>
      </c>
      <c r="B2123" t="s">
        <v>186</v>
      </c>
    </row>
    <row r="2124" spans="1:2" x14ac:dyDescent="0.25">
      <c r="A2124">
        <v>406101011</v>
      </c>
      <c r="B2124" t="s">
        <v>580</v>
      </c>
    </row>
    <row r="2125" spans="1:2" x14ac:dyDescent="0.25">
      <c r="A2125">
        <v>4061010111</v>
      </c>
      <c r="B2125" t="s">
        <v>581</v>
      </c>
    </row>
    <row r="2126" spans="1:2" x14ac:dyDescent="0.25">
      <c r="A2126">
        <v>4061010119</v>
      </c>
      <c r="B2126" t="s">
        <v>10</v>
      </c>
    </row>
    <row r="2127" spans="1:2" x14ac:dyDescent="0.25">
      <c r="A2127">
        <v>406101019</v>
      </c>
      <c r="B2127" t="s">
        <v>57</v>
      </c>
    </row>
    <row r="2128" spans="1:2" x14ac:dyDescent="0.25">
      <c r="A2128">
        <v>4061010191</v>
      </c>
      <c r="B2128" t="s">
        <v>581</v>
      </c>
    </row>
    <row r="2129" spans="1:2" x14ac:dyDescent="0.25">
      <c r="A2129">
        <v>4061010199</v>
      </c>
      <c r="B2129" t="s">
        <v>10</v>
      </c>
    </row>
    <row r="2130" spans="1:2" x14ac:dyDescent="0.25">
      <c r="A2130">
        <v>40610109</v>
      </c>
      <c r="B2130" t="s">
        <v>57</v>
      </c>
    </row>
    <row r="2131" spans="1:2" x14ac:dyDescent="0.25">
      <c r="A2131">
        <v>4061010910</v>
      </c>
      <c r="B2131" t="s">
        <v>581</v>
      </c>
    </row>
    <row r="2132" spans="1:2" x14ac:dyDescent="0.25">
      <c r="A2132">
        <v>4061010990</v>
      </c>
      <c r="B2132" t="s">
        <v>57</v>
      </c>
    </row>
    <row r="2133" spans="1:2" x14ac:dyDescent="0.25">
      <c r="A2133">
        <v>4061090</v>
      </c>
      <c r="B2133" t="s">
        <v>10</v>
      </c>
    </row>
    <row r="2134" spans="1:2" x14ac:dyDescent="0.25">
      <c r="A2134">
        <v>40610901</v>
      </c>
      <c r="B2134" t="s">
        <v>582</v>
      </c>
    </row>
    <row r="2135" spans="1:2" x14ac:dyDescent="0.25">
      <c r="A2135">
        <v>406109011</v>
      </c>
      <c r="B2135" t="s">
        <v>211</v>
      </c>
    </row>
    <row r="2136" spans="1:2" x14ac:dyDescent="0.25">
      <c r="A2136">
        <v>4061090111</v>
      </c>
      <c r="B2136" t="s">
        <v>581</v>
      </c>
    </row>
    <row r="2137" spans="1:2" x14ac:dyDescent="0.25">
      <c r="A2137">
        <v>4061090119</v>
      </c>
      <c r="B2137" t="s">
        <v>57</v>
      </c>
    </row>
    <row r="2138" spans="1:2" x14ac:dyDescent="0.25">
      <c r="A2138">
        <v>406109019</v>
      </c>
      <c r="B2138" t="s">
        <v>57</v>
      </c>
    </row>
    <row r="2139" spans="1:2" x14ac:dyDescent="0.25">
      <c r="A2139">
        <v>4061090191</v>
      </c>
      <c r="B2139" t="s">
        <v>581</v>
      </c>
    </row>
    <row r="2140" spans="1:2" x14ac:dyDescent="0.25">
      <c r="A2140">
        <v>4061090199</v>
      </c>
      <c r="B2140" t="s">
        <v>57</v>
      </c>
    </row>
    <row r="2141" spans="1:2" x14ac:dyDescent="0.25">
      <c r="A2141">
        <v>40610902</v>
      </c>
      <c r="B2141" t="s">
        <v>583</v>
      </c>
    </row>
    <row r="2142" spans="1:2" x14ac:dyDescent="0.25">
      <c r="A2142">
        <v>406109021</v>
      </c>
      <c r="B2142" t="s">
        <v>211</v>
      </c>
    </row>
    <row r="2143" spans="1:2" x14ac:dyDescent="0.25">
      <c r="A2143">
        <v>4061090211</v>
      </c>
      <c r="B2143" t="s">
        <v>584</v>
      </c>
    </row>
    <row r="2144" spans="1:2" x14ac:dyDescent="0.25">
      <c r="A2144">
        <v>4061090219</v>
      </c>
      <c r="B2144" t="s">
        <v>10</v>
      </c>
    </row>
    <row r="2145" spans="1:2" x14ac:dyDescent="0.25">
      <c r="A2145">
        <v>406109029</v>
      </c>
      <c r="B2145" t="s">
        <v>10</v>
      </c>
    </row>
    <row r="2146" spans="1:2" x14ac:dyDescent="0.25">
      <c r="A2146">
        <v>4061090291</v>
      </c>
      <c r="B2146" t="s">
        <v>584</v>
      </c>
    </row>
    <row r="2147" spans="1:2" x14ac:dyDescent="0.25">
      <c r="A2147">
        <v>4061090299</v>
      </c>
      <c r="B2147" t="s">
        <v>10</v>
      </c>
    </row>
    <row r="2148" spans="1:2" x14ac:dyDescent="0.25">
      <c r="A2148">
        <v>40610909</v>
      </c>
      <c r="B2148" t="s">
        <v>10</v>
      </c>
    </row>
    <row r="2149" spans="1:2" x14ac:dyDescent="0.25">
      <c r="A2149">
        <v>406109091</v>
      </c>
      <c r="B2149" t="s">
        <v>211</v>
      </c>
    </row>
    <row r="2150" spans="1:2" x14ac:dyDescent="0.25">
      <c r="A2150">
        <v>4061090911</v>
      </c>
      <c r="B2150" t="s">
        <v>584</v>
      </c>
    </row>
    <row r="2151" spans="1:2" x14ac:dyDescent="0.25">
      <c r="A2151">
        <v>4061090919</v>
      </c>
      <c r="B2151" t="s">
        <v>10</v>
      </c>
    </row>
    <row r="2152" spans="1:2" x14ac:dyDescent="0.25">
      <c r="A2152">
        <v>406109099</v>
      </c>
      <c r="B2152" t="s">
        <v>10</v>
      </c>
    </row>
    <row r="2153" spans="1:2" x14ac:dyDescent="0.25">
      <c r="A2153">
        <v>4061090991</v>
      </c>
      <c r="B2153" t="s">
        <v>584</v>
      </c>
    </row>
    <row r="2154" spans="1:2" x14ac:dyDescent="0.25">
      <c r="A2154">
        <v>4061090999</v>
      </c>
      <c r="B2154" t="s">
        <v>10</v>
      </c>
    </row>
    <row r="2155" spans="1:2" x14ac:dyDescent="0.25">
      <c r="A2155">
        <v>4062000</v>
      </c>
      <c r="B2155" t="e">
        <f>- Queso de cualquier tipo. rallado o En polvo</f>
        <v>#NAME?</v>
      </c>
    </row>
    <row r="2156" spans="1:2" x14ac:dyDescent="0.25">
      <c r="A2156">
        <v>40620001</v>
      </c>
      <c r="B2156" t="s">
        <v>320</v>
      </c>
    </row>
    <row r="2157" spans="1:2" x14ac:dyDescent="0.25">
      <c r="A2157">
        <v>4062000110</v>
      </c>
      <c r="B2157" t="s">
        <v>584</v>
      </c>
    </row>
    <row r="2158" spans="1:2" x14ac:dyDescent="0.25">
      <c r="A2158">
        <v>4062000190</v>
      </c>
      <c r="B2158" t="s">
        <v>10</v>
      </c>
    </row>
    <row r="2159" spans="1:2" x14ac:dyDescent="0.25">
      <c r="A2159">
        <v>40620009</v>
      </c>
      <c r="B2159" t="s">
        <v>10</v>
      </c>
    </row>
    <row r="2160" spans="1:2" x14ac:dyDescent="0.25">
      <c r="A2160">
        <v>4062000910</v>
      </c>
      <c r="B2160" t="s">
        <v>584</v>
      </c>
    </row>
    <row r="2161" spans="1:2" x14ac:dyDescent="0.25">
      <c r="A2161">
        <v>4062000990</v>
      </c>
      <c r="B2161" t="s">
        <v>10</v>
      </c>
    </row>
    <row r="2162" spans="1:2" x14ac:dyDescent="0.25">
      <c r="A2162">
        <v>4063000</v>
      </c>
      <c r="B2162" t="e">
        <f>- Queso fundido. excepto el rallado o En polvo</f>
        <v>#NAME?</v>
      </c>
    </row>
    <row r="2163" spans="1:2" x14ac:dyDescent="0.25">
      <c r="A2163">
        <v>40630001</v>
      </c>
      <c r="B2163" t="s">
        <v>585</v>
      </c>
    </row>
    <row r="2164" spans="1:2" x14ac:dyDescent="0.25">
      <c r="A2164">
        <v>406300011</v>
      </c>
      <c r="B2164" t="s">
        <v>586</v>
      </c>
    </row>
    <row r="2165" spans="1:2" x14ac:dyDescent="0.25">
      <c r="A2165">
        <v>4063000111</v>
      </c>
      <c r="B2165" t="s">
        <v>584</v>
      </c>
    </row>
    <row r="2166" spans="1:2" x14ac:dyDescent="0.25">
      <c r="A2166">
        <v>4063000119</v>
      </c>
      <c r="B2166" t="s">
        <v>10</v>
      </c>
    </row>
    <row r="2167" spans="1:2" x14ac:dyDescent="0.25">
      <c r="A2167">
        <v>406300019</v>
      </c>
      <c r="B2167" t="s">
        <v>10</v>
      </c>
    </row>
    <row r="2168" spans="1:2" x14ac:dyDescent="0.25">
      <c r="A2168">
        <v>4063000191</v>
      </c>
      <c r="B2168" t="s">
        <v>584</v>
      </c>
    </row>
    <row r="2169" spans="1:2" x14ac:dyDescent="0.25">
      <c r="A2169">
        <v>4063000199</v>
      </c>
      <c r="B2169" t="s">
        <v>10</v>
      </c>
    </row>
    <row r="2170" spans="1:2" x14ac:dyDescent="0.25">
      <c r="A2170">
        <v>40630002</v>
      </c>
      <c r="B2170" t="s">
        <v>587</v>
      </c>
    </row>
    <row r="2171" spans="1:2" x14ac:dyDescent="0.25">
      <c r="A2171">
        <v>406300021</v>
      </c>
      <c r="B2171" t="s">
        <v>586</v>
      </c>
    </row>
    <row r="2172" spans="1:2" x14ac:dyDescent="0.25">
      <c r="A2172">
        <v>4063000211</v>
      </c>
      <c r="B2172" t="s">
        <v>581</v>
      </c>
    </row>
    <row r="2173" spans="1:2" x14ac:dyDescent="0.25">
      <c r="A2173">
        <v>4063000219</v>
      </c>
      <c r="B2173" t="s">
        <v>10</v>
      </c>
    </row>
    <row r="2174" spans="1:2" x14ac:dyDescent="0.25">
      <c r="A2174">
        <v>406300029</v>
      </c>
      <c r="B2174" t="s">
        <v>10</v>
      </c>
    </row>
    <row r="2175" spans="1:2" x14ac:dyDescent="0.25">
      <c r="A2175">
        <v>4063000291</v>
      </c>
      <c r="B2175" t="s">
        <v>581</v>
      </c>
    </row>
    <row r="2176" spans="1:2" x14ac:dyDescent="0.25">
      <c r="A2176">
        <v>4063000299</v>
      </c>
      <c r="B2176" t="s">
        <v>10</v>
      </c>
    </row>
    <row r="2177" spans="1:2" x14ac:dyDescent="0.25">
      <c r="A2177">
        <v>40630009</v>
      </c>
      <c r="B2177" t="s">
        <v>10</v>
      </c>
    </row>
    <row r="2178" spans="1:2" x14ac:dyDescent="0.25">
      <c r="A2178">
        <v>406300091</v>
      </c>
      <c r="B2178" t="s">
        <v>586</v>
      </c>
    </row>
    <row r="2179" spans="1:2" x14ac:dyDescent="0.25">
      <c r="A2179">
        <v>4063000911</v>
      </c>
      <c r="B2179" t="s">
        <v>584</v>
      </c>
    </row>
    <row r="2180" spans="1:2" x14ac:dyDescent="0.25">
      <c r="A2180">
        <v>4063000919</v>
      </c>
      <c r="B2180" t="s">
        <v>10</v>
      </c>
    </row>
    <row r="2181" spans="1:2" x14ac:dyDescent="0.25">
      <c r="A2181">
        <v>406300099</v>
      </c>
      <c r="B2181" t="s">
        <v>10</v>
      </c>
    </row>
    <row r="2182" spans="1:2" x14ac:dyDescent="0.25">
      <c r="A2182">
        <v>4063000991</v>
      </c>
      <c r="B2182" t="s">
        <v>584</v>
      </c>
    </row>
    <row r="2183" spans="1:2" x14ac:dyDescent="0.25">
      <c r="A2183">
        <v>4063000999</v>
      </c>
      <c r="B2183" t="s">
        <v>10</v>
      </c>
    </row>
    <row r="2184" spans="1:2" x14ac:dyDescent="0.25">
      <c r="A2184">
        <v>4064000</v>
      </c>
      <c r="B2184" t="e">
        <f>- Queso de pasta azul y demas quesos que presenten vetas producidas por Penicillium roqueforti</f>
        <v>#NAME?</v>
      </c>
    </row>
    <row r="2185" spans="1:2" x14ac:dyDescent="0.25">
      <c r="A2185">
        <v>40640001</v>
      </c>
      <c r="B2185" t="s">
        <v>211</v>
      </c>
    </row>
    <row r="2186" spans="1:2" x14ac:dyDescent="0.25">
      <c r="A2186">
        <v>4064000110</v>
      </c>
      <c r="B2186" t="s">
        <v>584</v>
      </c>
    </row>
    <row r="2187" spans="1:2" x14ac:dyDescent="0.25">
      <c r="A2187">
        <v>4064000190</v>
      </c>
      <c r="B2187" t="s">
        <v>10</v>
      </c>
    </row>
    <row r="2188" spans="1:2" x14ac:dyDescent="0.25">
      <c r="A2188">
        <v>40640009</v>
      </c>
      <c r="B2188" t="s">
        <v>10</v>
      </c>
    </row>
    <row r="2189" spans="1:2" x14ac:dyDescent="0.25">
      <c r="A2189">
        <v>4064000910</v>
      </c>
      <c r="B2189" t="s">
        <v>584</v>
      </c>
    </row>
    <row r="2190" spans="1:2" x14ac:dyDescent="0.25">
      <c r="A2190">
        <v>4064000990</v>
      </c>
      <c r="B2190" t="s">
        <v>10</v>
      </c>
    </row>
    <row r="2191" spans="1:2" x14ac:dyDescent="0.25">
      <c r="A2191">
        <v>40690</v>
      </c>
      <c r="B2191" t="e">
        <f>- Los demas quesos</f>
        <v>#NAME?</v>
      </c>
    </row>
    <row r="2192" spans="1:2" x14ac:dyDescent="0.25">
      <c r="A2192">
        <v>4069010</v>
      </c>
      <c r="B2192" t="s">
        <v>588</v>
      </c>
    </row>
    <row r="2193" spans="1:2" x14ac:dyDescent="0.25">
      <c r="A2193">
        <v>40690101</v>
      </c>
      <c r="B2193" t="s">
        <v>589</v>
      </c>
    </row>
    <row r="2194" spans="1:2" x14ac:dyDescent="0.25">
      <c r="A2194">
        <v>4069010110</v>
      </c>
      <c r="B2194" t="s">
        <v>584</v>
      </c>
    </row>
    <row r="2195" spans="1:2" x14ac:dyDescent="0.25">
      <c r="A2195">
        <v>4069010190</v>
      </c>
      <c r="B2195" t="s">
        <v>10</v>
      </c>
    </row>
    <row r="2196" spans="1:2" x14ac:dyDescent="0.25">
      <c r="A2196">
        <v>40690109</v>
      </c>
      <c r="B2196" t="s">
        <v>10</v>
      </c>
    </row>
    <row r="2197" spans="1:2" x14ac:dyDescent="0.25">
      <c r="A2197">
        <v>4069010910</v>
      </c>
      <c r="B2197" t="s">
        <v>584</v>
      </c>
    </row>
    <row r="2198" spans="1:2" x14ac:dyDescent="0.25">
      <c r="A2198">
        <v>4069010990</v>
      </c>
      <c r="B2198" t="s">
        <v>10</v>
      </c>
    </row>
    <row r="2199" spans="1:2" x14ac:dyDescent="0.25">
      <c r="A2199">
        <v>4069020</v>
      </c>
      <c r="B2199" t="s">
        <v>590</v>
      </c>
    </row>
    <row r="2200" spans="1:2" x14ac:dyDescent="0.25">
      <c r="A2200">
        <v>40690201</v>
      </c>
      <c r="B2200" t="s">
        <v>591</v>
      </c>
    </row>
    <row r="2201" spans="1:2" x14ac:dyDescent="0.25">
      <c r="A2201">
        <v>406902011</v>
      </c>
      <c r="B2201" t="s">
        <v>592</v>
      </c>
    </row>
    <row r="2202" spans="1:2" x14ac:dyDescent="0.25">
      <c r="A2202">
        <v>4069020111</v>
      </c>
      <c r="B2202" t="s">
        <v>584</v>
      </c>
    </row>
    <row r="2203" spans="1:2" x14ac:dyDescent="0.25">
      <c r="A2203">
        <v>4069020119</v>
      </c>
      <c r="B2203" t="s">
        <v>10</v>
      </c>
    </row>
    <row r="2204" spans="1:2" x14ac:dyDescent="0.25">
      <c r="A2204">
        <v>406902019</v>
      </c>
      <c r="B2204" t="s">
        <v>10</v>
      </c>
    </row>
    <row r="2205" spans="1:2" x14ac:dyDescent="0.25">
      <c r="A2205">
        <v>4069020191</v>
      </c>
      <c r="B2205" t="s">
        <v>584</v>
      </c>
    </row>
    <row r="2206" spans="1:2" x14ac:dyDescent="0.25">
      <c r="A2206">
        <v>4069020199</v>
      </c>
      <c r="B2206" t="s">
        <v>10</v>
      </c>
    </row>
    <row r="2207" spans="1:2" x14ac:dyDescent="0.25">
      <c r="A2207">
        <v>40690202</v>
      </c>
      <c r="B2207" t="s">
        <v>593</v>
      </c>
    </row>
    <row r="2208" spans="1:2" x14ac:dyDescent="0.25">
      <c r="A2208">
        <v>406902021</v>
      </c>
      <c r="B2208" t="s">
        <v>592</v>
      </c>
    </row>
    <row r="2209" spans="1:2" x14ac:dyDescent="0.25">
      <c r="A2209">
        <v>4069020211</v>
      </c>
      <c r="B2209" t="s">
        <v>581</v>
      </c>
    </row>
    <row r="2210" spans="1:2" x14ac:dyDescent="0.25">
      <c r="A2210">
        <v>4069020219</v>
      </c>
      <c r="B2210" t="s">
        <v>10</v>
      </c>
    </row>
    <row r="2211" spans="1:2" x14ac:dyDescent="0.25">
      <c r="A2211">
        <v>406902029</v>
      </c>
      <c r="B2211" t="s">
        <v>10</v>
      </c>
    </row>
    <row r="2212" spans="1:2" x14ac:dyDescent="0.25">
      <c r="A2212">
        <v>4069020291</v>
      </c>
      <c r="B2212" t="s">
        <v>581</v>
      </c>
    </row>
    <row r="2213" spans="1:2" x14ac:dyDescent="0.25">
      <c r="A2213">
        <v>4069020299</v>
      </c>
      <c r="B2213" t="s">
        <v>10</v>
      </c>
    </row>
    <row r="2214" spans="1:2" x14ac:dyDescent="0.25">
      <c r="A2214">
        <v>40690209</v>
      </c>
      <c r="B2214" t="s">
        <v>10</v>
      </c>
    </row>
    <row r="2215" spans="1:2" x14ac:dyDescent="0.25">
      <c r="A2215">
        <v>406902091</v>
      </c>
      <c r="B2215" t="s">
        <v>592</v>
      </c>
    </row>
    <row r="2216" spans="1:2" x14ac:dyDescent="0.25">
      <c r="A2216">
        <v>4069020911</v>
      </c>
      <c r="B2216" t="s">
        <v>584</v>
      </c>
    </row>
    <row r="2217" spans="1:2" x14ac:dyDescent="0.25">
      <c r="A2217">
        <v>4069020919</v>
      </c>
      <c r="B2217" t="s">
        <v>10</v>
      </c>
    </row>
    <row r="2218" spans="1:2" x14ac:dyDescent="0.25">
      <c r="A2218">
        <v>406902099</v>
      </c>
      <c r="B2218" t="s">
        <v>10</v>
      </c>
    </row>
    <row r="2219" spans="1:2" x14ac:dyDescent="0.25">
      <c r="A2219">
        <v>4069020991</v>
      </c>
      <c r="B2219" t="s">
        <v>584</v>
      </c>
    </row>
    <row r="2220" spans="1:2" x14ac:dyDescent="0.25">
      <c r="A2220">
        <v>4069020999</v>
      </c>
      <c r="B2220" t="s">
        <v>10</v>
      </c>
    </row>
    <row r="2221" spans="1:2" x14ac:dyDescent="0.25">
      <c r="A2221">
        <v>4069030</v>
      </c>
      <c r="B2221" t="s">
        <v>594</v>
      </c>
    </row>
    <row r="2222" spans="1:2" x14ac:dyDescent="0.25">
      <c r="A2222">
        <v>40690301</v>
      </c>
      <c r="B2222" t="s">
        <v>595</v>
      </c>
    </row>
    <row r="2223" spans="1:2" x14ac:dyDescent="0.25">
      <c r="A2223">
        <v>4069030110</v>
      </c>
      <c r="B2223" t="s">
        <v>584</v>
      </c>
    </row>
    <row r="2224" spans="1:2" x14ac:dyDescent="0.25">
      <c r="A2224">
        <v>4069030190</v>
      </c>
      <c r="B2224" t="s">
        <v>10</v>
      </c>
    </row>
    <row r="2225" spans="1:2" x14ac:dyDescent="0.25">
      <c r="A2225">
        <v>40690309</v>
      </c>
      <c r="B2225" t="s">
        <v>10</v>
      </c>
    </row>
    <row r="2226" spans="1:2" x14ac:dyDescent="0.25">
      <c r="A2226">
        <v>4069030910</v>
      </c>
      <c r="B2226" t="s">
        <v>584</v>
      </c>
    </row>
    <row r="2227" spans="1:2" x14ac:dyDescent="0.25">
      <c r="A2227">
        <v>4069030990</v>
      </c>
      <c r="B2227" t="s">
        <v>10</v>
      </c>
    </row>
    <row r="2228" spans="1:2" x14ac:dyDescent="0.25">
      <c r="A2228">
        <v>4069090</v>
      </c>
      <c r="B2228" t="s">
        <v>10</v>
      </c>
    </row>
    <row r="2229" spans="1:2" x14ac:dyDescent="0.25">
      <c r="A2229">
        <v>40690901</v>
      </c>
      <c r="B2229" t="s">
        <v>595</v>
      </c>
    </row>
    <row r="2230" spans="1:2" x14ac:dyDescent="0.25">
      <c r="A2230">
        <v>4069090110</v>
      </c>
      <c r="B2230" t="s">
        <v>584</v>
      </c>
    </row>
    <row r="2231" spans="1:2" x14ac:dyDescent="0.25">
      <c r="A2231">
        <v>4069090190</v>
      </c>
      <c r="B2231" t="s">
        <v>10</v>
      </c>
    </row>
    <row r="2232" spans="1:2" x14ac:dyDescent="0.25">
      <c r="A2232">
        <v>40690909</v>
      </c>
      <c r="B2232" t="s">
        <v>10</v>
      </c>
    </row>
    <row r="2233" spans="1:2" x14ac:dyDescent="0.25">
      <c r="A2233">
        <v>4069090910</v>
      </c>
      <c r="B2233" t="s">
        <v>584</v>
      </c>
    </row>
    <row r="2234" spans="1:2" x14ac:dyDescent="0.25">
      <c r="A2234">
        <v>4069090990</v>
      </c>
      <c r="B2234" t="s">
        <v>10</v>
      </c>
    </row>
    <row r="2235" spans="1:2" x14ac:dyDescent="0.25">
      <c r="A2235">
        <v>407</v>
      </c>
      <c r="B2235" t="s">
        <v>596</v>
      </c>
    </row>
    <row r="2236" spans="1:2" x14ac:dyDescent="0.25">
      <c r="A2236">
        <v>4071</v>
      </c>
      <c r="B2236" t="s">
        <v>597</v>
      </c>
    </row>
    <row r="2237" spans="1:2" x14ac:dyDescent="0.25">
      <c r="A2237">
        <v>4071100000</v>
      </c>
      <c r="B2237" t="e">
        <f>--de gallina de la especie Gallus domesticus</f>
        <v>#NAME?</v>
      </c>
    </row>
    <row r="2238" spans="1:2" x14ac:dyDescent="0.25">
      <c r="A2238">
        <v>4071900000</v>
      </c>
      <c r="B2238" t="e">
        <f>--Los demas</f>
        <v>#NAME?</v>
      </c>
    </row>
    <row r="2239" spans="1:2" x14ac:dyDescent="0.25">
      <c r="A2239">
        <v>4072</v>
      </c>
      <c r="B2239" t="s">
        <v>598</v>
      </c>
    </row>
    <row r="2240" spans="1:2" x14ac:dyDescent="0.25">
      <c r="A2240">
        <v>4072100000</v>
      </c>
      <c r="B2240" t="e">
        <f>--de gallina de la especie Gallus domesticus</f>
        <v>#NAME?</v>
      </c>
    </row>
    <row r="2241" spans="1:2" x14ac:dyDescent="0.25">
      <c r="A2241">
        <v>4072900000</v>
      </c>
      <c r="B2241" t="e">
        <f>--Los demas</f>
        <v>#NAME?</v>
      </c>
    </row>
    <row r="2242" spans="1:2" x14ac:dyDescent="0.25">
      <c r="A2242">
        <v>4079000000</v>
      </c>
      <c r="B2242" t="e">
        <f>-Los demas</f>
        <v>#NAME?</v>
      </c>
    </row>
    <row r="2243" spans="1:2" x14ac:dyDescent="0.25">
      <c r="A2243">
        <v>408</v>
      </c>
      <c r="B2243" t="s">
        <v>599</v>
      </c>
    </row>
    <row r="2244" spans="1:2" x14ac:dyDescent="0.25">
      <c r="A2244">
        <v>4081</v>
      </c>
      <c r="B2244" t="s">
        <v>600</v>
      </c>
    </row>
    <row r="2245" spans="1:2" x14ac:dyDescent="0.25">
      <c r="A2245">
        <v>4081100000</v>
      </c>
      <c r="B2245" t="e">
        <f>--Secas</f>
        <v>#NAME?</v>
      </c>
    </row>
    <row r="2246" spans="1:2" x14ac:dyDescent="0.25">
      <c r="A2246">
        <v>4081900000</v>
      </c>
      <c r="B2246" t="e">
        <f>--las demas</f>
        <v>#NAME?</v>
      </c>
    </row>
    <row r="2247" spans="1:2" x14ac:dyDescent="0.25">
      <c r="A2247">
        <v>4089</v>
      </c>
      <c r="B2247" t="s">
        <v>28</v>
      </c>
    </row>
    <row r="2248" spans="1:2" x14ac:dyDescent="0.25">
      <c r="A2248">
        <v>4089100000</v>
      </c>
      <c r="B2248" t="e">
        <f>--Secos</f>
        <v>#NAME?</v>
      </c>
    </row>
    <row r="2249" spans="1:2" x14ac:dyDescent="0.25">
      <c r="A2249">
        <v>4089900000</v>
      </c>
      <c r="B2249" t="e">
        <f>--Los demas</f>
        <v>#NAME?</v>
      </c>
    </row>
    <row r="2250" spans="1:2" x14ac:dyDescent="0.25">
      <c r="A2250">
        <v>4090000</v>
      </c>
      <c r="B2250" t="s">
        <v>601</v>
      </c>
    </row>
    <row r="2251" spans="1:2" x14ac:dyDescent="0.25">
      <c r="A2251">
        <v>40900001</v>
      </c>
      <c r="B2251" t="s">
        <v>602</v>
      </c>
    </row>
    <row r="2252" spans="1:2" x14ac:dyDescent="0.25">
      <c r="A2252">
        <v>4090000110</v>
      </c>
      <c r="B2252" t="s">
        <v>603</v>
      </c>
    </row>
    <row r="2253" spans="1:2" x14ac:dyDescent="0.25">
      <c r="A2253">
        <v>4090000120</v>
      </c>
      <c r="B2253" t="s">
        <v>604</v>
      </c>
    </row>
    <row r="2254" spans="1:2" x14ac:dyDescent="0.25">
      <c r="A2254">
        <v>4090000130</v>
      </c>
      <c r="B2254" t="s">
        <v>605</v>
      </c>
    </row>
    <row r="2255" spans="1:2" x14ac:dyDescent="0.25">
      <c r="A2255">
        <v>4090000140</v>
      </c>
      <c r="B2255" t="s">
        <v>606</v>
      </c>
    </row>
    <row r="2256" spans="1:2" x14ac:dyDescent="0.25">
      <c r="A2256">
        <v>4090000190</v>
      </c>
      <c r="B2256" t="s">
        <v>607</v>
      </c>
    </row>
    <row r="2257" spans="1:2" x14ac:dyDescent="0.25">
      <c r="A2257">
        <v>40900009</v>
      </c>
      <c r="B2257" t="s">
        <v>10</v>
      </c>
    </row>
    <row r="2258" spans="1:2" x14ac:dyDescent="0.25">
      <c r="A2258">
        <v>409000091</v>
      </c>
      <c r="B2258" t="s">
        <v>608</v>
      </c>
    </row>
    <row r="2259" spans="1:2" x14ac:dyDescent="0.25">
      <c r="A2259">
        <v>4090000911</v>
      </c>
      <c r="B2259" t="s">
        <v>609</v>
      </c>
    </row>
    <row r="2260" spans="1:2" x14ac:dyDescent="0.25">
      <c r="A2260">
        <v>4090000919</v>
      </c>
      <c r="B2260" t="s">
        <v>57</v>
      </c>
    </row>
    <row r="2261" spans="1:2" x14ac:dyDescent="0.25">
      <c r="A2261">
        <v>409000099</v>
      </c>
      <c r="B2261" t="s">
        <v>10</v>
      </c>
    </row>
    <row r="2262" spans="1:2" x14ac:dyDescent="0.25">
      <c r="A2262">
        <v>4090000991</v>
      </c>
      <c r="B2262" t="s">
        <v>603</v>
      </c>
    </row>
    <row r="2263" spans="1:2" x14ac:dyDescent="0.25">
      <c r="A2263">
        <v>4090000992</v>
      </c>
      <c r="B2263" t="s">
        <v>604</v>
      </c>
    </row>
    <row r="2264" spans="1:2" x14ac:dyDescent="0.25">
      <c r="A2264">
        <v>4090000993</v>
      </c>
      <c r="B2264" t="s">
        <v>605</v>
      </c>
    </row>
    <row r="2265" spans="1:2" x14ac:dyDescent="0.25">
      <c r="A2265">
        <v>4090000994</v>
      </c>
      <c r="B2265" t="s">
        <v>606</v>
      </c>
    </row>
    <row r="2266" spans="1:2" x14ac:dyDescent="0.25">
      <c r="A2266">
        <v>4090000999</v>
      </c>
      <c r="B2266" t="s">
        <v>607</v>
      </c>
    </row>
    <row r="2267" spans="1:2" x14ac:dyDescent="0.25">
      <c r="A2267">
        <v>4100000</v>
      </c>
      <c r="B2267" t="s">
        <v>610</v>
      </c>
    </row>
    <row r="2268" spans="1:2" x14ac:dyDescent="0.25">
      <c r="A2268">
        <v>41000001</v>
      </c>
      <c r="B2268" t="s">
        <v>611</v>
      </c>
    </row>
    <row r="2269" spans="1:2" x14ac:dyDescent="0.25">
      <c r="A2269">
        <v>4100000110</v>
      </c>
      <c r="B2269" t="s">
        <v>612</v>
      </c>
    </row>
    <row r="2270" spans="1:2" x14ac:dyDescent="0.25">
      <c r="A2270">
        <v>4100000190</v>
      </c>
      <c r="B2270" t="s">
        <v>57</v>
      </c>
    </row>
    <row r="2271" spans="1:2" x14ac:dyDescent="0.25">
      <c r="A2271">
        <v>4100000200</v>
      </c>
      <c r="B2271" t="s">
        <v>613</v>
      </c>
    </row>
    <row r="2272" spans="1:2" x14ac:dyDescent="0.25">
      <c r="A2272">
        <v>41000003</v>
      </c>
      <c r="B2272" t="s">
        <v>614</v>
      </c>
    </row>
    <row r="2273" spans="1:2" x14ac:dyDescent="0.25">
      <c r="A2273">
        <v>4100000310</v>
      </c>
      <c r="B2273" t="s">
        <v>615</v>
      </c>
    </row>
    <row r="2274" spans="1:2" x14ac:dyDescent="0.25">
      <c r="A2274">
        <v>4100000390</v>
      </c>
      <c r="B2274" t="s">
        <v>10</v>
      </c>
    </row>
    <row r="2275" spans="1:2" x14ac:dyDescent="0.25">
      <c r="A2275">
        <v>4100000900</v>
      </c>
      <c r="B2275" t="s">
        <v>10</v>
      </c>
    </row>
    <row r="2276" spans="1:2" x14ac:dyDescent="0.25">
      <c r="A2276">
        <v>5010000000</v>
      </c>
      <c r="B2276" t="s">
        <v>616</v>
      </c>
    </row>
    <row r="2277" spans="1:2" x14ac:dyDescent="0.25">
      <c r="A2277">
        <v>502</v>
      </c>
      <c r="B2277" t="s">
        <v>617</v>
      </c>
    </row>
    <row r="2278" spans="1:2" x14ac:dyDescent="0.25">
      <c r="A2278">
        <v>50210</v>
      </c>
      <c r="B2278" t="e">
        <f>- Cerdas de cerdo o de jabali y sus desperdicios</f>
        <v>#NAME?</v>
      </c>
    </row>
    <row r="2279" spans="1:2" x14ac:dyDescent="0.25">
      <c r="A2279">
        <v>502101</v>
      </c>
      <c r="B2279" t="s">
        <v>618</v>
      </c>
    </row>
    <row r="2280" spans="1:2" x14ac:dyDescent="0.25">
      <c r="A2280">
        <v>5021011</v>
      </c>
      <c r="B2280" t="s">
        <v>619</v>
      </c>
    </row>
    <row r="2281" spans="1:2" x14ac:dyDescent="0.25">
      <c r="A2281">
        <v>5021011100</v>
      </c>
      <c r="B2281" t="s">
        <v>620</v>
      </c>
    </row>
    <row r="2282" spans="1:2" x14ac:dyDescent="0.25">
      <c r="A2282">
        <v>50210119</v>
      </c>
      <c r="B2282" t="s">
        <v>57</v>
      </c>
    </row>
    <row r="2283" spans="1:2" x14ac:dyDescent="0.25">
      <c r="A2283">
        <v>5021011910</v>
      </c>
      <c r="B2283" t="s">
        <v>621</v>
      </c>
    </row>
    <row r="2284" spans="1:2" x14ac:dyDescent="0.25">
      <c r="A2284">
        <v>5021011920</v>
      </c>
      <c r="B2284" t="s">
        <v>622</v>
      </c>
    </row>
    <row r="2285" spans="1:2" x14ac:dyDescent="0.25">
      <c r="A2285">
        <v>5021011990</v>
      </c>
      <c r="B2285" t="s">
        <v>57</v>
      </c>
    </row>
    <row r="2286" spans="1:2" x14ac:dyDescent="0.25">
      <c r="A2286">
        <v>5021019000</v>
      </c>
      <c r="B2286" t="s">
        <v>57</v>
      </c>
    </row>
    <row r="2287" spans="1:2" x14ac:dyDescent="0.25">
      <c r="A2287">
        <v>5021090</v>
      </c>
      <c r="B2287" t="s">
        <v>10</v>
      </c>
    </row>
    <row r="2288" spans="1:2" x14ac:dyDescent="0.25">
      <c r="A2288">
        <v>50210901</v>
      </c>
      <c r="B2288" t="s">
        <v>619</v>
      </c>
    </row>
    <row r="2289" spans="1:2" x14ac:dyDescent="0.25">
      <c r="A2289">
        <v>5021090110</v>
      </c>
      <c r="B2289" t="s">
        <v>620</v>
      </c>
    </row>
    <row r="2290" spans="1:2" x14ac:dyDescent="0.25">
      <c r="A2290">
        <v>502109019</v>
      </c>
      <c r="B2290" t="s">
        <v>57</v>
      </c>
    </row>
    <row r="2291" spans="1:2" x14ac:dyDescent="0.25">
      <c r="A2291">
        <v>5021090191</v>
      </c>
      <c r="B2291" t="s">
        <v>621</v>
      </c>
    </row>
    <row r="2292" spans="1:2" x14ac:dyDescent="0.25">
      <c r="A2292">
        <v>5021090192</v>
      </c>
      <c r="B2292" t="s">
        <v>622</v>
      </c>
    </row>
    <row r="2293" spans="1:2" x14ac:dyDescent="0.25">
      <c r="A2293">
        <v>5021090199</v>
      </c>
      <c r="B2293" t="s">
        <v>57</v>
      </c>
    </row>
    <row r="2294" spans="1:2" x14ac:dyDescent="0.25">
      <c r="A2294">
        <v>50210909</v>
      </c>
      <c r="B2294" t="s">
        <v>57</v>
      </c>
    </row>
    <row r="2295" spans="1:2" x14ac:dyDescent="0.25">
      <c r="A2295">
        <v>5021090910</v>
      </c>
      <c r="B2295" t="s">
        <v>623</v>
      </c>
    </row>
    <row r="2296" spans="1:2" x14ac:dyDescent="0.25">
      <c r="A2296">
        <v>5021090990</v>
      </c>
      <c r="B2296" t="s">
        <v>57</v>
      </c>
    </row>
    <row r="2297" spans="1:2" x14ac:dyDescent="0.25">
      <c r="A2297">
        <v>50290</v>
      </c>
      <c r="B2297" t="e">
        <f>- Los demas</f>
        <v>#NAME?</v>
      </c>
    </row>
    <row r="2298" spans="1:2" x14ac:dyDescent="0.25">
      <c r="A2298">
        <v>5029010</v>
      </c>
      <c r="B2298" t="s">
        <v>624</v>
      </c>
    </row>
    <row r="2299" spans="1:2" x14ac:dyDescent="0.25">
      <c r="A2299">
        <v>50290101</v>
      </c>
      <c r="B2299" t="s">
        <v>625</v>
      </c>
    </row>
    <row r="2300" spans="1:2" x14ac:dyDescent="0.25">
      <c r="A2300">
        <v>5029010110</v>
      </c>
      <c r="B2300" t="s">
        <v>626</v>
      </c>
    </row>
    <row r="2301" spans="1:2" x14ac:dyDescent="0.25">
      <c r="A2301">
        <v>5029010190</v>
      </c>
      <c r="B2301" t="s">
        <v>10</v>
      </c>
    </row>
    <row r="2302" spans="1:2" x14ac:dyDescent="0.25">
      <c r="A2302">
        <v>5029010900</v>
      </c>
      <c r="B2302" t="s">
        <v>10</v>
      </c>
    </row>
    <row r="2303" spans="1:2" x14ac:dyDescent="0.25">
      <c r="A2303">
        <v>5029020000</v>
      </c>
      <c r="B2303" t="s">
        <v>623</v>
      </c>
    </row>
    <row r="2304" spans="1:2" x14ac:dyDescent="0.25">
      <c r="A2304">
        <v>50400</v>
      </c>
      <c r="B2304" t="s">
        <v>627</v>
      </c>
    </row>
    <row r="2305" spans="1:2" x14ac:dyDescent="0.25">
      <c r="A2305">
        <v>504001</v>
      </c>
      <c r="B2305" t="s">
        <v>628</v>
      </c>
    </row>
    <row r="2306" spans="1:2" x14ac:dyDescent="0.25">
      <c r="A2306">
        <v>5040011</v>
      </c>
      <c r="B2306" t="s">
        <v>629</v>
      </c>
    </row>
    <row r="2307" spans="1:2" x14ac:dyDescent="0.25">
      <c r="A2307">
        <v>50400111</v>
      </c>
      <c r="B2307" t="s">
        <v>630</v>
      </c>
    </row>
    <row r="2308" spans="1:2" x14ac:dyDescent="0.25">
      <c r="A2308">
        <v>504001111</v>
      </c>
      <c r="B2308" t="s">
        <v>631</v>
      </c>
    </row>
    <row r="2309" spans="1:2" x14ac:dyDescent="0.25">
      <c r="A2309">
        <v>5040011111</v>
      </c>
      <c r="B2309" t="s">
        <v>632</v>
      </c>
    </row>
    <row r="2310" spans="1:2" x14ac:dyDescent="0.25">
      <c r="A2310">
        <v>5040011119</v>
      </c>
      <c r="B2310" t="s">
        <v>57</v>
      </c>
    </row>
    <row r="2311" spans="1:2" x14ac:dyDescent="0.25">
      <c r="A2311">
        <v>504001119</v>
      </c>
      <c r="B2311" t="s">
        <v>57</v>
      </c>
    </row>
    <row r="2312" spans="1:2" x14ac:dyDescent="0.25">
      <c r="A2312">
        <v>5040011191</v>
      </c>
      <c r="B2312" t="s">
        <v>632</v>
      </c>
    </row>
    <row r="2313" spans="1:2" x14ac:dyDescent="0.25">
      <c r="A2313">
        <v>5040011199</v>
      </c>
      <c r="B2313" t="s">
        <v>57</v>
      </c>
    </row>
    <row r="2314" spans="1:2" x14ac:dyDescent="0.25">
      <c r="A2314">
        <v>50400112</v>
      </c>
      <c r="B2314" t="s">
        <v>633</v>
      </c>
    </row>
    <row r="2315" spans="1:2" x14ac:dyDescent="0.25">
      <c r="A2315">
        <v>504001121</v>
      </c>
      <c r="B2315" t="s">
        <v>631</v>
      </c>
    </row>
    <row r="2316" spans="1:2" x14ac:dyDescent="0.25">
      <c r="A2316">
        <v>5040011211</v>
      </c>
      <c r="B2316" t="s">
        <v>632</v>
      </c>
    </row>
    <row r="2317" spans="1:2" x14ac:dyDescent="0.25">
      <c r="A2317">
        <v>5040011219</v>
      </c>
      <c r="B2317" t="s">
        <v>57</v>
      </c>
    </row>
    <row r="2318" spans="1:2" x14ac:dyDescent="0.25">
      <c r="A2318">
        <v>504001129</v>
      </c>
      <c r="B2318" t="s">
        <v>57</v>
      </c>
    </row>
    <row r="2319" spans="1:2" x14ac:dyDescent="0.25">
      <c r="A2319">
        <v>5040011291</v>
      </c>
      <c r="B2319" t="s">
        <v>632</v>
      </c>
    </row>
    <row r="2320" spans="1:2" x14ac:dyDescent="0.25">
      <c r="A2320">
        <v>5040011299</v>
      </c>
      <c r="B2320" t="s">
        <v>57</v>
      </c>
    </row>
    <row r="2321" spans="1:2" x14ac:dyDescent="0.25">
      <c r="A2321">
        <v>50400113</v>
      </c>
      <c r="B2321" t="s">
        <v>634</v>
      </c>
    </row>
    <row r="2322" spans="1:2" x14ac:dyDescent="0.25">
      <c r="A2322">
        <v>504001131</v>
      </c>
      <c r="B2322" t="s">
        <v>635</v>
      </c>
    </row>
    <row r="2323" spans="1:2" x14ac:dyDescent="0.25">
      <c r="A2323">
        <v>5040011311</v>
      </c>
      <c r="B2323" t="s">
        <v>636</v>
      </c>
    </row>
    <row r="2324" spans="1:2" x14ac:dyDescent="0.25">
      <c r="A2324">
        <v>5040011319</v>
      </c>
      <c r="B2324" t="s">
        <v>10</v>
      </c>
    </row>
    <row r="2325" spans="1:2" x14ac:dyDescent="0.25">
      <c r="A2325">
        <v>504001139</v>
      </c>
      <c r="B2325" t="s">
        <v>10</v>
      </c>
    </row>
    <row r="2326" spans="1:2" x14ac:dyDescent="0.25">
      <c r="A2326">
        <v>5040011391</v>
      </c>
      <c r="B2326" t="s">
        <v>632</v>
      </c>
    </row>
    <row r="2327" spans="1:2" x14ac:dyDescent="0.25">
      <c r="A2327">
        <v>5040011399</v>
      </c>
      <c r="B2327" t="s">
        <v>10</v>
      </c>
    </row>
    <row r="2328" spans="1:2" x14ac:dyDescent="0.25">
      <c r="A2328">
        <v>50400114</v>
      </c>
      <c r="B2328" t="s">
        <v>637</v>
      </c>
    </row>
    <row r="2329" spans="1:2" x14ac:dyDescent="0.25">
      <c r="A2329">
        <v>5040011410</v>
      </c>
      <c r="B2329" t="s">
        <v>631</v>
      </c>
    </row>
    <row r="2330" spans="1:2" x14ac:dyDescent="0.25">
      <c r="A2330">
        <v>5040011490</v>
      </c>
      <c r="B2330" t="s">
        <v>57</v>
      </c>
    </row>
    <row r="2331" spans="1:2" x14ac:dyDescent="0.25">
      <c r="A2331">
        <v>50400115</v>
      </c>
      <c r="B2331" t="s">
        <v>638</v>
      </c>
    </row>
    <row r="2332" spans="1:2" x14ac:dyDescent="0.25">
      <c r="A2332">
        <v>5040011510</v>
      </c>
      <c r="B2332" t="s">
        <v>635</v>
      </c>
    </row>
    <row r="2333" spans="1:2" x14ac:dyDescent="0.25">
      <c r="A2333">
        <v>5040011590</v>
      </c>
      <c r="B2333" t="s">
        <v>10</v>
      </c>
    </row>
    <row r="2334" spans="1:2" x14ac:dyDescent="0.25">
      <c r="A2334">
        <v>5040011900</v>
      </c>
      <c r="B2334" t="s">
        <v>57</v>
      </c>
    </row>
    <row r="2335" spans="1:2" x14ac:dyDescent="0.25">
      <c r="A2335">
        <v>5040012</v>
      </c>
      <c r="B2335" t="s">
        <v>639</v>
      </c>
    </row>
    <row r="2336" spans="1:2" x14ac:dyDescent="0.25">
      <c r="A2336">
        <v>5040012100</v>
      </c>
      <c r="B2336" t="s">
        <v>632</v>
      </c>
    </row>
    <row r="2337" spans="1:2" x14ac:dyDescent="0.25">
      <c r="A2337">
        <v>5040012900</v>
      </c>
      <c r="B2337" t="s">
        <v>57</v>
      </c>
    </row>
    <row r="2338" spans="1:2" x14ac:dyDescent="0.25">
      <c r="A2338">
        <v>5040013</v>
      </c>
      <c r="B2338" t="s">
        <v>640</v>
      </c>
    </row>
    <row r="2339" spans="1:2" x14ac:dyDescent="0.25">
      <c r="A2339">
        <v>5040013100</v>
      </c>
      <c r="B2339" t="s">
        <v>632</v>
      </c>
    </row>
    <row r="2340" spans="1:2" x14ac:dyDescent="0.25">
      <c r="A2340">
        <v>5040013900</v>
      </c>
      <c r="B2340" t="s">
        <v>57</v>
      </c>
    </row>
    <row r="2341" spans="1:2" x14ac:dyDescent="0.25">
      <c r="A2341">
        <v>5040019</v>
      </c>
      <c r="B2341" t="s">
        <v>57</v>
      </c>
    </row>
    <row r="2342" spans="1:2" x14ac:dyDescent="0.25">
      <c r="A2342">
        <v>5040019100</v>
      </c>
      <c r="B2342" t="s">
        <v>641</v>
      </c>
    </row>
    <row r="2343" spans="1:2" x14ac:dyDescent="0.25">
      <c r="A2343">
        <v>5040019200</v>
      </c>
      <c r="B2343" t="s">
        <v>642</v>
      </c>
    </row>
    <row r="2344" spans="1:2" x14ac:dyDescent="0.25">
      <c r="A2344">
        <v>5040019900</v>
      </c>
      <c r="B2344" t="s">
        <v>57</v>
      </c>
    </row>
    <row r="2345" spans="1:2" x14ac:dyDescent="0.25">
      <c r="A2345">
        <v>5040090</v>
      </c>
      <c r="B2345" t="s">
        <v>10</v>
      </c>
    </row>
    <row r="2346" spans="1:2" x14ac:dyDescent="0.25">
      <c r="A2346">
        <v>50400901</v>
      </c>
      <c r="B2346" t="s">
        <v>643</v>
      </c>
    </row>
    <row r="2347" spans="1:2" x14ac:dyDescent="0.25">
      <c r="A2347">
        <v>504009011</v>
      </c>
      <c r="B2347" t="s">
        <v>629</v>
      </c>
    </row>
    <row r="2348" spans="1:2" x14ac:dyDescent="0.25">
      <c r="A2348">
        <v>5040090111</v>
      </c>
      <c r="B2348" t="s">
        <v>644</v>
      </c>
    </row>
    <row r="2349" spans="1:2" x14ac:dyDescent="0.25">
      <c r="A2349">
        <v>5040090119</v>
      </c>
      <c r="B2349" t="s">
        <v>10</v>
      </c>
    </row>
    <row r="2350" spans="1:2" x14ac:dyDescent="0.25">
      <c r="A2350">
        <v>504009012</v>
      </c>
      <c r="B2350" t="s">
        <v>639</v>
      </c>
    </row>
    <row r="2351" spans="1:2" x14ac:dyDescent="0.25">
      <c r="A2351">
        <v>5040090121</v>
      </c>
      <c r="B2351" t="s">
        <v>645</v>
      </c>
    </row>
    <row r="2352" spans="1:2" x14ac:dyDescent="0.25">
      <c r="A2352">
        <v>5040090129</v>
      </c>
      <c r="B2352" t="s">
        <v>10</v>
      </c>
    </row>
    <row r="2353" spans="1:2" x14ac:dyDescent="0.25">
      <c r="A2353">
        <v>5040090130</v>
      </c>
      <c r="B2353" t="s">
        <v>646</v>
      </c>
    </row>
    <row r="2354" spans="1:2" x14ac:dyDescent="0.25">
      <c r="A2354">
        <v>5040090900</v>
      </c>
      <c r="B2354" t="s">
        <v>10</v>
      </c>
    </row>
    <row r="2355" spans="1:2" x14ac:dyDescent="0.25">
      <c r="A2355">
        <v>505</v>
      </c>
      <c r="B2355" t="s">
        <v>647</v>
      </c>
    </row>
    <row r="2356" spans="1:2" x14ac:dyDescent="0.25">
      <c r="A2356">
        <v>5051000</v>
      </c>
      <c r="B2356" t="e">
        <f>- Plumas de las utilizadas para relleno, plumon</f>
        <v>#NAME?</v>
      </c>
    </row>
    <row r="2357" spans="1:2" x14ac:dyDescent="0.25">
      <c r="A2357">
        <v>5051000100</v>
      </c>
      <c r="B2357" t="s">
        <v>648</v>
      </c>
    </row>
    <row r="2358" spans="1:2" x14ac:dyDescent="0.25">
      <c r="A2358">
        <v>5051000200</v>
      </c>
      <c r="B2358" t="s">
        <v>649</v>
      </c>
    </row>
    <row r="2359" spans="1:2" x14ac:dyDescent="0.25">
      <c r="A2359">
        <v>5051000900</v>
      </c>
      <c r="B2359" t="s">
        <v>10</v>
      </c>
    </row>
    <row r="2360" spans="1:2" x14ac:dyDescent="0.25">
      <c r="A2360">
        <v>5059000</v>
      </c>
      <c r="B2360" t="e">
        <f>- Los demas</f>
        <v>#NAME?</v>
      </c>
    </row>
    <row r="2361" spans="1:2" x14ac:dyDescent="0.25">
      <c r="A2361">
        <v>5059000100</v>
      </c>
      <c r="B2361" t="s">
        <v>650</v>
      </c>
    </row>
    <row r="2362" spans="1:2" x14ac:dyDescent="0.25">
      <c r="A2362">
        <v>50590009</v>
      </c>
      <c r="B2362" t="s">
        <v>10</v>
      </c>
    </row>
    <row r="2363" spans="1:2" x14ac:dyDescent="0.25">
      <c r="A2363">
        <v>5059000910</v>
      </c>
      <c r="B2363" t="s">
        <v>648</v>
      </c>
    </row>
    <row r="2364" spans="1:2" x14ac:dyDescent="0.25">
      <c r="A2364">
        <v>5059000990</v>
      </c>
      <c r="B2364" t="s">
        <v>10</v>
      </c>
    </row>
    <row r="2365" spans="1:2" x14ac:dyDescent="0.25">
      <c r="A2365">
        <v>506</v>
      </c>
      <c r="B2365" t="s">
        <v>651</v>
      </c>
    </row>
    <row r="2366" spans="1:2" x14ac:dyDescent="0.25">
      <c r="A2366">
        <v>5061000000</v>
      </c>
      <c r="B2366" t="e">
        <f>-Oseina y huesos acidulados</f>
        <v>#NAME?</v>
      </c>
    </row>
    <row r="2367" spans="1:2" x14ac:dyDescent="0.25">
      <c r="A2367">
        <v>5069000000</v>
      </c>
      <c r="B2367" t="e">
        <f>-Los demas</f>
        <v>#NAME?</v>
      </c>
    </row>
    <row r="2368" spans="1:2" x14ac:dyDescent="0.25">
      <c r="A2368">
        <v>507</v>
      </c>
      <c r="B2368" t="s">
        <v>652</v>
      </c>
    </row>
    <row r="2369" spans="1:2" x14ac:dyDescent="0.25">
      <c r="A2369">
        <v>5071000</v>
      </c>
      <c r="B2369" t="e">
        <f>- Marfil, polvo y desperdicios de Marfil</f>
        <v>#NAME?</v>
      </c>
    </row>
    <row r="2370" spans="1:2" x14ac:dyDescent="0.25">
      <c r="A2370">
        <v>50710001</v>
      </c>
      <c r="B2370" t="s">
        <v>653</v>
      </c>
    </row>
    <row r="2371" spans="1:2" x14ac:dyDescent="0.25">
      <c r="A2371">
        <v>5071000110</v>
      </c>
      <c r="B2371" t="s">
        <v>654</v>
      </c>
    </row>
    <row r="2372" spans="1:2" x14ac:dyDescent="0.25">
      <c r="A2372">
        <v>5071000190</v>
      </c>
      <c r="B2372" t="s">
        <v>10</v>
      </c>
    </row>
    <row r="2373" spans="1:2" x14ac:dyDescent="0.25">
      <c r="A2373">
        <v>5071000200</v>
      </c>
      <c r="B2373" t="s">
        <v>655</v>
      </c>
    </row>
    <row r="2374" spans="1:2" x14ac:dyDescent="0.25">
      <c r="A2374">
        <v>5079000</v>
      </c>
      <c r="B2374" t="e">
        <f>- Los demas</f>
        <v>#NAME?</v>
      </c>
    </row>
    <row r="2375" spans="1:2" x14ac:dyDescent="0.25">
      <c r="A2375">
        <v>5079000100</v>
      </c>
      <c r="B2375" t="s">
        <v>656</v>
      </c>
    </row>
    <row r="2376" spans="1:2" x14ac:dyDescent="0.25">
      <c r="A2376">
        <v>5079000200</v>
      </c>
      <c r="B2376" t="s">
        <v>657</v>
      </c>
    </row>
    <row r="2377" spans="1:2" x14ac:dyDescent="0.25">
      <c r="A2377">
        <v>5079000900</v>
      </c>
      <c r="B2377" t="s">
        <v>10</v>
      </c>
    </row>
    <row r="2378" spans="1:2" x14ac:dyDescent="0.25">
      <c r="A2378">
        <v>5080000</v>
      </c>
      <c r="B2378" t="s">
        <v>658</v>
      </c>
    </row>
    <row r="2379" spans="1:2" x14ac:dyDescent="0.25">
      <c r="A2379">
        <v>5080000100</v>
      </c>
      <c r="B2379" t="s">
        <v>659</v>
      </c>
    </row>
    <row r="2380" spans="1:2" x14ac:dyDescent="0.25">
      <c r="A2380">
        <v>5080000200</v>
      </c>
      <c r="B2380" t="s">
        <v>660</v>
      </c>
    </row>
    <row r="2381" spans="1:2" x14ac:dyDescent="0.25">
      <c r="A2381">
        <v>5080000900</v>
      </c>
      <c r="B2381" t="s">
        <v>10</v>
      </c>
    </row>
    <row r="2382" spans="1:2" x14ac:dyDescent="0.25">
      <c r="A2382">
        <v>51000</v>
      </c>
      <c r="B2382" t="s">
        <v>661</v>
      </c>
    </row>
    <row r="2383" spans="1:2" x14ac:dyDescent="0.25">
      <c r="A2383">
        <v>5100010000</v>
      </c>
      <c r="B2383" t="s">
        <v>662</v>
      </c>
    </row>
    <row r="2384" spans="1:2" x14ac:dyDescent="0.25">
      <c r="A2384">
        <v>5100090</v>
      </c>
      <c r="B2384" t="s">
        <v>10</v>
      </c>
    </row>
    <row r="2385" spans="1:2" x14ac:dyDescent="0.25">
      <c r="A2385">
        <v>5100090100</v>
      </c>
      <c r="B2385" t="s">
        <v>663</v>
      </c>
    </row>
    <row r="2386" spans="1:2" x14ac:dyDescent="0.25">
      <c r="A2386">
        <v>5100090200</v>
      </c>
      <c r="B2386" t="s">
        <v>664</v>
      </c>
    </row>
    <row r="2387" spans="1:2" x14ac:dyDescent="0.25">
      <c r="A2387">
        <v>5100090300</v>
      </c>
      <c r="B2387" t="s">
        <v>665</v>
      </c>
    </row>
    <row r="2388" spans="1:2" x14ac:dyDescent="0.25">
      <c r="A2388">
        <v>5100090400</v>
      </c>
      <c r="B2388" t="s">
        <v>666</v>
      </c>
    </row>
    <row r="2389" spans="1:2" x14ac:dyDescent="0.25">
      <c r="A2389">
        <v>5100090500</v>
      </c>
      <c r="B2389" t="s">
        <v>667</v>
      </c>
    </row>
    <row r="2390" spans="1:2" x14ac:dyDescent="0.25">
      <c r="A2390">
        <v>5100090600</v>
      </c>
      <c r="B2390" t="s">
        <v>668</v>
      </c>
    </row>
    <row r="2391" spans="1:2" x14ac:dyDescent="0.25">
      <c r="A2391">
        <v>51000907</v>
      </c>
      <c r="B2391" t="s">
        <v>669</v>
      </c>
    </row>
    <row r="2392" spans="1:2" x14ac:dyDescent="0.25">
      <c r="A2392">
        <v>5100090710</v>
      </c>
      <c r="B2392" t="s">
        <v>670</v>
      </c>
    </row>
    <row r="2393" spans="1:2" x14ac:dyDescent="0.25">
      <c r="A2393">
        <v>5100090720</v>
      </c>
      <c r="B2393" t="s">
        <v>671</v>
      </c>
    </row>
    <row r="2394" spans="1:2" x14ac:dyDescent="0.25">
      <c r="A2394">
        <v>5100090730</v>
      </c>
      <c r="B2394" t="s">
        <v>672</v>
      </c>
    </row>
    <row r="2395" spans="1:2" x14ac:dyDescent="0.25">
      <c r="A2395">
        <v>5100090740</v>
      </c>
      <c r="B2395" t="s">
        <v>673</v>
      </c>
    </row>
    <row r="2396" spans="1:2" x14ac:dyDescent="0.25">
      <c r="A2396">
        <v>5100090750</v>
      </c>
      <c r="B2396" t="s">
        <v>674</v>
      </c>
    </row>
    <row r="2397" spans="1:2" x14ac:dyDescent="0.25">
      <c r="A2397">
        <v>5100090760</v>
      </c>
      <c r="B2397" t="s">
        <v>675</v>
      </c>
    </row>
    <row r="2398" spans="1:2" x14ac:dyDescent="0.25">
      <c r="A2398">
        <v>5100090770</v>
      </c>
      <c r="B2398" t="s">
        <v>676</v>
      </c>
    </row>
    <row r="2399" spans="1:2" x14ac:dyDescent="0.25">
      <c r="A2399">
        <v>5100090790</v>
      </c>
      <c r="B2399" t="s">
        <v>57</v>
      </c>
    </row>
    <row r="2400" spans="1:2" x14ac:dyDescent="0.25">
      <c r="A2400">
        <v>51000908</v>
      </c>
      <c r="B2400" t="s">
        <v>677</v>
      </c>
    </row>
    <row r="2401" spans="1:2" x14ac:dyDescent="0.25">
      <c r="A2401">
        <v>5100090810</v>
      </c>
      <c r="B2401" t="s">
        <v>678</v>
      </c>
    </row>
    <row r="2402" spans="1:2" x14ac:dyDescent="0.25">
      <c r="A2402">
        <v>5100090890</v>
      </c>
      <c r="B2402" t="s">
        <v>57</v>
      </c>
    </row>
    <row r="2403" spans="1:2" x14ac:dyDescent="0.25">
      <c r="A2403">
        <v>51000909</v>
      </c>
      <c r="B2403" t="s">
        <v>10</v>
      </c>
    </row>
    <row r="2404" spans="1:2" x14ac:dyDescent="0.25">
      <c r="A2404">
        <v>510009091</v>
      </c>
      <c r="B2404" t="s">
        <v>679</v>
      </c>
    </row>
    <row r="2405" spans="1:2" x14ac:dyDescent="0.25">
      <c r="A2405">
        <v>5100090911</v>
      </c>
      <c r="B2405" t="s">
        <v>680</v>
      </c>
    </row>
    <row r="2406" spans="1:2" x14ac:dyDescent="0.25">
      <c r="A2406">
        <v>5100090919</v>
      </c>
      <c r="B2406" t="s">
        <v>10</v>
      </c>
    </row>
    <row r="2407" spans="1:2" x14ac:dyDescent="0.25">
      <c r="A2407">
        <v>5100090990</v>
      </c>
      <c r="B2407" t="s">
        <v>10</v>
      </c>
    </row>
    <row r="2408" spans="1:2" x14ac:dyDescent="0.25">
      <c r="A2408">
        <v>511</v>
      </c>
      <c r="B2408" t="s">
        <v>681</v>
      </c>
    </row>
    <row r="2409" spans="1:2" x14ac:dyDescent="0.25">
      <c r="A2409">
        <v>5111000000</v>
      </c>
      <c r="B2409" t="e">
        <f>-Semen de bovino</f>
        <v>#NAME?</v>
      </c>
    </row>
    <row r="2410" spans="1:2" x14ac:dyDescent="0.25">
      <c r="A2410">
        <v>5119</v>
      </c>
      <c r="B2410" t="s">
        <v>28</v>
      </c>
    </row>
    <row r="2411" spans="1:2" x14ac:dyDescent="0.25">
      <c r="A2411">
        <v>51191</v>
      </c>
      <c r="B2411" t="s">
        <v>682</v>
      </c>
    </row>
    <row r="2412" spans="1:2" x14ac:dyDescent="0.25">
      <c r="A2412">
        <v>5119110000</v>
      </c>
      <c r="B2412" t="s">
        <v>683</v>
      </c>
    </row>
    <row r="2413" spans="1:2" x14ac:dyDescent="0.25">
      <c r="A2413">
        <v>5119190000</v>
      </c>
      <c r="B2413" t="s">
        <v>10</v>
      </c>
    </row>
    <row r="2414" spans="1:2" x14ac:dyDescent="0.25">
      <c r="A2414">
        <v>51199</v>
      </c>
      <c r="B2414" t="e">
        <f>- - Los demas</f>
        <v>#NAME?</v>
      </c>
    </row>
    <row r="2415" spans="1:2" x14ac:dyDescent="0.25">
      <c r="A2415">
        <v>5119910</v>
      </c>
      <c r="B2415" t="s">
        <v>684</v>
      </c>
    </row>
    <row r="2416" spans="1:2" x14ac:dyDescent="0.25">
      <c r="A2416">
        <v>5119910100</v>
      </c>
      <c r="B2416" t="s">
        <v>643</v>
      </c>
    </row>
    <row r="2417" spans="1:2" x14ac:dyDescent="0.25">
      <c r="A2417">
        <v>5119910900</v>
      </c>
      <c r="B2417" t="s">
        <v>10</v>
      </c>
    </row>
    <row r="2418" spans="1:2" x14ac:dyDescent="0.25">
      <c r="A2418">
        <v>5119920</v>
      </c>
      <c r="B2418" t="s">
        <v>685</v>
      </c>
    </row>
    <row r="2419" spans="1:2" x14ac:dyDescent="0.25">
      <c r="A2419">
        <v>5119920100</v>
      </c>
      <c r="B2419" t="s">
        <v>686</v>
      </c>
    </row>
    <row r="2420" spans="1:2" x14ac:dyDescent="0.25">
      <c r="A2420">
        <v>5119920900</v>
      </c>
      <c r="B2420" t="s">
        <v>10</v>
      </c>
    </row>
    <row r="2421" spans="1:2" x14ac:dyDescent="0.25">
      <c r="A2421">
        <v>5119930000</v>
      </c>
      <c r="B2421" t="s">
        <v>687</v>
      </c>
    </row>
    <row r="2422" spans="1:2" x14ac:dyDescent="0.25">
      <c r="A2422">
        <v>511999</v>
      </c>
      <c r="B2422" t="s">
        <v>10</v>
      </c>
    </row>
    <row r="2423" spans="1:2" x14ac:dyDescent="0.25">
      <c r="A2423">
        <v>5119991</v>
      </c>
      <c r="B2423" t="s">
        <v>688</v>
      </c>
    </row>
    <row r="2424" spans="1:2" x14ac:dyDescent="0.25">
      <c r="A2424">
        <v>51199911</v>
      </c>
      <c r="B2424" t="s">
        <v>689</v>
      </c>
    </row>
    <row r="2425" spans="1:2" x14ac:dyDescent="0.25">
      <c r="A2425">
        <v>5119991110</v>
      </c>
      <c r="B2425" t="s">
        <v>619</v>
      </c>
    </row>
    <row r="2426" spans="1:2" x14ac:dyDescent="0.25">
      <c r="A2426">
        <v>5119991120</v>
      </c>
      <c r="B2426" t="s">
        <v>623</v>
      </c>
    </row>
    <row r="2427" spans="1:2" x14ac:dyDescent="0.25">
      <c r="A2427">
        <v>5119991190</v>
      </c>
      <c r="B2427" t="s">
        <v>57</v>
      </c>
    </row>
    <row r="2428" spans="1:2" x14ac:dyDescent="0.25">
      <c r="A2428">
        <v>51199912</v>
      </c>
      <c r="B2428" t="s">
        <v>690</v>
      </c>
    </row>
    <row r="2429" spans="1:2" x14ac:dyDescent="0.25">
      <c r="A2429">
        <v>5119991210</v>
      </c>
      <c r="B2429" t="s">
        <v>619</v>
      </c>
    </row>
    <row r="2430" spans="1:2" x14ac:dyDescent="0.25">
      <c r="A2430">
        <v>5119991220</v>
      </c>
      <c r="B2430" t="s">
        <v>623</v>
      </c>
    </row>
    <row r="2431" spans="1:2" x14ac:dyDescent="0.25">
      <c r="A2431">
        <v>5119991290</v>
      </c>
      <c r="B2431" t="s">
        <v>57</v>
      </c>
    </row>
    <row r="2432" spans="1:2" x14ac:dyDescent="0.25">
      <c r="A2432">
        <v>5119999</v>
      </c>
      <c r="B2432" t="s">
        <v>10</v>
      </c>
    </row>
    <row r="2433" spans="1:2" x14ac:dyDescent="0.25">
      <c r="A2433">
        <v>51199991</v>
      </c>
      <c r="B2433" t="s">
        <v>643</v>
      </c>
    </row>
    <row r="2434" spans="1:2" x14ac:dyDescent="0.25">
      <c r="A2434">
        <v>511999911</v>
      </c>
      <c r="B2434" t="s">
        <v>691</v>
      </c>
    </row>
    <row r="2435" spans="1:2" x14ac:dyDescent="0.25">
      <c r="A2435">
        <v>5119999111</v>
      </c>
      <c r="B2435" t="s">
        <v>692</v>
      </c>
    </row>
    <row r="2436" spans="1:2" x14ac:dyDescent="0.25">
      <c r="A2436">
        <v>5119999112</v>
      </c>
      <c r="B2436" t="s">
        <v>693</v>
      </c>
    </row>
    <row r="2437" spans="1:2" x14ac:dyDescent="0.25">
      <c r="A2437">
        <v>5119999119</v>
      </c>
      <c r="B2437" t="s">
        <v>57</v>
      </c>
    </row>
    <row r="2438" spans="1:2" x14ac:dyDescent="0.25">
      <c r="A2438">
        <v>5119999120</v>
      </c>
      <c r="B2438" t="s">
        <v>694</v>
      </c>
    </row>
    <row r="2439" spans="1:2" x14ac:dyDescent="0.25">
      <c r="A2439">
        <v>5119999190</v>
      </c>
      <c r="B2439" t="s">
        <v>10</v>
      </c>
    </row>
    <row r="2440" spans="1:2" x14ac:dyDescent="0.25">
      <c r="A2440">
        <v>5119999200</v>
      </c>
      <c r="B2440" t="s">
        <v>695</v>
      </c>
    </row>
    <row r="2441" spans="1:2" x14ac:dyDescent="0.25">
      <c r="A2441">
        <v>5119999300</v>
      </c>
      <c r="B2441" t="s">
        <v>696</v>
      </c>
    </row>
    <row r="2442" spans="1:2" x14ac:dyDescent="0.25">
      <c r="A2442">
        <v>51199999</v>
      </c>
      <c r="B2442" t="s">
        <v>10</v>
      </c>
    </row>
    <row r="2443" spans="1:2" x14ac:dyDescent="0.25">
      <c r="A2443">
        <v>5119999910</v>
      </c>
      <c r="B2443" t="s">
        <v>697</v>
      </c>
    </row>
    <row r="2444" spans="1:2" x14ac:dyDescent="0.25">
      <c r="A2444">
        <v>5119999920</v>
      </c>
      <c r="B2444" t="s">
        <v>698</v>
      </c>
    </row>
    <row r="2445" spans="1:2" x14ac:dyDescent="0.25">
      <c r="A2445">
        <v>5119999930</v>
      </c>
      <c r="B2445" t="s">
        <v>699</v>
      </c>
    </row>
    <row r="2446" spans="1:2" x14ac:dyDescent="0.25">
      <c r="A2446">
        <v>5119999940</v>
      </c>
      <c r="B2446" t="s">
        <v>700</v>
      </c>
    </row>
    <row r="2447" spans="1:2" x14ac:dyDescent="0.25">
      <c r="A2447">
        <v>5119999990</v>
      </c>
      <c r="B2447" t="s">
        <v>10</v>
      </c>
    </row>
    <row r="2448" spans="1:2" x14ac:dyDescent="0.25">
      <c r="A2448">
        <v>601</v>
      </c>
      <c r="B2448" t="s">
        <v>701</v>
      </c>
    </row>
    <row r="2449" spans="1:2" x14ac:dyDescent="0.25">
      <c r="A2449">
        <v>6011000</v>
      </c>
      <c r="B2449" t="e">
        <f>- Bulbos. cebollas. tuberculos. raices y bulbos tuberosos. turiones y rizomas. En reposo vegetativo</f>
        <v>#NAME?</v>
      </c>
    </row>
    <row r="2450" spans="1:2" x14ac:dyDescent="0.25">
      <c r="A2450">
        <v>6011000100</v>
      </c>
      <c r="B2450" t="s">
        <v>702</v>
      </c>
    </row>
    <row r="2451" spans="1:2" x14ac:dyDescent="0.25">
      <c r="A2451">
        <v>6011000200</v>
      </c>
      <c r="B2451" t="s">
        <v>703</v>
      </c>
    </row>
    <row r="2452" spans="1:2" x14ac:dyDescent="0.25">
      <c r="A2452">
        <v>6011000900</v>
      </c>
      <c r="B2452" t="s">
        <v>10</v>
      </c>
    </row>
    <row r="2453" spans="1:2" x14ac:dyDescent="0.25">
      <c r="A2453">
        <v>6012000</v>
      </c>
      <c r="B2453" t="e">
        <f>- Bulbos. cebollas. tuberculos. raices y bulbos tuberosos. turiones y rizomas. En vegetacion o En flor, plantas y raices de achicoria</f>
        <v>#NAME?</v>
      </c>
    </row>
    <row r="2454" spans="1:2" x14ac:dyDescent="0.25">
      <c r="A2454">
        <v>6012000100</v>
      </c>
      <c r="B2454" t="s">
        <v>704</v>
      </c>
    </row>
    <row r="2455" spans="1:2" x14ac:dyDescent="0.25">
      <c r="A2455">
        <v>6012000200</v>
      </c>
      <c r="B2455" t="s">
        <v>705</v>
      </c>
    </row>
    <row r="2456" spans="1:2" x14ac:dyDescent="0.25">
      <c r="A2456">
        <v>6012000900</v>
      </c>
      <c r="B2456" t="s">
        <v>10</v>
      </c>
    </row>
    <row r="2457" spans="1:2" x14ac:dyDescent="0.25">
      <c r="A2457">
        <v>602</v>
      </c>
      <c r="B2457" t="s">
        <v>706</v>
      </c>
    </row>
    <row r="2458" spans="1:2" x14ac:dyDescent="0.25">
      <c r="A2458">
        <v>6021000</v>
      </c>
      <c r="B2458" t="e">
        <f>- Esquejes sin enraizar e injertos</f>
        <v>#NAME?</v>
      </c>
    </row>
    <row r="2459" spans="1:2" x14ac:dyDescent="0.25">
      <c r="A2459">
        <v>6021000100</v>
      </c>
      <c r="B2459" t="s">
        <v>704</v>
      </c>
    </row>
    <row r="2460" spans="1:2" x14ac:dyDescent="0.25">
      <c r="A2460">
        <v>6021000200</v>
      </c>
      <c r="B2460" t="s">
        <v>707</v>
      </c>
    </row>
    <row r="2461" spans="1:2" x14ac:dyDescent="0.25">
      <c r="A2461">
        <v>6021000300</v>
      </c>
      <c r="B2461" t="s">
        <v>708</v>
      </c>
    </row>
    <row r="2462" spans="1:2" x14ac:dyDescent="0.25">
      <c r="A2462">
        <v>6021000400</v>
      </c>
      <c r="B2462" t="s">
        <v>709</v>
      </c>
    </row>
    <row r="2463" spans="1:2" x14ac:dyDescent="0.25">
      <c r="A2463">
        <v>6021000900</v>
      </c>
      <c r="B2463" t="s">
        <v>10</v>
      </c>
    </row>
    <row r="2464" spans="1:2" x14ac:dyDescent="0.25">
      <c r="A2464">
        <v>6022000</v>
      </c>
      <c r="B2464" t="e">
        <f>- arboles. arbustos y matas. de frutas o de otros frutos comestibles. incluso injertados</f>
        <v>#NAME?</v>
      </c>
    </row>
    <row r="2465" spans="1:2" x14ac:dyDescent="0.25">
      <c r="A2465">
        <v>6022000100</v>
      </c>
      <c r="B2465" t="s">
        <v>704</v>
      </c>
    </row>
    <row r="2466" spans="1:2" x14ac:dyDescent="0.25">
      <c r="A2466">
        <v>6022000200</v>
      </c>
      <c r="B2466" t="s">
        <v>710</v>
      </c>
    </row>
    <row r="2467" spans="1:2" x14ac:dyDescent="0.25">
      <c r="A2467">
        <v>6022000300</v>
      </c>
      <c r="B2467" t="s">
        <v>711</v>
      </c>
    </row>
    <row r="2468" spans="1:2" x14ac:dyDescent="0.25">
      <c r="A2468">
        <v>6022000400</v>
      </c>
      <c r="B2468" t="s">
        <v>712</v>
      </c>
    </row>
    <row r="2469" spans="1:2" x14ac:dyDescent="0.25">
      <c r="A2469">
        <v>60220005</v>
      </c>
      <c r="B2469" t="s">
        <v>713</v>
      </c>
    </row>
    <row r="2470" spans="1:2" x14ac:dyDescent="0.25">
      <c r="A2470">
        <v>6022000510</v>
      </c>
      <c r="B2470" t="s">
        <v>714</v>
      </c>
    </row>
    <row r="2471" spans="1:2" x14ac:dyDescent="0.25">
      <c r="A2471">
        <v>6022000590</v>
      </c>
      <c r="B2471" t="s">
        <v>10</v>
      </c>
    </row>
    <row r="2472" spans="1:2" x14ac:dyDescent="0.25">
      <c r="A2472">
        <v>60220006</v>
      </c>
      <c r="B2472" t="s">
        <v>715</v>
      </c>
    </row>
    <row r="2473" spans="1:2" x14ac:dyDescent="0.25">
      <c r="A2473">
        <v>6022000610</v>
      </c>
      <c r="B2473" t="s">
        <v>714</v>
      </c>
    </row>
    <row r="2474" spans="1:2" x14ac:dyDescent="0.25">
      <c r="A2474">
        <v>6022000690</v>
      </c>
      <c r="B2474" t="s">
        <v>10</v>
      </c>
    </row>
    <row r="2475" spans="1:2" x14ac:dyDescent="0.25">
      <c r="A2475">
        <v>6022000900</v>
      </c>
      <c r="B2475" t="s">
        <v>10</v>
      </c>
    </row>
    <row r="2476" spans="1:2" x14ac:dyDescent="0.25">
      <c r="A2476">
        <v>6023000000</v>
      </c>
      <c r="B2476" t="e">
        <f>-Rododendros y azaleas. incluso injertados</f>
        <v>#NAME?</v>
      </c>
    </row>
    <row r="2477" spans="1:2" x14ac:dyDescent="0.25">
      <c r="A2477">
        <v>6024000000</v>
      </c>
      <c r="B2477" t="e">
        <f>-Rosales. incluso injertados</f>
        <v>#NAME?</v>
      </c>
    </row>
    <row r="2478" spans="1:2" x14ac:dyDescent="0.25">
      <c r="A2478">
        <v>60290</v>
      </c>
      <c r="B2478" t="e">
        <f>- Los demas</f>
        <v>#NAME?</v>
      </c>
    </row>
    <row r="2479" spans="1:2" x14ac:dyDescent="0.25">
      <c r="A2479">
        <v>6029010000</v>
      </c>
      <c r="B2479" t="s">
        <v>716</v>
      </c>
    </row>
    <row r="2480" spans="1:2" x14ac:dyDescent="0.25">
      <c r="A2480">
        <v>602902</v>
      </c>
      <c r="B2480" t="s">
        <v>717</v>
      </c>
    </row>
    <row r="2481" spans="1:2" x14ac:dyDescent="0.25">
      <c r="A2481">
        <v>6029021000</v>
      </c>
      <c r="B2481" t="s">
        <v>718</v>
      </c>
    </row>
    <row r="2482" spans="1:2" x14ac:dyDescent="0.25">
      <c r="A2482">
        <v>6029029</v>
      </c>
      <c r="B2482" t="s">
        <v>57</v>
      </c>
    </row>
    <row r="2483" spans="1:2" x14ac:dyDescent="0.25">
      <c r="A2483">
        <v>6029029100</v>
      </c>
      <c r="B2483" t="s">
        <v>719</v>
      </c>
    </row>
    <row r="2484" spans="1:2" x14ac:dyDescent="0.25">
      <c r="A2484">
        <v>6029029900</v>
      </c>
      <c r="B2484" t="s">
        <v>57</v>
      </c>
    </row>
    <row r="2485" spans="1:2" x14ac:dyDescent="0.25">
      <c r="A2485">
        <v>602908</v>
      </c>
      <c r="B2485" t="s">
        <v>720</v>
      </c>
    </row>
    <row r="2486" spans="1:2" x14ac:dyDescent="0.25">
      <c r="A2486">
        <v>6029081000</v>
      </c>
      <c r="B2486" t="s">
        <v>721</v>
      </c>
    </row>
    <row r="2487" spans="1:2" x14ac:dyDescent="0.25">
      <c r="A2487">
        <v>6029082000</v>
      </c>
      <c r="B2487" t="s">
        <v>707</v>
      </c>
    </row>
    <row r="2488" spans="1:2" x14ac:dyDescent="0.25">
      <c r="A2488">
        <v>6029083000</v>
      </c>
      <c r="B2488" t="s">
        <v>722</v>
      </c>
    </row>
    <row r="2489" spans="1:2" x14ac:dyDescent="0.25">
      <c r="A2489">
        <v>6029089</v>
      </c>
      <c r="B2489" t="s">
        <v>57</v>
      </c>
    </row>
    <row r="2490" spans="1:2" x14ac:dyDescent="0.25">
      <c r="A2490">
        <v>6029089100</v>
      </c>
      <c r="B2490" t="s">
        <v>723</v>
      </c>
    </row>
    <row r="2491" spans="1:2" x14ac:dyDescent="0.25">
      <c r="A2491">
        <v>6029089200</v>
      </c>
      <c r="B2491" t="s">
        <v>724</v>
      </c>
    </row>
    <row r="2492" spans="1:2" x14ac:dyDescent="0.25">
      <c r="A2492">
        <v>6029089900</v>
      </c>
      <c r="B2492" t="s">
        <v>10</v>
      </c>
    </row>
    <row r="2493" spans="1:2" x14ac:dyDescent="0.25">
      <c r="A2493">
        <v>6029090</v>
      </c>
      <c r="B2493" t="s">
        <v>10</v>
      </c>
    </row>
    <row r="2494" spans="1:2" x14ac:dyDescent="0.25">
      <c r="A2494">
        <v>6029090100</v>
      </c>
      <c r="B2494" t="s">
        <v>723</v>
      </c>
    </row>
    <row r="2495" spans="1:2" x14ac:dyDescent="0.25">
      <c r="A2495">
        <v>6029090900</v>
      </c>
      <c r="B2495" t="s">
        <v>10</v>
      </c>
    </row>
    <row r="2496" spans="1:2" x14ac:dyDescent="0.25">
      <c r="A2496">
        <v>603</v>
      </c>
      <c r="B2496" t="s">
        <v>725</v>
      </c>
    </row>
    <row r="2497" spans="1:2" x14ac:dyDescent="0.25">
      <c r="A2497">
        <v>6031</v>
      </c>
      <c r="B2497" t="s">
        <v>726</v>
      </c>
    </row>
    <row r="2498" spans="1:2" x14ac:dyDescent="0.25">
      <c r="A2498">
        <v>6031100</v>
      </c>
      <c r="B2498" t="e">
        <f>- - Rosas</f>
        <v>#NAME?</v>
      </c>
    </row>
    <row r="2499" spans="1:2" x14ac:dyDescent="0.25">
      <c r="A2499">
        <v>6031100100</v>
      </c>
      <c r="B2499" t="s">
        <v>727</v>
      </c>
    </row>
    <row r="2500" spans="1:2" x14ac:dyDescent="0.25">
      <c r="A2500">
        <v>60311009</v>
      </c>
      <c r="B2500" t="s">
        <v>57</v>
      </c>
    </row>
    <row r="2501" spans="1:2" x14ac:dyDescent="0.25">
      <c r="A2501">
        <v>6031100910</v>
      </c>
      <c r="B2501" t="s">
        <v>728</v>
      </c>
    </row>
    <row r="2502" spans="1:2" x14ac:dyDescent="0.25">
      <c r="A2502">
        <v>6031100920</v>
      </c>
      <c r="B2502" t="s">
        <v>729</v>
      </c>
    </row>
    <row r="2503" spans="1:2" x14ac:dyDescent="0.25">
      <c r="A2503">
        <v>6031100930</v>
      </c>
      <c r="B2503" t="s">
        <v>730</v>
      </c>
    </row>
    <row r="2504" spans="1:2" x14ac:dyDescent="0.25">
      <c r="A2504">
        <v>6031100990</v>
      </c>
      <c r="B2504" t="s">
        <v>57</v>
      </c>
    </row>
    <row r="2505" spans="1:2" x14ac:dyDescent="0.25">
      <c r="A2505">
        <v>6031200</v>
      </c>
      <c r="B2505" t="e">
        <f>- - Claveles</f>
        <v>#NAME?</v>
      </c>
    </row>
    <row r="2506" spans="1:2" x14ac:dyDescent="0.25">
      <c r="A2506">
        <v>6031200100</v>
      </c>
      <c r="B2506" t="s">
        <v>731</v>
      </c>
    </row>
    <row r="2507" spans="1:2" x14ac:dyDescent="0.25">
      <c r="A2507">
        <v>6031200900</v>
      </c>
      <c r="B2507" t="s">
        <v>10</v>
      </c>
    </row>
    <row r="2508" spans="1:2" x14ac:dyDescent="0.25">
      <c r="A2508">
        <v>6031300000</v>
      </c>
      <c r="B2508" t="e">
        <f>--Orquideas</f>
        <v>#NAME?</v>
      </c>
    </row>
    <row r="2509" spans="1:2" x14ac:dyDescent="0.25">
      <c r="A2509">
        <v>6031400000</v>
      </c>
      <c r="B2509" t="e">
        <f>--Crisantemos</f>
        <v>#NAME?</v>
      </c>
    </row>
    <row r="2510" spans="1:2" x14ac:dyDescent="0.25">
      <c r="A2510">
        <v>6031500000</v>
      </c>
      <c r="B2510" t="e">
        <f>--Azucenas (Lilium spp.)</f>
        <v>#NAME?</v>
      </c>
    </row>
    <row r="2511" spans="1:2" x14ac:dyDescent="0.25">
      <c r="A2511">
        <v>6031900</v>
      </c>
      <c r="B2511" t="e">
        <f>- - Los demas</f>
        <v>#NAME?</v>
      </c>
    </row>
    <row r="2512" spans="1:2" x14ac:dyDescent="0.25">
      <c r="A2512">
        <v>6031900100</v>
      </c>
      <c r="B2512" t="s">
        <v>732</v>
      </c>
    </row>
    <row r="2513" spans="1:2" x14ac:dyDescent="0.25">
      <c r="A2513">
        <v>6031900200</v>
      </c>
      <c r="B2513" t="s">
        <v>733</v>
      </c>
    </row>
    <row r="2514" spans="1:2" x14ac:dyDescent="0.25">
      <c r="A2514">
        <v>6031900900</v>
      </c>
      <c r="B2514" t="s">
        <v>10</v>
      </c>
    </row>
    <row r="2515" spans="1:2" x14ac:dyDescent="0.25">
      <c r="A2515">
        <v>6039000</v>
      </c>
      <c r="B2515" t="e">
        <f>- Los demas</f>
        <v>#NAME?</v>
      </c>
    </row>
    <row r="2516" spans="1:2" x14ac:dyDescent="0.25">
      <c r="A2516">
        <v>6039000100</v>
      </c>
      <c r="B2516" t="s">
        <v>734</v>
      </c>
    </row>
    <row r="2517" spans="1:2" x14ac:dyDescent="0.25">
      <c r="A2517">
        <v>6039000900</v>
      </c>
      <c r="B2517" t="s">
        <v>10</v>
      </c>
    </row>
    <row r="2518" spans="1:2" x14ac:dyDescent="0.25">
      <c r="A2518">
        <v>604</v>
      </c>
      <c r="B2518" t="s">
        <v>735</v>
      </c>
    </row>
    <row r="2519" spans="1:2" x14ac:dyDescent="0.25">
      <c r="A2519">
        <v>6042000000</v>
      </c>
      <c r="B2519" t="e">
        <f>-frescos</f>
        <v>#NAME?</v>
      </c>
    </row>
    <row r="2520" spans="1:2" x14ac:dyDescent="0.25">
      <c r="A2520">
        <v>6049000</v>
      </c>
      <c r="B2520" t="e">
        <f>- Los demas</f>
        <v>#NAME?</v>
      </c>
    </row>
    <row r="2521" spans="1:2" x14ac:dyDescent="0.25">
      <c r="A2521">
        <v>6049000100</v>
      </c>
      <c r="B2521" t="s">
        <v>734</v>
      </c>
    </row>
    <row r="2522" spans="1:2" x14ac:dyDescent="0.25">
      <c r="A2522">
        <v>6049000900</v>
      </c>
      <c r="B2522" t="s">
        <v>10</v>
      </c>
    </row>
    <row r="2523" spans="1:2" x14ac:dyDescent="0.25">
      <c r="A2523">
        <v>701</v>
      </c>
      <c r="B2523" t="s">
        <v>736</v>
      </c>
    </row>
    <row r="2524" spans="1:2" x14ac:dyDescent="0.25">
      <c r="A2524">
        <v>7011000000</v>
      </c>
      <c r="B2524" t="e">
        <f>-para siembra</f>
        <v>#NAME?</v>
      </c>
    </row>
    <row r="2525" spans="1:2" x14ac:dyDescent="0.25">
      <c r="A2525">
        <v>7019000</v>
      </c>
      <c r="B2525" t="e">
        <f>- las demas</f>
        <v>#NAME?</v>
      </c>
    </row>
    <row r="2526" spans="1:2" x14ac:dyDescent="0.25">
      <c r="A2526">
        <v>7019000100</v>
      </c>
      <c r="B2526" t="s">
        <v>737</v>
      </c>
    </row>
    <row r="2527" spans="1:2" x14ac:dyDescent="0.25">
      <c r="A2527">
        <v>7019000900</v>
      </c>
      <c r="B2527" t="s">
        <v>10</v>
      </c>
    </row>
    <row r="2528" spans="1:2" x14ac:dyDescent="0.25">
      <c r="A2528">
        <v>7020000</v>
      </c>
      <c r="B2528" t="s">
        <v>738</v>
      </c>
    </row>
    <row r="2529" spans="1:2" x14ac:dyDescent="0.25">
      <c r="A2529">
        <v>7020000100</v>
      </c>
      <c r="B2529" t="s">
        <v>739</v>
      </c>
    </row>
    <row r="2530" spans="1:2" x14ac:dyDescent="0.25">
      <c r="A2530">
        <v>7020000200</v>
      </c>
      <c r="B2530" t="s">
        <v>740</v>
      </c>
    </row>
    <row r="2531" spans="1:2" x14ac:dyDescent="0.25">
      <c r="A2531">
        <v>7020000900</v>
      </c>
      <c r="B2531" t="s">
        <v>10</v>
      </c>
    </row>
    <row r="2532" spans="1:2" x14ac:dyDescent="0.25">
      <c r="A2532">
        <v>703</v>
      </c>
      <c r="B2532" t="s">
        <v>741</v>
      </c>
    </row>
    <row r="2533" spans="1:2" x14ac:dyDescent="0.25">
      <c r="A2533">
        <v>70310</v>
      </c>
      <c r="B2533" t="e">
        <f>- Cebollas y chalotes</f>
        <v>#NAME?</v>
      </c>
    </row>
    <row r="2534" spans="1:2" x14ac:dyDescent="0.25">
      <c r="A2534">
        <v>703101</v>
      </c>
      <c r="B2534" t="s">
        <v>742</v>
      </c>
    </row>
    <row r="2535" spans="1:2" x14ac:dyDescent="0.25">
      <c r="A2535">
        <v>7031011000</v>
      </c>
      <c r="B2535" t="s">
        <v>743</v>
      </c>
    </row>
    <row r="2536" spans="1:2" x14ac:dyDescent="0.25">
      <c r="A2536">
        <v>7031019</v>
      </c>
      <c r="B2536" t="s">
        <v>57</v>
      </c>
    </row>
    <row r="2537" spans="1:2" x14ac:dyDescent="0.25">
      <c r="A2537">
        <v>7031019100</v>
      </c>
      <c r="B2537" t="s">
        <v>737</v>
      </c>
    </row>
    <row r="2538" spans="1:2" x14ac:dyDescent="0.25">
      <c r="A2538">
        <v>7031019900</v>
      </c>
      <c r="B2538" t="s">
        <v>10</v>
      </c>
    </row>
    <row r="2539" spans="1:2" x14ac:dyDescent="0.25">
      <c r="A2539">
        <v>703102</v>
      </c>
      <c r="B2539" t="s">
        <v>744</v>
      </c>
    </row>
    <row r="2540" spans="1:2" x14ac:dyDescent="0.25">
      <c r="A2540">
        <v>7031021000</v>
      </c>
      <c r="B2540" t="s">
        <v>743</v>
      </c>
    </row>
    <row r="2541" spans="1:2" x14ac:dyDescent="0.25">
      <c r="A2541">
        <v>7031029000</v>
      </c>
      <c r="B2541" t="s">
        <v>10</v>
      </c>
    </row>
    <row r="2542" spans="1:2" x14ac:dyDescent="0.25">
      <c r="A2542">
        <v>70320</v>
      </c>
      <c r="B2542" t="e">
        <f>- Ajos</f>
        <v>#NAME?</v>
      </c>
    </row>
    <row r="2543" spans="1:2" x14ac:dyDescent="0.25">
      <c r="A2543">
        <v>7032010000</v>
      </c>
      <c r="B2543" t="s">
        <v>743</v>
      </c>
    </row>
    <row r="2544" spans="1:2" x14ac:dyDescent="0.25">
      <c r="A2544">
        <v>7032090</v>
      </c>
      <c r="B2544" t="s">
        <v>10</v>
      </c>
    </row>
    <row r="2545" spans="1:2" x14ac:dyDescent="0.25">
      <c r="A2545">
        <v>7032090100</v>
      </c>
      <c r="B2545" t="s">
        <v>745</v>
      </c>
    </row>
    <row r="2546" spans="1:2" x14ac:dyDescent="0.25">
      <c r="A2546">
        <v>7032090900</v>
      </c>
      <c r="B2546" t="s">
        <v>10</v>
      </c>
    </row>
    <row r="2547" spans="1:2" x14ac:dyDescent="0.25">
      <c r="A2547">
        <v>70390</v>
      </c>
      <c r="B2547" t="e">
        <f>- Puerros y demas hortalizas aliaceas</f>
        <v>#NAME?</v>
      </c>
    </row>
    <row r="2548" spans="1:2" x14ac:dyDescent="0.25">
      <c r="A2548">
        <v>7039010000</v>
      </c>
      <c r="B2548" t="s">
        <v>743</v>
      </c>
    </row>
    <row r="2549" spans="1:2" x14ac:dyDescent="0.25">
      <c r="A2549">
        <v>7039090000</v>
      </c>
      <c r="B2549" t="s">
        <v>10</v>
      </c>
    </row>
    <row r="2550" spans="1:2" x14ac:dyDescent="0.25">
      <c r="A2550">
        <v>704</v>
      </c>
      <c r="B2550" t="s">
        <v>746</v>
      </c>
    </row>
    <row r="2551" spans="1:2" x14ac:dyDescent="0.25">
      <c r="A2551">
        <v>7041000000</v>
      </c>
      <c r="B2551" t="e">
        <f>-Coliflores y brocolis</f>
        <v>#NAME?</v>
      </c>
    </row>
    <row r="2552" spans="1:2" x14ac:dyDescent="0.25">
      <c r="A2552">
        <v>7042000000</v>
      </c>
      <c r="B2552" t="e">
        <f>-Coles (repollitos) de Bruselas</f>
        <v>#NAME?</v>
      </c>
    </row>
    <row r="2553" spans="1:2" x14ac:dyDescent="0.25">
      <c r="A2553">
        <v>7049000000</v>
      </c>
      <c r="B2553" t="e">
        <f>-Los demas</f>
        <v>#NAME?</v>
      </c>
    </row>
    <row r="2554" spans="1:2" x14ac:dyDescent="0.25">
      <c r="A2554">
        <v>705</v>
      </c>
      <c r="B2554" t="s">
        <v>747</v>
      </c>
    </row>
    <row r="2555" spans="1:2" x14ac:dyDescent="0.25">
      <c r="A2555">
        <v>7051</v>
      </c>
      <c r="B2555" t="s">
        <v>748</v>
      </c>
    </row>
    <row r="2556" spans="1:2" x14ac:dyDescent="0.25">
      <c r="A2556">
        <v>7051100000</v>
      </c>
      <c r="B2556" t="e">
        <f>--Repolladas</f>
        <v>#NAME?</v>
      </c>
    </row>
    <row r="2557" spans="1:2" x14ac:dyDescent="0.25">
      <c r="A2557">
        <v>7051900000</v>
      </c>
      <c r="B2557" t="e">
        <f>--las demas</f>
        <v>#NAME?</v>
      </c>
    </row>
    <row r="2558" spans="1:2" x14ac:dyDescent="0.25">
      <c r="A2558">
        <v>7052</v>
      </c>
      <c r="B2558" t="s">
        <v>749</v>
      </c>
    </row>
    <row r="2559" spans="1:2" x14ac:dyDescent="0.25">
      <c r="A2559">
        <v>7052100000</v>
      </c>
      <c r="B2559" t="s">
        <v>750</v>
      </c>
    </row>
    <row r="2560" spans="1:2" x14ac:dyDescent="0.25">
      <c r="A2560">
        <v>7052900000</v>
      </c>
      <c r="B2560" t="e">
        <f>--las demas</f>
        <v>#NAME?</v>
      </c>
    </row>
    <row r="2561" spans="1:2" x14ac:dyDescent="0.25">
      <c r="A2561">
        <v>706</v>
      </c>
      <c r="B2561" t="s">
        <v>751</v>
      </c>
    </row>
    <row r="2562" spans="1:2" x14ac:dyDescent="0.25">
      <c r="A2562">
        <v>7061000000</v>
      </c>
      <c r="B2562" t="e">
        <f>-Zanahorias y nabos</f>
        <v>#NAME?</v>
      </c>
    </row>
    <row r="2563" spans="1:2" x14ac:dyDescent="0.25">
      <c r="A2563">
        <v>7069000000</v>
      </c>
      <c r="B2563" t="e">
        <f>-Los demas</f>
        <v>#NAME?</v>
      </c>
    </row>
    <row r="2564" spans="1:2" x14ac:dyDescent="0.25">
      <c r="A2564">
        <v>7070000000</v>
      </c>
      <c r="B2564" t="s">
        <v>752</v>
      </c>
    </row>
    <row r="2565" spans="1:2" x14ac:dyDescent="0.25">
      <c r="A2565">
        <v>708</v>
      </c>
      <c r="B2565" t="s">
        <v>753</v>
      </c>
    </row>
    <row r="2566" spans="1:2" x14ac:dyDescent="0.25">
      <c r="A2566">
        <v>7081000000</v>
      </c>
      <c r="B2566" t="e">
        <f>-Arvejas (chicharos. guisantes)* (Pisum sativum)</f>
        <v>#NAME?</v>
      </c>
    </row>
    <row r="2567" spans="1:2" x14ac:dyDescent="0.25">
      <c r="A2567">
        <v>7082000000</v>
      </c>
      <c r="B2567" t="e">
        <f>-Porotos (frijoles. frejoles. alubias. judias)* (Vigna spp.. Phaseolus spp.)</f>
        <v>#NAME?</v>
      </c>
    </row>
    <row r="2568" spans="1:2" x14ac:dyDescent="0.25">
      <c r="A2568">
        <v>7089000000</v>
      </c>
      <c r="B2568" t="e">
        <f>-las demas</f>
        <v>#NAME?</v>
      </c>
    </row>
    <row r="2569" spans="1:2" x14ac:dyDescent="0.25">
      <c r="A2569">
        <v>709</v>
      </c>
      <c r="B2569" t="s">
        <v>754</v>
      </c>
    </row>
    <row r="2570" spans="1:2" x14ac:dyDescent="0.25">
      <c r="A2570">
        <v>7092000</v>
      </c>
      <c r="B2570" t="e">
        <f>- Esparragos</f>
        <v>#NAME?</v>
      </c>
    </row>
    <row r="2571" spans="1:2" x14ac:dyDescent="0.25">
      <c r="A2571">
        <v>7092000100</v>
      </c>
      <c r="B2571" t="s">
        <v>755</v>
      </c>
    </row>
    <row r="2572" spans="1:2" x14ac:dyDescent="0.25">
      <c r="A2572">
        <v>7092000900</v>
      </c>
      <c r="B2572" t="s">
        <v>10</v>
      </c>
    </row>
    <row r="2573" spans="1:2" x14ac:dyDescent="0.25">
      <c r="A2573">
        <v>7093000000</v>
      </c>
      <c r="B2573" t="e">
        <f>-Berenjenas</f>
        <v>#NAME?</v>
      </c>
    </row>
    <row r="2574" spans="1:2" x14ac:dyDescent="0.25">
      <c r="A2574">
        <v>7094000000</v>
      </c>
      <c r="B2574" t="e">
        <f>-Apio. excepto el apionabo</f>
        <v>#NAME?</v>
      </c>
    </row>
    <row r="2575" spans="1:2" x14ac:dyDescent="0.25">
      <c r="A2575">
        <v>7095</v>
      </c>
      <c r="B2575" t="s">
        <v>756</v>
      </c>
    </row>
    <row r="2576" spans="1:2" x14ac:dyDescent="0.25">
      <c r="A2576">
        <v>7095100000</v>
      </c>
      <c r="B2576" t="e">
        <f>--Hongos del genero Agaricus</f>
        <v>#NAME?</v>
      </c>
    </row>
    <row r="2577" spans="1:2" x14ac:dyDescent="0.25">
      <c r="A2577">
        <v>7095900</v>
      </c>
      <c r="B2577" t="e">
        <f>- - Los demas</f>
        <v>#NAME?</v>
      </c>
    </row>
    <row r="2578" spans="1:2" x14ac:dyDescent="0.25">
      <c r="A2578">
        <v>7095900100</v>
      </c>
      <c r="B2578" t="s">
        <v>757</v>
      </c>
    </row>
    <row r="2579" spans="1:2" x14ac:dyDescent="0.25">
      <c r="A2579">
        <v>7095900900</v>
      </c>
      <c r="B2579" t="s">
        <v>10</v>
      </c>
    </row>
    <row r="2580" spans="1:2" x14ac:dyDescent="0.25">
      <c r="A2580">
        <v>7096000000</v>
      </c>
      <c r="B2580" t="e">
        <f>-frutos de Los generos Capsicum o Pimenta</f>
        <v>#NAME?</v>
      </c>
    </row>
    <row r="2581" spans="1:2" x14ac:dyDescent="0.25">
      <c r="A2581">
        <v>7097000000</v>
      </c>
      <c r="B2581" t="e">
        <f>-Espinacas (incluida la de Nueva Zelanda) y armuelles</f>
        <v>#NAME?</v>
      </c>
    </row>
    <row r="2582" spans="1:2" x14ac:dyDescent="0.25">
      <c r="A2582">
        <v>7099</v>
      </c>
      <c r="B2582" t="s">
        <v>567</v>
      </c>
    </row>
    <row r="2583" spans="1:2" x14ac:dyDescent="0.25">
      <c r="A2583">
        <v>7099100000</v>
      </c>
      <c r="B2583" t="s">
        <v>758</v>
      </c>
    </row>
    <row r="2584" spans="1:2" x14ac:dyDescent="0.25">
      <c r="A2584">
        <v>7099200000</v>
      </c>
      <c r="B2584" t="e">
        <f>--Aceitunas</f>
        <v>#NAME?</v>
      </c>
    </row>
    <row r="2585" spans="1:2" x14ac:dyDescent="0.25">
      <c r="A2585">
        <v>7099300000</v>
      </c>
      <c r="B2585" t="e">
        <f>--Calabazas (zapallos)* y calabacines (Cucurbita spp.)</f>
        <v>#NAME?</v>
      </c>
    </row>
    <row r="2586" spans="1:2" x14ac:dyDescent="0.25">
      <c r="A2586">
        <v>70999</v>
      </c>
      <c r="B2586" t="e">
        <f>- - las demas</f>
        <v>#NAME?</v>
      </c>
    </row>
    <row r="2587" spans="1:2" x14ac:dyDescent="0.25">
      <c r="A2587">
        <v>709991</v>
      </c>
      <c r="B2587" t="s">
        <v>759</v>
      </c>
    </row>
    <row r="2588" spans="1:2" x14ac:dyDescent="0.25">
      <c r="A2588">
        <v>7099911000</v>
      </c>
      <c r="B2588" t="s">
        <v>743</v>
      </c>
    </row>
    <row r="2589" spans="1:2" x14ac:dyDescent="0.25">
      <c r="A2589">
        <v>7099919000</v>
      </c>
      <c r="B2589" t="s">
        <v>10</v>
      </c>
    </row>
    <row r="2590" spans="1:2" x14ac:dyDescent="0.25">
      <c r="A2590">
        <v>7099990</v>
      </c>
      <c r="B2590" t="s">
        <v>57</v>
      </c>
    </row>
    <row r="2591" spans="1:2" x14ac:dyDescent="0.25">
      <c r="A2591">
        <v>7099990100</v>
      </c>
      <c r="B2591" t="s">
        <v>760</v>
      </c>
    </row>
    <row r="2592" spans="1:2" x14ac:dyDescent="0.25">
      <c r="A2592">
        <v>7099990900</v>
      </c>
      <c r="B2592" t="s">
        <v>57</v>
      </c>
    </row>
    <row r="2593" spans="1:2" x14ac:dyDescent="0.25">
      <c r="A2593">
        <v>710</v>
      </c>
      <c r="B2593" t="s">
        <v>761</v>
      </c>
    </row>
    <row r="2594" spans="1:2" x14ac:dyDescent="0.25">
      <c r="A2594">
        <v>7101000</v>
      </c>
      <c r="B2594" t="s">
        <v>762</v>
      </c>
    </row>
    <row r="2595" spans="1:2" x14ac:dyDescent="0.25">
      <c r="A2595">
        <v>71010001</v>
      </c>
      <c r="B2595" t="s">
        <v>763</v>
      </c>
    </row>
    <row r="2596" spans="1:2" x14ac:dyDescent="0.25">
      <c r="A2596">
        <v>7101000110</v>
      </c>
      <c r="B2596" t="s">
        <v>764</v>
      </c>
    </row>
    <row r="2597" spans="1:2" x14ac:dyDescent="0.25">
      <c r="A2597">
        <v>7101000190</v>
      </c>
      <c r="B2597" t="s">
        <v>10</v>
      </c>
    </row>
    <row r="2598" spans="1:2" x14ac:dyDescent="0.25">
      <c r="A2598">
        <v>71010009</v>
      </c>
      <c r="B2598" t="s">
        <v>57</v>
      </c>
    </row>
    <row r="2599" spans="1:2" x14ac:dyDescent="0.25">
      <c r="A2599">
        <v>7101000910</v>
      </c>
      <c r="B2599" t="s">
        <v>764</v>
      </c>
    </row>
    <row r="2600" spans="1:2" x14ac:dyDescent="0.25">
      <c r="A2600">
        <v>7101000990</v>
      </c>
      <c r="B2600" t="s">
        <v>10</v>
      </c>
    </row>
    <row r="2601" spans="1:2" x14ac:dyDescent="0.25">
      <c r="A2601">
        <v>7102</v>
      </c>
      <c r="B2601" t="s">
        <v>765</v>
      </c>
    </row>
    <row r="2602" spans="1:2" x14ac:dyDescent="0.25">
      <c r="A2602">
        <v>7102100</v>
      </c>
      <c r="B2602" t="e">
        <f>- - Arvejas (chicharos. guisantes)* (Pisum sativum)</f>
        <v>#NAME?</v>
      </c>
    </row>
    <row r="2603" spans="1:2" x14ac:dyDescent="0.25">
      <c r="A2603">
        <v>71021001</v>
      </c>
      <c r="B2603" t="s">
        <v>763</v>
      </c>
    </row>
    <row r="2604" spans="1:2" x14ac:dyDescent="0.25">
      <c r="A2604">
        <v>7102100110</v>
      </c>
      <c r="B2604" t="s">
        <v>764</v>
      </c>
    </row>
    <row r="2605" spans="1:2" x14ac:dyDescent="0.25">
      <c r="A2605">
        <v>7102100190</v>
      </c>
      <c r="B2605" t="s">
        <v>10</v>
      </c>
    </row>
    <row r="2606" spans="1:2" x14ac:dyDescent="0.25">
      <c r="A2606">
        <v>71021009</v>
      </c>
      <c r="B2606" t="s">
        <v>57</v>
      </c>
    </row>
    <row r="2607" spans="1:2" x14ac:dyDescent="0.25">
      <c r="A2607">
        <v>7102100910</v>
      </c>
      <c r="B2607" t="s">
        <v>764</v>
      </c>
    </row>
    <row r="2608" spans="1:2" x14ac:dyDescent="0.25">
      <c r="A2608">
        <v>7102100990</v>
      </c>
      <c r="B2608" t="s">
        <v>10</v>
      </c>
    </row>
    <row r="2609" spans="1:2" x14ac:dyDescent="0.25">
      <c r="A2609">
        <v>7102200</v>
      </c>
      <c r="B2609" t="e">
        <f>- - Porotos (frijoles. frejoles. alubias. judias)* (Vigna spp.. Phaseolus spp.)</f>
        <v>#NAME?</v>
      </c>
    </row>
    <row r="2610" spans="1:2" x14ac:dyDescent="0.25">
      <c r="A2610">
        <v>71022001</v>
      </c>
      <c r="B2610" t="s">
        <v>763</v>
      </c>
    </row>
    <row r="2611" spans="1:2" x14ac:dyDescent="0.25">
      <c r="A2611">
        <v>7102200110</v>
      </c>
      <c r="B2611" t="s">
        <v>764</v>
      </c>
    </row>
    <row r="2612" spans="1:2" x14ac:dyDescent="0.25">
      <c r="A2612">
        <v>7102200190</v>
      </c>
      <c r="B2612" t="s">
        <v>10</v>
      </c>
    </row>
    <row r="2613" spans="1:2" x14ac:dyDescent="0.25">
      <c r="A2613">
        <v>71022009</v>
      </c>
      <c r="B2613" t="s">
        <v>57</v>
      </c>
    </row>
    <row r="2614" spans="1:2" x14ac:dyDescent="0.25">
      <c r="A2614">
        <v>7102200910</v>
      </c>
      <c r="B2614" t="s">
        <v>764</v>
      </c>
    </row>
    <row r="2615" spans="1:2" x14ac:dyDescent="0.25">
      <c r="A2615">
        <v>7102200990</v>
      </c>
      <c r="B2615" t="s">
        <v>10</v>
      </c>
    </row>
    <row r="2616" spans="1:2" x14ac:dyDescent="0.25">
      <c r="A2616">
        <v>7102900</v>
      </c>
      <c r="B2616" t="e">
        <f>- - las demas</f>
        <v>#NAME?</v>
      </c>
    </row>
    <row r="2617" spans="1:2" x14ac:dyDescent="0.25">
      <c r="A2617">
        <v>71029001</v>
      </c>
      <c r="B2617" t="s">
        <v>763</v>
      </c>
    </row>
    <row r="2618" spans="1:2" x14ac:dyDescent="0.25">
      <c r="A2618">
        <v>7102900110</v>
      </c>
      <c r="B2618" t="s">
        <v>764</v>
      </c>
    </row>
    <row r="2619" spans="1:2" x14ac:dyDescent="0.25">
      <c r="A2619">
        <v>7102900190</v>
      </c>
      <c r="B2619" t="s">
        <v>10</v>
      </c>
    </row>
    <row r="2620" spans="1:2" x14ac:dyDescent="0.25">
      <c r="A2620">
        <v>71029009</v>
      </c>
      <c r="B2620" t="s">
        <v>57</v>
      </c>
    </row>
    <row r="2621" spans="1:2" x14ac:dyDescent="0.25">
      <c r="A2621">
        <v>7102900910</v>
      </c>
      <c r="B2621" t="s">
        <v>764</v>
      </c>
    </row>
    <row r="2622" spans="1:2" x14ac:dyDescent="0.25">
      <c r="A2622">
        <v>7102900990</v>
      </c>
      <c r="B2622" t="s">
        <v>10</v>
      </c>
    </row>
    <row r="2623" spans="1:2" x14ac:dyDescent="0.25">
      <c r="A2623">
        <v>7103000</v>
      </c>
      <c r="B2623" t="e">
        <f>- Espinacas (incluida la de Nueva Zelanda) y armuelles</f>
        <v>#NAME?</v>
      </c>
    </row>
    <row r="2624" spans="1:2" x14ac:dyDescent="0.25">
      <c r="A2624">
        <v>71030001</v>
      </c>
      <c r="B2624" t="s">
        <v>766</v>
      </c>
    </row>
    <row r="2625" spans="1:2" x14ac:dyDescent="0.25">
      <c r="A2625">
        <v>7103000110</v>
      </c>
      <c r="B2625" t="s">
        <v>764</v>
      </c>
    </row>
    <row r="2626" spans="1:2" x14ac:dyDescent="0.25">
      <c r="A2626">
        <v>7103000190</v>
      </c>
      <c r="B2626" t="s">
        <v>10</v>
      </c>
    </row>
    <row r="2627" spans="1:2" x14ac:dyDescent="0.25">
      <c r="A2627">
        <v>71030009</v>
      </c>
      <c r="B2627" t="s">
        <v>10</v>
      </c>
    </row>
    <row r="2628" spans="1:2" x14ac:dyDescent="0.25">
      <c r="A2628">
        <v>710300091</v>
      </c>
      <c r="B2628" t="s">
        <v>763</v>
      </c>
    </row>
    <row r="2629" spans="1:2" x14ac:dyDescent="0.25">
      <c r="A2629">
        <v>7103000911</v>
      </c>
      <c r="B2629" t="s">
        <v>764</v>
      </c>
    </row>
    <row r="2630" spans="1:2" x14ac:dyDescent="0.25">
      <c r="A2630">
        <v>7103000919</v>
      </c>
      <c r="B2630" t="s">
        <v>10</v>
      </c>
    </row>
    <row r="2631" spans="1:2" x14ac:dyDescent="0.25">
      <c r="A2631">
        <v>710300099</v>
      </c>
      <c r="B2631" t="s">
        <v>57</v>
      </c>
    </row>
    <row r="2632" spans="1:2" x14ac:dyDescent="0.25">
      <c r="A2632">
        <v>7103000991</v>
      </c>
      <c r="B2632" t="s">
        <v>764</v>
      </c>
    </row>
    <row r="2633" spans="1:2" x14ac:dyDescent="0.25">
      <c r="A2633">
        <v>7103000999</v>
      </c>
      <c r="B2633" t="s">
        <v>10</v>
      </c>
    </row>
    <row r="2634" spans="1:2" x14ac:dyDescent="0.25">
      <c r="A2634">
        <v>7104000</v>
      </c>
      <c r="B2634" t="e">
        <f>- Maiz dulce</f>
        <v>#NAME?</v>
      </c>
    </row>
    <row r="2635" spans="1:2" x14ac:dyDescent="0.25">
      <c r="A2635">
        <v>71040001</v>
      </c>
      <c r="B2635" t="s">
        <v>763</v>
      </c>
    </row>
    <row r="2636" spans="1:2" x14ac:dyDescent="0.25">
      <c r="A2636">
        <v>7104000110</v>
      </c>
      <c r="B2636" t="s">
        <v>764</v>
      </c>
    </row>
    <row r="2637" spans="1:2" x14ac:dyDescent="0.25">
      <c r="A2637">
        <v>7104000190</v>
      </c>
      <c r="B2637" t="s">
        <v>10</v>
      </c>
    </row>
    <row r="2638" spans="1:2" x14ac:dyDescent="0.25">
      <c r="A2638">
        <v>71040009</v>
      </c>
      <c r="B2638" t="s">
        <v>57</v>
      </c>
    </row>
    <row r="2639" spans="1:2" x14ac:dyDescent="0.25">
      <c r="A2639">
        <v>7104000910</v>
      </c>
      <c r="B2639" t="s">
        <v>764</v>
      </c>
    </row>
    <row r="2640" spans="1:2" x14ac:dyDescent="0.25">
      <c r="A2640">
        <v>7104000990</v>
      </c>
      <c r="B2640" t="s">
        <v>10</v>
      </c>
    </row>
    <row r="2641" spans="1:2" x14ac:dyDescent="0.25">
      <c r="A2641">
        <v>7108000</v>
      </c>
      <c r="B2641" t="e">
        <f>- las demas hortalizas</f>
        <v>#NAME?</v>
      </c>
    </row>
    <row r="2642" spans="1:2" x14ac:dyDescent="0.25">
      <c r="A2642">
        <v>71080001</v>
      </c>
      <c r="B2642" t="s">
        <v>767</v>
      </c>
    </row>
    <row r="2643" spans="1:2" x14ac:dyDescent="0.25">
      <c r="A2643">
        <v>7108000110</v>
      </c>
      <c r="B2643" t="s">
        <v>764</v>
      </c>
    </row>
    <row r="2644" spans="1:2" x14ac:dyDescent="0.25">
      <c r="A2644">
        <v>7108000190</v>
      </c>
      <c r="B2644" t="s">
        <v>10</v>
      </c>
    </row>
    <row r="2645" spans="1:2" x14ac:dyDescent="0.25">
      <c r="A2645">
        <v>71080009</v>
      </c>
      <c r="B2645" t="s">
        <v>10</v>
      </c>
    </row>
    <row r="2646" spans="1:2" x14ac:dyDescent="0.25">
      <c r="A2646">
        <v>710800091</v>
      </c>
      <c r="B2646" t="s">
        <v>763</v>
      </c>
    </row>
    <row r="2647" spans="1:2" x14ac:dyDescent="0.25">
      <c r="A2647">
        <v>7108000911</v>
      </c>
      <c r="B2647" t="s">
        <v>764</v>
      </c>
    </row>
    <row r="2648" spans="1:2" x14ac:dyDescent="0.25">
      <c r="A2648">
        <v>7108000919</v>
      </c>
      <c r="B2648" t="s">
        <v>10</v>
      </c>
    </row>
    <row r="2649" spans="1:2" x14ac:dyDescent="0.25">
      <c r="A2649">
        <v>710800099</v>
      </c>
      <c r="B2649" t="s">
        <v>57</v>
      </c>
    </row>
    <row r="2650" spans="1:2" x14ac:dyDescent="0.25">
      <c r="A2650">
        <v>7108000991</v>
      </c>
      <c r="B2650" t="s">
        <v>764</v>
      </c>
    </row>
    <row r="2651" spans="1:2" x14ac:dyDescent="0.25">
      <c r="A2651">
        <v>7108000999</v>
      </c>
      <c r="B2651" t="s">
        <v>10</v>
      </c>
    </row>
    <row r="2652" spans="1:2" x14ac:dyDescent="0.25">
      <c r="A2652">
        <v>7109000</v>
      </c>
      <c r="B2652" t="e">
        <f>- Mezclas de hortalizas</f>
        <v>#NAME?</v>
      </c>
    </row>
    <row r="2653" spans="1:2" x14ac:dyDescent="0.25">
      <c r="A2653">
        <v>71090002</v>
      </c>
      <c r="B2653" t="s">
        <v>768</v>
      </c>
    </row>
    <row r="2654" spans="1:2" x14ac:dyDescent="0.25">
      <c r="A2654">
        <v>7109000210</v>
      </c>
      <c r="B2654" t="s">
        <v>764</v>
      </c>
    </row>
    <row r="2655" spans="1:2" x14ac:dyDescent="0.25">
      <c r="A2655">
        <v>7109000290</v>
      </c>
      <c r="B2655" t="s">
        <v>57</v>
      </c>
    </row>
    <row r="2656" spans="1:2" x14ac:dyDescent="0.25">
      <c r="A2656">
        <v>71090009</v>
      </c>
      <c r="B2656" t="s">
        <v>10</v>
      </c>
    </row>
    <row r="2657" spans="1:2" x14ac:dyDescent="0.25">
      <c r="A2657">
        <v>7109000910</v>
      </c>
      <c r="B2657" t="s">
        <v>763</v>
      </c>
    </row>
    <row r="2658" spans="1:2" x14ac:dyDescent="0.25">
      <c r="A2658">
        <v>7109000990</v>
      </c>
      <c r="B2658" t="s">
        <v>57</v>
      </c>
    </row>
    <row r="2659" spans="1:2" x14ac:dyDescent="0.25">
      <c r="A2659">
        <v>711</v>
      </c>
      <c r="B2659" t="s">
        <v>769</v>
      </c>
    </row>
    <row r="2660" spans="1:2" x14ac:dyDescent="0.25">
      <c r="A2660">
        <v>71120</v>
      </c>
      <c r="B2660" t="e">
        <f>- Aceitunas</f>
        <v>#NAME?</v>
      </c>
    </row>
    <row r="2661" spans="1:2" x14ac:dyDescent="0.25">
      <c r="A2661">
        <v>7112010000</v>
      </c>
      <c r="B2661" t="s">
        <v>770</v>
      </c>
    </row>
    <row r="2662" spans="1:2" x14ac:dyDescent="0.25">
      <c r="A2662">
        <v>7112020000</v>
      </c>
      <c r="B2662" t="s">
        <v>771</v>
      </c>
    </row>
    <row r="2663" spans="1:2" x14ac:dyDescent="0.25">
      <c r="A2663">
        <v>7112090000</v>
      </c>
      <c r="B2663" t="s">
        <v>57</v>
      </c>
    </row>
    <row r="2664" spans="1:2" x14ac:dyDescent="0.25">
      <c r="A2664">
        <v>7114000000</v>
      </c>
      <c r="B2664" t="e">
        <f>-Pepinos y pepinillos</f>
        <v>#NAME?</v>
      </c>
    </row>
    <row r="2665" spans="1:2" x14ac:dyDescent="0.25">
      <c r="A2665">
        <v>7115</v>
      </c>
      <c r="B2665" t="s">
        <v>756</v>
      </c>
    </row>
    <row r="2666" spans="1:2" x14ac:dyDescent="0.25">
      <c r="A2666">
        <v>7115100000</v>
      </c>
      <c r="B2666" t="e">
        <f>--Hongos del genero Agaricus</f>
        <v>#NAME?</v>
      </c>
    </row>
    <row r="2667" spans="1:2" x14ac:dyDescent="0.25">
      <c r="A2667">
        <v>7115900000</v>
      </c>
      <c r="B2667" t="e">
        <f>--Los demas</f>
        <v>#NAME?</v>
      </c>
    </row>
    <row r="2668" spans="1:2" x14ac:dyDescent="0.25">
      <c r="A2668">
        <v>7119000</v>
      </c>
      <c r="B2668" t="e">
        <f>- las demas hortalizas, Mezclas de hortalizas</f>
        <v>#NAME?</v>
      </c>
    </row>
    <row r="2669" spans="1:2" x14ac:dyDescent="0.25">
      <c r="A2669">
        <v>71190001</v>
      </c>
      <c r="B2669" t="s">
        <v>772</v>
      </c>
    </row>
    <row r="2670" spans="1:2" x14ac:dyDescent="0.25">
      <c r="A2670">
        <v>7119000110</v>
      </c>
      <c r="B2670" t="s">
        <v>773</v>
      </c>
    </row>
    <row r="2671" spans="1:2" x14ac:dyDescent="0.25">
      <c r="A2671">
        <v>7119000190</v>
      </c>
      <c r="B2671" t="s">
        <v>57</v>
      </c>
    </row>
    <row r="2672" spans="1:2" x14ac:dyDescent="0.25">
      <c r="A2672">
        <v>7119000900</v>
      </c>
      <c r="B2672" t="s">
        <v>57</v>
      </c>
    </row>
    <row r="2673" spans="1:2" x14ac:dyDescent="0.25">
      <c r="A2673">
        <v>712</v>
      </c>
      <c r="B2673" t="s">
        <v>774</v>
      </c>
    </row>
    <row r="2674" spans="1:2" x14ac:dyDescent="0.25">
      <c r="A2674">
        <v>7122000000</v>
      </c>
      <c r="B2674" t="e">
        <f>-Cebollas</f>
        <v>#NAME?</v>
      </c>
    </row>
    <row r="2675" spans="1:2" x14ac:dyDescent="0.25">
      <c r="A2675">
        <v>7123</v>
      </c>
      <c r="B2675" t="s">
        <v>775</v>
      </c>
    </row>
    <row r="2676" spans="1:2" x14ac:dyDescent="0.25">
      <c r="A2676">
        <v>7123100000</v>
      </c>
      <c r="B2676" t="e">
        <f>--Hongos del genero Agaricus</f>
        <v>#NAME?</v>
      </c>
    </row>
    <row r="2677" spans="1:2" x14ac:dyDescent="0.25">
      <c r="A2677">
        <v>7123200000</v>
      </c>
      <c r="B2677" t="e">
        <f>--orejas de Judas (Auricularia spp.)</f>
        <v>#NAME?</v>
      </c>
    </row>
    <row r="2678" spans="1:2" x14ac:dyDescent="0.25">
      <c r="A2678">
        <v>7123300000</v>
      </c>
      <c r="B2678" t="e">
        <f>--Hongos gelatinosos (Tremella spp.)</f>
        <v>#NAME?</v>
      </c>
    </row>
    <row r="2679" spans="1:2" x14ac:dyDescent="0.25">
      <c r="A2679">
        <v>7123900000</v>
      </c>
      <c r="B2679" t="e">
        <f>--Los demas</f>
        <v>#NAME?</v>
      </c>
    </row>
    <row r="2680" spans="1:2" x14ac:dyDescent="0.25">
      <c r="A2680">
        <v>71290</v>
      </c>
      <c r="B2680" t="e">
        <f>- las demas hortalizas, Mezclas de hortalizas</f>
        <v>#NAME?</v>
      </c>
    </row>
    <row r="2681" spans="1:2" x14ac:dyDescent="0.25">
      <c r="A2681">
        <v>7129010000</v>
      </c>
      <c r="B2681" t="s">
        <v>776</v>
      </c>
    </row>
    <row r="2682" spans="1:2" x14ac:dyDescent="0.25">
      <c r="A2682">
        <v>7129090</v>
      </c>
      <c r="B2682" t="s">
        <v>57</v>
      </c>
    </row>
    <row r="2683" spans="1:2" x14ac:dyDescent="0.25">
      <c r="A2683">
        <v>71290901</v>
      </c>
      <c r="B2683" t="s">
        <v>745</v>
      </c>
    </row>
    <row r="2684" spans="1:2" x14ac:dyDescent="0.25">
      <c r="A2684">
        <v>7129090110</v>
      </c>
      <c r="B2684" t="s">
        <v>777</v>
      </c>
    </row>
    <row r="2685" spans="1:2" x14ac:dyDescent="0.25">
      <c r="A2685">
        <v>7129090120</v>
      </c>
      <c r="B2685" t="s">
        <v>778</v>
      </c>
    </row>
    <row r="2686" spans="1:2" x14ac:dyDescent="0.25">
      <c r="A2686">
        <v>7129090190</v>
      </c>
      <c r="B2686" t="s">
        <v>57</v>
      </c>
    </row>
    <row r="2687" spans="1:2" x14ac:dyDescent="0.25">
      <c r="A2687">
        <v>71290909</v>
      </c>
      <c r="B2687" t="s">
        <v>57</v>
      </c>
    </row>
    <row r="2688" spans="1:2" x14ac:dyDescent="0.25">
      <c r="A2688">
        <v>7129090910</v>
      </c>
      <c r="B2688" t="s">
        <v>777</v>
      </c>
    </row>
    <row r="2689" spans="1:2" x14ac:dyDescent="0.25">
      <c r="A2689">
        <v>7129090920</v>
      </c>
      <c r="B2689" t="s">
        <v>778</v>
      </c>
    </row>
    <row r="2690" spans="1:2" x14ac:dyDescent="0.25">
      <c r="A2690">
        <v>7129090990</v>
      </c>
      <c r="B2690" t="s">
        <v>57</v>
      </c>
    </row>
    <row r="2691" spans="1:2" x14ac:dyDescent="0.25">
      <c r="A2691">
        <v>713</v>
      </c>
      <c r="B2691" t="s">
        <v>779</v>
      </c>
    </row>
    <row r="2692" spans="1:2" x14ac:dyDescent="0.25">
      <c r="A2692">
        <v>71310</v>
      </c>
      <c r="B2692" t="e">
        <f>- Arvejas (chicharos. guisantes)* (Pisum sativum)</f>
        <v>#NAME?</v>
      </c>
    </row>
    <row r="2693" spans="1:2" x14ac:dyDescent="0.25">
      <c r="A2693">
        <v>7131010000</v>
      </c>
      <c r="B2693" t="s">
        <v>743</v>
      </c>
    </row>
    <row r="2694" spans="1:2" x14ac:dyDescent="0.25">
      <c r="A2694">
        <v>7131090</v>
      </c>
      <c r="B2694" t="s">
        <v>57</v>
      </c>
    </row>
    <row r="2695" spans="1:2" x14ac:dyDescent="0.25">
      <c r="A2695">
        <v>71310901</v>
      </c>
      <c r="B2695" t="s">
        <v>780</v>
      </c>
    </row>
    <row r="2696" spans="1:2" x14ac:dyDescent="0.25">
      <c r="A2696">
        <v>7131090110</v>
      </c>
      <c r="B2696" t="s">
        <v>486</v>
      </c>
    </row>
    <row r="2697" spans="1:2" x14ac:dyDescent="0.25">
      <c r="A2697">
        <v>7131090120</v>
      </c>
      <c r="B2697" t="s">
        <v>781</v>
      </c>
    </row>
    <row r="2698" spans="1:2" x14ac:dyDescent="0.25">
      <c r="A2698">
        <v>71310902</v>
      </c>
      <c r="B2698" t="s">
        <v>782</v>
      </c>
    </row>
    <row r="2699" spans="1:2" x14ac:dyDescent="0.25">
      <c r="A2699">
        <v>7131090210</v>
      </c>
      <c r="B2699" t="s">
        <v>486</v>
      </c>
    </row>
    <row r="2700" spans="1:2" x14ac:dyDescent="0.25">
      <c r="A2700">
        <v>7131090220</v>
      </c>
      <c r="B2700" t="s">
        <v>781</v>
      </c>
    </row>
    <row r="2701" spans="1:2" x14ac:dyDescent="0.25">
      <c r="A2701">
        <v>71310909</v>
      </c>
      <c r="B2701" t="s">
        <v>57</v>
      </c>
    </row>
    <row r="2702" spans="1:2" x14ac:dyDescent="0.25">
      <c r="A2702">
        <v>713109091</v>
      </c>
      <c r="B2702" t="s">
        <v>783</v>
      </c>
    </row>
    <row r="2703" spans="1:2" x14ac:dyDescent="0.25">
      <c r="A2703">
        <v>7131090911</v>
      </c>
      <c r="B2703" t="s">
        <v>784</v>
      </c>
    </row>
    <row r="2704" spans="1:2" x14ac:dyDescent="0.25">
      <c r="A2704">
        <v>7131090912</v>
      </c>
      <c r="B2704" t="s">
        <v>785</v>
      </c>
    </row>
    <row r="2705" spans="1:2" x14ac:dyDescent="0.25">
      <c r="A2705">
        <v>7131090919</v>
      </c>
      <c r="B2705" t="s">
        <v>57</v>
      </c>
    </row>
    <row r="2706" spans="1:2" x14ac:dyDescent="0.25">
      <c r="A2706">
        <v>713109092</v>
      </c>
      <c r="B2706" t="s">
        <v>786</v>
      </c>
    </row>
    <row r="2707" spans="1:2" x14ac:dyDescent="0.25">
      <c r="A2707">
        <v>7131090921</v>
      </c>
      <c r="B2707" t="s">
        <v>784</v>
      </c>
    </row>
    <row r="2708" spans="1:2" x14ac:dyDescent="0.25">
      <c r="A2708">
        <v>7131090922</v>
      </c>
      <c r="B2708" t="s">
        <v>785</v>
      </c>
    </row>
    <row r="2709" spans="1:2" x14ac:dyDescent="0.25">
      <c r="A2709">
        <v>7131090929</v>
      </c>
      <c r="B2709" t="s">
        <v>57</v>
      </c>
    </row>
    <row r="2710" spans="1:2" x14ac:dyDescent="0.25">
      <c r="A2710">
        <v>71320</v>
      </c>
      <c r="B2710" t="e">
        <f>- Garbanzos</f>
        <v>#NAME?</v>
      </c>
    </row>
    <row r="2711" spans="1:2" x14ac:dyDescent="0.25">
      <c r="A2711">
        <v>7132010000</v>
      </c>
      <c r="B2711" t="s">
        <v>743</v>
      </c>
    </row>
    <row r="2712" spans="1:2" x14ac:dyDescent="0.25">
      <c r="A2712">
        <v>7132090</v>
      </c>
      <c r="B2712" t="s">
        <v>10</v>
      </c>
    </row>
    <row r="2713" spans="1:2" x14ac:dyDescent="0.25">
      <c r="A2713">
        <v>71320901</v>
      </c>
      <c r="B2713" t="s">
        <v>787</v>
      </c>
    </row>
    <row r="2714" spans="1:2" x14ac:dyDescent="0.25">
      <c r="A2714">
        <v>7132090110</v>
      </c>
      <c r="B2714" t="s">
        <v>340</v>
      </c>
    </row>
    <row r="2715" spans="1:2" x14ac:dyDescent="0.25">
      <c r="A2715">
        <v>7132090120</v>
      </c>
      <c r="B2715" t="s">
        <v>788</v>
      </c>
    </row>
    <row r="2716" spans="1:2" x14ac:dyDescent="0.25">
      <c r="A2716">
        <v>71320902</v>
      </c>
      <c r="B2716" t="s">
        <v>789</v>
      </c>
    </row>
    <row r="2717" spans="1:2" x14ac:dyDescent="0.25">
      <c r="A2717">
        <v>7132090210</v>
      </c>
      <c r="B2717" t="s">
        <v>340</v>
      </c>
    </row>
    <row r="2718" spans="1:2" x14ac:dyDescent="0.25">
      <c r="A2718">
        <v>7132090220</v>
      </c>
      <c r="B2718" t="s">
        <v>788</v>
      </c>
    </row>
    <row r="2719" spans="1:2" x14ac:dyDescent="0.25">
      <c r="A2719">
        <v>71320909</v>
      </c>
      <c r="B2719" t="s">
        <v>10</v>
      </c>
    </row>
    <row r="2720" spans="1:2" x14ac:dyDescent="0.25">
      <c r="A2720">
        <v>713209091</v>
      </c>
      <c r="B2720" t="s">
        <v>790</v>
      </c>
    </row>
    <row r="2721" spans="1:2" x14ac:dyDescent="0.25">
      <c r="A2721">
        <v>7132090911</v>
      </c>
      <c r="B2721" t="s">
        <v>791</v>
      </c>
    </row>
    <row r="2722" spans="1:2" x14ac:dyDescent="0.25">
      <c r="A2722">
        <v>7132090912</v>
      </c>
      <c r="B2722" t="s">
        <v>792</v>
      </c>
    </row>
    <row r="2723" spans="1:2" x14ac:dyDescent="0.25">
      <c r="A2723">
        <v>7132090913</v>
      </c>
      <c r="B2723" t="s">
        <v>793</v>
      </c>
    </row>
    <row r="2724" spans="1:2" x14ac:dyDescent="0.25">
      <c r="A2724">
        <v>7132090919</v>
      </c>
      <c r="B2724" t="s">
        <v>794</v>
      </c>
    </row>
    <row r="2725" spans="1:2" x14ac:dyDescent="0.25">
      <c r="A2725">
        <v>7132090920</v>
      </c>
      <c r="B2725" t="s">
        <v>795</v>
      </c>
    </row>
    <row r="2726" spans="1:2" x14ac:dyDescent="0.25">
      <c r="A2726">
        <v>7133</v>
      </c>
      <c r="B2726" t="s">
        <v>796</v>
      </c>
    </row>
    <row r="2727" spans="1:2" x14ac:dyDescent="0.25">
      <c r="A2727">
        <v>71331</v>
      </c>
      <c r="B2727" t="e">
        <f>- - Porotos (frijoles. frejoles. alubias. judias)* de las especies Vigna mungo (L) Hepper o Vigna radiata (L) Wilczek</f>
        <v>#NAME?</v>
      </c>
    </row>
    <row r="2728" spans="1:2" x14ac:dyDescent="0.25">
      <c r="A2728">
        <v>7133110000</v>
      </c>
      <c r="B2728" t="s">
        <v>743</v>
      </c>
    </row>
    <row r="2729" spans="1:2" x14ac:dyDescent="0.25">
      <c r="A2729">
        <v>7133190</v>
      </c>
      <c r="B2729" t="s">
        <v>10</v>
      </c>
    </row>
    <row r="2730" spans="1:2" x14ac:dyDescent="0.25">
      <c r="A2730">
        <v>7133190100</v>
      </c>
      <c r="B2730" t="s">
        <v>797</v>
      </c>
    </row>
    <row r="2731" spans="1:2" x14ac:dyDescent="0.25">
      <c r="A2731">
        <v>7133190900</v>
      </c>
      <c r="B2731" t="s">
        <v>10</v>
      </c>
    </row>
    <row r="2732" spans="1:2" x14ac:dyDescent="0.25">
      <c r="A2732">
        <v>71332</v>
      </c>
      <c r="B2732" t="e">
        <f>- - Porotos (frijoles. frejoles. alubias. judias)* adzuki (Phaseolus o Vigna angularis)</f>
        <v>#NAME?</v>
      </c>
    </row>
    <row r="2733" spans="1:2" x14ac:dyDescent="0.25">
      <c r="A2733">
        <v>7133210000</v>
      </c>
      <c r="B2733" t="s">
        <v>743</v>
      </c>
    </row>
    <row r="2734" spans="1:2" x14ac:dyDescent="0.25">
      <c r="A2734">
        <v>7133290</v>
      </c>
      <c r="B2734" t="s">
        <v>10</v>
      </c>
    </row>
    <row r="2735" spans="1:2" x14ac:dyDescent="0.25">
      <c r="A2735">
        <v>7133290100</v>
      </c>
      <c r="B2735" t="s">
        <v>798</v>
      </c>
    </row>
    <row r="2736" spans="1:2" x14ac:dyDescent="0.25">
      <c r="A2736">
        <v>7133290200</v>
      </c>
      <c r="B2736" t="s">
        <v>799</v>
      </c>
    </row>
    <row r="2737" spans="1:2" x14ac:dyDescent="0.25">
      <c r="A2737">
        <v>7133290300</v>
      </c>
      <c r="B2737" t="s">
        <v>800</v>
      </c>
    </row>
    <row r="2738" spans="1:2" x14ac:dyDescent="0.25">
      <c r="A2738">
        <v>7133290900</v>
      </c>
      <c r="B2738" t="s">
        <v>10</v>
      </c>
    </row>
    <row r="2739" spans="1:2" x14ac:dyDescent="0.25">
      <c r="A2739">
        <v>71333</v>
      </c>
      <c r="B2739" t="e">
        <f>- - Porotos (frijoles. frejoles. alubias. judias)* comunes (Phaseolus vulgaris)</f>
        <v>#NAME?</v>
      </c>
    </row>
    <row r="2740" spans="1:2" x14ac:dyDescent="0.25">
      <c r="A2740">
        <v>713331</v>
      </c>
      <c r="B2740" t="s">
        <v>801</v>
      </c>
    </row>
    <row r="2741" spans="1:2" x14ac:dyDescent="0.25">
      <c r="A2741">
        <v>7133311000</v>
      </c>
      <c r="B2741" t="s">
        <v>743</v>
      </c>
    </row>
    <row r="2742" spans="1:2" x14ac:dyDescent="0.25">
      <c r="A2742">
        <v>7133319</v>
      </c>
      <c r="B2742" t="s">
        <v>10</v>
      </c>
    </row>
    <row r="2743" spans="1:2" x14ac:dyDescent="0.25">
      <c r="A2743">
        <v>7133319100</v>
      </c>
      <c r="B2743" t="s">
        <v>802</v>
      </c>
    </row>
    <row r="2744" spans="1:2" x14ac:dyDescent="0.25">
      <c r="A2744">
        <v>7133319200</v>
      </c>
      <c r="B2744" t="s">
        <v>803</v>
      </c>
    </row>
    <row r="2745" spans="1:2" x14ac:dyDescent="0.25">
      <c r="A2745">
        <v>7133319300</v>
      </c>
      <c r="B2745" t="s">
        <v>800</v>
      </c>
    </row>
    <row r="2746" spans="1:2" x14ac:dyDescent="0.25">
      <c r="A2746">
        <v>7133319900</v>
      </c>
      <c r="B2746" t="s">
        <v>10</v>
      </c>
    </row>
    <row r="2747" spans="1:2" x14ac:dyDescent="0.25">
      <c r="A2747">
        <v>713332</v>
      </c>
      <c r="B2747" t="s">
        <v>804</v>
      </c>
    </row>
    <row r="2748" spans="1:2" x14ac:dyDescent="0.25">
      <c r="A2748">
        <v>7133321000</v>
      </c>
      <c r="B2748" t="s">
        <v>743</v>
      </c>
    </row>
    <row r="2749" spans="1:2" x14ac:dyDescent="0.25">
      <c r="A2749">
        <v>7133329</v>
      </c>
      <c r="B2749" t="s">
        <v>10</v>
      </c>
    </row>
    <row r="2750" spans="1:2" x14ac:dyDescent="0.25">
      <c r="A2750">
        <v>71333291</v>
      </c>
      <c r="B2750" t="s">
        <v>805</v>
      </c>
    </row>
    <row r="2751" spans="1:2" x14ac:dyDescent="0.25">
      <c r="A2751">
        <v>713332911</v>
      </c>
      <c r="B2751" t="s">
        <v>806</v>
      </c>
    </row>
    <row r="2752" spans="1:2" x14ac:dyDescent="0.25">
      <c r="A2752">
        <v>7133329111</v>
      </c>
      <c r="B2752" t="s">
        <v>807</v>
      </c>
    </row>
    <row r="2753" spans="1:2" x14ac:dyDescent="0.25">
      <c r="A2753">
        <v>7133329112</v>
      </c>
      <c r="B2753" t="s">
        <v>808</v>
      </c>
    </row>
    <row r="2754" spans="1:2" x14ac:dyDescent="0.25">
      <c r="A2754">
        <v>7133329113</v>
      </c>
      <c r="B2754" t="s">
        <v>809</v>
      </c>
    </row>
    <row r="2755" spans="1:2" x14ac:dyDescent="0.25">
      <c r="A2755">
        <v>7133329120</v>
      </c>
      <c r="B2755" t="s">
        <v>803</v>
      </c>
    </row>
    <row r="2756" spans="1:2" x14ac:dyDescent="0.25">
      <c r="A2756">
        <v>7133329130</v>
      </c>
      <c r="B2756" t="s">
        <v>800</v>
      </c>
    </row>
    <row r="2757" spans="1:2" x14ac:dyDescent="0.25">
      <c r="A2757">
        <v>7133329190</v>
      </c>
      <c r="B2757" t="s">
        <v>10</v>
      </c>
    </row>
    <row r="2758" spans="1:2" x14ac:dyDescent="0.25">
      <c r="A2758">
        <v>71333292</v>
      </c>
      <c r="B2758" t="s">
        <v>810</v>
      </c>
    </row>
    <row r="2759" spans="1:2" x14ac:dyDescent="0.25">
      <c r="A2759">
        <v>7133329210</v>
      </c>
      <c r="B2759" t="s">
        <v>811</v>
      </c>
    </row>
    <row r="2760" spans="1:2" x14ac:dyDescent="0.25">
      <c r="A2760">
        <v>7133329220</v>
      </c>
      <c r="B2760" t="s">
        <v>803</v>
      </c>
    </row>
    <row r="2761" spans="1:2" x14ac:dyDescent="0.25">
      <c r="A2761">
        <v>7133329230</v>
      </c>
      <c r="B2761" t="s">
        <v>800</v>
      </c>
    </row>
    <row r="2762" spans="1:2" x14ac:dyDescent="0.25">
      <c r="A2762">
        <v>7133329290</v>
      </c>
      <c r="B2762" t="s">
        <v>10</v>
      </c>
    </row>
    <row r="2763" spans="1:2" x14ac:dyDescent="0.25">
      <c r="A2763">
        <v>71333299</v>
      </c>
      <c r="B2763" t="s">
        <v>10</v>
      </c>
    </row>
    <row r="2764" spans="1:2" x14ac:dyDescent="0.25">
      <c r="A2764">
        <v>7133329910</v>
      </c>
      <c r="B2764" t="s">
        <v>803</v>
      </c>
    </row>
    <row r="2765" spans="1:2" x14ac:dyDescent="0.25">
      <c r="A2765">
        <v>7133329920</v>
      </c>
      <c r="B2765" t="s">
        <v>812</v>
      </c>
    </row>
    <row r="2766" spans="1:2" x14ac:dyDescent="0.25">
      <c r="A2766">
        <v>7133329990</v>
      </c>
      <c r="B2766" t="s">
        <v>10</v>
      </c>
    </row>
    <row r="2767" spans="1:2" x14ac:dyDescent="0.25">
      <c r="A2767">
        <v>713339</v>
      </c>
      <c r="B2767" t="s">
        <v>10</v>
      </c>
    </row>
    <row r="2768" spans="1:2" x14ac:dyDescent="0.25">
      <c r="A2768">
        <v>7133391000</v>
      </c>
      <c r="B2768" t="s">
        <v>743</v>
      </c>
    </row>
    <row r="2769" spans="1:2" x14ac:dyDescent="0.25">
      <c r="A2769">
        <v>7133399</v>
      </c>
      <c r="B2769" t="s">
        <v>10</v>
      </c>
    </row>
    <row r="2770" spans="1:2" x14ac:dyDescent="0.25">
      <c r="A2770">
        <v>71333991</v>
      </c>
      <c r="B2770" t="s">
        <v>813</v>
      </c>
    </row>
    <row r="2771" spans="1:2" x14ac:dyDescent="0.25">
      <c r="A2771">
        <v>713339911</v>
      </c>
      <c r="B2771" t="s">
        <v>814</v>
      </c>
    </row>
    <row r="2772" spans="1:2" x14ac:dyDescent="0.25">
      <c r="A2772">
        <v>7133399111</v>
      </c>
      <c r="B2772" t="s">
        <v>797</v>
      </c>
    </row>
    <row r="2773" spans="1:2" x14ac:dyDescent="0.25">
      <c r="A2773">
        <v>7133399112</v>
      </c>
      <c r="B2773" t="s">
        <v>815</v>
      </c>
    </row>
    <row r="2774" spans="1:2" x14ac:dyDescent="0.25">
      <c r="A2774">
        <v>7133399119</v>
      </c>
      <c r="B2774" t="s">
        <v>10</v>
      </c>
    </row>
    <row r="2775" spans="1:2" x14ac:dyDescent="0.25">
      <c r="A2775">
        <v>713339912</v>
      </c>
      <c r="B2775" t="s">
        <v>816</v>
      </c>
    </row>
    <row r="2776" spans="1:2" x14ac:dyDescent="0.25">
      <c r="A2776">
        <v>7133399121</v>
      </c>
      <c r="B2776" t="s">
        <v>797</v>
      </c>
    </row>
    <row r="2777" spans="1:2" x14ac:dyDescent="0.25">
      <c r="A2777">
        <v>7133399122</v>
      </c>
      <c r="B2777" t="s">
        <v>815</v>
      </c>
    </row>
    <row r="2778" spans="1:2" x14ac:dyDescent="0.25">
      <c r="A2778">
        <v>7133399129</v>
      </c>
      <c r="B2778" t="s">
        <v>10</v>
      </c>
    </row>
    <row r="2779" spans="1:2" x14ac:dyDescent="0.25">
      <c r="A2779">
        <v>713339919</v>
      </c>
      <c r="B2779" t="s">
        <v>10</v>
      </c>
    </row>
    <row r="2780" spans="1:2" x14ac:dyDescent="0.25">
      <c r="A2780">
        <v>7133399191</v>
      </c>
      <c r="B2780" t="s">
        <v>802</v>
      </c>
    </row>
    <row r="2781" spans="1:2" x14ac:dyDescent="0.25">
      <c r="A2781">
        <v>7133399192</v>
      </c>
      <c r="B2781" t="s">
        <v>797</v>
      </c>
    </row>
    <row r="2782" spans="1:2" x14ac:dyDescent="0.25">
      <c r="A2782">
        <v>7133399199</v>
      </c>
      <c r="B2782" t="s">
        <v>10</v>
      </c>
    </row>
    <row r="2783" spans="1:2" x14ac:dyDescent="0.25">
      <c r="A2783">
        <v>71333999</v>
      </c>
      <c r="B2783" t="s">
        <v>10</v>
      </c>
    </row>
    <row r="2784" spans="1:2" x14ac:dyDescent="0.25">
      <c r="A2784">
        <v>713339991</v>
      </c>
      <c r="B2784" t="s">
        <v>817</v>
      </c>
    </row>
    <row r="2785" spans="1:2" x14ac:dyDescent="0.25">
      <c r="A2785">
        <v>7133399911</v>
      </c>
      <c r="B2785" t="s">
        <v>797</v>
      </c>
    </row>
    <row r="2786" spans="1:2" x14ac:dyDescent="0.25">
      <c r="A2786">
        <v>7133399919</v>
      </c>
      <c r="B2786" t="s">
        <v>10</v>
      </c>
    </row>
    <row r="2787" spans="1:2" x14ac:dyDescent="0.25">
      <c r="A2787">
        <v>713339992</v>
      </c>
      <c r="B2787" t="s">
        <v>818</v>
      </c>
    </row>
    <row r="2788" spans="1:2" x14ac:dyDescent="0.25">
      <c r="A2788">
        <v>7133399921</v>
      </c>
      <c r="B2788" t="s">
        <v>797</v>
      </c>
    </row>
    <row r="2789" spans="1:2" x14ac:dyDescent="0.25">
      <c r="A2789">
        <v>7133399929</v>
      </c>
      <c r="B2789" t="s">
        <v>10</v>
      </c>
    </row>
    <row r="2790" spans="1:2" x14ac:dyDescent="0.25">
      <c r="A2790">
        <v>713339999</v>
      </c>
      <c r="B2790" t="s">
        <v>10</v>
      </c>
    </row>
    <row r="2791" spans="1:2" x14ac:dyDescent="0.25">
      <c r="A2791">
        <v>7133399991</v>
      </c>
      <c r="B2791" t="s">
        <v>797</v>
      </c>
    </row>
    <row r="2792" spans="1:2" x14ac:dyDescent="0.25">
      <c r="A2792">
        <v>7133399999</v>
      </c>
      <c r="B2792" t="s">
        <v>57</v>
      </c>
    </row>
    <row r="2793" spans="1:2" x14ac:dyDescent="0.25">
      <c r="A2793">
        <v>71334</v>
      </c>
      <c r="B2793" t="e">
        <f>- - Porotos (frijoles. frejoles. alubias. judias)* bambara (Vigna subterranea o Voandzeia subterranea)</f>
        <v>#NAME?</v>
      </c>
    </row>
    <row r="2794" spans="1:2" x14ac:dyDescent="0.25">
      <c r="A2794">
        <v>7133410000</v>
      </c>
      <c r="B2794" t="s">
        <v>743</v>
      </c>
    </row>
    <row r="2795" spans="1:2" x14ac:dyDescent="0.25">
      <c r="A2795">
        <v>7133490</v>
      </c>
      <c r="B2795" t="s">
        <v>10</v>
      </c>
    </row>
    <row r="2796" spans="1:2" x14ac:dyDescent="0.25">
      <c r="A2796">
        <v>7133490100</v>
      </c>
      <c r="B2796" t="s">
        <v>819</v>
      </c>
    </row>
    <row r="2797" spans="1:2" x14ac:dyDescent="0.25">
      <c r="A2797">
        <v>7133490900</v>
      </c>
      <c r="B2797" t="s">
        <v>10</v>
      </c>
    </row>
    <row r="2798" spans="1:2" x14ac:dyDescent="0.25">
      <c r="A2798">
        <v>71335</v>
      </c>
      <c r="B2798" t="e">
        <f>- - Porotos (frijoles. frejoles. alubias. judias)* salvajes o caupi (Vigna unguiculata)</f>
        <v>#NAME?</v>
      </c>
    </row>
    <row r="2799" spans="1:2" x14ac:dyDescent="0.25">
      <c r="A2799">
        <v>7133510000</v>
      </c>
      <c r="B2799" t="s">
        <v>820</v>
      </c>
    </row>
    <row r="2800" spans="1:2" x14ac:dyDescent="0.25">
      <c r="A2800">
        <v>7133590</v>
      </c>
      <c r="B2800" t="s">
        <v>10</v>
      </c>
    </row>
    <row r="2801" spans="1:2" x14ac:dyDescent="0.25">
      <c r="A2801">
        <v>7133590100</v>
      </c>
      <c r="B2801" t="s">
        <v>819</v>
      </c>
    </row>
    <row r="2802" spans="1:2" x14ac:dyDescent="0.25">
      <c r="A2802">
        <v>7133590900</v>
      </c>
      <c r="B2802" t="s">
        <v>10</v>
      </c>
    </row>
    <row r="2803" spans="1:2" x14ac:dyDescent="0.25">
      <c r="A2803">
        <v>71339</v>
      </c>
      <c r="B2803" t="e">
        <f>- - Los demas</f>
        <v>#NAME?</v>
      </c>
    </row>
    <row r="2804" spans="1:2" x14ac:dyDescent="0.25">
      <c r="A2804">
        <v>7133910000</v>
      </c>
      <c r="B2804" t="s">
        <v>743</v>
      </c>
    </row>
    <row r="2805" spans="1:2" x14ac:dyDescent="0.25">
      <c r="A2805">
        <v>7133990</v>
      </c>
      <c r="B2805" t="s">
        <v>10</v>
      </c>
    </row>
    <row r="2806" spans="1:2" x14ac:dyDescent="0.25">
      <c r="A2806">
        <v>71339901</v>
      </c>
      <c r="B2806" t="s">
        <v>821</v>
      </c>
    </row>
    <row r="2807" spans="1:2" x14ac:dyDescent="0.25">
      <c r="A2807">
        <v>7133990110</v>
      </c>
      <c r="B2807" t="s">
        <v>802</v>
      </c>
    </row>
    <row r="2808" spans="1:2" x14ac:dyDescent="0.25">
      <c r="A2808">
        <v>7133990120</v>
      </c>
      <c r="B2808" t="s">
        <v>822</v>
      </c>
    </row>
    <row r="2809" spans="1:2" x14ac:dyDescent="0.25">
      <c r="A2809">
        <v>7133990190</v>
      </c>
      <c r="B2809" t="s">
        <v>10</v>
      </c>
    </row>
    <row r="2810" spans="1:2" x14ac:dyDescent="0.25">
      <c r="A2810">
        <v>71339909</v>
      </c>
      <c r="B2810" t="s">
        <v>10</v>
      </c>
    </row>
    <row r="2811" spans="1:2" x14ac:dyDescent="0.25">
      <c r="A2811">
        <v>7133990910</v>
      </c>
      <c r="B2811" t="s">
        <v>819</v>
      </c>
    </row>
    <row r="2812" spans="1:2" x14ac:dyDescent="0.25">
      <c r="A2812">
        <v>7133990990</v>
      </c>
      <c r="B2812" t="s">
        <v>823</v>
      </c>
    </row>
    <row r="2813" spans="1:2" x14ac:dyDescent="0.25">
      <c r="A2813">
        <v>71340</v>
      </c>
      <c r="B2813" t="e">
        <f>- Lentejas</f>
        <v>#NAME?</v>
      </c>
    </row>
    <row r="2814" spans="1:2" x14ac:dyDescent="0.25">
      <c r="A2814">
        <v>7134010000</v>
      </c>
      <c r="B2814" t="s">
        <v>743</v>
      </c>
    </row>
    <row r="2815" spans="1:2" x14ac:dyDescent="0.25">
      <c r="A2815">
        <v>7134090</v>
      </c>
      <c r="B2815" t="s">
        <v>57</v>
      </c>
    </row>
    <row r="2816" spans="1:2" x14ac:dyDescent="0.25">
      <c r="A2816">
        <v>7134090100</v>
      </c>
      <c r="B2816" t="s">
        <v>824</v>
      </c>
    </row>
    <row r="2817" spans="1:2" x14ac:dyDescent="0.25">
      <c r="A2817">
        <v>7134090200</v>
      </c>
      <c r="B2817" t="s">
        <v>800</v>
      </c>
    </row>
    <row r="2818" spans="1:2" x14ac:dyDescent="0.25">
      <c r="A2818">
        <v>7134090900</v>
      </c>
      <c r="B2818" t="s">
        <v>57</v>
      </c>
    </row>
    <row r="2819" spans="1:2" x14ac:dyDescent="0.25">
      <c r="A2819">
        <v>71350</v>
      </c>
      <c r="B2819" t="s">
        <v>825</v>
      </c>
    </row>
    <row r="2820" spans="1:2" x14ac:dyDescent="0.25">
      <c r="A2820">
        <v>7135010000</v>
      </c>
      <c r="B2820" t="s">
        <v>743</v>
      </c>
    </row>
    <row r="2821" spans="1:2" x14ac:dyDescent="0.25">
      <c r="A2821">
        <v>7135090</v>
      </c>
      <c r="B2821" t="s">
        <v>57</v>
      </c>
    </row>
    <row r="2822" spans="1:2" x14ac:dyDescent="0.25">
      <c r="A2822">
        <v>7135090100</v>
      </c>
      <c r="B2822" t="s">
        <v>803</v>
      </c>
    </row>
    <row r="2823" spans="1:2" x14ac:dyDescent="0.25">
      <c r="A2823">
        <v>7135090900</v>
      </c>
      <c r="B2823" t="s">
        <v>57</v>
      </c>
    </row>
    <row r="2824" spans="1:2" x14ac:dyDescent="0.25">
      <c r="A2824">
        <v>71360</v>
      </c>
      <c r="B2824" t="e">
        <f>- Arvejas (chicharos. guisantes)* de palo. gandu o gandul (Cajanus cajan)</f>
        <v>#NAME?</v>
      </c>
    </row>
    <row r="2825" spans="1:2" x14ac:dyDescent="0.25">
      <c r="A2825">
        <v>7136010000</v>
      </c>
      <c r="B2825" t="s">
        <v>743</v>
      </c>
    </row>
    <row r="2826" spans="1:2" x14ac:dyDescent="0.25">
      <c r="A2826">
        <v>7136090000</v>
      </c>
      <c r="B2826" t="s">
        <v>10</v>
      </c>
    </row>
    <row r="2827" spans="1:2" x14ac:dyDescent="0.25">
      <c r="A2827">
        <v>71390</v>
      </c>
      <c r="B2827" t="e">
        <f>- las demas</f>
        <v>#NAME?</v>
      </c>
    </row>
    <row r="2828" spans="1:2" x14ac:dyDescent="0.25">
      <c r="A2828">
        <v>7139010000</v>
      </c>
      <c r="B2828" t="s">
        <v>743</v>
      </c>
    </row>
    <row r="2829" spans="1:2" x14ac:dyDescent="0.25">
      <c r="A2829">
        <v>7139090000</v>
      </c>
      <c r="B2829" t="s">
        <v>57</v>
      </c>
    </row>
    <row r="2830" spans="1:2" x14ac:dyDescent="0.25">
      <c r="A2830">
        <v>714</v>
      </c>
      <c r="B2830" t="s">
        <v>826</v>
      </c>
    </row>
    <row r="2831" spans="1:2" x14ac:dyDescent="0.25">
      <c r="A2831">
        <v>7141000000</v>
      </c>
      <c r="B2831" t="s">
        <v>827</v>
      </c>
    </row>
    <row r="2832" spans="1:2" x14ac:dyDescent="0.25">
      <c r="A2832">
        <v>7142000</v>
      </c>
      <c r="B2832" t="s">
        <v>828</v>
      </c>
    </row>
    <row r="2833" spans="1:2" x14ac:dyDescent="0.25">
      <c r="A2833">
        <v>7142000100</v>
      </c>
      <c r="B2833" t="s">
        <v>829</v>
      </c>
    </row>
    <row r="2834" spans="1:2" x14ac:dyDescent="0.25">
      <c r="A2834">
        <v>7142000900</v>
      </c>
      <c r="B2834" t="s">
        <v>57</v>
      </c>
    </row>
    <row r="2835" spans="1:2" x14ac:dyDescent="0.25">
      <c r="A2835">
        <v>7143000000</v>
      </c>
      <c r="B2835" t="s">
        <v>830</v>
      </c>
    </row>
    <row r="2836" spans="1:2" x14ac:dyDescent="0.25">
      <c r="A2836">
        <v>7144000000</v>
      </c>
      <c r="B2836" t="e">
        <f>-Taro (Colocasia spp.)</f>
        <v>#NAME?</v>
      </c>
    </row>
    <row r="2837" spans="1:2" x14ac:dyDescent="0.25">
      <c r="A2837">
        <v>7145000000</v>
      </c>
      <c r="B2837" t="e">
        <f>-Yautia (malanga)* (Xanthosoma spp.)</f>
        <v>#NAME?</v>
      </c>
    </row>
    <row r="2838" spans="1:2" x14ac:dyDescent="0.25">
      <c r="A2838">
        <v>7149000000</v>
      </c>
      <c r="B2838" t="e">
        <f>-Los demas</f>
        <v>#NAME?</v>
      </c>
    </row>
    <row r="2839" spans="1:2" x14ac:dyDescent="0.25">
      <c r="A2839">
        <v>801</v>
      </c>
      <c r="B2839" t="s">
        <v>831</v>
      </c>
    </row>
    <row r="2840" spans="1:2" x14ac:dyDescent="0.25">
      <c r="A2840">
        <v>8011</v>
      </c>
      <c r="B2840" t="s">
        <v>832</v>
      </c>
    </row>
    <row r="2841" spans="1:2" x14ac:dyDescent="0.25">
      <c r="A2841">
        <v>8011100000</v>
      </c>
      <c r="B2841" t="e">
        <f>--Secos</f>
        <v>#NAME?</v>
      </c>
    </row>
    <row r="2842" spans="1:2" x14ac:dyDescent="0.25">
      <c r="A2842">
        <v>8011200</v>
      </c>
      <c r="B2842" t="e">
        <f>- - Con la cascara interna (endocarpio)</f>
        <v>#NAME?</v>
      </c>
    </row>
    <row r="2843" spans="1:2" x14ac:dyDescent="0.25">
      <c r="A2843">
        <v>8011200100</v>
      </c>
      <c r="B2843" t="s">
        <v>833</v>
      </c>
    </row>
    <row r="2844" spans="1:2" x14ac:dyDescent="0.25">
      <c r="A2844">
        <v>8011200900</v>
      </c>
      <c r="B2844" t="s">
        <v>10</v>
      </c>
    </row>
    <row r="2845" spans="1:2" x14ac:dyDescent="0.25">
      <c r="A2845">
        <v>8011900</v>
      </c>
      <c r="B2845" t="e">
        <f>- - Los demas</f>
        <v>#NAME?</v>
      </c>
    </row>
    <row r="2846" spans="1:2" x14ac:dyDescent="0.25">
      <c r="A2846">
        <v>8011900100</v>
      </c>
      <c r="B2846" t="s">
        <v>833</v>
      </c>
    </row>
    <row r="2847" spans="1:2" x14ac:dyDescent="0.25">
      <c r="A2847">
        <v>8011900900</v>
      </c>
      <c r="B2847" t="s">
        <v>10</v>
      </c>
    </row>
    <row r="2848" spans="1:2" x14ac:dyDescent="0.25">
      <c r="A2848">
        <v>8012</v>
      </c>
      <c r="B2848" t="s">
        <v>834</v>
      </c>
    </row>
    <row r="2849" spans="1:2" x14ac:dyDescent="0.25">
      <c r="A2849">
        <v>8012100</v>
      </c>
      <c r="B2849" t="e">
        <f>- - Con cascara</f>
        <v>#NAME?</v>
      </c>
    </row>
    <row r="2850" spans="1:2" x14ac:dyDescent="0.25">
      <c r="A2850">
        <v>8012100100</v>
      </c>
      <c r="B2850" t="s">
        <v>833</v>
      </c>
    </row>
    <row r="2851" spans="1:2" x14ac:dyDescent="0.25">
      <c r="A2851">
        <v>8012100900</v>
      </c>
      <c r="B2851" t="s">
        <v>57</v>
      </c>
    </row>
    <row r="2852" spans="1:2" x14ac:dyDescent="0.25">
      <c r="A2852">
        <v>8012200000</v>
      </c>
      <c r="B2852" t="e">
        <f>--sin cascara</f>
        <v>#NAME?</v>
      </c>
    </row>
    <row r="2853" spans="1:2" x14ac:dyDescent="0.25">
      <c r="A2853">
        <v>8013</v>
      </c>
      <c r="B2853" t="s">
        <v>835</v>
      </c>
    </row>
    <row r="2854" spans="1:2" x14ac:dyDescent="0.25">
      <c r="A2854">
        <v>8013100</v>
      </c>
      <c r="B2854" t="e">
        <f>- - Con cascara</f>
        <v>#NAME?</v>
      </c>
    </row>
    <row r="2855" spans="1:2" x14ac:dyDescent="0.25">
      <c r="A2855">
        <v>8013100100</v>
      </c>
      <c r="B2855" t="s">
        <v>833</v>
      </c>
    </row>
    <row r="2856" spans="1:2" x14ac:dyDescent="0.25">
      <c r="A2856">
        <v>8013100900</v>
      </c>
      <c r="B2856" t="s">
        <v>57</v>
      </c>
    </row>
    <row r="2857" spans="1:2" x14ac:dyDescent="0.25">
      <c r="A2857">
        <v>8013200000</v>
      </c>
      <c r="B2857" t="e">
        <f>--sin cascara</f>
        <v>#NAME?</v>
      </c>
    </row>
    <row r="2858" spans="1:2" x14ac:dyDescent="0.25">
      <c r="A2858">
        <v>802</v>
      </c>
      <c r="B2858" t="s">
        <v>836</v>
      </c>
    </row>
    <row r="2859" spans="1:2" x14ac:dyDescent="0.25">
      <c r="A2859">
        <v>8021</v>
      </c>
      <c r="B2859" t="s">
        <v>837</v>
      </c>
    </row>
    <row r="2860" spans="1:2" x14ac:dyDescent="0.25">
      <c r="A2860">
        <v>8021100</v>
      </c>
      <c r="B2860" t="e">
        <f>- - Con cascara</f>
        <v>#NAME?</v>
      </c>
    </row>
    <row r="2861" spans="1:2" x14ac:dyDescent="0.25">
      <c r="A2861">
        <v>8021100100</v>
      </c>
      <c r="B2861" t="s">
        <v>833</v>
      </c>
    </row>
    <row r="2862" spans="1:2" x14ac:dyDescent="0.25">
      <c r="A2862">
        <v>8021100900</v>
      </c>
      <c r="B2862" t="s">
        <v>57</v>
      </c>
    </row>
    <row r="2863" spans="1:2" x14ac:dyDescent="0.25">
      <c r="A2863">
        <v>8021200000</v>
      </c>
      <c r="B2863" t="e">
        <f>--sin cascara</f>
        <v>#NAME?</v>
      </c>
    </row>
    <row r="2864" spans="1:2" x14ac:dyDescent="0.25">
      <c r="A2864">
        <v>8022</v>
      </c>
      <c r="B2864" t="s">
        <v>838</v>
      </c>
    </row>
    <row r="2865" spans="1:2" x14ac:dyDescent="0.25">
      <c r="A2865">
        <v>8022100</v>
      </c>
      <c r="B2865" t="e">
        <f>- - Con cascara</f>
        <v>#NAME?</v>
      </c>
    </row>
    <row r="2866" spans="1:2" x14ac:dyDescent="0.25">
      <c r="A2866">
        <v>8022100100</v>
      </c>
      <c r="B2866" t="s">
        <v>833</v>
      </c>
    </row>
    <row r="2867" spans="1:2" x14ac:dyDescent="0.25">
      <c r="A2867">
        <v>8022100900</v>
      </c>
      <c r="B2867" t="s">
        <v>57</v>
      </c>
    </row>
    <row r="2868" spans="1:2" x14ac:dyDescent="0.25">
      <c r="A2868">
        <v>8022200000</v>
      </c>
      <c r="B2868" t="e">
        <f>--sin cascara</f>
        <v>#NAME?</v>
      </c>
    </row>
    <row r="2869" spans="1:2" x14ac:dyDescent="0.25">
      <c r="A2869">
        <v>8023</v>
      </c>
      <c r="B2869" t="s">
        <v>839</v>
      </c>
    </row>
    <row r="2870" spans="1:2" x14ac:dyDescent="0.25">
      <c r="A2870">
        <v>8023100</v>
      </c>
      <c r="B2870" t="e">
        <f>- - Con cascara</f>
        <v>#NAME?</v>
      </c>
    </row>
    <row r="2871" spans="1:2" x14ac:dyDescent="0.25">
      <c r="A2871">
        <v>8023100100</v>
      </c>
      <c r="B2871" t="s">
        <v>833</v>
      </c>
    </row>
    <row r="2872" spans="1:2" x14ac:dyDescent="0.25">
      <c r="A2872">
        <v>8023100900</v>
      </c>
      <c r="B2872" t="s">
        <v>57</v>
      </c>
    </row>
    <row r="2873" spans="1:2" x14ac:dyDescent="0.25">
      <c r="A2873">
        <v>8023200000</v>
      </c>
      <c r="B2873" t="e">
        <f>--sin cascara</f>
        <v>#NAME?</v>
      </c>
    </row>
    <row r="2874" spans="1:2" x14ac:dyDescent="0.25">
      <c r="A2874">
        <v>8024</v>
      </c>
      <c r="B2874" t="s">
        <v>840</v>
      </c>
    </row>
    <row r="2875" spans="1:2" x14ac:dyDescent="0.25">
      <c r="A2875">
        <v>8024100</v>
      </c>
      <c r="B2875" t="e">
        <f>- - Con cascara</f>
        <v>#NAME?</v>
      </c>
    </row>
    <row r="2876" spans="1:2" x14ac:dyDescent="0.25">
      <c r="A2876">
        <v>8024100100</v>
      </c>
      <c r="B2876" t="s">
        <v>833</v>
      </c>
    </row>
    <row r="2877" spans="1:2" x14ac:dyDescent="0.25">
      <c r="A2877">
        <v>8024100900</v>
      </c>
      <c r="B2877" t="s">
        <v>10</v>
      </c>
    </row>
    <row r="2878" spans="1:2" x14ac:dyDescent="0.25">
      <c r="A2878">
        <v>8024200000</v>
      </c>
      <c r="B2878" t="e">
        <f>--sin cascara</f>
        <v>#NAME?</v>
      </c>
    </row>
    <row r="2879" spans="1:2" x14ac:dyDescent="0.25">
      <c r="A2879">
        <v>8025</v>
      </c>
      <c r="B2879" t="s">
        <v>841</v>
      </c>
    </row>
    <row r="2880" spans="1:2" x14ac:dyDescent="0.25">
      <c r="A2880">
        <v>8025100</v>
      </c>
      <c r="B2880" t="e">
        <f>- - Con cascara</f>
        <v>#NAME?</v>
      </c>
    </row>
    <row r="2881" spans="1:2" x14ac:dyDescent="0.25">
      <c r="A2881">
        <v>8025100100</v>
      </c>
      <c r="B2881" t="s">
        <v>833</v>
      </c>
    </row>
    <row r="2882" spans="1:2" x14ac:dyDescent="0.25">
      <c r="A2882">
        <v>8025100900</v>
      </c>
      <c r="B2882" t="s">
        <v>10</v>
      </c>
    </row>
    <row r="2883" spans="1:2" x14ac:dyDescent="0.25">
      <c r="A2883">
        <v>8025200000</v>
      </c>
      <c r="B2883" t="e">
        <f>--sin cascara</f>
        <v>#NAME?</v>
      </c>
    </row>
    <row r="2884" spans="1:2" x14ac:dyDescent="0.25">
      <c r="A2884">
        <v>8026</v>
      </c>
      <c r="B2884" t="s">
        <v>842</v>
      </c>
    </row>
    <row r="2885" spans="1:2" x14ac:dyDescent="0.25">
      <c r="A2885">
        <v>8026100</v>
      </c>
      <c r="B2885" t="e">
        <f>- - Con cascara</f>
        <v>#NAME?</v>
      </c>
    </row>
    <row r="2886" spans="1:2" x14ac:dyDescent="0.25">
      <c r="A2886">
        <v>8026100100</v>
      </c>
      <c r="B2886" t="s">
        <v>833</v>
      </c>
    </row>
    <row r="2887" spans="1:2" x14ac:dyDescent="0.25">
      <c r="A2887">
        <v>8026100200</v>
      </c>
      <c r="B2887" t="s">
        <v>843</v>
      </c>
    </row>
    <row r="2888" spans="1:2" x14ac:dyDescent="0.25">
      <c r="A2888">
        <v>8026100900</v>
      </c>
      <c r="B2888" t="s">
        <v>10</v>
      </c>
    </row>
    <row r="2889" spans="1:2" x14ac:dyDescent="0.25">
      <c r="A2889">
        <v>8026200000</v>
      </c>
      <c r="B2889" t="e">
        <f>--sin cascara</f>
        <v>#NAME?</v>
      </c>
    </row>
    <row r="2890" spans="1:2" x14ac:dyDescent="0.25">
      <c r="A2890">
        <v>8027000</v>
      </c>
      <c r="B2890" t="e">
        <f>- Nueces de cola (cola spp.)</f>
        <v>#NAME?</v>
      </c>
    </row>
    <row r="2891" spans="1:2" x14ac:dyDescent="0.25">
      <c r="A2891">
        <v>8027000100</v>
      </c>
      <c r="B2891" t="s">
        <v>833</v>
      </c>
    </row>
    <row r="2892" spans="1:2" x14ac:dyDescent="0.25">
      <c r="A2892">
        <v>8027000200</v>
      </c>
      <c r="B2892" t="s">
        <v>843</v>
      </c>
    </row>
    <row r="2893" spans="1:2" x14ac:dyDescent="0.25">
      <c r="A2893">
        <v>8027000900</v>
      </c>
      <c r="B2893" t="s">
        <v>10</v>
      </c>
    </row>
    <row r="2894" spans="1:2" x14ac:dyDescent="0.25">
      <c r="A2894">
        <v>8028000</v>
      </c>
      <c r="B2894" t="e">
        <f>- Nueces de areca</f>
        <v>#NAME?</v>
      </c>
    </row>
    <row r="2895" spans="1:2" x14ac:dyDescent="0.25">
      <c r="A2895">
        <v>8028000100</v>
      </c>
      <c r="B2895" t="s">
        <v>833</v>
      </c>
    </row>
    <row r="2896" spans="1:2" x14ac:dyDescent="0.25">
      <c r="A2896">
        <v>8028000200</v>
      </c>
      <c r="B2896" t="s">
        <v>843</v>
      </c>
    </row>
    <row r="2897" spans="1:2" x14ac:dyDescent="0.25">
      <c r="A2897">
        <v>8028000900</v>
      </c>
      <c r="B2897" t="s">
        <v>10</v>
      </c>
    </row>
    <row r="2898" spans="1:2" x14ac:dyDescent="0.25">
      <c r="A2898">
        <v>8029000</v>
      </c>
      <c r="B2898" t="e">
        <f>- Los demas</f>
        <v>#NAME?</v>
      </c>
    </row>
    <row r="2899" spans="1:2" x14ac:dyDescent="0.25">
      <c r="A2899">
        <v>8029000100</v>
      </c>
      <c r="B2899" t="s">
        <v>833</v>
      </c>
    </row>
    <row r="2900" spans="1:2" x14ac:dyDescent="0.25">
      <c r="A2900">
        <v>80290002</v>
      </c>
      <c r="B2900" t="s">
        <v>843</v>
      </c>
    </row>
    <row r="2901" spans="1:2" x14ac:dyDescent="0.25">
      <c r="A2901">
        <v>802900021</v>
      </c>
      <c r="B2901" t="s">
        <v>844</v>
      </c>
    </row>
    <row r="2902" spans="1:2" x14ac:dyDescent="0.25">
      <c r="A2902">
        <v>8029000211</v>
      </c>
      <c r="B2902" t="s">
        <v>845</v>
      </c>
    </row>
    <row r="2903" spans="1:2" x14ac:dyDescent="0.25">
      <c r="A2903">
        <v>8029000212</v>
      </c>
      <c r="B2903" t="s">
        <v>846</v>
      </c>
    </row>
    <row r="2904" spans="1:2" x14ac:dyDescent="0.25">
      <c r="A2904">
        <v>8029000290</v>
      </c>
      <c r="B2904" t="s">
        <v>10</v>
      </c>
    </row>
    <row r="2905" spans="1:2" x14ac:dyDescent="0.25">
      <c r="A2905">
        <v>8029000900</v>
      </c>
      <c r="B2905" t="s">
        <v>10</v>
      </c>
    </row>
    <row r="2906" spans="1:2" x14ac:dyDescent="0.25">
      <c r="A2906">
        <v>803</v>
      </c>
      <c r="B2906" t="s">
        <v>847</v>
      </c>
    </row>
    <row r="2907" spans="1:2" x14ac:dyDescent="0.25">
      <c r="A2907">
        <v>8031000</v>
      </c>
      <c r="B2907" t="s">
        <v>848</v>
      </c>
    </row>
    <row r="2908" spans="1:2" x14ac:dyDescent="0.25">
      <c r="A2908">
        <v>8031000100</v>
      </c>
      <c r="B2908" t="s">
        <v>843</v>
      </c>
    </row>
    <row r="2909" spans="1:2" x14ac:dyDescent="0.25">
      <c r="A2909">
        <v>8031000900</v>
      </c>
      <c r="B2909" t="s">
        <v>10</v>
      </c>
    </row>
    <row r="2910" spans="1:2" x14ac:dyDescent="0.25">
      <c r="A2910">
        <v>8039000</v>
      </c>
      <c r="B2910" t="e">
        <f>- Los demas</f>
        <v>#NAME?</v>
      </c>
    </row>
    <row r="2911" spans="1:2" x14ac:dyDescent="0.25">
      <c r="A2911">
        <v>8039000100</v>
      </c>
      <c r="B2911" t="s">
        <v>843</v>
      </c>
    </row>
    <row r="2912" spans="1:2" x14ac:dyDescent="0.25">
      <c r="A2912">
        <v>8039000900</v>
      </c>
      <c r="B2912" t="s">
        <v>10</v>
      </c>
    </row>
    <row r="2913" spans="1:2" x14ac:dyDescent="0.25">
      <c r="A2913">
        <v>804</v>
      </c>
      <c r="B2913" t="s">
        <v>849</v>
      </c>
    </row>
    <row r="2914" spans="1:2" x14ac:dyDescent="0.25">
      <c r="A2914">
        <v>80410</v>
      </c>
      <c r="B2914" t="e">
        <f>- Datiles</f>
        <v>#NAME?</v>
      </c>
    </row>
    <row r="2915" spans="1:2" x14ac:dyDescent="0.25">
      <c r="A2915">
        <v>8041010</v>
      </c>
      <c r="B2915" t="s">
        <v>850</v>
      </c>
    </row>
    <row r="2916" spans="1:2" x14ac:dyDescent="0.25">
      <c r="A2916">
        <v>8041010100</v>
      </c>
      <c r="B2916" t="s">
        <v>851</v>
      </c>
    </row>
    <row r="2917" spans="1:2" x14ac:dyDescent="0.25">
      <c r="A2917">
        <v>8041010900</v>
      </c>
      <c r="B2917" t="s">
        <v>10</v>
      </c>
    </row>
    <row r="2918" spans="1:2" x14ac:dyDescent="0.25">
      <c r="A2918">
        <v>8041020000</v>
      </c>
      <c r="B2918" t="s">
        <v>843</v>
      </c>
    </row>
    <row r="2919" spans="1:2" x14ac:dyDescent="0.25">
      <c r="A2919">
        <v>80420</v>
      </c>
      <c r="B2919" t="e">
        <f>- Higos</f>
        <v>#NAME?</v>
      </c>
    </row>
    <row r="2920" spans="1:2" x14ac:dyDescent="0.25">
      <c r="A2920">
        <v>8042010</v>
      </c>
      <c r="B2920" t="s">
        <v>850</v>
      </c>
    </row>
    <row r="2921" spans="1:2" x14ac:dyDescent="0.25">
      <c r="A2921">
        <v>8042010100</v>
      </c>
      <c r="B2921" t="s">
        <v>851</v>
      </c>
    </row>
    <row r="2922" spans="1:2" x14ac:dyDescent="0.25">
      <c r="A2922">
        <v>8042010900</v>
      </c>
      <c r="B2922" t="s">
        <v>10</v>
      </c>
    </row>
    <row r="2923" spans="1:2" x14ac:dyDescent="0.25">
      <c r="A2923">
        <v>8042020000</v>
      </c>
      <c r="B2923" t="s">
        <v>843</v>
      </c>
    </row>
    <row r="2924" spans="1:2" x14ac:dyDescent="0.25">
      <c r="A2924">
        <v>8043000</v>
      </c>
      <c r="B2924" t="e">
        <f>- Piñas (ananas)</f>
        <v>#NAME?</v>
      </c>
    </row>
    <row r="2925" spans="1:2" x14ac:dyDescent="0.25">
      <c r="A2925">
        <v>8043000100</v>
      </c>
      <c r="B2925" t="s">
        <v>843</v>
      </c>
    </row>
    <row r="2926" spans="1:2" x14ac:dyDescent="0.25">
      <c r="A2926">
        <v>8043000900</v>
      </c>
      <c r="B2926" t="s">
        <v>10</v>
      </c>
    </row>
    <row r="2927" spans="1:2" x14ac:dyDescent="0.25">
      <c r="A2927">
        <v>8044000</v>
      </c>
      <c r="B2927" t="s">
        <v>852</v>
      </c>
    </row>
    <row r="2928" spans="1:2" x14ac:dyDescent="0.25">
      <c r="A2928">
        <v>8044000100</v>
      </c>
      <c r="B2928" t="s">
        <v>833</v>
      </c>
    </row>
    <row r="2929" spans="1:2" x14ac:dyDescent="0.25">
      <c r="A2929">
        <v>80440002</v>
      </c>
      <c r="B2929" t="s">
        <v>843</v>
      </c>
    </row>
    <row r="2930" spans="1:2" x14ac:dyDescent="0.25">
      <c r="A2930">
        <v>8044000210</v>
      </c>
      <c r="B2930" t="s">
        <v>853</v>
      </c>
    </row>
    <row r="2931" spans="1:2" x14ac:dyDescent="0.25">
      <c r="A2931">
        <v>8044000220</v>
      </c>
      <c r="B2931" t="s">
        <v>854</v>
      </c>
    </row>
    <row r="2932" spans="1:2" x14ac:dyDescent="0.25">
      <c r="A2932">
        <v>8044000290</v>
      </c>
      <c r="B2932" t="s">
        <v>10</v>
      </c>
    </row>
    <row r="2933" spans="1:2" x14ac:dyDescent="0.25">
      <c r="A2933">
        <v>80440009</v>
      </c>
      <c r="B2933" t="s">
        <v>10</v>
      </c>
    </row>
    <row r="2934" spans="1:2" x14ac:dyDescent="0.25">
      <c r="A2934">
        <v>8044000910</v>
      </c>
      <c r="B2934" t="s">
        <v>853</v>
      </c>
    </row>
    <row r="2935" spans="1:2" x14ac:dyDescent="0.25">
      <c r="A2935">
        <v>8044000920</v>
      </c>
      <c r="B2935" t="s">
        <v>854</v>
      </c>
    </row>
    <row r="2936" spans="1:2" x14ac:dyDescent="0.25">
      <c r="A2936">
        <v>8044000990</v>
      </c>
      <c r="B2936" t="s">
        <v>10</v>
      </c>
    </row>
    <row r="2937" spans="1:2" x14ac:dyDescent="0.25">
      <c r="A2937">
        <v>80450</v>
      </c>
      <c r="B2937" t="e">
        <f>- Guayabas. mangos y mangostanes</f>
        <v>#NAME?</v>
      </c>
    </row>
    <row r="2938" spans="1:2" x14ac:dyDescent="0.25">
      <c r="A2938">
        <v>8045010</v>
      </c>
      <c r="B2938" t="s">
        <v>855</v>
      </c>
    </row>
    <row r="2939" spans="1:2" x14ac:dyDescent="0.25">
      <c r="A2939">
        <v>8045010100</v>
      </c>
      <c r="B2939" t="s">
        <v>833</v>
      </c>
    </row>
    <row r="2940" spans="1:2" x14ac:dyDescent="0.25">
      <c r="A2940">
        <v>8045010200</v>
      </c>
      <c r="B2940" t="s">
        <v>843</v>
      </c>
    </row>
    <row r="2941" spans="1:2" x14ac:dyDescent="0.25">
      <c r="A2941">
        <v>8045010900</v>
      </c>
      <c r="B2941" t="s">
        <v>10</v>
      </c>
    </row>
    <row r="2942" spans="1:2" x14ac:dyDescent="0.25">
      <c r="A2942">
        <v>8045020</v>
      </c>
      <c r="B2942" t="s">
        <v>856</v>
      </c>
    </row>
    <row r="2943" spans="1:2" x14ac:dyDescent="0.25">
      <c r="A2943">
        <v>8045020100</v>
      </c>
      <c r="B2943" t="s">
        <v>833</v>
      </c>
    </row>
    <row r="2944" spans="1:2" x14ac:dyDescent="0.25">
      <c r="A2944">
        <v>8045020200</v>
      </c>
      <c r="B2944" t="s">
        <v>843</v>
      </c>
    </row>
    <row r="2945" spans="1:2" x14ac:dyDescent="0.25">
      <c r="A2945">
        <v>8045020900</v>
      </c>
      <c r="B2945" t="s">
        <v>10</v>
      </c>
    </row>
    <row r="2946" spans="1:2" x14ac:dyDescent="0.25">
      <c r="A2946">
        <v>8045030</v>
      </c>
      <c r="B2946" t="s">
        <v>857</v>
      </c>
    </row>
    <row r="2947" spans="1:2" x14ac:dyDescent="0.25">
      <c r="A2947">
        <v>8045030100</v>
      </c>
      <c r="B2947" t="s">
        <v>833</v>
      </c>
    </row>
    <row r="2948" spans="1:2" x14ac:dyDescent="0.25">
      <c r="A2948">
        <v>8045030200</v>
      </c>
      <c r="B2948" t="s">
        <v>843</v>
      </c>
    </row>
    <row r="2949" spans="1:2" x14ac:dyDescent="0.25">
      <c r="A2949">
        <v>8045030900</v>
      </c>
      <c r="B2949" t="s">
        <v>10</v>
      </c>
    </row>
    <row r="2950" spans="1:2" x14ac:dyDescent="0.25">
      <c r="A2950">
        <v>805</v>
      </c>
      <c r="B2950" t="s">
        <v>858</v>
      </c>
    </row>
    <row r="2951" spans="1:2" x14ac:dyDescent="0.25">
      <c r="A2951">
        <v>8051000</v>
      </c>
      <c r="B2951" t="e">
        <f>- Naranjas</f>
        <v>#NAME?</v>
      </c>
    </row>
    <row r="2952" spans="1:2" x14ac:dyDescent="0.25">
      <c r="A2952">
        <v>8051000100</v>
      </c>
      <c r="B2952" t="s">
        <v>833</v>
      </c>
    </row>
    <row r="2953" spans="1:2" x14ac:dyDescent="0.25">
      <c r="A2953">
        <v>80510002</v>
      </c>
      <c r="B2953" t="s">
        <v>829</v>
      </c>
    </row>
    <row r="2954" spans="1:2" x14ac:dyDescent="0.25">
      <c r="A2954">
        <v>8051000210</v>
      </c>
      <c r="B2954" t="s">
        <v>859</v>
      </c>
    </row>
    <row r="2955" spans="1:2" x14ac:dyDescent="0.25">
      <c r="A2955">
        <v>8051000220</v>
      </c>
      <c r="B2955" t="s">
        <v>860</v>
      </c>
    </row>
    <row r="2956" spans="1:2" x14ac:dyDescent="0.25">
      <c r="A2956">
        <v>8051000290</v>
      </c>
      <c r="B2956" t="s">
        <v>57</v>
      </c>
    </row>
    <row r="2957" spans="1:2" x14ac:dyDescent="0.25">
      <c r="A2957">
        <v>80510009</v>
      </c>
      <c r="B2957" t="s">
        <v>57</v>
      </c>
    </row>
    <row r="2958" spans="1:2" x14ac:dyDescent="0.25">
      <c r="A2958">
        <v>8051000910</v>
      </c>
      <c r="B2958" t="s">
        <v>859</v>
      </c>
    </row>
    <row r="2959" spans="1:2" x14ac:dyDescent="0.25">
      <c r="A2959">
        <v>8051000920</v>
      </c>
      <c r="B2959" t="s">
        <v>860</v>
      </c>
    </row>
    <row r="2960" spans="1:2" x14ac:dyDescent="0.25">
      <c r="A2960">
        <v>8051000990</v>
      </c>
      <c r="B2960" t="s">
        <v>823</v>
      </c>
    </row>
    <row r="2961" spans="1:2" x14ac:dyDescent="0.25">
      <c r="A2961">
        <v>8052</v>
      </c>
      <c r="B2961" t="s">
        <v>861</v>
      </c>
    </row>
    <row r="2962" spans="1:2" x14ac:dyDescent="0.25">
      <c r="A2962">
        <v>8052100</v>
      </c>
      <c r="B2962" t="e">
        <f>- - Mandarinas (incluidas las tangerinas y satsumas)</f>
        <v>#NAME?</v>
      </c>
    </row>
    <row r="2963" spans="1:2" x14ac:dyDescent="0.25">
      <c r="A2963">
        <v>8052100100</v>
      </c>
      <c r="B2963" t="s">
        <v>862</v>
      </c>
    </row>
    <row r="2964" spans="1:2" x14ac:dyDescent="0.25">
      <c r="A2964">
        <v>80521002</v>
      </c>
      <c r="B2964" t="s">
        <v>829</v>
      </c>
    </row>
    <row r="2965" spans="1:2" x14ac:dyDescent="0.25">
      <c r="A2965">
        <v>8052100210</v>
      </c>
      <c r="B2965" t="s">
        <v>863</v>
      </c>
    </row>
    <row r="2966" spans="1:2" x14ac:dyDescent="0.25">
      <c r="A2966">
        <v>8052100220</v>
      </c>
      <c r="B2966" t="s">
        <v>864</v>
      </c>
    </row>
    <row r="2967" spans="1:2" x14ac:dyDescent="0.25">
      <c r="A2967">
        <v>8052100290</v>
      </c>
      <c r="B2967" t="s">
        <v>57</v>
      </c>
    </row>
    <row r="2968" spans="1:2" x14ac:dyDescent="0.25">
      <c r="A2968">
        <v>80521009</v>
      </c>
      <c r="B2968" t="s">
        <v>57</v>
      </c>
    </row>
    <row r="2969" spans="1:2" x14ac:dyDescent="0.25">
      <c r="A2969">
        <v>8052100910</v>
      </c>
      <c r="B2969" t="s">
        <v>859</v>
      </c>
    </row>
    <row r="2970" spans="1:2" x14ac:dyDescent="0.25">
      <c r="A2970">
        <v>8052100920</v>
      </c>
      <c r="B2970" t="s">
        <v>864</v>
      </c>
    </row>
    <row r="2971" spans="1:2" x14ac:dyDescent="0.25">
      <c r="A2971">
        <v>8052100990</v>
      </c>
      <c r="B2971" t="s">
        <v>57</v>
      </c>
    </row>
    <row r="2972" spans="1:2" x14ac:dyDescent="0.25">
      <c r="A2972">
        <v>8052200</v>
      </c>
      <c r="B2972" t="e">
        <f>- - Clementinas</f>
        <v>#NAME?</v>
      </c>
    </row>
    <row r="2973" spans="1:2" x14ac:dyDescent="0.25">
      <c r="A2973">
        <v>8052200100</v>
      </c>
      <c r="B2973" t="s">
        <v>862</v>
      </c>
    </row>
    <row r="2974" spans="1:2" x14ac:dyDescent="0.25">
      <c r="A2974">
        <v>80522002</v>
      </c>
      <c r="B2974" t="s">
        <v>829</v>
      </c>
    </row>
    <row r="2975" spans="1:2" x14ac:dyDescent="0.25">
      <c r="A2975">
        <v>8052200210</v>
      </c>
      <c r="B2975" t="s">
        <v>859</v>
      </c>
    </row>
    <row r="2976" spans="1:2" x14ac:dyDescent="0.25">
      <c r="A2976">
        <v>8052200220</v>
      </c>
      <c r="B2976" t="s">
        <v>860</v>
      </c>
    </row>
    <row r="2977" spans="1:2" x14ac:dyDescent="0.25">
      <c r="A2977">
        <v>8052200290</v>
      </c>
      <c r="B2977" t="s">
        <v>57</v>
      </c>
    </row>
    <row r="2978" spans="1:2" x14ac:dyDescent="0.25">
      <c r="A2978">
        <v>80522009</v>
      </c>
      <c r="B2978" t="s">
        <v>57</v>
      </c>
    </row>
    <row r="2979" spans="1:2" x14ac:dyDescent="0.25">
      <c r="A2979">
        <v>8052200910</v>
      </c>
      <c r="B2979" t="s">
        <v>859</v>
      </c>
    </row>
    <row r="2980" spans="1:2" x14ac:dyDescent="0.25">
      <c r="A2980">
        <v>8052200920</v>
      </c>
      <c r="B2980" t="s">
        <v>860</v>
      </c>
    </row>
    <row r="2981" spans="1:2" x14ac:dyDescent="0.25">
      <c r="A2981">
        <v>8052200990</v>
      </c>
      <c r="B2981" t="s">
        <v>57</v>
      </c>
    </row>
    <row r="2982" spans="1:2" x14ac:dyDescent="0.25">
      <c r="A2982">
        <v>8052900</v>
      </c>
      <c r="B2982" t="e">
        <f>- - Los demas</f>
        <v>#NAME?</v>
      </c>
    </row>
    <row r="2983" spans="1:2" x14ac:dyDescent="0.25">
      <c r="A2983">
        <v>8052900100</v>
      </c>
      <c r="B2983" t="s">
        <v>833</v>
      </c>
    </row>
    <row r="2984" spans="1:2" x14ac:dyDescent="0.25">
      <c r="A2984">
        <v>80529002</v>
      </c>
      <c r="B2984" t="s">
        <v>843</v>
      </c>
    </row>
    <row r="2985" spans="1:2" x14ac:dyDescent="0.25">
      <c r="A2985">
        <v>8052900210</v>
      </c>
      <c r="B2985" t="s">
        <v>859</v>
      </c>
    </row>
    <row r="2986" spans="1:2" x14ac:dyDescent="0.25">
      <c r="A2986">
        <v>8052900220</v>
      </c>
      <c r="B2986" t="s">
        <v>860</v>
      </c>
    </row>
    <row r="2987" spans="1:2" x14ac:dyDescent="0.25">
      <c r="A2987">
        <v>8052900290</v>
      </c>
      <c r="B2987" t="s">
        <v>10</v>
      </c>
    </row>
    <row r="2988" spans="1:2" x14ac:dyDescent="0.25">
      <c r="A2988">
        <v>80529009</v>
      </c>
      <c r="B2988" t="s">
        <v>10</v>
      </c>
    </row>
    <row r="2989" spans="1:2" x14ac:dyDescent="0.25">
      <c r="A2989">
        <v>8052900910</v>
      </c>
      <c r="B2989" t="s">
        <v>859</v>
      </c>
    </row>
    <row r="2990" spans="1:2" x14ac:dyDescent="0.25">
      <c r="A2990">
        <v>8052900920</v>
      </c>
      <c r="B2990" t="s">
        <v>860</v>
      </c>
    </row>
    <row r="2991" spans="1:2" x14ac:dyDescent="0.25">
      <c r="A2991">
        <v>8052900990</v>
      </c>
      <c r="B2991" t="s">
        <v>10</v>
      </c>
    </row>
    <row r="2992" spans="1:2" x14ac:dyDescent="0.25">
      <c r="A2992">
        <v>8054000</v>
      </c>
      <c r="B2992" t="e">
        <f>- Toronjas o pomelos</f>
        <v>#NAME?</v>
      </c>
    </row>
    <row r="2993" spans="1:2" x14ac:dyDescent="0.25">
      <c r="A2993">
        <v>8054000100</v>
      </c>
      <c r="B2993" t="s">
        <v>833</v>
      </c>
    </row>
    <row r="2994" spans="1:2" x14ac:dyDescent="0.25">
      <c r="A2994">
        <v>80540002</v>
      </c>
      <c r="B2994" t="s">
        <v>843</v>
      </c>
    </row>
    <row r="2995" spans="1:2" x14ac:dyDescent="0.25">
      <c r="A2995">
        <v>8054000210</v>
      </c>
      <c r="B2995" t="s">
        <v>859</v>
      </c>
    </row>
    <row r="2996" spans="1:2" x14ac:dyDescent="0.25">
      <c r="A2996">
        <v>8054000220</v>
      </c>
      <c r="B2996" t="s">
        <v>860</v>
      </c>
    </row>
    <row r="2997" spans="1:2" x14ac:dyDescent="0.25">
      <c r="A2997">
        <v>8054000290</v>
      </c>
      <c r="B2997" t="s">
        <v>10</v>
      </c>
    </row>
    <row r="2998" spans="1:2" x14ac:dyDescent="0.25">
      <c r="A2998">
        <v>80540009</v>
      </c>
      <c r="B2998" t="s">
        <v>10</v>
      </c>
    </row>
    <row r="2999" spans="1:2" x14ac:dyDescent="0.25">
      <c r="A2999">
        <v>8054000910</v>
      </c>
      <c r="B2999" t="s">
        <v>859</v>
      </c>
    </row>
    <row r="3000" spans="1:2" x14ac:dyDescent="0.25">
      <c r="A3000">
        <v>8054000920</v>
      </c>
      <c r="B3000" t="s">
        <v>860</v>
      </c>
    </row>
    <row r="3001" spans="1:2" x14ac:dyDescent="0.25">
      <c r="A3001">
        <v>8054000990</v>
      </c>
      <c r="B3001" t="s">
        <v>10</v>
      </c>
    </row>
    <row r="3002" spans="1:2" x14ac:dyDescent="0.25">
      <c r="A3002">
        <v>8055000</v>
      </c>
      <c r="B3002" t="e">
        <f>- Limones (Citrus limon. Citrus limonum) y limas (Citrus aurantifolia. Citrus latifolia)</f>
        <v>#NAME?</v>
      </c>
    </row>
    <row r="3003" spans="1:2" x14ac:dyDescent="0.25">
      <c r="A3003">
        <v>8055000100</v>
      </c>
      <c r="B3003" t="s">
        <v>865</v>
      </c>
    </row>
    <row r="3004" spans="1:2" x14ac:dyDescent="0.25">
      <c r="A3004">
        <v>80550002</v>
      </c>
      <c r="B3004" t="s">
        <v>843</v>
      </c>
    </row>
    <row r="3005" spans="1:2" x14ac:dyDescent="0.25">
      <c r="A3005">
        <v>8055000210</v>
      </c>
      <c r="B3005" t="s">
        <v>859</v>
      </c>
    </row>
    <row r="3006" spans="1:2" x14ac:dyDescent="0.25">
      <c r="A3006">
        <v>8055000220</v>
      </c>
      <c r="B3006" t="s">
        <v>860</v>
      </c>
    </row>
    <row r="3007" spans="1:2" x14ac:dyDescent="0.25">
      <c r="A3007">
        <v>8055000290</v>
      </c>
      <c r="B3007" t="s">
        <v>10</v>
      </c>
    </row>
    <row r="3008" spans="1:2" x14ac:dyDescent="0.25">
      <c r="A3008">
        <v>80550009</v>
      </c>
      <c r="B3008" t="s">
        <v>10</v>
      </c>
    </row>
    <row r="3009" spans="1:2" x14ac:dyDescent="0.25">
      <c r="A3009">
        <v>8055000910</v>
      </c>
      <c r="B3009" t="s">
        <v>859</v>
      </c>
    </row>
    <row r="3010" spans="1:2" x14ac:dyDescent="0.25">
      <c r="A3010">
        <v>8055000920</v>
      </c>
      <c r="B3010" t="s">
        <v>860</v>
      </c>
    </row>
    <row r="3011" spans="1:2" x14ac:dyDescent="0.25">
      <c r="A3011">
        <v>8055000990</v>
      </c>
      <c r="B3011" t="s">
        <v>10</v>
      </c>
    </row>
    <row r="3012" spans="1:2" x14ac:dyDescent="0.25">
      <c r="A3012">
        <v>8059000</v>
      </c>
      <c r="B3012" t="e">
        <f>- Los demas</f>
        <v>#NAME?</v>
      </c>
    </row>
    <row r="3013" spans="1:2" x14ac:dyDescent="0.25">
      <c r="A3013">
        <v>8059000100</v>
      </c>
      <c r="B3013" t="s">
        <v>833</v>
      </c>
    </row>
    <row r="3014" spans="1:2" x14ac:dyDescent="0.25">
      <c r="A3014">
        <v>8059000200</v>
      </c>
      <c r="B3014" t="s">
        <v>843</v>
      </c>
    </row>
    <row r="3015" spans="1:2" x14ac:dyDescent="0.25">
      <c r="A3015">
        <v>8059000900</v>
      </c>
      <c r="B3015" t="s">
        <v>10</v>
      </c>
    </row>
    <row r="3016" spans="1:2" x14ac:dyDescent="0.25">
      <c r="A3016">
        <v>806</v>
      </c>
      <c r="B3016" t="s">
        <v>866</v>
      </c>
    </row>
    <row r="3017" spans="1:2" x14ac:dyDescent="0.25">
      <c r="A3017">
        <v>8061000</v>
      </c>
      <c r="B3017" t="e">
        <f>- frescas</f>
        <v>#NAME?</v>
      </c>
    </row>
    <row r="3018" spans="1:2" x14ac:dyDescent="0.25">
      <c r="A3018">
        <v>8061000100</v>
      </c>
      <c r="B3018" t="s">
        <v>851</v>
      </c>
    </row>
    <row r="3019" spans="1:2" x14ac:dyDescent="0.25">
      <c r="A3019">
        <v>80610009</v>
      </c>
      <c r="B3019" t="s">
        <v>57</v>
      </c>
    </row>
    <row r="3020" spans="1:2" x14ac:dyDescent="0.25">
      <c r="A3020">
        <v>8061000910</v>
      </c>
      <c r="B3020" t="s">
        <v>867</v>
      </c>
    </row>
    <row r="3021" spans="1:2" x14ac:dyDescent="0.25">
      <c r="A3021">
        <v>8061000920</v>
      </c>
      <c r="B3021" t="s">
        <v>868</v>
      </c>
    </row>
    <row r="3022" spans="1:2" x14ac:dyDescent="0.25">
      <c r="A3022">
        <v>8061000990</v>
      </c>
      <c r="B3022" t="s">
        <v>57</v>
      </c>
    </row>
    <row r="3023" spans="1:2" x14ac:dyDescent="0.25">
      <c r="A3023">
        <v>8062000</v>
      </c>
      <c r="B3023" t="e">
        <f>- Secas. incluidas las pasas</f>
        <v>#NAME?</v>
      </c>
    </row>
    <row r="3024" spans="1:2" x14ac:dyDescent="0.25">
      <c r="A3024">
        <v>80620001</v>
      </c>
      <c r="B3024" t="s">
        <v>869</v>
      </c>
    </row>
    <row r="3025" spans="1:2" x14ac:dyDescent="0.25">
      <c r="A3025">
        <v>806200011</v>
      </c>
      <c r="B3025" t="s">
        <v>870</v>
      </c>
    </row>
    <row r="3026" spans="1:2" x14ac:dyDescent="0.25">
      <c r="A3026">
        <v>8062000111</v>
      </c>
      <c r="B3026" t="s">
        <v>871</v>
      </c>
    </row>
    <row r="3027" spans="1:2" x14ac:dyDescent="0.25">
      <c r="A3027">
        <v>8062000112</v>
      </c>
      <c r="B3027" t="s">
        <v>872</v>
      </c>
    </row>
    <row r="3028" spans="1:2" x14ac:dyDescent="0.25">
      <c r="A3028">
        <v>8062000113</v>
      </c>
      <c r="B3028" t="s">
        <v>873</v>
      </c>
    </row>
    <row r="3029" spans="1:2" x14ac:dyDescent="0.25">
      <c r="A3029">
        <v>8062000119</v>
      </c>
      <c r="B3029" t="s">
        <v>57</v>
      </c>
    </row>
    <row r="3030" spans="1:2" x14ac:dyDescent="0.25">
      <c r="A3030">
        <v>8062000190</v>
      </c>
      <c r="B3030" t="s">
        <v>57</v>
      </c>
    </row>
    <row r="3031" spans="1:2" x14ac:dyDescent="0.25">
      <c r="A3031">
        <v>80620002</v>
      </c>
      <c r="B3031" t="s">
        <v>874</v>
      </c>
    </row>
    <row r="3032" spans="1:2" x14ac:dyDescent="0.25">
      <c r="A3032">
        <v>806200021</v>
      </c>
      <c r="B3032" t="s">
        <v>870</v>
      </c>
    </row>
    <row r="3033" spans="1:2" x14ac:dyDescent="0.25">
      <c r="A3033">
        <v>8062000211</v>
      </c>
      <c r="B3033" t="s">
        <v>871</v>
      </c>
    </row>
    <row r="3034" spans="1:2" x14ac:dyDescent="0.25">
      <c r="A3034">
        <v>8062000212</v>
      </c>
      <c r="B3034" t="s">
        <v>872</v>
      </c>
    </row>
    <row r="3035" spans="1:2" x14ac:dyDescent="0.25">
      <c r="A3035">
        <v>8062000213</v>
      </c>
      <c r="B3035" t="s">
        <v>873</v>
      </c>
    </row>
    <row r="3036" spans="1:2" x14ac:dyDescent="0.25">
      <c r="A3036">
        <v>8062000219</v>
      </c>
      <c r="B3036" t="s">
        <v>57</v>
      </c>
    </row>
    <row r="3037" spans="1:2" x14ac:dyDescent="0.25">
      <c r="A3037">
        <v>8062000290</v>
      </c>
      <c r="B3037" t="s">
        <v>57</v>
      </c>
    </row>
    <row r="3038" spans="1:2" x14ac:dyDescent="0.25">
      <c r="A3038">
        <v>8062000900</v>
      </c>
      <c r="B3038" t="s">
        <v>57</v>
      </c>
    </row>
    <row r="3039" spans="1:2" x14ac:dyDescent="0.25">
      <c r="A3039">
        <v>807</v>
      </c>
      <c r="B3039" t="s">
        <v>875</v>
      </c>
    </row>
    <row r="3040" spans="1:2" x14ac:dyDescent="0.25">
      <c r="A3040">
        <v>8071</v>
      </c>
      <c r="B3040" t="s">
        <v>876</v>
      </c>
    </row>
    <row r="3041" spans="1:2" x14ac:dyDescent="0.25">
      <c r="A3041">
        <v>8071100000</v>
      </c>
      <c r="B3041" t="e">
        <f>--sandias</f>
        <v>#NAME?</v>
      </c>
    </row>
    <row r="3042" spans="1:2" x14ac:dyDescent="0.25">
      <c r="A3042">
        <v>8071900</v>
      </c>
      <c r="B3042" t="e">
        <f>- - Los demas</f>
        <v>#NAME?</v>
      </c>
    </row>
    <row r="3043" spans="1:2" x14ac:dyDescent="0.25">
      <c r="A3043">
        <v>8071900100</v>
      </c>
      <c r="B3043" t="s">
        <v>877</v>
      </c>
    </row>
    <row r="3044" spans="1:2" x14ac:dyDescent="0.25">
      <c r="A3044">
        <v>80719009</v>
      </c>
      <c r="B3044" t="s">
        <v>10</v>
      </c>
    </row>
    <row r="3045" spans="1:2" x14ac:dyDescent="0.25">
      <c r="A3045">
        <v>8071900910</v>
      </c>
      <c r="B3045" t="s">
        <v>878</v>
      </c>
    </row>
    <row r="3046" spans="1:2" x14ac:dyDescent="0.25">
      <c r="A3046">
        <v>8071900990</v>
      </c>
      <c r="B3046" t="s">
        <v>10</v>
      </c>
    </row>
    <row r="3047" spans="1:2" x14ac:dyDescent="0.25">
      <c r="A3047">
        <v>8072000</v>
      </c>
      <c r="B3047" t="e">
        <f>- Papayas</f>
        <v>#NAME?</v>
      </c>
    </row>
    <row r="3048" spans="1:2" x14ac:dyDescent="0.25">
      <c r="A3048">
        <v>8072000100</v>
      </c>
      <c r="B3048" t="s">
        <v>851</v>
      </c>
    </row>
    <row r="3049" spans="1:2" x14ac:dyDescent="0.25">
      <c r="A3049">
        <v>8072000900</v>
      </c>
      <c r="B3049" t="s">
        <v>57</v>
      </c>
    </row>
    <row r="3050" spans="1:2" x14ac:dyDescent="0.25">
      <c r="A3050">
        <v>808</v>
      </c>
      <c r="B3050" t="s">
        <v>879</v>
      </c>
    </row>
    <row r="3051" spans="1:2" x14ac:dyDescent="0.25">
      <c r="A3051">
        <v>8081000</v>
      </c>
      <c r="B3051" t="e">
        <f>- Manzanas</f>
        <v>#NAME?</v>
      </c>
    </row>
    <row r="3052" spans="1:2" x14ac:dyDescent="0.25">
      <c r="A3052">
        <v>8081000100</v>
      </c>
      <c r="B3052" t="s">
        <v>851</v>
      </c>
    </row>
    <row r="3053" spans="1:2" x14ac:dyDescent="0.25">
      <c r="A3053">
        <v>80810009</v>
      </c>
      <c r="B3053" t="s">
        <v>57</v>
      </c>
    </row>
    <row r="3054" spans="1:2" x14ac:dyDescent="0.25">
      <c r="A3054">
        <v>8081000910</v>
      </c>
      <c r="B3054" t="s">
        <v>867</v>
      </c>
    </row>
    <row r="3055" spans="1:2" x14ac:dyDescent="0.25">
      <c r="A3055">
        <v>8081000920</v>
      </c>
      <c r="B3055" t="s">
        <v>868</v>
      </c>
    </row>
    <row r="3056" spans="1:2" x14ac:dyDescent="0.25">
      <c r="A3056">
        <v>8081000990</v>
      </c>
      <c r="B3056" t="s">
        <v>57</v>
      </c>
    </row>
    <row r="3057" spans="1:2" x14ac:dyDescent="0.25">
      <c r="A3057">
        <v>8083000</v>
      </c>
      <c r="B3057" t="e">
        <f>- Peras</f>
        <v>#NAME?</v>
      </c>
    </row>
    <row r="3058" spans="1:2" x14ac:dyDescent="0.25">
      <c r="A3058">
        <v>8083000100</v>
      </c>
      <c r="B3058" t="s">
        <v>851</v>
      </c>
    </row>
    <row r="3059" spans="1:2" x14ac:dyDescent="0.25">
      <c r="A3059">
        <v>80830009</v>
      </c>
      <c r="B3059" t="s">
        <v>10</v>
      </c>
    </row>
    <row r="3060" spans="1:2" x14ac:dyDescent="0.25">
      <c r="A3060">
        <v>8083000910</v>
      </c>
      <c r="B3060" t="s">
        <v>867</v>
      </c>
    </row>
    <row r="3061" spans="1:2" x14ac:dyDescent="0.25">
      <c r="A3061">
        <v>8083000920</v>
      </c>
      <c r="B3061" t="s">
        <v>868</v>
      </c>
    </row>
    <row r="3062" spans="1:2" x14ac:dyDescent="0.25">
      <c r="A3062">
        <v>8083000990</v>
      </c>
      <c r="B3062" t="s">
        <v>10</v>
      </c>
    </row>
    <row r="3063" spans="1:2" x14ac:dyDescent="0.25">
      <c r="A3063">
        <v>8084000</v>
      </c>
      <c r="B3063" t="e">
        <f>- Membrillos</f>
        <v>#NAME?</v>
      </c>
    </row>
    <row r="3064" spans="1:2" x14ac:dyDescent="0.25">
      <c r="A3064">
        <v>8084000100</v>
      </c>
      <c r="B3064" t="s">
        <v>851</v>
      </c>
    </row>
    <row r="3065" spans="1:2" x14ac:dyDescent="0.25">
      <c r="A3065">
        <v>80840009</v>
      </c>
      <c r="B3065" t="s">
        <v>10</v>
      </c>
    </row>
    <row r="3066" spans="1:2" x14ac:dyDescent="0.25">
      <c r="A3066">
        <v>8084000910</v>
      </c>
      <c r="B3066" t="s">
        <v>867</v>
      </c>
    </row>
    <row r="3067" spans="1:2" x14ac:dyDescent="0.25">
      <c r="A3067">
        <v>8084000920</v>
      </c>
      <c r="B3067" t="s">
        <v>868</v>
      </c>
    </row>
    <row r="3068" spans="1:2" x14ac:dyDescent="0.25">
      <c r="A3068">
        <v>8084000990</v>
      </c>
      <c r="B3068" t="s">
        <v>10</v>
      </c>
    </row>
    <row r="3069" spans="1:2" x14ac:dyDescent="0.25">
      <c r="A3069">
        <v>809</v>
      </c>
      <c r="B3069" t="s">
        <v>880</v>
      </c>
    </row>
    <row r="3070" spans="1:2" x14ac:dyDescent="0.25">
      <c r="A3070">
        <v>8091000</v>
      </c>
      <c r="B3070" t="s">
        <v>881</v>
      </c>
    </row>
    <row r="3071" spans="1:2" x14ac:dyDescent="0.25">
      <c r="A3071">
        <v>8091000100</v>
      </c>
      <c r="B3071" t="s">
        <v>851</v>
      </c>
    </row>
    <row r="3072" spans="1:2" x14ac:dyDescent="0.25">
      <c r="A3072">
        <v>80910009</v>
      </c>
      <c r="B3072" t="s">
        <v>10</v>
      </c>
    </row>
    <row r="3073" spans="1:2" x14ac:dyDescent="0.25">
      <c r="A3073">
        <v>8091000910</v>
      </c>
      <c r="B3073" t="s">
        <v>867</v>
      </c>
    </row>
    <row r="3074" spans="1:2" x14ac:dyDescent="0.25">
      <c r="A3074">
        <v>8091000920</v>
      </c>
      <c r="B3074" t="s">
        <v>868</v>
      </c>
    </row>
    <row r="3075" spans="1:2" x14ac:dyDescent="0.25">
      <c r="A3075">
        <v>8091000990</v>
      </c>
      <c r="B3075" t="s">
        <v>10</v>
      </c>
    </row>
    <row r="3076" spans="1:2" x14ac:dyDescent="0.25">
      <c r="A3076">
        <v>8092</v>
      </c>
      <c r="B3076" t="s">
        <v>882</v>
      </c>
    </row>
    <row r="3077" spans="1:2" x14ac:dyDescent="0.25">
      <c r="A3077">
        <v>8092100</v>
      </c>
      <c r="B3077" t="e">
        <f>- - Guindas (Cerezas acidas) (Prunus cerasus)</f>
        <v>#NAME?</v>
      </c>
    </row>
    <row r="3078" spans="1:2" x14ac:dyDescent="0.25">
      <c r="A3078">
        <v>8092100100</v>
      </c>
      <c r="B3078" t="s">
        <v>851</v>
      </c>
    </row>
    <row r="3079" spans="1:2" x14ac:dyDescent="0.25">
      <c r="A3079">
        <v>80921009</v>
      </c>
      <c r="B3079" t="s">
        <v>57</v>
      </c>
    </row>
    <row r="3080" spans="1:2" x14ac:dyDescent="0.25">
      <c r="A3080">
        <v>8092100910</v>
      </c>
      <c r="B3080" t="s">
        <v>867</v>
      </c>
    </row>
    <row r="3081" spans="1:2" x14ac:dyDescent="0.25">
      <c r="A3081">
        <v>8092100920</v>
      </c>
      <c r="B3081" t="s">
        <v>868</v>
      </c>
    </row>
    <row r="3082" spans="1:2" x14ac:dyDescent="0.25">
      <c r="A3082">
        <v>8092100990</v>
      </c>
      <c r="B3082" t="s">
        <v>57</v>
      </c>
    </row>
    <row r="3083" spans="1:2" x14ac:dyDescent="0.25">
      <c r="A3083">
        <v>8092900</v>
      </c>
      <c r="B3083" t="e">
        <f>- - las demas</f>
        <v>#NAME?</v>
      </c>
    </row>
    <row r="3084" spans="1:2" x14ac:dyDescent="0.25">
      <c r="A3084">
        <v>8092900100</v>
      </c>
      <c r="B3084" t="s">
        <v>851</v>
      </c>
    </row>
    <row r="3085" spans="1:2" x14ac:dyDescent="0.25">
      <c r="A3085">
        <v>80929009</v>
      </c>
      <c r="B3085" t="s">
        <v>57</v>
      </c>
    </row>
    <row r="3086" spans="1:2" x14ac:dyDescent="0.25">
      <c r="A3086">
        <v>8092900910</v>
      </c>
      <c r="B3086" t="s">
        <v>867</v>
      </c>
    </row>
    <row r="3087" spans="1:2" x14ac:dyDescent="0.25">
      <c r="A3087">
        <v>8092900920</v>
      </c>
      <c r="B3087" t="s">
        <v>868</v>
      </c>
    </row>
    <row r="3088" spans="1:2" x14ac:dyDescent="0.25">
      <c r="A3088">
        <v>8092900990</v>
      </c>
      <c r="B3088" t="s">
        <v>57</v>
      </c>
    </row>
    <row r="3089" spans="1:2" x14ac:dyDescent="0.25">
      <c r="A3089">
        <v>80930</v>
      </c>
      <c r="B3089" t="s">
        <v>883</v>
      </c>
    </row>
    <row r="3090" spans="1:2" x14ac:dyDescent="0.25">
      <c r="A3090">
        <v>8093010</v>
      </c>
      <c r="B3090" t="s">
        <v>884</v>
      </c>
    </row>
    <row r="3091" spans="1:2" x14ac:dyDescent="0.25">
      <c r="A3091">
        <v>8093010100</v>
      </c>
      <c r="B3091" t="s">
        <v>851</v>
      </c>
    </row>
    <row r="3092" spans="1:2" x14ac:dyDescent="0.25">
      <c r="A3092">
        <v>80930109</v>
      </c>
      <c r="B3092" t="s">
        <v>10</v>
      </c>
    </row>
    <row r="3093" spans="1:2" x14ac:dyDescent="0.25">
      <c r="A3093">
        <v>8093010910</v>
      </c>
      <c r="B3093" t="s">
        <v>867</v>
      </c>
    </row>
    <row r="3094" spans="1:2" x14ac:dyDescent="0.25">
      <c r="A3094">
        <v>8093010920</v>
      </c>
      <c r="B3094" t="s">
        <v>868</v>
      </c>
    </row>
    <row r="3095" spans="1:2" x14ac:dyDescent="0.25">
      <c r="A3095">
        <v>8093010990</v>
      </c>
      <c r="B3095" t="s">
        <v>10</v>
      </c>
    </row>
    <row r="3096" spans="1:2" x14ac:dyDescent="0.25">
      <c r="A3096">
        <v>8093020</v>
      </c>
      <c r="B3096" t="s">
        <v>885</v>
      </c>
    </row>
    <row r="3097" spans="1:2" x14ac:dyDescent="0.25">
      <c r="A3097">
        <v>8093020100</v>
      </c>
      <c r="B3097" t="s">
        <v>851</v>
      </c>
    </row>
    <row r="3098" spans="1:2" x14ac:dyDescent="0.25">
      <c r="A3098">
        <v>80930209</v>
      </c>
      <c r="B3098" t="s">
        <v>10</v>
      </c>
    </row>
    <row r="3099" spans="1:2" x14ac:dyDescent="0.25">
      <c r="A3099">
        <v>8093020910</v>
      </c>
      <c r="B3099" t="s">
        <v>867</v>
      </c>
    </row>
    <row r="3100" spans="1:2" x14ac:dyDescent="0.25">
      <c r="A3100">
        <v>8093020920</v>
      </c>
      <c r="B3100" t="s">
        <v>868</v>
      </c>
    </row>
    <row r="3101" spans="1:2" x14ac:dyDescent="0.25">
      <c r="A3101">
        <v>8093020990</v>
      </c>
      <c r="B3101" t="s">
        <v>10</v>
      </c>
    </row>
    <row r="3102" spans="1:2" x14ac:dyDescent="0.25">
      <c r="A3102">
        <v>8094000</v>
      </c>
      <c r="B3102" t="e">
        <f>- Ciruelas y endrinas</f>
        <v>#NAME?</v>
      </c>
    </row>
    <row r="3103" spans="1:2" x14ac:dyDescent="0.25">
      <c r="A3103">
        <v>8094000100</v>
      </c>
      <c r="B3103" t="s">
        <v>851</v>
      </c>
    </row>
    <row r="3104" spans="1:2" x14ac:dyDescent="0.25">
      <c r="A3104">
        <v>80940009</v>
      </c>
      <c r="B3104" t="s">
        <v>57</v>
      </c>
    </row>
    <row r="3105" spans="1:2" x14ac:dyDescent="0.25">
      <c r="A3105">
        <v>8094000910</v>
      </c>
      <c r="B3105" t="s">
        <v>867</v>
      </c>
    </row>
    <row r="3106" spans="1:2" x14ac:dyDescent="0.25">
      <c r="A3106">
        <v>8094000920</v>
      </c>
      <c r="B3106" t="s">
        <v>868</v>
      </c>
    </row>
    <row r="3107" spans="1:2" x14ac:dyDescent="0.25">
      <c r="A3107">
        <v>8094000990</v>
      </c>
      <c r="B3107" t="s">
        <v>57</v>
      </c>
    </row>
    <row r="3108" spans="1:2" x14ac:dyDescent="0.25">
      <c r="A3108">
        <v>810</v>
      </c>
      <c r="B3108" t="s">
        <v>886</v>
      </c>
    </row>
    <row r="3109" spans="1:2" x14ac:dyDescent="0.25">
      <c r="A3109">
        <v>8101000</v>
      </c>
      <c r="B3109" t="s">
        <v>887</v>
      </c>
    </row>
    <row r="3110" spans="1:2" x14ac:dyDescent="0.25">
      <c r="A3110">
        <v>8101000100</v>
      </c>
      <c r="B3110" t="s">
        <v>851</v>
      </c>
    </row>
    <row r="3111" spans="1:2" x14ac:dyDescent="0.25">
      <c r="A3111">
        <v>81010009</v>
      </c>
      <c r="B3111" t="s">
        <v>57</v>
      </c>
    </row>
    <row r="3112" spans="1:2" x14ac:dyDescent="0.25">
      <c r="A3112">
        <v>8101000910</v>
      </c>
      <c r="B3112" t="s">
        <v>867</v>
      </c>
    </row>
    <row r="3113" spans="1:2" x14ac:dyDescent="0.25">
      <c r="A3113">
        <v>8101000920</v>
      </c>
      <c r="B3113" t="s">
        <v>868</v>
      </c>
    </row>
    <row r="3114" spans="1:2" x14ac:dyDescent="0.25">
      <c r="A3114">
        <v>8101000990</v>
      </c>
      <c r="B3114" t="s">
        <v>57</v>
      </c>
    </row>
    <row r="3115" spans="1:2" x14ac:dyDescent="0.25">
      <c r="A3115">
        <v>8102000</v>
      </c>
      <c r="B3115" t="e">
        <f>- Frambuesas. zarzamoras. moras y moras-frambuesa</f>
        <v>#NAME?</v>
      </c>
    </row>
    <row r="3116" spans="1:2" x14ac:dyDescent="0.25">
      <c r="A3116">
        <v>8102000100</v>
      </c>
      <c r="B3116" t="s">
        <v>851</v>
      </c>
    </row>
    <row r="3117" spans="1:2" x14ac:dyDescent="0.25">
      <c r="A3117">
        <v>81020009</v>
      </c>
      <c r="B3117" t="s">
        <v>57</v>
      </c>
    </row>
    <row r="3118" spans="1:2" x14ac:dyDescent="0.25">
      <c r="A3118">
        <v>8102000910</v>
      </c>
      <c r="B3118" t="s">
        <v>867</v>
      </c>
    </row>
    <row r="3119" spans="1:2" x14ac:dyDescent="0.25">
      <c r="A3119">
        <v>8102000920</v>
      </c>
      <c r="B3119" t="s">
        <v>868</v>
      </c>
    </row>
    <row r="3120" spans="1:2" x14ac:dyDescent="0.25">
      <c r="A3120">
        <v>8102000990</v>
      </c>
      <c r="B3120" t="s">
        <v>57</v>
      </c>
    </row>
    <row r="3121" spans="1:2" x14ac:dyDescent="0.25">
      <c r="A3121">
        <v>8103000</v>
      </c>
      <c r="B3121" t="e">
        <f>- Grosellas negras. blancas o rojas y Grosellas espinosas</f>
        <v>#NAME?</v>
      </c>
    </row>
    <row r="3122" spans="1:2" x14ac:dyDescent="0.25">
      <c r="A3122">
        <v>8103000100</v>
      </c>
      <c r="B3122" t="s">
        <v>851</v>
      </c>
    </row>
    <row r="3123" spans="1:2" x14ac:dyDescent="0.25">
      <c r="A3123">
        <v>81030009</v>
      </c>
      <c r="B3123" t="s">
        <v>57</v>
      </c>
    </row>
    <row r="3124" spans="1:2" x14ac:dyDescent="0.25">
      <c r="A3124">
        <v>8103000910</v>
      </c>
      <c r="B3124" t="s">
        <v>867</v>
      </c>
    </row>
    <row r="3125" spans="1:2" x14ac:dyDescent="0.25">
      <c r="A3125">
        <v>8103000920</v>
      </c>
      <c r="B3125" t="s">
        <v>868</v>
      </c>
    </row>
    <row r="3126" spans="1:2" x14ac:dyDescent="0.25">
      <c r="A3126">
        <v>8103000990</v>
      </c>
      <c r="B3126" t="s">
        <v>57</v>
      </c>
    </row>
    <row r="3127" spans="1:2" x14ac:dyDescent="0.25">
      <c r="A3127">
        <v>8104000</v>
      </c>
      <c r="B3127" t="e">
        <f>- Arandanos rojos. mirtilos y demas frutos del genero Vaccinium</f>
        <v>#NAME?</v>
      </c>
    </row>
    <row r="3128" spans="1:2" x14ac:dyDescent="0.25">
      <c r="A3128">
        <v>8104000100</v>
      </c>
      <c r="B3128" t="s">
        <v>851</v>
      </c>
    </row>
    <row r="3129" spans="1:2" x14ac:dyDescent="0.25">
      <c r="A3129">
        <v>81040009</v>
      </c>
      <c r="B3129" t="s">
        <v>10</v>
      </c>
    </row>
    <row r="3130" spans="1:2" x14ac:dyDescent="0.25">
      <c r="A3130">
        <v>8104000910</v>
      </c>
      <c r="B3130" t="s">
        <v>867</v>
      </c>
    </row>
    <row r="3131" spans="1:2" x14ac:dyDescent="0.25">
      <c r="A3131">
        <v>8104000920</v>
      </c>
      <c r="B3131" t="s">
        <v>868</v>
      </c>
    </row>
    <row r="3132" spans="1:2" x14ac:dyDescent="0.25">
      <c r="A3132">
        <v>8104000990</v>
      </c>
      <c r="B3132" t="s">
        <v>10</v>
      </c>
    </row>
    <row r="3133" spans="1:2" x14ac:dyDescent="0.25">
      <c r="A3133">
        <v>8105000</v>
      </c>
      <c r="B3133" t="e">
        <f>- Kiwis</f>
        <v>#NAME?</v>
      </c>
    </row>
    <row r="3134" spans="1:2" x14ac:dyDescent="0.25">
      <c r="A3134">
        <v>8105000100</v>
      </c>
      <c r="B3134" t="s">
        <v>851</v>
      </c>
    </row>
    <row r="3135" spans="1:2" x14ac:dyDescent="0.25">
      <c r="A3135">
        <v>81050009</v>
      </c>
      <c r="B3135" t="s">
        <v>10</v>
      </c>
    </row>
    <row r="3136" spans="1:2" x14ac:dyDescent="0.25">
      <c r="A3136">
        <v>8105000910</v>
      </c>
      <c r="B3136" t="s">
        <v>867</v>
      </c>
    </row>
    <row r="3137" spans="1:2" x14ac:dyDescent="0.25">
      <c r="A3137">
        <v>8105000920</v>
      </c>
      <c r="B3137" t="s">
        <v>868</v>
      </c>
    </row>
    <row r="3138" spans="1:2" x14ac:dyDescent="0.25">
      <c r="A3138">
        <v>8105000990</v>
      </c>
      <c r="B3138" t="s">
        <v>10</v>
      </c>
    </row>
    <row r="3139" spans="1:2" x14ac:dyDescent="0.25">
      <c r="A3139">
        <v>8106000</v>
      </c>
      <c r="B3139" t="e">
        <f>- Duriones</f>
        <v>#NAME?</v>
      </c>
    </row>
    <row r="3140" spans="1:2" x14ac:dyDescent="0.25">
      <c r="A3140">
        <v>8106000100</v>
      </c>
      <c r="B3140" t="s">
        <v>851</v>
      </c>
    </row>
    <row r="3141" spans="1:2" x14ac:dyDescent="0.25">
      <c r="A3141">
        <v>8106000900</v>
      </c>
      <c r="B3141" t="s">
        <v>10</v>
      </c>
    </row>
    <row r="3142" spans="1:2" x14ac:dyDescent="0.25">
      <c r="A3142">
        <v>8107000</v>
      </c>
      <c r="B3142" t="s">
        <v>888</v>
      </c>
    </row>
    <row r="3143" spans="1:2" x14ac:dyDescent="0.25">
      <c r="A3143">
        <v>8107000100</v>
      </c>
      <c r="B3143" t="s">
        <v>851</v>
      </c>
    </row>
    <row r="3144" spans="1:2" x14ac:dyDescent="0.25">
      <c r="A3144">
        <v>81070009</v>
      </c>
      <c r="B3144" t="s">
        <v>57</v>
      </c>
    </row>
    <row r="3145" spans="1:2" x14ac:dyDescent="0.25">
      <c r="A3145">
        <v>8107000910</v>
      </c>
      <c r="B3145" t="s">
        <v>867</v>
      </c>
    </row>
    <row r="3146" spans="1:2" x14ac:dyDescent="0.25">
      <c r="A3146">
        <v>8107000920</v>
      </c>
      <c r="B3146" t="s">
        <v>868</v>
      </c>
    </row>
    <row r="3147" spans="1:2" x14ac:dyDescent="0.25">
      <c r="A3147">
        <v>8107000990</v>
      </c>
      <c r="B3147" t="s">
        <v>57</v>
      </c>
    </row>
    <row r="3148" spans="1:2" x14ac:dyDescent="0.25">
      <c r="A3148">
        <v>81090</v>
      </c>
      <c r="B3148" t="e">
        <f>- Los demas</f>
        <v>#NAME?</v>
      </c>
    </row>
    <row r="3149" spans="1:2" x14ac:dyDescent="0.25">
      <c r="A3149">
        <v>810901</v>
      </c>
      <c r="B3149" t="s">
        <v>889</v>
      </c>
    </row>
    <row r="3150" spans="1:2" x14ac:dyDescent="0.25">
      <c r="A3150">
        <v>8109011000</v>
      </c>
      <c r="B3150" t="s">
        <v>890</v>
      </c>
    </row>
    <row r="3151" spans="1:2" x14ac:dyDescent="0.25">
      <c r="A3151">
        <v>8109012000</v>
      </c>
      <c r="B3151" t="s">
        <v>891</v>
      </c>
    </row>
    <row r="3152" spans="1:2" x14ac:dyDescent="0.25">
      <c r="A3152">
        <v>8109013000</v>
      </c>
      <c r="B3152" t="s">
        <v>892</v>
      </c>
    </row>
    <row r="3153" spans="1:2" x14ac:dyDescent="0.25">
      <c r="A3153">
        <v>8109014000</v>
      </c>
      <c r="B3153" t="s">
        <v>893</v>
      </c>
    </row>
    <row r="3154" spans="1:2" x14ac:dyDescent="0.25">
      <c r="A3154">
        <v>8109015000</v>
      </c>
      <c r="B3154" t="s">
        <v>894</v>
      </c>
    </row>
    <row r="3155" spans="1:2" x14ac:dyDescent="0.25">
      <c r="A3155">
        <v>8109016000</v>
      </c>
      <c r="B3155" t="s">
        <v>895</v>
      </c>
    </row>
    <row r="3156" spans="1:2" x14ac:dyDescent="0.25">
      <c r="A3156">
        <v>8109017000</v>
      </c>
      <c r="B3156" t="s">
        <v>896</v>
      </c>
    </row>
    <row r="3157" spans="1:2" x14ac:dyDescent="0.25">
      <c r="A3157">
        <v>8109090</v>
      </c>
      <c r="B3157" t="s">
        <v>10</v>
      </c>
    </row>
    <row r="3158" spans="1:2" x14ac:dyDescent="0.25">
      <c r="A3158">
        <v>8109090100</v>
      </c>
      <c r="B3158" t="s">
        <v>851</v>
      </c>
    </row>
    <row r="3159" spans="1:2" x14ac:dyDescent="0.25">
      <c r="A3159">
        <v>81090909</v>
      </c>
      <c r="B3159" t="s">
        <v>10</v>
      </c>
    </row>
    <row r="3160" spans="1:2" x14ac:dyDescent="0.25">
      <c r="A3160">
        <v>8109090910</v>
      </c>
      <c r="B3160" t="s">
        <v>867</v>
      </c>
    </row>
    <row r="3161" spans="1:2" x14ac:dyDescent="0.25">
      <c r="A3161">
        <v>8109090920</v>
      </c>
      <c r="B3161" t="s">
        <v>868</v>
      </c>
    </row>
    <row r="3162" spans="1:2" x14ac:dyDescent="0.25">
      <c r="A3162">
        <v>8109090990</v>
      </c>
      <c r="B3162" t="s">
        <v>10</v>
      </c>
    </row>
    <row r="3163" spans="1:2" x14ac:dyDescent="0.25">
      <c r="A3163">
        <v>811</v>
      </c>
      <c r="B3163" t="s">
        <v>897</v>
      </c>
    </row>
    <row r="3164" spans="1:2" x14ac:dyDescent="0.25">
      <c r="A3164">
        <v>8111000</v>
      </c>
      <c r="B3164" t="s">
        <v>887</v>
      </c>
    </row>
    <row r="3165" spans="1:2" x14ac:dyDescent="0.25">
      <c r="A3165">
        <v>81110001</v>
      </c>
      <c r="B3165" t="s">
        <v>745</v>
      </c>
    </row>
    <row r="3166" spans="1:2" x14ac:dyDescent="0.25">
      <c r="A3166">
        <v>8111000110</v>
      </c>
      <c r="B3166" t="s">
        <v>898</v>
      </c>
    </row>
    <row r="3167" spans="1:2" x14ac:dyDescent="0.25">
      <c r="A3167">
        <v>8111000190</v>
      </c>
      <c r="B3167" t="s">
        <v>57</v>
      </c>
    </row>
    <row r="3168" spans="1:2" x14ac:dyDescent="0.25">
      <c r="A3168">
        <v>81110002</v>
      </c>
      <c r="B3168" t="s">
        <v>899</v>
      </c>
    </row>
    <row r="3169" spans="1:2" x14ac:dyDescent="0.25">
      <c r="A3169">
        <v>8111000210</v>
      </c>
      <c r="B3169" t="s">
        <v>898</v>
      </c>
    </row>
    <row r="3170" spans="1:2" x14ac:dyDescent="0.25">
      <c r="A3170">
        <v>8111000290</v>
      </c>
      <c r="B3170" t="s">
        <v>57</v>
      </c>
    </row>
    <row r="3171" spans="1:2" x14ac:dyDescent="0.25">
      <c r="A3171">
        <v>81110009</v>
      </c>
      <c r="B3171" t="s">
        <v>57</v>
      </c>
    </row>
    <row r="3172" spans="1:2" x14ac:dyDescent="0.25">
      <c r="A3172">
        <v>8111000910</v>
      </c>
      <c r="B3172" t="s">
        <v>898</v>
      </c>
    </row>
    <row r="3173" spans="1:2" x14ac:dyDescent="0.25">
      <c r="A3173">
        <v>8111000990</v>
      </c>
      <c r="B3173" t="s">
        <v>57</v>
      </c>
    </row>
    <row r="3174" spans="1:2" x14ac:dyDescent="0.25">
      <c r="A3174">
        <v>8112000</v>
      </c>
      <c r="B3174" t="e">
        <f>- Frambuesas. zarzamoras. moras. moras-frambuesa y Grosellas</f>
        <v>#NAME?</v>
      </c>
    </row>
    <row r="3175" spans="1:2" x14ac:dyDescent="0.25">
      <c r="A3175">
        <v>8112000100</v>
      </c>
      <c r="B3175" t="s">
        <v>898</v>
      </c>
    </row>
    <row r="3176" spans="1:2" x14ac:dyDescent="0.25">
      <c r="A3176">
        <v>8112000900</v>
      </c>
      <c r="B3176" t="s">
        <v>57</v>
      </c>
    </row>
    <row r="3177" spans="1:2" x14ac:dyDescent="0.25">
      <c r="A3177">
        <v>8119000</v>
      </c>
      <c r="B3177" t="e">
        <f>- Los demas</f>
        <v>#NAME?</v>
      </c>
    </row>
    <row r="3178" spans="1:2" x14ac:dyDescent="0.25">
      <c r="A3178">
        <v>8119000100</v>
      </c>
      <c r="B3178" t="s">
        <v>898</v>
      </c>
    </row>
    <row r="3179" spans="1:2" x14ac:dyDescent="0.25">
      <c r="A3179">
        <v>8119000900</v>
      </c>
      <c r="B3179" t="s">
        <v>10</v>
      </c>
    </row>
    <row r="3180" spans="1:2" x14ac:dyDescent="0.25">
      <c r="A3180">
        <v>812</v>
      </c>
      <c r="B3180" t="s">
        <v>900</v>
      </c>
    </row>
    <row r="3181" spans="1:2" x14ac:dyDescent="0.25">
      <c r="A3181">
        <v>8121000000</v>
      </c>
      <c r="B3181" t="e">
        <f>-Cerezas</f>
        <v>#NAME?</v>
      </c>
    </row>
    <row r="3182" spans="1:2" x14ac:dyDescent="0.25">
      <c r="A3182">
        <v>8129000000</v>
      </c>
      <c r="B3182" t="e">
        <f>-Los demas</f>
        <v>#NAME?</v>
      </c>
    </row>
    <row r="3183" spans="1:2" x14ac:dyDescent="0.25">
      <c r="A3183">
        <v>813</v>
      </c>
      <c r="B3183" t="s">
        <v>901</v>
      </c>
    </row>
    <row r="3184" spans="1:2" x14ac:dyDescent="0.25">
      <c r="A3184">
        <v>8131000</v>
      </c>
      <c r="B3184" t="s">
        <v>881</v>
      </c>
    </row>
    <row r="3185" spans="1:2" x14ac:dyDescent="0.25">
      <c r="A3185">
        <v>8131000100</v>
      </c>
      <c r="B3185" t="s">
        <v>902</v>
      </c>
    </row>
    <row r="3186" spans="1:2" x14ac:dyDescent="0.25">
      <c r="A3186">
        <v>8131000900</v>
      </c>
      <c r="B3186" t="s">
        <v>10</v>
      </c>
    </row>
    <row r="3187" spans="1:2" x14ac:dyDescent="0.25">
      <c r="A3187">
        <v>81320</v>
      </c>
      <c r="B3187" t="e">
        <f>- Ciruelas</f>
        <v>#NAME?</v>
      </c>
    </row>
    <row r="3188" spans="1:2" x14ac:dyDescent="0.25">
      <c r="A3188">
        <v>8132010</v>
      </c>
      <c r="B3188" t="s">
        <v>903</v>
      </c>
    </row>
    <row r="3189" spans="1:2" x14ac:dyDescent="0.25">
      <c r="A3189">
        <v>81320101</v>
      </c>
      <c r="B3189" t="s">
        <v>320</v>
      </c>
    </row>
    <row r="3190" spans="1:2" x14ac:dyDescent="0.25">
      <c r="A3190">
        <v>813201011</v>
      </c>
      <c r="B3190" t="s">
        <v>904</v>
      </c>
    </row>
    <row r="3191" spans="1:2" x14ac:dyDescent="0.25">
      <c r="A3191">
        <v>8132010111</v>
      </c>
      <c r="B3191" t="s">
        <v>905</v>
      </c>
    </row>
    <row r="3192" spans="1:2" x14ac:dyDescent="0.25">
      <c r="A3192">
        <v>8132010112</v>
      </c>
      <c r="B3192" t="s">
        <v>906</v>
      </c>
    </row>
    <row r="3193" spans="1:2" x14ac:dyDescent="0.25">
      <c r="A3193">
        <v>8132010119</v>
      </c>
      <c r="B3193" t="s">
        <v>57</v>
      </c>
    </row>
    <row r="3194" spans="1:2" x14ac:dyDescent="0.25">
      <c r="A3194">
        <v>813201019</v>
      </c>
      <c r="B3194" t="s">
        <v>57</v>
      </c>
    </row>
    <row r="3195" spans="1:2" x14ac:dyDescent="0.25">
      <c r="A3195">
        <v>8132010191</v>
      </c>
      <c r="B3195" t="s">
        <v>905</v>
      </c>
    </row>
    <row r="3196" spans="1:2" x14ac:dyDescent="0.25">
      <c r="A3196">
        <v>8132010192</v>
      </c>
      <c r="B3196" t="s">
        <v>906</v>
      </c>
    </row>
    <row r="3197" spans="1:2" x14ac:dyDescent="0.25">
      <c r="A3197">
        <v>8132010199</v>
      </c>
      <c r="B3197" t="s">
        <v>57</v>
      </c>
    </row>
    <row r="3198" spans="1:2" x14ac:dyDescent="0.25">
      <c r="A3198">
        <v>81320109</v>
      </c>
      <c r="B3198" t="s">
        <v>57</v>
      </c>
    </row>
    <row r="3199" spans="1:2" x14ac:dyDescent="0.25">
      <c r="A3199">
        <v>813201091</v>
      </c>
      <c r="B3199" t="s">
        <v>904</v>
      </c>
    </row>
    <row r="3200" spans="1:2" x14ac:dyDescent="0.25">
      <c r="A3200">
        <v>8132010911</v>
      </c>
      <c r="B3200" t="s">
        <v>905</v>
      </c>
    </row>
    <row r="3201" spans="1:2" x14ac:dyDescent="0.25">
      <c r="A3201">
        <v>8132010912</v>
      </c>
      <c r="B3201" t="s">
        <v>906</v>
      </c>
    </row>
    <row r="3202" spans="1:2" x14ac:dyDescent="0.25">
      <c r="A3202">
        <v>8132010919</v>
      </c>
      <c r="B3202" t="s">
        <v>57</v>
      </c>
    </row>
    <row r="3203" spans="1:2" x14ac:dyDescent="0.25">
      <c r="A3203">
        <v>813201099</v>
      </c>
      <c r="B3203" t="s">
        <v>57</v>
      </c>
    </row>
    <row r="3204" spans="1:2" x14ac:dyDescent="0.25">
      <c r="A3204">
        <v>8132010991</v>
      </c>
      <c r="B3204" t="s">
        <v>905</v>
      </c>
    </row>
    <row r="3205" spans="1:2" x14ac:dyDescent="0.25">
      <c r="A3205">
        <v>8132010992</v>
      </c>
      <c r="B3205" t="s">
        <v>906</v>
      </c>
    </row>
    <row r="3206" spans="1:2" x14ac:dyDescent="0.25">
      <c r="A3206">
        <v>8132010999</v>
      </c>
      <c r="B3206" t="s">
        <v>57</v>
      </c>
    </row>
    <row r="3207" spans="1:2" x14ac:dyDescent="0.25">
      <c r="A3207">
        <v>8132020</v>
      </c>
      <c r="B3207" t="s">
        <v>907</v>
      </c>
    </row>
    <row r="3208" spans="1:2" x14ac:dyDescent="0.25">
      <c r="A3208">
        <v>81320201</v>
      </c>
      <c r="B3208" t="s">
        <v>803</v>
      </c>
    </row>
    <row r="3209" spans="1:2" x14ac:dyDescent="0.25">
      <c r="A3209">
        <v>8132020110</v>
      </c>
      <c r="B3209" t="s">
        <v>908</v>
      </c>
    </row>
    <row r="3210" spans="1:2" x14ac:dyDescent="0.25">
      <c r="A3210">
        <v>8132020120</v>
      </c>
      <c r="B3210" t="s">
        <v>906</v>
      </c>
    </row>
    <row r="3211" spans="1:2" x14ac:dyDescent="0.25">
      <c r="A3211">
        <v>8132020190</v>
      </c>
      <c r="B3211" t="s">
        <v>57</v>
      </c>
    </row>
    <row r="3212" spans="1:2" x14ac:dyDescent="0.25">
      <c r="A3212">
        <v>81320209</v>
      </c>
      <c r="B3212" t="s">
        <v>57</v>
      </c>
    </row>
    <row r="3213" spans="1:2" x14ac:dyDescent="0.25">
      <c r="A3213">
        <v>8132020910</v>
      </c>
      <c r="B3213" t="s">
        <v>905</v>
      </c>
    </row>
    <row r="3214" spans="1:2" x14ac:dyDescent="0.25">
      <c r="A3214">
        <v>8132020920</v>
      </c>
      <c r="B3214" t="s">
        <v>906</v>
      </c>
    </row>
    <row r="3215" spans="1:2" x14ac:dyDescent="0.25">
      <c r="A3215">
        <v>8132020990</v>
      </c>
      <c r="B3215" t="s">
        <v>57</v>
      </c>
    </row>
    <row r="3216" spans="1:2" x14ac:dyDescent="0.25">
      <c r="A3216">
        <v>8133000</v>
      </c>
      <c r="B3216" t="e">
        <f>- Manzanas</f>
        <v>#NAME?</v>
      </c>
    </row>
    <row r="3217" spans="1:2" x14ac:dyDescent="0.25">
      <c r="A3217">
        <v>8133000100</v>
      </c>
      <c r="B3217" t="s">
        <v>902</v>
      </c>
    </row>
    <row r="3218" spans="1:2" x14ac:dyDescent="0.25">
      <c r="A3218">
        <v>8133000900</v>
      </c>
      <c r="B3218" t="s">
        <v>57</v>
      </c>
    </row>
    <row r="3219" spans="1:2" x14ac:dyDescent="0.25">
      <c r="A3219">
        <v>81340</v>
      </c>
      <c r="B3219" t="e">
        <f>- las demas frutas u otros frutos</f>
        <v>#NAME?</v>
      </c>
    </row>
    <row r="3220" spans="1:2" x14ac:dyDescent="0.25">
      <c r="A3220">
        <v>8134010</v>
      </c>
      <c r="B3220" t="s">
        <v>909</v>
      </c>
    </row>
    <row r="3221" spans="1:2" x14ac:dyDescent="0.25">
      <c r="A3221">
        <v>8134010100</v>
      </c>
      <c r="B3221" t="s">
        <v>902</v>
      </c>
    </row>
    <row r="3222" spans="1:2" x14ac:dyDescent="0.25">
      <c r="A3222">
        <v>8134010900</v>
      </c>
      <c r="B3222" t="s">
        <v>57</v>
      </c>
    </row>
    <row r="3223" spans="1:2" x14ac:dyDescent="0.25">
      <c r="A3223">
        <v>8134090</v>
      </c>
      <c r="B3223" t="s">
        <v>10</v>
      </c>
    </row>
    <row r="3224" spans="1:2" x14ac:dyDescent="0.25">
      <c r="A3224">
        <v>81340901</v>
      </c>
      <c r="B3224" t="s">
        <v>910</v>
      </c>
    </row>
    <row r="3225" spans="1:2" x14ac:dyDescent="0.25">
      <c r="A3225">
        <v>8134090110</v>
      </c>
      <c r="B3225" t="s">
        <v>902</v>
      </c>
    </row>
    <row r="3226" spans="1:2" x14ac:dyDescent="0.25">
      <c r="A3226">
        <v>8134090190</v>
      </c>
      <c r="B3226" t="s">
        <v>10</v>
      </c>
    </row>
    <row r="3227" spans="1:2" x14ac:dyDescent="0.25">
      <c r="A3227">
        <v>81340909</v>
      </c>
      <c r="B3227" t="s">
        <v>10</v>
      </c>
    </row>
    <row r="3228" spans="1:2" x14ac:dyDescent="0.25">
      <c r="A3228">
        <v>8134090910</v>
      </c>
      <c r="B3228" t="s">
        <v>902</v>
      </c>
    </row>
    <row r="3229" spans="1:2" x14ac:dyDescent="0.25">
      <c r="A3229">
        <v>8134090990</v>
      </c>
      <c r="B3229" t="s">
        <v>10</v>
      </c>
    </row>
    <row r="3230" spans="1:2" x14ac:dyDescent="0.25">
      <c r="A3230">
        <v>8135000000</v>
      </c>
      <c r="B3230" t="e">
        <f>-Mezclas de frutas u otros frutos. secos. o de frutos de cascara de este Capitulo</f>
        <v>#NAME?</v>
      </c>
    </row>
    <row r="3231" spans="1:2" x14ac:dyDescent="0.25">
      <c r="A3231">
        <v>8140000</v>
      </c>
      <c r="B3231" t="s">
        <v>911</v>
      </c>
    </row>
    <row r="3232" spans="1:2" x14ac:dyDescent="0.25">
      <c r="A3232">
        <v>8140000100</v>
      </c>
      <c r="B3232" t="s">
        <v>912</v>
      </c>
    </row>
    <row r="3233" spans="1:2" x14ac:dyDescent="0.25">
      <c r="A3233">
        <v>8140000200</v>
      </c>
      <c r="B3233" t="s">
        <v>913</v>
      </c>
    </row>
    <row r="3234" spans="1:2" x14ac:dyDescent="0.25">
      <c r="A3234">
        <v>8140000900</v>
      </c>
      <c r="B3234" t="s">
        <v>57</v>
      </c>
    </row>
    <row r="3235" spans="1:2" x14ac:dyDescent="0.25">
      <c r="A3235">
        <v>901</v>
      </c>
      <c r="B3235" t="s">
        <v>914</v>
      </c>
    </row>
    <row r="3236" spans="1:2" x14ac:dyDescent="0.25">
      <c r="A3236">
        <v>9011</v>
      </c>
      <c r="B3236" t="s">
        <v>915</v>
      </c>
    </row>
    <row r="3237" spans="1:2" x14ac:dyDescent="0.25">
      <c r="A3237">
        <v>90111</v>
      </c>
      <c r="B3237" t="e">
        <f>- - sin descafeinar</f>
        <v>#NAME?</v>
      </c>
    </row>
    <row r="3238" spans="1:2" x14ac:dyDescent="0.25">
      <c r="A3238">
        <v>9011110</v>
      </c>
      <c r="B3238" t="s">
        <v>916</v>
      </c>
    </row>
    <row r="3239" spans="1:2" x14ac:dyDescent="0.25">
      <c r="A3239">
        <v>9011110100</v>
      </c>
      <c r="B3239" t="s">
        <v>917</v>
      </c>
    </row>
    <row r="3240" spans="1:2" x14ac:dyDescent="0.25">
      <c r="A3240">
        <v>9011110200</v>
      </c>
      <c r="B3240" t="s">
        <v>918</v>
      </c>
    </row>
    <row r="3241" spans="1:2" x14ac:dyDescent="0.25">
      <c r="A3241">
        <v>9011110900</v>
      </c>
      <c r="B3241" t="s">
        <v>10</v>
      </c>
    </row>
    <row r="3242" spans="1:2" x14ac:dyDescent="0.25">
      <c r="A3242">
        <v>9011190000</v>
      </c>
      <c r="B3242" t="s">
        <v>10</v>
      </c>
    </row>
    <row r="3243" spans="1:2" x14ac:dyDescent="0.25">
      <c r="A3243">
        <v>9011200</v>
      </c>
      <c r="B3243" t="e">
        <f>- - Descafeinado</f>
        <v>#NAME?</v>
      </c>
    </row>
    <row r="3244" spans="1:2" x14ac:dyDescent="0.25">
      <c r="A3244">
        <v>90112001</v>
      </c>
      <c r="B3244" t="s">
        <v>916</v>
      </c>
    </row>
    <row r="3245" spans="1:2" x14ac:dyDescent="0.25">
      <c r="A3245">
        <v>9011200110</v>
      </c>
      <c r="B3245" t="s">
        <v>917</v>
      </c>
    </row>
    <row r="3246" spans="1:2" x14ac:dyDescent="0.25">
      <c r="A3246">
        <v>9011200120</v>
      </c>
      <c r="B3246" t="s">
        <v>918</v>
      </c>
    </row>
    <row r="3247" spans="1:2" x14ac:dyDescent="0.25">
      <c r="A3247">
        <v>9011200190</v>
      </c>
      <c r="B3247" t="s">
        <v>10</v>
      </c>
    </row>
    <row r="3248" spans="1:2" x14ac:dyDescent="0.25">
      <c r="A3248">
        <v>9011200900</v>
      </c>
      <c r="B3248" t="s">
        <v>10</v>
      </c>
    </row>
    <row r="3249" spans="1:2" x14ac:dyDescent="0.25">
      <c r="A3249">
        <v>9012</v>
      </c>
      <c r="B3249" t="s">
        <v>919</v>
      </c>
    </row>
    <row r="3250" spans="1:2" x14ac:dyDescent="0.25">
      <c r="A3250">
        <v>9012100</v>
      </c>
      <c r="B3250" t="e">
        <f>- - sin descafeinar</f>
        <v>#NAME?</v>
      </c>
    </row>
    <row r="3251" spans="1:2" x14ac:dyDescent="0.25">
      <c r="A3251">
        <v>90121001</v>
      </c>
      <c r="B3251" t="s">
        <v>916</v>
      </c>
    </row>
    <row r="3252" spans="1:2" x14ac:dyDescent="0.25">
      <c r="A3252">
        <v>9012100110</v>
      </c>
      <c r="B3252" t="s">
        <v>920</v>
      </c>
    </row>
    <row r="3253" spans="1:2" x14ac:dyDescent="0.25">
      <c r="A3253">
        <v>9012100190</v>
      </c>
      <c r="B3253" t="s">
        <v>10</v>
      </c>
    </row>
    <row r="3254" spans="1:2" x14ac:dyDescent="0.25">
      <c r="A3254">
        <v>90121009</v>
      </c>
      <c r="B3254" t="s">
        <v>10</v>
      </c>
    </row>
    <row r="3255" spans="1:2" x14ac:dyDescent="0.25">
      <c r="A3255">
        <v>901210091</v>
      </c>
      <c r="B3255" t="s">
        <v>921</v>
      </c>
    </row>
    <row r="3256" spans="1:2" x14ac:dyDescent="0.25">
      <c r="A3256">
        <v>9012100911</v>
      </c>
      <c r="B3256" t="s">
        <v>922</v>
      </c>
    </row>
    <row r="3257" spans="1:2" x14ac:dyDescent="0.25">
      <c r="A3257">
        <v>9012100919</v>
      </c>
      <c r="B3257" t="s">
        <v>10</v>
      </c>
    </row>
    <row r="3258" spans="1:2" x14ac:dyDescent="0.25">
      <c r="A3258">
        <v>9012100990</v>
      </c>
      <c r="B3258" t="s">
        <v>10</v>
      </c>
    </row>
    <row r="3259" spans="1:2" x14ac:dyDescent="0.25">
      <c r="A3259">
        <v>9012200</v>
      </c>
      <c r="B3259" t="e">
        <f>- - Descafeinado</f>
        <v>#NAME?</v>
      </c>
    </row>
    <row r="3260" spans="1:2" x14ac:dyDescent="0.25">
      <c r="A3260">
        <v>90122001</v>
      </c>
      <c r="B3260" t="s">
        <v>916</v>
      </c>
    </row>
    <row r="3261" spans="1:2" x14ac:dyDescent="0.25">
      <c r="A3261">
        <v>9012200110</v>
      </c>
      <c r="B3261" t="s">
        <v>920</v>
      </c>
    </row>
    <row r="3262" spans="1:2" x14ac:dyDescent="0.25">
      <c r="A3262">
        <v>9012200190</v>
      </c>
      <c r="B3262" t="s">
        <v>10</v>
      </c>
    </row>
    <row r="3263" spans="1:2" x14ac:dyDescent="0.25">
      <c r="A3263">
        <v>90122009</v>
      </c>
      <c r="B3263" t="s">
        <v>10</v>
      </c>
    </row>
    <row r="3264" spans="1:2" x14ac:dyDescent="0.25">
      <c r="A3264">
        <v>9012200910</v>
      </c>
      <c r="B3264" t="s">
        <v>923</v>
      </c>
    </row>
    <row r="3265" spans="1:2" x14ac:dyDescent="0.25">
      <c r="A3265">
        <v>9012200990</v>
      </c>
      <c r="B3265" t="s">
        <v>10</v>
      </c>
    </row>
    <row r="3266" spans="1:2" x14ac:dyDescent="0.25">
      <c r="A3266">
        <v>9019000000</v>
      </c>
      <c r="B3266" t="e">
        <f>-Los demas</f>
        <v>#NAME?</v>
      </c>
    </row>
    <row r="3267" spans="1:2" x14ac:dyDescent="0.25">
      <c r="A3267">
        <v>902</v>
      </c>
      <c r="B3267" t="s">
        <v>924</v>
      </c>
    </row>
    <row r="3268" spans="1:2" x14ac:dyDescent="0.25">
      <c r="A3268">
        <v>9021000000</v>
      </c>
      <c r="B3268" t="s">
        <v>925</v>
      </c>
    </row>
    <row r="3269" spans="1:2" x14ac:dyDescent="0.25">
      <c r="A3269">
        <v>9022000000</v>
      </c>
      <c r="B3269" t="e">
        <f>-Te verde (sin fermentar) presentado de otra forma</f>
        <v>#NAME?</v>
      </c>
    </row>
    <row r="3270" spans="1:2" x14ac:dyDescent="0.25">
      <c r="A3270">
        <v>9023000</v>
      </c>
      <c r="B3270" t="s">
        <v>926</v>
      </c>
    </row>
    <row r="3271" spans="1:2" x14ac:dyDescent="0.25">
      <c r="A3271">
        <v>9023000100</v>
      </c>
      <c r="B3271" t="s">
        <v>927</v>
      </c>
    </row>
    <row r="3272" spans="1:2" x14ac:dyDescent="0.25">
      <c r="A3272">
        <v>9023000900</v>
      </c>
      <c r="B3272" t="s">
        <v>10</v>
      </c>
    </row>
    <row r="3273" spans="1:2" x14ac:dyDescent="0.25">
      <c r="A3273">
        <v>9024000</v>
      </c>
      <c r="B3273" t="e">
        <f>- Te negro (fermentado) y Te parcialmente fermentado. presentados de otra forma</f>
        <v>#NAME?</v>
      </c>
    </row>
    <row r="3274" spans="1:2" x14ac:dyDescent="0.25">
      <c r="A3274">
        <v>9024000100</v>
      </c>
      <c r="B3274" t="s">
        <v>927</v>
      </c>
    </row>
    <row r="3275" spans="1:2" x14ac:dyDescent="0.25">
      <c r="A3275">
        <v>9024000900</v>
      </c>
      <c r="B3275" t="s">
        <v>10</v>
      </c>
    </row>
    <row r="3276" spans="1:2" x14ac:dyDescent="0.25">
      <c r="A3276">
        <v>90300</v>
      </c>
      <c r="B3276" t="s">
        <v>928</v>
      </c>
    </row>
    <row r="3277" spans="1:2" x14ac:dyDescent="0.25">
      <c r="A3277">
        <v>9030010</v>
      </c>
      <c r="B3277" t="s">
        <v>929</v>
      </c>
    </row>
    <row r="3278" spans="1:2" x14ac:dyDescent="0.25">
      <c r="A3278">
        <v>9030010100</v>
      </c>
      <c r="B3278" t="s">
        <v>930</v>
      </c>
    </row>
    <row r="3279" spans="1:2" x14ac:dyDescent="0.25">
      <c r="A3279">
        <v>9030010900</v>
      </c>
      <c r="B3279" t="s">
        <v>57</v>
      </c>
    </row>
    <row r="3280" spans="1:2" x14ac:dyDescent="0.25">
      <c r="A3280">
        <v>9030090</v>
      </c>
      <c r="B3280" t="s">
        <v>57</v>
      </c>
    </row>
    <row r="3281" spans="1:2" x14ac:dyDescent="0.25">
      <c r="A3281">
        <v>9030090100</v>
      </c>
      <c r="B3281" t="s">
        <v>930</v>
      </c>
    </row>
    <row r="3282" spans="1:2" x14ac:dyDescent="0.25">
      <c r="A3282">
        <v>9030090900</v>
      </c>
      <c r="B3282" t="s">
        <v>57</v>
      </c>
    </row>
    <row r="3283" spans="1:2" x14ac:dyDescent="0.25">
      <c r="A3283">
        <v>904</v>
      </c>
      <c r="B3283" t="s">
        <v>931</v>
      </c>
    </row>
    <row r="3284" spans="1:2" x14ac:dyDescent="0.25">
      <c r="A3284">
        <v>9041</v>
      </c>
      <c r="B3284" t="s">
        <v>932</v>
      </c>
    </row>
    <row r="3285" spans="1:2" x14ac:dyDescent="0.25">
      <c r="A3285">
        <v>9041100</v>
      </c>
      <c r="B3285" t="e">
        <f>- - sin triturar ni pulverizar</f>
        <v>#NAME?</v>
      </c>
    </row>
    <row r="3286" spans="1:2" x14ac:dyDescent="0.25">
      <c r="A3286">
        <v>9041100100</v>
      </c>
      <c r="B3286" t="s">
        <v>933</v>
      </c>
    </row>
    <row r="3287" spans="1:2" x14ac:dyDescent="0.25">
      <c r="A3287">
        <v>9041100200</v>
      </c>
      <c r="B3287" t="s">
        <v>934</v>
      </c>
    </row>
    <row r="3288" spans="1:2" x14ac:dyDescent="0.25">
      <c r="A3288">
        <v>9041100900</v>
      </c>
      <c r="B3288" t="s">
        <v>57</v>
      </c>
    </row>
    <row r="3289" spans="1:2" x14ac:dyDescent="0.25">
      <c r="A3289">
        <v>9041200</v>
      </c>
      <c r="B3289" t="e">
        <f>- - Triturada o pulverizada</f>
        <v>#NAME?</v>
      </c>
    </row>
    <row r="3290" spans="1:2" x14ac:dyDescent="0.25">
      <c r="A3290">
        <v>9041200100</v>
      </c>
      <c r="B3290" t="s">
        <v>933</v>
      </c>
    </row>
    <row r="3291" spans="1:2" x14ac:dyDescent="0.25">
      <c r="A3291">
        <v>9041200200</v>
      </c>
      <c r="B3291" t="s">
        <v>934</v>
      </c>
    </row>
    <row r="3292" spans="1:2" x14ac:dyDescent="0.25">
      <c r="A3292">
        <v>9041200900</v>
      </c>
      <c r="B3292" t="s">
        <v>57</v>
      </c>
    </row>
    <row r="3293" spans="1:2" x14ac:dyDescent="0.25">
      <c r="A3293">
        <v>9042</v>
      </c>
      <c r="B3293" t="s">
        <v>935</v>
      </c>
    </row>
    <row r="3294" spans="1:2" x14ac:dyDescent="0.25">
      <c r="A3294">
        <v>9042100000</v>
      </c>
      <c r="B3294" t="e">
        <f>--secos. sin triturar ni pulverizar</f>
        <v>#NAME?</v>
      </c>
    </row>
    <row r="3295" spans="1:2" x14ac:dyDescent="0.25">
      <c r="A3295">
        <v>9042200000</v>
      </c>
      <c r="B3295" t="e">
        <f>--Triturados o pulverizados</f>
        <v>#NAME?</v>
      </c>
    </row>
    <row r="3296" spans="1:2" x14ac:dyDescent="0.25">
      <c r="A3296">
        <v>905</v>
      </c>
      <c r="B3296" t="s">
        <v>936</v>
      </c>
    </row>
    <row r="3297" spans="1:2" x14ac:dyDescent="0.25">
      <c r="A3297">
        <v>9051000000</v>
      </c>
      <c r="B3297" t="e">
        <f>-sin triturar ni pulverizar</f>
        <v>#NAME?</v>
      </c>
    </row>
    <row r="3298" spans="1:2" x14ac:dyDescent="0.25">
      <c r="A3298">
        <v>9052000000</v>
      </c>
      <c r="B3298" t="e">
        <f>-Triturada o pulverizada</f>
        <v>#NAME?</v>
      </c>
    </row>
    <row r="3299" spans="1:2" x14ac:dyDescent="0.25">
      <c r="A3299">
        <v>906</v>
      </c>
      <c r="B3299" t="s">
        <v>937</v>
      </c>
    </row>
    <row r="3300" spans="1:2" x14ac:dyDescent="0.25">
      <c r="A3300">
        <v>9061</v>
      </c>
      <c r="B3300" t="s">
        <v>938</v>
      </c>
    </row>
    <row r="3301" spans="1:2" x14ac:dyDescent="0.25">
      <c r="A3301">
        <v>9061100000</v>
      </c>
      <c r="B3301" t="e">
        <f>--Canela (Cinnamomum zeylanicum Blume)</f>
        <v>#NAME?</v>
      </c>
    </row>
    <row r="3302" spans="1:2" x14ac:dyDescent="0.25">
      <c r="A3302">
        <v>9061900000</v>
      </c>
      <c r="B3302" t="e">
        <f>--las demas</f>
        <v>#NAME?</v>
      </c>
    </row>
    <row r="3303" spans="1:2" x14ac:dyDescent="0.25">
      <c r="A3303">
        <v>9062000000</v>
      </c>
      <c r="B3303" t="e">
        <f>-Trituradas o pulverizadas</f>
        <v>#NAME?</v>
      </c>
    </row>
    <row r="3304" spans="1:2" x14ac:dyDescent="0.25">
      <c r="A3304">
        <v>907</v>
      </c>
      <c r="B3304" t="s">
        <v>939</v>
      </c>
    </row>
    <row r="3305" spans="1:2" x14ac:dyDescent="0.25">
      <c r="A3305">
        <v>9071000000</v>
      </c>
      <c r="B3305" t="e">
        <f>-sin triturar ni pulverizar</f>
        <v>#NAME?</v>
      </c>
    </row>
    <row r="3306" spans="1:2" x14ac:dyDescent="0.25">
      <c r="A3306">
        <v>9072000000</v>
      </c>
      <c r="B3306" t="e">
        <f>-Triturado o pulverizado</f>
        <v>#NAME?</v>
      </c>
    </row>
    <row r="3307" spans="1:2" x14ac:dyDescent="0.25">
      <c r="A3307">
        <v>908</v>
      </c>
      <c r="B3307" t="s">
        <v>940</v>
      </c>
    </row>
    <row r="3308" spans="1:2" x14ac:dyDescent="0.25">
      <c r="A3308">
        <v>9081</v>
      </c>
      <c r="B3308" t="s">
        <v>941</v>
      </c>
    </row>
    <row r="3309" spans="1:2" x14ac:dyDescent="0.25">
      <c r="A3309">
        <v>9081100000</v>
      </c>
      <c r="B3309" t="e">
        <f>--sin triturar ni pulverizar</f>
        <v>#NAME?</v>
      </c>
    </row>
    <row r="3310" spans="1:2" x14ac:dyDescent="0.25">
      <c r="A3310">
        <v>9081200000</v>
      </c>
      <c r="B3310" t="e">
        <f>--Triturada o pulverizada</f>
        <v>#NAME?</v>
      </c>
    </row>
    <row r="3311" spans="1:2" x14ac:dyDescent="0.25">
      <c r="A3311">
        <v>9082</v>
      </c>
      <c r="B3311" t="s">
        <v>942</v>
      </c>
    </row>
    <row r="3312" spans="1:2" x14ac:dyDescent="0.25">
      <c r="A3312">
        <v>9082100000</v>
      </c>
      <c r="B3312" t="e">
        <f>--sin triturar ni pulverizar</f>
        <v>#NAME?</v>
      </c>
    </row>
    <row r="3313" spans="1:2" x14ac:dyDescent="0.25">
      <c r="A3313">
        <v>9082200000</v>
      </c>
      <c r="B3313" t="e">
        <f>--Triturado o pulverizado</f>
        <v>#NAME?</v>
      </c>
    </row>
    <row r="3314" spans="1:2" x14ac:dyDescent="0.25">
      <c r="A3314">
        <v>9083</v>
      </c>
      <c r="B3314" t="s">
        <v>943</v>
      </c>
    </row>
    <row r="3315" spans="1:2" x14ac:dyDescent="0.25">
      <c r="A3315">
        <v>9083100000</v>
      </c>
      <c r="B3315" t="e">
        <f>--sin triturar ni pulverizar</f>
        <v>#NAME?</v>
      </c>
    </row>
    <row r="3316" spans="1:2" x14ac:dyDescent="0.25">
      <c r="A3316">
        <v>9083200000</v>
      </c>
      <c r="B3316" t="e">
        <f>--Triturados o pulverizados</f>
        <v>#NAME?</v>
      </c>
    </row>
    <row r="3317" spans="1:2" x14ac:dyDescent="0.25">
      <c r="A3317">
        <v>909</v>
      </c>
      <c r="B3317" t="s">
        <v>944</v>
      </c>
    </row>
    <row r="3318" spans="1:2" x14ac:dyDescent="0.25">
      <c r="A3318">
        <v>9092</v>
      </c>
      <c r="B3318" t="s">
        <v>945</v>
      </c>
    </row>
    <row r="3319" spans="1:2" x14ac:dyDescent="0.25">
      <c r="A3319">
        <v>9092100000</v>
      </c>
      <c r="B3319" t="e">
        <f>--sin triturar ni pulverizar</f>
        <v>#NAME?</v>
      </c>
    </row>
    <row r="3320" spans="1:2" x14ac:dyDescent="0.25">
      <c r="A3320">
        <v>9092200000</v>
      </c>
      <c r="B3320" t="e">
        <f>--Trituradas o pulverizadas</f>
        <v>#NAME?</v>
      </c>
    </row>
    <row r="3321" spans="1:2" x14ac:dyDescent="0.25">
      <c r="A3321">
        <v>9093</v>
      </c>
      <c r="B3321" t="s">
        <v>946</v>
      </c>
    </row>
    <row r="3322" spans="1:2" x14ac:dyDescent="0.25">
      <c r="A3322">
        <v>9093100000</v>
      </c>
      <c r="B3322" t="e">
        <f>--sin triturar ni pulverizar</f>
        <v>#NAME?</v>
      </c>
    </row>
    <row r="3323" spans="1:2" x14ac:dyDescent="0.25">
      <c r="A3323">
        <v>9093200000</v>
      </c>
      <c r="B3323" t="e">
        <f>--Trituradas o pulverizadas</f>
        <v>#NAME?</v>
      </c>
    </row>
    <row r="3324" spans="1:2" x14ac:dyDescent="0.25">
      <c r="A3324">
        <v>9096</v>
      </c>
      <c r="B3324" t="s">
        <v>947</v>
      </c>
    </row>
    <row r="3325" spans="1:2" x14ac:dyDescent="0.25">
      <c r="A3325">
        <v>90961</v>
      </c>
      <c r="B3325" t="e">
        <f>- - sin triturar ni pulverizar</f>
        <v>#NAME?</v>
      </c>
    </row>
    <row r="3326" spans="1:2" x14ac:dyDescent="0.25">
      <c r="A3326">
        <v>9096110000</v>
      </c>
      <c r="B3326" t="s">
        <v>948</v>
      </c>
    </row>
    <row r="3327" spans="1:2" x14ac:dyDescent="0.25">
      <c r="A3327">
        <v>9096120000</v>
      </c>
      <c r="B3327" t="s">
        <v>949</v>
      </c>
    </row>
    <row r="3328" spans="1:2" x14ac:dyDescent="0.25">
      <c r="A3328">
        <v>9096190000</v>
      </c>
      <c r="B3328" t="s">
        <v>10</v>
      </c>
    </row>
    <row r="3329" spans="1:2" x14ac:dyDescent="0.25">
      <c r="A3329">
        <v>90962</v>
      </c>
      <c r="B3329" t="e">
        <f>- - Trituradas o pulverizadas</f>
        <v>#NAME?</v>
      </c>
    </row>
    <row r="3330" spans="1:2" x14ac:dyDescent="0.25">
      <c r="A3330">
        <v>9096210000</v>
      </c>
      <c r="B3330" t="s">
        <v>948</v>
      </c>
    </row>
    <row r="3331" spans="1:2" x14ac:dyDescent="0.25">
      <c r="A3331">
        <v>9096220000</v>
      </c>
      <c r="B3331" t="s">
        <v>949</v>
      </c>
    </row>
    <row r="3332" spans="1:2" x14ac:dyDescent="0.25">
      <c r="A3332">
        <v>9096290000</v>
      </c>
      <c r="B3332" t="s">
        <v>10</v>
      </c>
    </row>
    <row r="3333" spans="1:2" x14ac:dyDescent="0.25">
      <c r="A3333">
        <v>910</v>
      </c>
      <c r="B3333" t="s">
        <v>950</v>
      </c>
    </row>
    <row r="3334" spans="1:2" x14ac:dyDescent="0.25">
      <c r="A3334">
        <v>9101</v>
      </c>
      <c r="B3334" t="s">
        <v>951</v>
      </c>
    </row>
    <row r="3335" spans="1:2" x14ac:dyDescent="0.25">
      <c r="A3335">
        <v>9101100000</v>
      </c>
      <c r="B3335" t="e">
        <f>--sin triturar ni pulverizar</f>
        <v>#NAME?</v>
      </c>
    </row>
    <row r="3336" spans="1:2" x14ac:dyDescent="0.25">
      <c r="A3336">
        <v>9101200000</v>
      </c>
      <c r="B3336" t="e">
        <f>--Triturado o pulverizado</f>
        <v>#NAME?</v>
      </c>
    </row>
    <row r="3337" spans="1:2" x14ac:dyDescent="0.25">
      <c r="A3337">
        <v>9102000000</v>
      </c>
      <c r="B3337" t="e">
        <f>-Azafran</f>
        <v>#NAME?</v>
      </c>
    </row>
    <row r="3338" spans="1:2" x14ac:dyDescent="0.25">
      <c r="A3338">
        <v>9103000000</v>
      </c>
      <c r="B3338" t="e">
        <f>-Curcuma</f>
        <v>#NAME?</v>
      </c>
    </row>
    <row r="3339" spans="1:2" x14ac:dyDescent="0.25">
      <c r="A3339">
        <v>9109</v>
      </c>
      <c r="B3339" t="s">
        <v>952</v>
      </c>
    </row>
    <row r="3340" spans="1:2" x14ac:dyDescent="0.25">
      <c r="A3340">
        <v>9109100000</v>
      </c>
      <c r="B3340" t="s">
        <v>953</v>
      </c>
    </row>
    <row r="3341" spans="1:2" x14ac:dyDescent="0.25">
      <c r="A3341">
        <v>9109900</v>
      </c>
      <c r="B3341" t="e">
        <f>- - las demas</f>
        <v>#NAME?</v>
      </c>
    </row>
    <row r="3342" spans="1:2" x14ac:dyDescent="0.25">
      <c r="A3342">
        <v>9109900100</v>
      </c>
      <c r="B3342" t="s">
        <v>954</v>
      </c>
    </row>
    <row r="3343" spans="1:2" x14ac:dyDescent="0.25">
      <c r="A3343">
        <v>9109900200</v>
      </c>
      <c r="B3343" t="s">
        <v>955</v>
      </c>
    </row>
    <row r="3344" spans="1:2" x14ac:dyDescent="0.25">
      <c r="A3344">
        <v>9109900300</v>
      </c>
      <c r="B3344" t="s">
        <v>956</v>
      </c>
    </row>
    <row r="3345" spans="1:2" x14ac:dyDescent="0.25">
      <c r="A3345">
        <v>9109900900</v>
      </c>
      <c r="B3345" t="s">
        <v>57</v>
      </c>
    </row>
    <row r="3346" spans="1:2" x14ac:dyDescent="0.25">
      <c r="A3346">
        <v>1001</v>
      </c>
      <c r="B3346" t="s">
        <v>957</v>
      </c>
    </row>
    <row r="3347" spans="1:2" x14ac:dyDescent="0.25">
      <c r="A3347">
        <v>10011</v>
      </c>
      <c r="B3347" t="s">
        <v>958</v>
      </c>
    </row>
    <row r="3348" spans="1:2" x14ac:dyDescent="0.25">
      <c r="A3348">
        <v>10011100000</v>
      </c>
      <c r="B3348" t="e">
        <f>--para siembra</f>
        <v>#NAME?</v>
      </c>
    </row>
    <row r="3349" spans="1:2" x14ac:dyDescent="0.25">
      <c r="A3349">
        <v>10011900</v>
      </c>
      <c r="B3349" t="e">
        <f>- - Los demas</f>
        <v>#NAME?</v>
      </c>
    </row>
    <row r="3350" spans="1:2" x14ac:dyDescent="0.25">
      <c r="A3350">
        <v>100119001</v>
      </c>
      <c r="B3350" t="s">
        <v>959</v>
      </c>
    </row>
    <row r="3351" spans="1:2" x14ac:dyDescent="0.25">
      <c r="A3351">
        <v>10011900110</v>
      </c>
      <c r="B3351" t="s">
        <v>960</v>
      </c>
    </row>
    <row r="3352" spans="1:2" x14ac:dyDescent="0.25">
      <c r="A3352">
        <v>1001190012</v>
      </c>
      <c r="B3352" t="s">
        <v>961</v>
      </c>
    </row>
    <row r="3353" spans="1:2" x14ac:dyDescent="0.25">
      <c r="A3353">
        <v>10011900121</v>
      </c>
      <c r="B3353" t="s">
        <v>962</v>
      </c>
    </row>
    <row r="3354" spans="1:2" x14ac:dyDescent="0.25">
      <c r="A3354">
        <v>10011900129</v>
      </c>
      <c r="B3354" t="s">
        <v>10</v>
      </c>
    </row>
    <row r="3355" spans="1:2" x14ac:dyDescent="0.25">
      <c r="A3355">
        <v>100119002</v>
      </c>
      <c r="B3355" t="s">
        <v>963</v>
      </c>
    </row>
    <row r="3356" spans="1:2" x14ac:dyDescent="0.25">
      <c r="A3356">
        <v>10011900210</v>
      </c>
      <c r="B3356" t="s">
        <v>960</v>
      </c>
    </row>
    <row r="3357" spans="1:2" x14ac:dyDescent="0.25">
      <c r="A3357">
        <v>1001190022</v>
      </c>
      <c r="B3357" t="s">
        <v>961</v>
      </c>
    </row>
    <row r="3358" spans="1:2" x14ac:dyDescent="0.25">
      <c r="A3358">
        <v>10011900221</v>
      </c>
      <c r="B3358" t="s">
        <v>962</v>
      </c>
    </row>
    <row r="3359" spans="1:2" x14ac:dyDescent="0.25">
      <c r="A3359">
        <v>10011900229</v>
      </c>
      <c r="B3359" t="s">
        <v>10</v>
      </c>
    </row>
    <row r="3360" spans="1:2" x14ac:dyDescent="0.25">
      <c r="A3360">
        <v>100119009</v>
      </c>
      <c r="B3360" t="s">
        <v>10</v>
      </c>
    </row>
    <row r="3361" spans="1:2" x14ac:dyDescent="0.25">
      <c r="A3361">
        <v>10011900910</v>
      </c>
      <c r="B3361" t="s">
        <v>960</v>
      </c>
    </row>
    <row r="3362" spans="1:2" x14ac:dyDescent="0.25">
      <c r="A3362">
        <v>1001190092</v>
      </c>
      <c r="B3362" t="s">
        <v>961</v>
      </c>
    </row>
    <row r="3363" spans="1:2" x14ac:dyDescent="0.25">
      <c r="A3363">
        <v>10011900921</v>
      </c>
      <c r="B3363" t="s">
        <v>962</v>
      </c>
    </row>
    <row r="3364" spans="1:2" x14ac:dyDescent="0.25">
      <c r="A3364">
        <v>10011900929</v>
      </c>
      <c r="B3364" t="s">
        <v>10</v>
      </c>
    </row>
    <row r="3365" spans="1:2" x14ac:dyDescent="0.25">
      <c r="A3365">
        <v>10019</v>
      </c>
      <c r="B3365" t="s">
        <v>28</v>
      </c>
    </row>
    <row r="3366" spans="1:2" x14ac:dyDescent="0.25">
      <c r="A3366">
        <v>10019100000</v>
      </c>
      <c r="B3366" t="e">
        <f>--para siembra</f>
        <v>#NAME?</v>
      </c>
    </row>
    <row r="3367" spans="1:2" x14ac:dyDescent="0.25">
      <c r="A3367">
        <v>10019900</v>
      </c>
      <c r="B3367" t="e">
        <f>- - Los demas</f>
        <v>#NAME?</v>
      </c>
    </row>
    <row r="3368" spans="1:2" x14ac:dyDescent="0.25">
      <c r="A3368">
        <v>100199001</v>
      </c>
      <c r="B3368" t="s">
        <v>964</v>
      </c>
    </row>
    <row r="3369" spans="1:2" x14ac:dyDescent="0.25">
      <c r="A3369">
        <v>10019900110</v>
      </c>
      <c r="B3369" t="s">
        <v>960</v>
      </c>
    </row>
    <row r="3370" spans="1:2" x14ac:dyDescent="0.25">
      <c r="A3370">
        <v>1001990012</v>
      </c>
      <c r="B3370" t="s">
        <v>961</v>
      </c>
    </row>
    <row r="3371" spans="1:2" x14ac:dyDescent="0.25">
      <c r="A3371">
        <v>10019900121</v>
      </c>
      <c r="B3371" t="s">
        <v>962</v>
      </c>
    </row>
    <row r="3372" spans="1:2" x14ac:dyDescent="0.25">
      <c r="A3372">
        <v>10019900129</v>
      </c>
      <c r="B3372" t="s">
        <v>10</v>
      </c>
    </row>
    <row r="3373" spans="1:2" x14ac:dyDescent="0.25">
      <c r="A3373">
        <v>10019900900</v>
      </c>
      <c r="B3373" t="s">
        <v>10</v>
      </c>
    </row>
    <row r="3374" spans="1:2" x14ac:dyDescent="0.25">
      <c r="A3374">
        <v>1002</v>
      </c>
      <c r="B3374" t="s">
        <v>965</v>
      </c>
    </row>
    <row r="3375" spans="1:2" x14ac:dyDescent="0.25">
      <c r="A3375">
        <v>10021000000</v>
      </c>
      <c r="B3375" t="e">
        <f>-para siembra</f>
        <v>#NAME?</v>
      </c>
    </row>
    <row r="3376" spans="1:2" x14ac:dyDescent="0.25">
      <c r="A3376">
        <v>10029000</v>
      </c>
      <c r="B3376" t="e">
        <f>- Los demas</f>
        <v>#NAME?</v>
      </c>
    </row>
    <row r="3377" spans="1:2" x14ac:dyDescent="0.25">
      <c r="A3377">
        <v>10029000100</v>
      </c>
      <c r="B3377" t="s">
        <v>966</v>
      </c>
    </row>
    <row r="3378" spans="1:2" x14ac:dyDescent="0.25">
      <c r="A3378">
        <v>100290002</v>
      </c>
      <c r="B3378" t="s">
        <v>967</v>
      </c>
    </row>
    <row r="3379" spans="1:2" x14ac:dyDescent="0.25">
      <c r="A3379">
        <v>10029000210</v>
      </c>
      <c r="B3379" t="s">
        <v>962</v>
      </c>
    </row>
    <row r="3380" spans="1:2" x14ac:dyDescent="0.25">
      <c r="A3380">
        <v>10029000290</v>
      </c>
      <c r="B3380" t="s">
        <v>10</v>
      </c>
    </row>
    <row r="3381" spans="1:2" x14ac:dyDescent="0.25">
      <c r="A3381">
        <v>1003</v>
      </c>
      <c r="B3381" t="s">
        <v>968</v>
      </c>
    </row>
    <row r="3382" spans="1:2" x14ac:dyDescent="0.25">
      <c r="A3382">
        <v>10031000000</v>
      </c>
      <c r="B3382" t="e">
        <f>-para siembra</f>
        <v>#NAME?</v>
      </c>
    </row>
    <row r="3383" spans="1:2" x14ac:dyDescent="0.25">
      <c r="A3383">
        <v>100390</v>
      </c>
      <c r="B3383" t="e">
        <f>- las demas</f>
        <v>#NAME?</v>
      </c>
    </row>
    <row r="3384" spans="1:2" x14ac:dyDescent="0.25">
      <c r="A3384">
        <v>10039010</v>
      </c>
      <c r="B3384" t="s">
        <v>969</v>
      </c>
    </row>
    <row r="3385" spans="1:2" x14ac:dyDescent="0.25">
      <c r="A3385">
        <v>10039010100</v>
      </c>
      <c r="B3385" t="s">
        <v>960</v>
      </c>
    </row>
    <row r="3386" spans="1:2" x14ac:dyDescent="0.25">
      <c r="A3386">
        <v>100390102</v>
      </c>
      <c r="B3386" t="s">
        <v>970</v>
      </c>
    </row>
    <row r="3387" spans="1:2" x14ac:dyDescent="0.25">
      <c r="A3387">
        <v>10039010210</v>
      </c>
      <c r="B3387" t="s">
        <v>962</v>
      </c>
    </row>
    <row r="3388" spans="1:2" x14ac:dyDescent="0.25">
      <c r="A3388">
        <v>10039010290</v>
      </c>
      <c r="B3388" t="s">
        <v>10</v>
      </c>
    </row>
    <row r="3389" spans="1:2" x14ac:dyDescent="0.25">
      <c r="A3389">
        <v>10039080</v>
      </c>
      <c r="B3389" t="s">
        <v>971</v>
      </c>
    </row>
    <row r="3390" spans="1:2" x14ac:dyDescent="0.25">
      <c r="A3390">
        <v>10039080100</v>
      </c>
      <c r="B3390" t="s">
        <v>960</v>
      </c>
    </row>
    <row r="3391" spans="1:2" x14ac:dyDescent="0.25">
      <c r="A3391">
        <v>100390802</v>
      </c>
      <c r="B3391" t="s">
        <v>970</v>
      </c>
    </row>
    <row r="3392" spans="1:2" x14ac:dyDescent="0.25">
      <c r="A3392">
        <v>10039080210</v>
      </c>
      <c r="B3392" t="s">
        <v>962</v>
      </c>
    </row>
    <row r="3393" spans="1:2" x14ac:dyDescent="0.25">
      <c r="A3393">
        <v>10039080290</v>
      </c>
      <c r="B3393" t="s">
        <v>10</v>
      </c>
    </row>
    <row r="3394" spans="1:2" x14ac:dyDescent="0.25">
      <c r="A3394">
        <v>10039090</v>
      </c>
    </row>
    <row r="3395" spans="1:2" x14ac:dyDescent="0.25">
      <c r="A3395">
        <v>10039090100</v>
      </c>
      <c r="B3395" t="s">
        <v>972</v>
      </c>
    </row>
    <row r="3396" spans="1:2" x14ac:dyDescent="0.25">
      <c r="A3396">
        <v>10039090900</v>
      </c>
      <c r="B3396" t="s">
        <v>10</v>
      </c>
    </row>
    <row r="3397" spans="1:2" x14ac:dyDescent="0.25">
      <c r="A3397">
        <v>1004</v>
      </c>
      <c r="B3397" t="s">
        <v>973</v>
      </c>
    </row>
    <row r="3398" spans="1:2" x14ac:dyDescent="0.25">
      <c r="A3398">
        <v>10041000000</v>
      </c>
      <c r="B3398" t="e">
        <f>-para siembra</f>
        <v>#NAME?</v>
      </c>
    </row>
    <row r="3399" spans="1:2" x14ac:dyDescent="0.25">
      <c r="A3399">
        <v>10049000</v>
      </c>
      <c r="B3399" t="e">
        <f>- las demas</f>
        <v>#NAME?</v>
      </c>
    </row>
    <row r="3400" spans="1:2" x14ac:dyDescent="0.25">
      <c r="A3400">
        <v>10049000100</v>
      </c>
      <c r="B3400" t="s">
        <v>966</v>
      </c>
    </row>
    <row r="3401" spans="1:2" x14ac:dyDescent="0.25">
      <c r="A3401">
        <v>100490002</v>
      </c>
      <c r="B3401" t="s">
        <v>967</v>
      </c>
    </row>
    <row r="3402" spans="1:2" x14ac:dyDescent="0.25">
      <c r="A3402">
        <v>10049000210</v>
      </c>
      <c r="B3402" t="s">
        <v>962</v>
      </c>
    </row>
    <row r="3403" spans="1:2" x14ac:dyDescent="0.25">
      <c r="A3403">
        <v>10049000290</v>
      </c>
      <c r="B3403" t="s">
        <v>10</v>
      </c>
    </row>
    <row r="3404" spans="1:2" x14ac:dyDescent="0.25">
      <c r="A3404">
        <v>1005</v>
      </c>
      <c r="B3404" t="s">
        <v>974</v>
      </c>
    </row>
    <row r="3405" spans="1:2" x14ac:dyDescent="0.25">
      <c r="A3405">
        <v>10051000000</v>
      </c>
      <c r="B3405" t="e">
        <f>-para siembra</f>
        <v>#NAME?</v>
      </c>
    </row>
    <row r="3406" spans="1:2" x14ac:dyDescent="0.25">
      <c r="A3406">
        <v>100590</v>
      </c>
      <c r="B3406" t="e">
        <f>- Los demas</f>
        <v>#NAME?</v>
      </c>
    </row>
    <row r="3407" spans="1:2" x14ac:dyDescent="0.25">
      <c r="A3407">
        <v>10059010</v>
      </c>
      <c r="B3407" t="s">
        <v>916</v>
      </c>
    </row>
    <row r="3408" spans="1:2" x14ac:dyDescent="0.25">
      <c r="A3408">
        <v>100590101</v>
      </c>
      <c r="B3408" t="s">
        <v>975</v>
      </c>
    </row>
    <row r="3409" spans="1:2" x14ac:dyDescent="0.25">
      <c r="A3409">
        <v>10059010110</v>
      </c>
      <c r="B3409" t="s">
        <v>976</v>
      </c>
    </row>
    <row r="3410" spans="1:2" x14ac:dyDescent="0.25">
      <c r="A3410">
        <v>10059010120</v>
      </c>
      <c r="B3410" t="s">
        <v>977</v>
      </c>
    </row>
    <row r="3411" spans="1:2" x14ac:dyDescent="0.25">
      <c r="A3411">
        <v>10059010190</v>
      </c>
      <c r="B3411" t="s">
        <v>10</v>
      </c>
    </row>
    <row r="3412" spans="1:2" x14ac:dyDescent="0.25">
      <c r="A3412">
        <v>100590102</v>
      </c>
      <c r="B3412" t="s">
        <v>961</v>
      </c>
    </row>
    <row r="3413" spans="1:2" x14ac:dyDescent="0.25">
      <c r="A3413">
        <v>1005901021</v>
      </c>
      <c r="B3413" t="s">
        <v>976</v>
      </c>
    </row>
    <row r="3414" spans="1:2" x14ac:dyDescent="0.25">
      <c r="A3414">
        <v>10059010211</v>
      </c>
      <c r="B3414" t="s">
        <v>797</v>
      </c>
    </row>
    <row r="3415" spans="1:2" x14ac:dyDescent="0.25">
      <c r="A3415">
        <v>10059010219</v>
      </c>
      <c r="B3415" t="s">
        <v>10</v>
      </c>
    </row>
    <row r="3416" spans="1:2" x14ac:dyDescent="0.25">
      <c r="A3416">
        <v>1005901022</v>
      </c>
      <c r="B3416" t="s">
        <v>977</v>
      </c>
    </row>
    <row r="3417" spans="1:2" x14ac:dyDescent="0.25">
      <c r="A3417">
        <v>10059010221</v>
      </c>
      <c r="B3417" t="s">
        <v>962</v>
      </c>
    </row>
    <row r="3418" spans="1:2" x14ac:dyDescent="0.25">
      <c r="A3418">
        <v>10059010229</v>
      </c>
      <c r="B3418" t="s">
        <v>10</v>
      </c>
    </row>
    <row r="3419" spans="1:2" x14ac:dyDescent="0.25">
      <c r="A3419">
        <v>1005901029</v>
      </c>
      <c r="B3419" t="s">
        <v>10</v>
      </c>
    </row>
    <row r="3420" spans="1:2" x14ac:dyDescent="0.25">
      <c r="A3420">
        <v>10059010291</v>
      </c>
      <c r="B3420" t="s">
        <v>962</v>
      </c>
    </row>
    <row r="3421" spans="1:2" x14ac:dyDescent="0.25">
      <c r="A3421">
        <v>10059010299</v>
      </c>
      <c r="B3421" t="s">
        <v>10</v>
      </c>
    </row>
    <row r="3422" spans="1:2" x14ac:dyDescent="0.25">
      <c r="A3422">
        <v>10059090</v>
      </c>
      <c r="B3422" t="s">
        <v>10</v>
      </c>
    </row>
    <row r="3423" spans="1:2" x14ac:dyDescent="0.25">
      <c r="A3423">
        <v>10059090100</v>
      </c>
      <c r="B3423" t="s">
        <v>978</v>
      </c>
    </row>
    <row r="3424" spans="1:2" x14ac:dyDescent="0.25">
      <c r="A3424">
        <v>10059090900</v>
      </c>
      <c r="B3424" t="s">
        <v>10</v>
      </c>
    </row>
    <row r="3425" spans="1:2" x14ac:dyDescent="0.25">
      <c r="A3425">
        <v>1006</v>
      </c>
      <c r="B3425" t="s">
        <v>979</v>
      </c>
    </row>
    <row r="3426" spans="1:2" x14ac:dyDescent="0.25">
      <c r="A3426">
        <v>100610</v>
      </c>
      <c r="B3426" t="s">
        <v>980</v>
      </c>
    </row>
    <row r="3427" spans="1:2" x14ac:dyDescent="0.25">
      <c r="A3427">
        <v>10061010000</v>
      </c>
      <c r="B3427" t="s">
        <v>743</v>
      </c>
    </row>
    <row r="3428" spans="1:2" x14ac:dyDescent="0.25">
      <c r="A3428">
        <v>1006109</v>
      </c>
      <c r="B3428" t="s">
        <v>10</v>
      </c>
    </row>
    <row r="3429" spans="1:2" x14ac:dyDescent="0.25">
      <c r="A3429">
        <v>10061091000</v>
      </c>
      <c r="B3429" t="s">
        <v>981</v>
      </c>
    </row>
    <row r="3430" spans="1:2" x14ac:dyDescent="0.25">
      <c r="A3430">
        <v>10061092</v>
      </c>
      <c r="B3430" t="s">
        <v>982</v>
      </c>
    </row>
    <row r="3431" spans="1:2" x14ac:dyDescent="0.25">
      <c r="A3431">
        <v>10061092100</v>
      </c>
      <c r="B3431" t="s">
        <v>962</v>
      </c>
    </row>
    <row r="3432" spans="1:2" x14ac:dyDescent="0.25">
      <c r="A3432">
        <v>10061092900</v>
      </c>
      <c r="B3432" t="s">
        <v>983</v>
      </c>
    </row>
    <row r="3433" spans="1:2" x14ac:dyDescent="0.25">
      <c r="A3433">
        <v>100620</v>
      </c>
      <c r="B3433" t="e">
        <f>- Arroz descascarillado (Arroz cargo o Arroz pardo)</f>
        <v>#NAME?</v>
      </c>
    </row>
    <row r="3434" spans="1:2" x14ac:dyDescent="0.25">
      <c r="A3434">
        <v>10062010</v>
      </c>
      <c r="B3434" t="s">
        <v>981</v>
      </c>
    </row>
    <row r="3435" spans="1:2" x14ac:dyDescent="0.25">
      <c r="A3435">
        <v>10062010100</v>
      </c>
      <c r="B3435" t="s">
        <v>984</v>
      </c>
    </row>
    <row r="3436" spans="1:2" x14ac:dyDescent="0.25">
      <c r="A3436">
        <v>10062010200</v>
      </c>
      <c r="B3436" t="s">
        <v>985</v>
      </c>
    </row>
    <row r="3437" spans="1:2" x14ac:dyDescent="0.25">
      <c r="A3437">
        <v>10062010900</v>
      </c>
      <c r="B3437" t="s">
        <v>10</v>
      </c>
    </row>
    <row r="3438" spans="1:2" x14ac:dyDescent="0.25">
      <c r="A3438">
        <v>10062020</v>
      </c>
      <c r="B3438" t="s">
        <v>982</v>
      </c>
    </row>
    <row r="3439" spans="1:2" x14ac:dyDescent="0.25">
      <c r="A3439">
        <v>10062020100</v>
      </c>
      <c r="B3439" t="s">
        <v>984</v>
      </c>
    </row>
    <row r="3440" spans="1:2" x14ac:dyDescent="0.25">
      <c r="A3440">
        <v>10062020200</v>
      </c>
      <c r="B3440" t="s">
        <v>986</v>
      </c>
    </row>
    <row r="3441" spans="1:2" x14ac:dyDescent="0.25">
      <c r="A3441">
        <v>10062020900</v>
      </c>
      <c r="B3441" t="s">
        <v>983</v>
      </c>
    </row>
    <row r="3442" spans="1:2" x14ac:dyDescent="0.25">
      <c r="A3442">
        <v>100630</v>
      </c>
      <c r="B3442" t="e">
        <f>- Arroz semiblanqueado o blanqueado. incluso pulido o glaseado</f>
        <v>#NAME?</v>
      </c>
    </row>
    <row r="3443" spans="1:2" x14ac:dyDescent="0.25">
      <c r="A3443">
        <v>1006301</v>
      </c>
      <c r="B3443" t="s">
        <v>981</v>
      </c>
    </row>
    <row r="3444" spans="1:2" x14ac:dyDescent="0.25">
      <c r="A3444">
        <v>10063011</v>
      </c>
      <c r="B3444" t="s">
        <v>987</v>
      </c>
    </row>
    <row r="3445" spans="1:2" x14ac:dyDescent="0.25">
      <c r="A3445">
        <v>100630111</v>
      </c>
      <c r="B3445" t="s">
        <v>988</v>
      </c>
    </row>
    <row r="3446" spans="1:2" x14ac:dyDescent="0.25">
      <c r="A3446">
        <v>10063011110</v>
      </c>
      <c r="B3446" t="s">
        <v>984</v>
      </c>
    </row>
    <row r="3447" spans="1:2" x14ac:dyDescent="0.25">
      <c r="A3447">
        <v>10063011120</v>
      </c>
      <c r="B3447" t="s">
        <v>985</v>
      </c>
    </row>
    <row r="3448" spans="1:2" x14ac:dyDescent="0.25">
      <c r="A3448">
        <v>10063011190</v>
      </c>
      <c r="B3448" t="s">
        <v>10</v>
      </c>
    </row>
    <row r="3449" spans="1:2" x14ac:dyDescent="0.25">
      <c r="A3449">
        <v>100630112</v>
      </c>
      <c r="B3449" t="s">
        <v>989</v>
      </c>
    </row>
    <row r="3450" spans="1:2" x14ac:dyDescent="0.25">
      <c r="A3450">
        <v>10063011210</v>
      </c>
      <c r="B3450" t="s">
        <v>984</v>
      </c>
    </row>
    <row r="3451" spans="1:2" x14ac:dyDescent="0.25">
      <c r="A3451">
        <v>10063011220</v>
      </c>
      <c r="B3451" t="s">
        <v>985</v>
      </c>
    </row>
    <row r="3452" spans="1:2" x14ac:dyDescent="0.25">
      <c r="A3452">
        <v>10063011290</v>
      </c>
      <c r="B3452" t="s">
        <v>10</v>
      </c>
    </row>
    <row r="3453" spans="1:2" x14ac:dyDescent="0.25">
      <c r="A3453">
        <v>10063019</v>
      </c>
      <c r="B3453" t="s">
        <v>10</v>
      </c>
    </row>
    <row r="3454" spans="1:2" x14ac:dyDescent="0.25">
      <c r="A3454">
        <v>100630191</v>
      </c>
      <c r="B3454" t="s">
        <v>988</v>
      </c>
    </row>
    <row r="3455" spans="1:2" x14ac:dyDescent="0.25">
      <c r="A3455">
        <v>10063019110</v>
      </c>
      <c r="B3455" t="s">
        <v>990</v>
      </c>
    </row>
    <row r="3456" spans="1:2" x14ac:dyDescent="0.25">
      <c r="A3456">
        <v>10063019190</v>
      </c>
      <c r="B3456" t="s">
        <v>10</v>
      </c>
    </row>
    <row r="3457" spans="1:2" x14ac:dyDescent="0.25">
      <c r="A3457">
        <v>100630192</v>
      </c>
      <c r="B3457" t="s">
        <v>989</v>
      </c>
    </row>
    <row r="3458" spans="1:2" x14ac:dyDescent="0.25">
      <c r="A3458">
        <v>10063019210</v>
      </c>
      <c r="B3458" t="s">
        <v>990</v>
      </c>
    </row>
    <row r="3459" spans="1:2" x14ac:dyDescent="0.25">
      <c r="A3459">
        <v>10063019290</v>
      </c>
      <c r="B3459" t="s">
        <v>10</v>
      </c>
    </row>
    <row r="3460" spans="1:2" x14ac:dyDescent="0.25">
      <c r="A3460">
        <v>1006302</v>
      </c>
      <c r="B3460" t="s">
        <v>982</v>
      </c>
    </row>
    <row r="3461" spans="1:2" x14ac:dyDescent="0.25">
      <c r="A3461">
        <v>10063021</v>
      </c>
      <c r="B3461" t="s">
        <v>987</v>
      </c>
    </row>
    <row r="3462" spans="1:2" x14ac:dyDescent="0.25">
      <c r="A3462">
        <v>100630211</v>
      </c>
      <c r="B3462" t="s">
        <v>988</v>
      </c>
    </row>
    <row r="3463" spans="1:2" x14ac:dyDescent="0.25">
      <c r="A3463">
        <v>10063021110</v>
      </c>
      <c r="B3463" t="s">
        <v>984</v>
      </c>
    </row>
    <row r="3464" spans="1:2" x14ac:dyDescent="0.25">
      <c r="A3464">
        <v>10063021120</v>
      </c>
      <c r="B3464" t="s">
        <v>985</v>
      </c>
    </row>
    <row r="3465" spans="1:2" x14ac:dyDescent="0.25">
      <c r="A3465">
        <v>10063021190</v>
      </c>
      <c r="B3465" t="s">
        <v>10</v>
      </c>
    </row>
    <row r="3466" spans="1:2" x14ac:dyDescent="0.25">
      <c r="A3466">
        <v>100630212</v>
      </c>
      <c r="B3466" t="s">
        <v>989</v>
      </c>
    </row>
    <row r="3467" spans="1:2" x14ac:dyDescent="0.25">
      <c r="A3467">
        <v>10063021210</v>
      </c>
      <c r="B3467" t="s">
        <v>984</v>
      </c>
    </row>
    <row r="3468" spans="1:2" x14ac:dyDescent="0.25">
      <c r="A3468">
        <v>10063021220</v>
      </c>
      <c r="B3468" t="s">
        <v>985</v>
      </c>
    </row>
    <row r="3469" spans="1:2" x14ac:dyDescent="0.25">
      <c r="A3469">
        <v>10063021290</v>
      </c>
      <c r="B3469" t="s">
        <v>10</v>
      </c>
    </row>
    <row r="3470" spans="1:2" x14ac:dyDescent="0.25">
      <c r="A3470">
        <v>10063029</v>
      </c>
      <c r="B3470" t="s">
        <v>10</v>
      </c>
    </row>
    <row r="3471" spans="1:2" x14ac:dyDescent="0.25">
      <c r="A3471">
        <v>100630291</v>
      </c>
      <c r="B3471" t="s">
        <v>988</v>
      </c>
    </row>
    <row r="3472" spans="1:2" x14ac:dyDescent="0.25">
      <c r="A3472">
        <v>10063029110</v>
      </c>
      <c r="B3472" t="s">
        <v>990</v>
      </c>
    </row>
    <row r="3473" spans="1:2" x14ac:dyDescent="0.25">
      <c r="A3473">
        <v>10063029190</v>
      </c>
      <c r="B3473" t="s">
        <v>10</v>
      </c>
    </row>
    <row r="3474" spans="1:2" x14ac:dyDescent="0.25">
      <c r="A3474">
        <v>100630292</v>
      </c>
      <c r="B3474" t="s">
        <v>989</v>
      </c>
    </row>
    <row r="3475" spans="1:2" x14ac:dyDescent="0.25">
      <c r="A3475">
        <v>10063029210</v>
      </c>
      <c r="B3475" t="s">
        <v>990</v>
      </c>
    </row>
    <row r="3476" spans="1:2" x14ac:dyDescent="0.25">
      <c r="A3476">
        <v>10063029290</v>
      </c>
      <c r="B3476" t="s">
        <v>10</v>
      </c>
    </row>
    <row r="3477" spans="1:2" x14ac:dyDescent="0.25">
      <c r="A3477">
        <v>10064000</v>
      </c>
      <c r="B3477" t="e">
        <f>- Arroz partido</f>
        <v>#NAME?</v>
      </c>
    </row>
    <row r="3478" spans="1:2" x14ac:dyDescent="0.25">
      <c r="A3478">
        <v>100640001</v>
      </c>
      <c r="B3478" t="s">
        <v>991</v>
      </c>
    </row>
    <row r="3479" spans="1:2" x14ac:dyDescent="0.25">
      <c r="A3479">
        <v>10064000110</v>
      </c>
      <c r="B3479" t="s">
        <v>990</v>
      </c>
    </row>
    <row r="3480" spans="1:2" x14ac:dyDescent="0.25">
      <c r="A3480">
        <v>10064000190</v>
      </c>
      <c r="B3480" t="s">
        <v>10</v>
      </c>
    </row>
    <row r="3481" spans="1:2" x14ac:dyDescent="0.25">
      <c r="A3481">
        <v>100640002</v>
      </c>
      <c r="B3481" t="s">
        <v>992</v>
      </c>
    </row>
    <row r="3482" spans="1:2" x14ac:dyDescent="0.25">
      <c r="A3482">
        <v>10064000210</v>
      </c>
      <c r="B3482" t="s">
        <v>990</v>
      </c>
    </row>
    <row r="3483" spans="1:2" x14ac:dyDescent="0.25">
      <c r="A3483">
        <v>10064000290</v>
      </c>
      <c r="B3483" t="s">
        <v>10</v>
      </c>
    </row>
    <row r="3484" spans="1:2" x14ac:dyDescent="0.25">
      <c r="A3484">
        <v>100640003</v>
      </c>
      <c r="B3484" t="s">
        <v>993</v>
      </c>
    </row>
    <row r="3485" spans="1:2" x14ac:dyDescent="0.25">
      <c r="A3485">
        <v>10064000310</v>
      </c>
      <c r="B3485" t="s">
        <v>994</v>
      </c>
    </row>
    <row r="3486" spans="1:2" x14ac:dyDescent="0.25">
      <c r="A3486">
        <v>10064000390</v>
      </c>
      <c r="B3486" t="s">
        <v>10</v>
      </c>
    </row>
    <row r="3487" spans="1:2" x14ac:dyDescent="0.25">
      <c r="A3487">
        <v>100640004</v>
      </c>
      <c r="B3487" t="s">
        <v>995</v>
      </c>
    </row>
    <row r="3488" spans="1:2" x14ac:dyDescent="0.25">
      <c r="A3488">
        <v>10064000410</v>
      </c>
      <c r="B3488" t="s">
        <v>994</v>
      </c>
    </row>
    <row r="3489" spans="1:2" x14ac:dyDescent="0.25">
      <c r="A3489">
        <v>10064000490</v>
      </c>
      <c r="B3489" t="s">
        <v>10</v>
      </c>
    </row>
    <row r="3490" spans="1:2" x14ac:dyDescent="0.25">
      <c r="A3490">
        <v>100640005</v>
      </c>
      <c r="B3490" t="s">
        <v>996</v>
      </c>
    </row>
    <row r="3491" spans="1:2" x14ac:dyDescent="0.25">
      <c r="A3491">
        <v>10064000510</v>
      </c>
      <c r="B3491" t="s">
        <v>997</v>
      </c>
    </row>
    <row r="3492" spans="1:2" x14ac:dyDescent="0.25">
      <c r="A3492">
        <v>10064000590</v>
      </c>
      <c r="B3492" t="s">
        <v>10</v>
      </c>
    </row>
    <row r="3493" spans="1:2" x14ac:dyDescent="0.25">
      <c r="A3493">
        <v>100640006</v>
      </c>
      <c r="B3493" t="s">
        <v>998</v>
      </c>
    </row>
    <row r="3494" spans="1:2" x14ac:dyDescent="0.25">
      <c r="A3494">
        <v>10064000610</v>
      </c>
      <c r="B3494" t="s">
        <v>994</v>
      </c>
    </row>
    <row r="3495" spans="1:2" x14ac:dyDescent="0.25">
      <c r="A3495">
        <v>10064000690</v>
      </c>
      <c r="B3495" t="s">
        <v>10</v>
      </c>
    </row>
    <row r="3496" spans="1:2" x14ac:dyDescent="0.25">
      <c r="A3496">
        <v>100640007</v>
      </c>
      <c r="B3496" t="s">
        <v>999</v>
      </c>
    </row>
    <row r="3497" spans="1:2" x14ac:dyDescent="0.25">
      <c r="A3497">
        <v>10064000710</v>
      </c>
      <c r="B3497" t="s">
        <v>797</v>
      </c>
    </row>
    <row r="3498" spans="1:2" x14ac:dyDescent="0.25">
      <c r="A3498">
        <v>10064000790</v>
      </c>
      <c r="B3498" t="s">
        <v>10</v>
      </c>
    </row>
    <row r="3499" spans="1:2" x14ac:dyDescent="0.25">
      <c r="A3499">
        <v>100640008</v>
      </c>
      <c r="B3499" t="s">
        <v>1000</v>
      </c>
    </row>
    <row r="3500" spans="1:2" x14ac:dyDescent="0.25">
      <c r="A3500">
        <v>10064000810</v>
      </c>
      <c r="B3500" t="s">
        <v>994</v>
      </c>
    </row>
    <row r="3501" spans="1:2" x14ac:dyDescent="0.25">
      <c r="A3501">
        <v>10064000890</v>
      </c>
      <c r="B3501" t="s">
        <v>10</v>
      </c>
    </row>
    <row r="3502" spans="1:2" x14ac:dyDescent="0.25">
      <c r="A3502">
        <v>100640009</v>
      </c>
      <c r="B3502" t="s">
        <v>10</v>
      </c>
    </row>
    <row r="3503" spans="1:2" x14ac:dyDescent="0.25">
      <c r="A3503">
        <v>10064000910</v>
      </c>
      <c r="B3503" t="s">
        <v>1001</v>
      </c>
    </row>
    <row r="3504" spans="1:2" x14ac:dyDescent="0.25">
      <c r="A3504">
        <v>10064000990</v>
      </c>
      <c r="B3504" t="s">
        <v>10</v>
      </c>
    </row>
    <row r="3505" spans="1:2" x14ac:dyDescent="0.25">
      <c r="A3505">
        <v>1007</v>
      </c>
      <c r="B3505" t="s">
        <v>1002</v>
      </c>
    </row>
    <row r="3506" spans="1:2" x14ac:dyDescent="0.25">
      <c r="A3506">
        <v>10071000000</v>
      </c>
      <c r="B3506" t="e">
        <f>-para siembra</f>
        <v>#NAME?</v>
      </c>
    </row>
    <row r="3507" spans="1:2" x14ac:dyDescent="0.25">
      <c r="A3507">
        <v>10079000</v>
      </c>
      <c r="B3507" t="e">
        <f>- Los demas</f>
        <v>#NAME?</v>
      </c>
    </row>
    <row r="3508" spans="1:2" x14ac:dyDescent="0.25">
      <c r="A3508">
        <v>10079000100</v>
      </c>
      <c r="B3508" t="s">
        <v>1003</v>
      </c>
    </row>
    <row r="3509" spans="1:2" x14ac:dyDescent="0.25">
      <c r="A3509">
        <v>100790002</v>
      </c>
      <c r="B3509" t="s">
        <v>1004</v>
      </c>
    </row>
    <row r="3510" spans="1:2" x14ac:dyDescent="0.25">
      <c r="A3510">
        <v>10079000210</v>
      </c>
      <c r="B3510" t="s">
        <v>962</v>
      </c>
    </row>
    <row r="3511" spans="1:2" x14ac:dyDescent="0.25">
      <c r="A3511">
        <v>10079000290</v>
      </c>
      <c r="B3511" t="s">
        <v>10</v>
      </c>
    </row>
    <row r="3512" spans="1:2" x14ac:dyDescent="0.25">
      <c r="A3512">
        <v>1008</v>
      </c>
      <c r="B3512" t="s">
        <v>1005</v>
      </c>
    </row>
    <row r="3513" spans="1:2" x14ac:dyDescent="0.25">
      <c r="A3513">
        <v>100810</v>
      </c>
      <c r="B3513" t="e">
        <f>- Alforfon</f>
        <v>#NAME?</v>
      </c>
    </row>
    <row r="3514" spans="1:2" x14ac:dyDescent="0.25">
      <c r="A3514">
        <v>10081010</v>
      </c>
      <c r="B3514" t="s">
        <v>743</v>
      </c>
    </row>
    <row r="3515" spans="1:2" x14ac:dyDescent="0.25">
      <c r="A3515">
        <v>10081010100</v>
      </c>
      <c r="B3515" t="s">
        <v>1006</v>
      </c>
    </row>
    <row r="3516" spans="1:2" x14ac:dyDescent="0.25">
      <c r="A3516">
        <v>10081010900</v>
      </c>
      <c r="B3516" t="s">
        <v>10</v>
      </c>
    </row>
    <row r="3517" spans="1:2" x14ac:dyDescent="0.25">
      <c r="A3517">
        <v>10081090000</v>
      </c>
      <c r="B3517" t="s">
        <v>10</v>
      </c>
    </row>
    <row r="3518" spans="1:2" x14ac:dyDescent="0.25">
      <c r="A3518">
        <v>10082</v>
      </c>
      <c r="B3518" t="s">
        <v>1007</v>
      </c>
    </row>
    <row r="3519" spans="1:2" x14ac:dyDescent="0.25">
      <c r="A3519">
        <v>100821</v>
      </c>
      <c r="B3519" t="e">
        <f>- - para siembra</f>
        <v>#NAME?</v>
      </c>
    </row>
    <row r="3520" spans="1:2" x14ac:dyDescent="0.25">
      <c r="A3520">
        <v>10082110</v>
      </c>
      <c r="B3520" t="s">
        <v>1008</v>
      </c>
    </row>
    <row r="3521" spans="1:2" x14ac:dyDescent="0.25">
      <c r="A3521">
        <v>10082110100</v>
      </c>
      <c r="B3521" t="s">
        <v>1006</v>
      </c>
    </row>
    <row r="3522" spans="1:2" x14ac:dyDescent="0.25">
      <c r="A3522">
        <v>10082110900</v>
      </c>
      <c r="B3522" t="s">
        <v>10</v>
      </c>
    </row>
    <row r="3523" spans="1:2" x14ac:dyDescent="0.25">
      <c r="A3523">
        <v>10082190</v>
      </c>
      <c r="B3523" t="s">
        <v>10</v>
      </c>
    </row>
    <row r="3524" spans="1:2" x14ac:dyDescent="0.25">
      <c r="A3524">
        <v>10082190100</v>
      </c>
      <c r="B3524" t="s">
        <v>1006</v>
      </c>
    </row>
    <row r="3525" spans="1:2" x14ac:dyDescent="0.25">
      <c r="A3525">
        <v>10082190900</v>
      </c>
      <c r="B3525" t="s">
        <v>10</v>
      </c>
    </row>
    <row r="3526" spans="1:2" x14ac:dyDescent="0.25">
      <c r="A3526">
        <v>100829</v>
      </c>
      <c r="B3526" t="e">
        <f>- - Los demas</f>
        <v>#NAME?</v>
      </c>
    </row>
    <row r="3527" spans="1:2" x14ac:dyDescent="0.25">
      <c r="A3527">
        <v>10082910</v>
      </c>
      <c r="B3527" t="s">
        <v>1008</v>
      </c>
    </row>
    <row r="3528" spans="1:2" x14ac:dyDescent="0.25">
      <c r="A3528">
        <v>10082910100</v>
      </c>
      <c r="B3528" t="s">
        <v>1009</v>
      </c>
    </row>
    <row r="3529" spans="1:2" x14ac:dyDescent="0.25">
      <c r="A3529">
        <v>100829102</v>
      </c>
      <c r="B3529" t="s">
        <v>1010</v>
      </c>
    </row>
    <row r="3530" spans="1:2" x14ac:dyDescent="0.25">
      <c r="A3530">
        <v>10082910210</v>
      </c>
      <c r="B3530" t="s">
        <v>994</v>
      </c>
    </row>
    <row r="3531" spans="1:2" x14ac:dyDescent="0.25">
      <c r="A3531">
        <v>10082910290</v>
      </c>
      <c r="B3531" t="s">
        <v>10</v>
      </c>
    </row>
    <row r="3532" spans="1:2" x14ac:dyDescent="0.25">
      <c r="A3532">
        <v>10082990</v>
      </c>
      <c r="B3532" t="s">
        <v>10</v>
      </c>
    </row>
    <row r="3533" spans="1:2" x14ac:dyDescent="0.25">
      <c r="A3533">
        <v>10082990100</v>
      </c>
      <c r="B3533" t="s">
        <v>966</v>
      </c>
    </row>
    <row r="3534" spans="1:2" x14ac:dyDescent="0.25">
      <c r="A3534">
        <v>100829902</v>
      </c>
      <c r="B3534" t="s">
        <v>967</v>
      </c>
    </row>
    <row r="3535" spans="1:2" x14ac:dyDescent="0.25">
      <c r="A3535">
        <v>10082990210</v>
      </c>
      <c r="B3535" t="s">
        <v>797</v>
      </c>
    </row>
    <row r="3536" spans="1:2" x14ac:dyDescent="0.25">
      <c r="A3536">
        <v>10082990290</v>
      </c>
      <c r="B3536" t="s">
        <v>10</v>
      </c>
    </row>
    <row r="3537" spans="1:2" x14ac:dyDescent="0.25">
      <c r="A3537">
        <v>100830</v>
      </c>
      <c r="B3537" t="e">
        <f>- Alpiste</f>
        <v>#NAME?</v>
      </c>
    </row>
    <row r="3538" spans="1:2" x14ac:dyDescent="0.25">
      <c r="A3538">
        <v>10083010000</v>
      </c>
      <c r="B3538" t="s">
        <v>743</v>
      </c>
    </row>
    <row r="3539" spans="1:2" x14ac:dyDescent="0.25">
      <c r="A3539">
        <v>10083090</v>
      </c>
      <c r="B3539" t="s">
        <v>10</v>
      </c>
    </row>
    <row r="3540" spans="1:2" x14ac:dyDescent="0.25">
      <c r="A3540">
        <v>10083090100</v>
      </c>
      <c r="B3540" t="s">
        <v>1003</v>
      </c>
    </row>
    <row r="3541" spans="1:2" x14ac:dyDescent="0.25">
      <c r="A3541">
        <v>100830902</v>
      </c>
      <c r="B3541" t="s">
        <v>1011</v>
      </c>
    </row>
    <row r="3542" spans="1:2" x14ac:dyDescent="0.25">
      <c r="A3542">
        <v>10083090210</v>
      </c>
      <c r="B3542" t="s">
        <v>994</v>
      </c>
    </row>
    <row r="3543" spans="1:2" x14ac:dyDescent="0.25">
      <c r="A3543">
        <v>10083090290</v>
      </c>
      <c r="B3543" t="s">
        <v>10</v>
      </c>
    </row>
    <row r="3544" spans="1:2" x14ac:dyDescent="0.25">
      <c r="A3544">
        <v>100840</v>
      </c>
      <c r="B3544" t="e">
        <f>- Fonio (Digitaria spp.)</f>
        <v>#NAME?</v>
      </c>
    </row>
    <row r="3545" spans="1:2" x14ac:dyDescent="0.25">
      <c r="A3545">
        <v>10084010000</v>
      </c>
      <c r="B3545" t="s">
        <v>743</v>
      </c>
    </row>
    <row r="3546" spans="1:2" x14ac:dyDescent="0.25">
      <c r="A3546">
        <v>10084090000</v>
      </c>
      <c r="B3546" t="s">
        <v>10</v>
      </c>
    </row>
    <row r="3547" spans="1:2" x14ac:dyDescent="0.25">
      <c r="A3547">
        <v>100850</v>
      </c>
      <c r="B3547" t="e">
        <f>- Quinoa (quinua)* (Chenopodium Quinoa)</f>
        <v>#NAME?</v>
      </c>
    </row>
    <row r="3548" spans="1:2" x14ac:dyDescent="0.25">
      <c r="A3548">
        <v>10085010000</v>
      </c>
      <c r="B3548" t="s">
        <v>743</v>
      </c>
    </row>
    <row r="3549" spans="1:2" x14ac:dyDescent="0.25">
      <c r="A3549">
        <v>10085090000</v>
      </c>
      <c r="B3549" t="s">
        <v>57</v>
      </c>
    </row>
    <row r="3550" spans="1:2" x14ac:dyDescent="0.25">
      <c r="A3550">
        <v>100860</v>
      </c>
      <c r="B3550" t="e">
        <f>- Triticale</f>
        <v>#NAME?</v>
      </c>
    </row>
    <row r="3551" spans="1:2" x14ac:dyDescent="0.25">
      <c r="A3551">
        <v>10086010000</v>
      </c>
      <c r="B3551" t="s">
        <v>743</v>
      </c>
    </row>
    <row r="3552" spans="1:2" x14ac:dyDescent="0.25">
      <c r="A3552">
        <v>10086090000</v>
      </c>
      <c r="B3552" t="s">
        <v>10</v>
      </c>
    </row>
    <row r="3553" spans="1:2" x14ac:dyDescent="0.25">
      <c r="A3553">
        <v>100890</v>
      </c>
      <c r="B3553" t="e">
        <f>- Los demas cereales</f>
        <v>#NAME?</v>
      </c>
    </row>
    <row r="3554" spans="1:2" x14ac:dyDescent="0.25">
      <c r="A3554">
        <v>10089010000</v>
      </c>
      <c r="B3554" t="s">
        <v>743</v>
      </c>
    </row>
    <row r="3555" spans="1:2" x14ac:dyDescent="0.25">
      <c r="A3555">
        <v>10089090000</v>
      </c>
      <c r="B3555" t="s">
        <v>10</v>
      </c>
    </row>
    <row r="3556" spans="1:2" x14ac:dyDescent="0.25">
      <c r="A3556">
        <v>110100</v>
      </c>
      <c r="B3556" t="s">
        <v>1012</v>
      </c>
    </row>
    <row r="3557" spans="1:2" x14ac:dyDescent="0.25">
      <c r="A3557">
        <v>11010010</v>
      </c>
      <c r="B3557" t="s">
        <v>1013</v>
      </c>
    </row>
    <row r="3558" spans="1:2" x14ac:dyDescent="0.25">
      <c r="A3558">
        <v>110100101</v>
      </c>
      <c r="B3558" t="s">
        <v>1014</v>
      </c>
    </row>
    <row r="3559" spans="1:2" x14ac:dyDescent="0.25">
      <c r="A3559">
        <v>11010010110</v>
      </c>
      <c r="B3559" t="s">
        <v>994</v>
      </c>
    </row>
    <row r="3560" spans="1:2" x14ac:dyDescent="0.25">
      <c r="A3560">
        <v>11010010120</v>
      </c>
      <c r="B3560" t="s">
        <v>1015</v>
      </c>
    </row>
    <row r="3561" spans="1:2" x14ac:dyDescent="0.25">
      <c r="A3561">
        <v>11010010190</v>
      </c>
      <c r="B3561" t="s">
        <v>10</v>
      </c>
    </row>
    <row r="3562" spans="1:2" x14ac:dyDescent="0.25">
      <c r="A3562">
        <v>110100109</v>
      </c>
      <c r="B3562" t="s">
        <v>57</v>
      </c>
    </row>
    <row r="3563" spans="1:2" x14ac:dyDescent="0.25">
      <c r="A3563">
        <v>11010010910</v>
      </c>
      <c r="B3563" t="s">
        <v>994</v>
      </c>
    </row>
    <row r="3564" spans="1:2" x14ac:dyDescent="0.25">
      <c r="A3564">
        <v>11010010920</v>
      </c>
      <c r="B3564" t="s">
        <v>1015</v>
      </c>
    </row>
    <row r="3565" spans="1:2" x14ac:dyDescent="0.25">
      <c r="A3565">
        <v>11010010990</v>
      </c>
      <c r="B3565" t="s">
        <v>10</v>
      </c>
    </row>
    <row r="3566" spans="1:2" x14ac:dyDescent="0.25">
      <c r="A3566">
        <v>11010020000</v>
      </c>
      <c r="B3566" t="s">
        <v>1016</v>
      </c>
    </row>
    <row r="3567" spans="1:2" x14ac:dyDescent="0.25">
      <c r="A3567">
        <v>1102</v>
      </c>
      <c r="B3567" t="s">
        <v>1017</v>
      </c>
    </row>
    <row r="3568" spans="1:2" x14ac:dyDescent="0.25">
      <c r="A3568">
        <v>11022000</v>
      </c>
      <c r="B3568" t="e">
        <f>- harina de Maiz</f>
        <v>#NAME?</v>
      </c>
    </row>
    <row r="3569" spans="1:2" x14ac:dyDescent="0.25">
      <c r="A3569">
        <v>11022000100</v>
      </c>
      <c r="B3569" t="s">
        <v>1018</v>
      </c>
    </row>
    <row r="3570" spans="1:2" x14ac:dyDescent="0.25">
      <c r="A3570">
        <v>11022000900</v>
      </c>
      <c r="B3570" t="s">
        <v>57</v>
      </c>
    </row>
    <row r="3571" spans="1:2" x14ac:dyDescent="0.25">
      <c r="A3571">
        <v>11029000</v>
      </c>
      <c r="B3571" t="e">
        <f>- las demas</f>
        <v>#NAME?</v>
      </c>
    </row>
    <row r="3572" spans="1:2" x14ac:dyDescent="0.25">
      <c r="A3572">
        <v>11029000100</v>
      </c>
      <c r="B3572" t="s">
        <v>1019</v>
      </c>
    </row>
    <row r="3573" spans="1:2" x14ac:dyDescent="0.25">
      <c r="A3573">
        <v>11029000200</v>
      </c>
      <c r="B3573" t="s">
        <v>1020</v>
      </c>
    </row>
    <row r="3574" spans="1:2" x14ac:dyDescent="0.25">
      <c r="A3574">
        <v>11029000300</v>
      </c>
      <c r="B3574" t="s">
        <v>1021</v>
      </c>
    </row>
    <row r="3575" spans="1:2" x14ac:dyDescent="0.25">
      <c r="A3575">
        <v>11029000400</v>
      </c>
      <c r="B3575" t="s">
        <v>1022</v>
      </c>
    </row>
    <row r="3576" spans="1:2" x14ac:dyDescent="0.25">
      <c r="A3576">
        <v>11029000500</v>
      </c>
      <c r="B3576" t="s">
        <v>1023</v>
      </c>
    </row>
    <row r="3577" spans="1:2" x14ac:dyDescent="0.25">
      <c r="A3577">
        <v>11029000900</v>
      </c>
      <c r="B3577" t="s">
        <v>57</v>
      </c>
    </row>
    <row r="3578" spans="1:2" x14ac:dyDescent="0.25">
      <c r="A3578">
        <v>1103</v>
      </c>
      <c r="B3578" t="s">
        <v>1024</v>
      </c>
    </row>
    <row r="3579" spans="1:2" x14ac:dyDescent="0.25">
      <c r="A3579">
        <v>11031</v>
      </c>
      <c r="B3579" t="s">
        <v>1025</v>
      </c>
    </row>
    <row r="3580" spans="1:2" x14ac:dyDescent="0.25">
      <c r="A3580">
        <v>11031100</v>
      </c>
      <c r="B3580" t="e">
        <f>- - de Trigo</f>
        <v>#NAME?</v>
      </c>
    </row>
    <row r="3581" spans="1:2" x14ac:dyDescent="0.25">
      <c r="A3581">
        <v>11031100100</v>
      </c>
      <c r="B3581" t="s">
        <v>745</v>
      </c>
    </row>
    <row r="3582" spans="1:2" x14ac:dyDescent="0.25">
      <c r="A3582">
        <v>11031100900</v>
      </c>
      <c r="B3582" t="s">
        <v>10</v>
      </c>
    </row>
    <row r="3583" spans="1:2" x14ac:dyDescent="0.25">
      <c r="A3583">
        <v>11031300</v>
      </c>
      <c r="B3583" t="e">
        <f>- - de Maiz</f>
        <v>#NAME?</v>
      </c>
    </row>
    <row r="3584" spans="1:2" x14ac:dyDescent="0.25">
      <c r="A3584">
        <v>11031300100</v>
      </c>
      <c r="B3584" t="s">
        <v>745</v>
      </c>
    </row>
    <row r="3585" spans="1:2" x14ac:dyDescent="0.25">
      <c r="A3585">
        <v>11031300900</v>
      </c>
      <c r="B3585" t="s">
        <v>10</v>
      </c>
    </row>
    <row r="3586" spans="1:2" x14ac:dyDescent="0.25">
      <c r="A3586">
        <v>11031900</v>
      </c>
      <c r="B3586" t="e">
        <f>- - de Los demas cereales</f>
        <v>#NAME?</v>
      </c>
    </row>
    <row r="3587" spans="1:2" x14ac:dyDescent="0.25">
      <c r="A3587">
        <v>11031900100</v>
      </c>
      <c r="B3587" t="s">
        <v>1023</v>
      </c>
    </row>
    <row r="3588" spans="1:2" x14ac:dyDescent="0.25">
      <c r="A3588">
        <v>11031900200</v>
      </c>
      <c r="B3588" t="s">
        <v>1019</v>
      </c>
    </row>
    <row r="3589" spans="1:2" x14ac:dyDescent="0.25">
      <c r="A3589">
        <v>11031900900</v>
      </c>
      <c r="B3589" t="s">
        <v>1026</v>
      </c>
    </row>
    <row r="3590" spans="1:2" x14ac:dyDescent="0.25">
      <c r="A3590">
        <v>11032000000</v>
      </c>
      <c r="B3590" t="s">
        <v>1027</v>
      </c>
    </row>
    <row r="3591" spans="1:2" x14ac:dyDescent="0.25">
      <c r="A3591">
        <v>1104</v>
      </c>
      <c r="B3591" t="s">
        <v>1028</v>
      </c>
    </row>
    <row r="3592" spans="1:2" x14ac:dyDescent="0.25">
      <c r="A3592">
        <v>11041</v>
      </c>
      <c r="B3592" t="s">
        <v>1029</v>
      </c>
    </row>
    <row r="3593" spans="1:2" x14ac:dyDescent="0.25">
      <c r="A3593">
        <v>11041200000</v>
      </c>
      <c r="B3593" t="e">
        <f>--de avena</f>
        <v>#NAME?</v>
      </c>
    </row>
    <row r="3594" spans="1:2" x14ac:dyDescent="0.25">
      <c r="A3594">
        <v>11041900000</v>
      </c>
      <c r="B3594" t="e">
        <f>--de Los demas cereales</f>
        <v>#NAME?</v>
      </c>
    </row>
    <row r="3595" spans="1:2" x14ac:dyDescent="0.25">
      <c r="A3595">
        <v>11042</v>
      </c>
      <c r="B3595" t="s">
        <v>1030</v>
      </c>
    </row>
    <row r="3596" spans="1:2" x14ac:dyDescent="0.25">
      <c r="A3596">
        <v>11042200</v>
      </c>
      <c r="B3596" t="e">
        <f>- - de avena</f>
        <v>#NAME?</v>
      </c>
    </row>
    <row r="3597" spans="1:2" x14ac:dyDescent="0.25">
      <c r="A3597">
        <v>110422001</v>
      </c>
      <c r="B3597" t="s">
        <v>1031</v>
      </c>
    </row>
    <row r="3598" spans="1:2" x14ac:dyDescent="0.25">
      <c r="A3598">
        <v>11042200110</v>
      </c>
      <c r="B3598" t="s">
        <v>1032</v>
      </c>
    </row>
    <row r="3599" spans="1:2" x14ac:dyDescent="0.25">
      <c r="A3599">
        <v>1104220012</v>
      </c>
      <c r="B3599" t="s">
        <v>967</v>
      </c>
    </row>
    <row r="3600" spans="1:2" x14ac:dyDescent="0.25">
      <c r="A3600">
        <v>11042200121</v>
      </c>
      <c r="B3600" t="s">
        <v>797</v>
      </c>
    </row>
    <row r="3601" spans="1:2" x14ac:dyDescent="0.25">
      <c r="A3601">
        <v>11042200129</v>
      </c>
      <c r="B3601" t="s">
        <v>57</v>
      </c>
    </row>
    <row r="3602" spans="1:2" x14ac:dyDescent="0.25">
      <c r="A3602">
        <v>11042200900</v>
      </c>
      <c r="B3602" t="s">
        <v>57</v>
      </c>
    </row>
    <row r="3603" spans="1:2" x14ac:dyDescent="0.25">
      <c r="A3603">
        <v>11042300000</v>
      </c>
      <c r="B3603" t="e">
        <f>--de Maiz</f>
        <v>#NAME?</v>
      </c>
    </row>
    <row r="3604" spans="1:2" x14ac:dyDescent="0.25">
      <c r="A3604">
        <v>11042900000</v>
      </c>
      <c r="B3604" t="e">
        <f>--de Los demas cereales</f>
        <v>#NAME?</v>
      </c>
    </row>
    <row r="3605" spans="1:2" x14ac:dyDescent="0.25">
      <c r="A3605">
        <v>11043000</v>
      </c>
      <c r="B3605" t="e">
        <f>- Germen de cereales entero. aplastado. En copos o molido</f>
        <v>#NAME?</v>
      </c>
    </row>
    <row r="3606" spans="1:2" x14ac:dyDescent="0.25">
      <c r="A3606">
        <v>11043000100</v>
      </c>
      <c r="B3606" t="s">
        <v>1033</v>
      </c>
    </row>
    <row r="3607" spans="1:2" x14ac:dyDescent="0.25">
      <c r="A3607">
        <v>11043000200</v>
      </c>
      <c r="B3607" t="s">
        <v>1034</v>
      </c>
    </row>
    <row r="3608" spans="1:2" x14ac:dyDescent="0.25">
      <c r="A3608">
        <v>11043000900</v>
      </c>
      <c r="B3608" t="s">
        <v>1026</v>
      </c>
    </row>
    <row r="3609" spans="1:2" x14ac:dyDescent="0.25">
      <c r="A3609">
        <v>1105</v>
      </c>
      <c r="B3609" t="s">
        <v>1035</v>
      </c>
    </row>
    <row r="3610" spans="1:2" x14ac:dyDescent="0.25">
      <c r="A3610">
        <v>11051000000</v>
      </c>
      <c r="B3610" t="e">
        <f>-Harina. semola y polvo</f>
        <v>#NAME?</v>
      </c>
    </row>
    <row r="3611" spans="1:2" x14ac:dyDescent="0.25">
      <c r="A3611">
        <v>11052000</v>
      </c>
      <c r="B3611" t="s">
        <v>1036</v>
      </c>
    </row>
    <row r="3612" spans="1:2" x14ac:dyDescent="0.25">
      <c r="A3612">
        <v>11052000100</v>
      </c>
      <c r="B3612" t="s">
        <v>320</v>
      </c>
    </row>
    <row r="3613" spans="1:2" x14ac:dyDescent="0.25">
      <c r="A3613">
        <v>11052000900</v>
      </c>
      <c r="B3613" t="s">
        <v>10</v>
      </c>
    </row>
    <row r="3614" spans="1:2" x14ac:dyDescent="0.25">
      <c r="A3614">
        <v>1106</v>
      </c>
      <c r="B3614" t="s">
        <v>1037</v>
      </c>
    </row>
    <row r="3615" spans="1:2" x14ac:dyDescent="0.25">
      <c r="A3615">
        <v>11061000</v>
      </c>
      <c r="B3615" t="s">
        <v>1038</v>
      </c>
    </row>
    <row r="3616" spans="1:2" x14ac:dyDescent="0.25">
      <c r="A3616">
        <v>11061000100</v>
      </c>
      <c r="B3616" t="s">
        <v>1039</v>
      </c>
    </row>
    <row r="3617" spans="1:2" x14ac:dyDescent="0.25">
      <c r="A3617">
        <v>11061000200</v>
      </c>
      <c r="B3617" t="s">
        <v>1040</v>
      </c>
    </row>
    <row r="3618" spans="1:2" x14ac:dyDescent="0.25">
      <c r="A3618">
        <v>11061000300</v>
      </c>
      <c r="B3618" t="s">
        <v>1041</v>
      </c>
    </row>
    <row r="3619" spans="1:2" x14ac:dyDescent="0.25">
      <c r="A3619">
        <v>11061000400</v>
      </c>
      <c r="B3619" t="s">
        <v>1042</v>
      </c>
    </row>
    <row r="3620" spans="1:2" x14ac:dyDescent="0.25">
      <c r="A3620">
        <v>11061000500</v>
      </c>
      <c r="B3620" t="s">
        <v>1043</v>
      </c>
    </row>
    <row r="3621" spans="1:2" x14ac:dyDescent="0.25">
      <c r="A3621">
        <v>11061000900</v>
      </c>
      <c r="B3621" t="s">
        <v>10</v>
      </c>
    </row>
    <row r="3622" spans="1:2" x14ac:dyDescent="0.25">
      <c r="A3622">
        <v>11062000000</v>
      </c>
      <c r="B3622" t="s">
        <v>1044</v>
      </c>
    </row>
    <row r="3623" spans="1:2" x14ac:dyDescent="0.25">
      <c r="A3623">
        <v>11063000</v>
      </c>
      <c r="B3623" t="s">
        <v>1045</v>
      </c>
    </row>
    <row r="3624" spans="1:2" x14ac:dyDescent="0.25">
      <c r="A3624">
        <v>11063000100</v>
      </c>
      <c r="B3624" t="s">
        <v>1046</v>
      </c>
    </row>
    <row r="3625" spans="1:2" x14ac:dyDescent="0.25">
      <c r="A3625">
        <v>11063000200</v>
      </c>
      <c r="B3625" t="s">
        <v>1047</v>
      </c>
    </row>
    <row r="3626" spans="1:2" x14ac:dyDescent="0.25">
      <c r="A3626">
        <v>11063000300</v>
      </c>
      <c r="B3626" t="s">
        <v>1048</v>
      </c>
    </row>
    <row r="3627" spans="1:2" x14ac:dyDescent="0.25">
      <c r="A3627">
        <v>11063000900</v>
      </c>
      <c r="B3627" t="s">
        <v>10</v>
      </c>
    </row>
    <row r="3628" spans="1:2" x14ac:dyDescent="0.25">
      <c r="A3628">
        <v>1107</v>
      </c>
      <c r="B3628" t="s">
        <v>1049</v>
      </c>
    </row>
    <row r="3629" spans="1:2" x14ac:dyDescent="0.25">
      <c r="A3629">
        <v>110710</v>
      </c>
      <c r="B3629" t="e">
        <f>- sin tostar</f>
        <v>#NAME?</v>
      </c>
    </row>
    <row r="3630" spans="1:2" x14ac:dyDescent="0.25">
      <c r="A3630">
        <v>11071010</v>
      </c>
      <c r="B3630" t="s">
        <v>1050</v>
      </c>
    </row>
    <row r="3631" spans="1:2" x14ac:dyDescent="0.25">
      <c r="A3631">
        <v>110710101</v>
      </c>
      <c r="B3631" t="s">
        <v>1051</v>
      </c>
    </row>
    <row r="3632" spans="1:2" x14ac:dyDescent="0.25">
      <c r="A3632">
        <v>11071010110</v>
      </c>
      <c r="B3632" t="s">
        <v>962</v>
      </c>
    </row>
    <row r="3633" spans="1:2" x14ac:dyDescent="0.25">
      <c r="A3633">
        <v>11071010190</v>
      </c>
      <c r="B3633" t="s">
        <v>10</v>
      </c>
    </row>
    <row r="3634" spans="1:2" x14ac:dyDescent="0.25">
      <c r="A3634">
        <v>11071010900</v>
      </c>
      <c r="B3634" t="s">
        <v>57</v>
      </c>
    </row>
    <row r="3635" spans="1:2" x14ac:dyDescent="0.25">
      <c r="A3635">
        <v>11071020000</v>
      </c>
      <c r="B3635" t="s">
        <v>1052</v>
      </c>
    </row>
    <row r="3636" spans="1:2" x14ac:dyDescent="0.25">
      <c r="A3636">
        <v>110720</v>
      </c>
      <c r="B3636" t="e">
        <f>- Tostada</f>
        <v>#NAME?</v>
      </c>
    </row>
    <row r="3637" spans="1:2" x14ac:dyDescent="0.25">
      <c r="A3637">
        <v>11072010000</v>
      </c>
      <c r="B3637" t="s">
        <v>1050</v>
      </c>
    </row>
    <row r="3638" spans="1:2" x14ac:dyDescent="0.25">
      <c r="A3638">
        <v>11072020000</v>
      </c>
      <c r="B3638" t="s">
        <v>1052</v>
      </c>
    </row>
    <row r="3639" spans="1:2" x14ac:dyDescent="0.25">
      <c r="A3639">
        <v>1108</v>
      </c>
      <c r="B3639" t="s">
        <v>1053</v>
      </c>
    </row>
    <row r="3640" spans="1:2" x14ac:dyDescent="0.25">
      <c r="A3640">
        <v>11081</v>
      </c>
      <c r="B3640" t="s">
        <v>1054</v>
      </c>
    </row>
    <row r="3641" spans="1:2" x14ac:dyDescent="0.25">
      <c r="A3641">
        <v>11081100000</v>
      </c>
      <c r="B3641" t="e">
        <f>--Almidon de Trigo</f>
        <v>#NAME?</v>
      </c>
    </row>
    <row r="3642" spans="1:2" x14ac:dyDescent="0.25">
      <c r="A3642">
        <v>11081200000</v>
      </c>
      <c r="B3642" t="e">
        <f>--Almidon de Maiz</f>
        <v>#NAME?</v>
      </c>
    </row>
    <row r="3643" spans="1:2" x14ac:dyDescent="0.25">
      <c r="A3643">
        <v>11081300000</v>
      </c>
      <c r="B3643" t="s">
        <v>1055</v>
      </c>
    </row>
    <row r="3644" spans="1:2" x14ac:dyDescent="0.25">
      <c r="A3644">
        <v>11081400000</v>
      </c>
      <c r="B3644" t="s">
        <v>1056</v>
      </c>
    </row>
    <row r="3645" spans="1:2" x14ac:dyDescent="0.25">
      <c r="A3645">
        <v>11081900</v>
      </c>
      <c r="B3645" t="e">
        <f>- - Los demas almidones y feculas</f>
        <v>#NAME?</v>
      </c>
    </row>
    <row r="3646" spans="1:2" x14ac:dyDescent="0.25">
      <c r="A3646">
        <v>11081900100</v>
      </c>
      <c r="B3646" t="s">
        <v>1057</v>
      </c>
    </row>
    <row r="3647" spans="1:2" x14ac:dyDescent="0.25">
      <c r="A3647">
        <v>11081900900</v>
      </c>
      <c r="B3647" t="s">
        <v>10</v>
      </c>
    </row>
    <row r="3648" spans="1:2" x14ac:dyDescent="0.25">
      <c r="A3648">
        <v>11082000000</v>
      </c>
      <c r="B3648" t="e">
        <f>-Inulina</f>
        <v>#NAME?</v>
      </c>
    </row>
    <row r="3649" spans="1:2" x14ac:dyDescent="0.25">
      <c r="A3649">
        <v>11090000000</v>
      </c>
      <c r="B3649" t="s">
        <v>1058</v>
      </c>
    </row>
    <row r="3650" spans="1:2" x14ac:dyDescent="0.25">
      <c r="A3650">
        <v>1201</v>
      </c>
      <c r="B3650" t="s">
        <v>1059</v>
      </c>
    </row>
    <row r="3651" spans="1:2" x14ac:dyDescent="0.25">
      <c r="A3651">
        <v>12011000000</v>
      </c>
      <c r="B3651" t="e">
        <f>-para siembra</f>
        <v>#NAME?</v>
      </c>
    </row>
    <row r="3652" spans="1:2" x14ac:dyDescent="0.25">
      <c r="A3652">
        <v>12019000</v>
      </c>
      <c r="B3652" t="e">
        <f>- las demas</f>
        <v>#NAME?</v>
      </c>
    </row>
    <row r="3653" spans="1:2" x14ac:dyDescent="0.25">
      <c r="A3653">
        <v>120190001</v>
      </c>
      <c r="B3653" t="s">
        <v>1060</v>
      </c>
    </row>
    <row r="3654" spans="1:2" x14ac:dyDescent="0.25">
      <c r="A3654">
        <v>12019000110</v>
      </c>
      <c r="B3654" t="s">
        <v>1061</v>
      </c>
    </row>
    <row r="3655" spans="1:2" x14ac:dyDescent="0.25">
      <c r="A3655">
        <v>12019000190</v>
      </c>
      <c r="B3655" t="s">
        <v>57</v>
      </c>
    </row>
    <row r="3656" spans="1:2" x14ac:dyDescent="0.25">
      <c r="A3656">
        <v>120190002</v>
      </c>
      <c r="B3656" t="s">
        <v>1004</v>
      </c>
    </row>
    <row r="3657" spans="1:2" x14ac:dyDescent="0.25">
      <c r="A3657">
        <v>1201900021</v>
      </c>
      <c r="B3657" t="s">
        <v>1061</v>
      </c>
    </row>
    <row r="3658" spans="1:2" x14ac:dyDescent="0.25">
      <c r="A3658">
        <v>12019000211</v>
      </c>
      <c r="B3658" t="s">
        <v>797</v>
      </c>
    </row>
    <row r="3659" spans="1:2" x14ac:dyDescent="0.25">
      <c r="A3659">
        <v>12019000219</v>
      </c>
      <c r="B3659" t="s">
        <v>57</v>
      </c>
    </row>
    <row r="3660" spans="1:2" x14ac:dyDescent="0.25">
      <c r="A3660">
        <v>1201900029</v>
      </c>
      <c r="B3660" t="s">
        <v>57</v>
      </c>
    </row>
    <row r="3661" spans="1:2" x14ac:dyDescent="0.25">
      <c r="A3661">
        <v>12019000291</v>
      </c>
      <c r="B3661" t="s">
        <v>797</v>
      </c>
    </row>
    <row r="3662" spans="1:2" x14ac:dyDescent="0.25">
      <c r="A3662">
        <v>12019000299</v>
      </c>
      <c r="B3662" t="s">
        <v>57</v>
      </c>
    </row>
    <row r="3663" spans="1:2" x14ac:dyDescent="0.25">
      <c r="A3663">
        <v>1202</v>
      </c>
      <c r="B3663" t="s">
        <v>1062</v>
      </c>
    </row>
    <row r="3664" spans="1:2" x14ac:dyDescent="0.25">
      <c r="A3664">
        <v>12023000000</v>
      </c>
      <c r="B3664" t="e">
        <f>-para siembra</f>
        <v>#NAME?</v>
      </c>
    </row>
    <row r="3665" spans="1:2" x14ac:dyDescent="0.25">
      <c r="A3665">
        <v>12024</v>
      </c>
      <c r="B3665" t="s">
        <v>28</v>
      </c>
    </row>
    <row r="3666" spans="1:2" x14ac:dyDescent="0.25">
      <c r="A3666">
        <v>12024100</v>
      </c>
      <c r="B3666" t="e">
        <f>- - Con cascara</f>
        <v>#NAME?</v>
      </c>
    </row>
    <row r="3667" spans="1:2" x14ac:dyDescent="0.25">
      <c r="A3667">
        <v>12024100100</v>
      </c>
      <c r="B3667" t="s">
        <v>797</v>
      </c>
    </row>
    <row r="3668" spans="1:2" x14ac:dyDescent="0.25">
      <c r="A3668">
        <v>12024100900</v>
      </c>
      <c r="B3668" t="s">
        <v>10</v>
      </c>
    </row>
    <row r="3669" spans="1:2" x14ac:dyDescent="0.25">
      <c r="A3669">
        <v>12024200</v>
      </c>
      <c r="B3669" t="e">
        <f>- - sin cascara. incluso quebrantados</f>
        <v>#NAME?</v>
      </c>
    </row>
    <row r="3670" spans="1:2" x14ac:dyDescent="0.25">
      <c r="A3670">
        <v>120242001</v>
      </c>
      <c r="B3670" t="s">
        <v>1063</v>
      </c>
    </row>
    <row r="3671" spans="1:2" x14ac:dyDescent="0.25">
      <c r="A3671">
        <v>12024200110</v>
      </c>
      <c r="B3671" t="s">
        <v>797</v>
      </c>
    </row>
    <row r="3672" spans="1:2" x14ac:dyDescent="0.25">
      <c r="A3672">
        <v>12024200190</v>
      </c>
      <c r="B3672" t="s">
        <v>10</v>
      </c>
    </row>
    <row r="3673" spans="1:2" x14ac:dyDescent="0.25">
      <c r="A3673">
        <v>120242002</v>
      </c>
      <c r="B3673" t="s">
        <v>1064</v>
      </c>
    </row>
    <row r="3674" spans="1:2" x14ac:dyDescent="0.25">
      <c r="A3674">
        <v>12024200210</v>
      </c>
      <c r="B3674" t="s">
        <v>797</v>
      </c>
    </row>
    <row r="3675" spans="1:2" x14ac:dyDescent="0.25">
      <c r="A3675">
        <v>12024200290</v>
      </c>
      <c r="B3675" t="s">
        <v>10</v>
      </c>
    </row>
    <row r="3676" spans="1:2" x14ac:dyDescent="0.25">
      <c r="A3676">
        <v>120242003</v>
      </c>
      <c r="B3676" t="s">
        <v>1065</v>
      </c>
    </row>
    <row r="3677" spans="1:2" x14ac:dyDescent="0.25">
      <c r="A3677">
        <v>12024200310</v>
      </c>
      <c r="B3677" t="s">
        <v>1066</v>
      </c>
    </row>
    <row r="3678" spans="1:2" x14ac:dyDescent="0.25">
      <c r="A3678">
        <v>12024200320</v>
      </c>
      <c r="B3678" t="s">
        <v>1067</v>
      </c>
    </row>
    <row r="3679" spans="1:2" x14ac:dyDescent="0.25">
      <c r="A3679">
        <v>120242009</v>
      </c>
      <c r="B3679" t="s">
        <v>10</v>
      </c>
    </row>
    <row r="3680" spans="1:2" x14ac:dyDescent="0.25">
      <c r="A3680">
        <v>12024200910</v>
      </c>
      <c r="B3680" t="s">
        <v>1003</v>
      </c>
    </row>
    <row r="3681" spans="1:2" x14ac:dyDescent="0.25">
      <c r="A3681">
        <v>1202420092</v>
      </c>
      <c r="B3681" t="s">
        <v>1004</v>
      </c>
    </row>
    <row r="3682" spans="1:2" x14ac:dyDescent="0.25">
      <c r="A3682">
        <v>12024200921</v>
      </c>
      <c r="B3682" t="s">
        <v>797</v>
      </c>
    </row>
    <row r="3683" spans="1:2" x14ac:dyDescent="0.25">
      <c r="A3683">
        <v>12024200929</v>
      </c>
      <c r="B3683" t="s">
        <v>10</v>
      </c>
    </row>
    <row r="3684" spans="1:2" x14ac:dyDescent="0.25">
      <c r="A3684">
        <v>12030000000</v>
      </c>
      <c r="B3684" t="s">
        <v>1068</v>
      </c>
    </row>
    <row r="3685" spans="1:2" x14ac:dyDescent="0.25">
      <c r="A3685">
        <v>120400</v>
      </c>
      <c r="B3685" t="s">
        <v>1069</v>
      </c>
    </row>
    <row r="3686" spans="1:2" x14ac:dyDescent="0.25">
      <c r="A3686">
        <v>12040010000</v>
      </c>
      <c r="B3686" t="s">
        <v>743</v>
      </c>
    </row>
    <row r="3687" spans="1:2" x14ac:dyDescent="0.25">
      <c r="A3687">
        <v>12040090</v>
      </c>
      <c r="B3687" t="s">
        <v>57</v>
      </c>
    </row>
    <row r="3688" spans="1:2" x14ac:dyDescent="0.25">
      <c r="A3688">
        <v>12040090100</v>
      </c>
      <c r="B3688" t="s">
        <v>1003</v>
      </c>
    </row>
    <row r="3689" spans="1:2" x14ac:dyDescent="0.25">
      <c r="A3689">
        <v>120400902</v>
      </c>
      <c r="B3689" t="s">
        <v>1011</v>
      </c>
    </row>
    <row r="3690" spans="1:2" x14ac:dyDescent="0.25">
      <c r="A3690">
        <v>12040090210</v>
      </c>
      <c r="B3690" t="s">
        <v>962</v>
      </c>
    </row>
    <row r="3691" spans="1:2" x14ac:dyDescent="0.25">
      <c r="A3691">
        <v>12040090290</v>
      </c>
      <c r="B3691" t="s">
        <v>10</v>
      </c>
    </row>
    <row r="3692" spans="1:2" x14ac:dyDescent="0.25">
      <c r="A3692">
        <v>1205</v>
      </c>
      <c r="B3692" t="s">
        <v>1070</v>
      </c>
    </row>
    <row r="3693" spans="1:2" x14ac:dyDescent="0.25">
      <c r="A3693">
        <v>120510</v>
      </c>
      <c r="B3693" t="e">
        <f>- Semillas de nabo (nabina) o de colza Con bajo contenido de acido erucico</f>
        <v>#NAME?</v>
      </c>
    </row>
    <row r="3694" spans="1:2" x14ac:dyDescent="0.25">
      <c r="A3694">
        <v>12051010000</v>
      </c>
      <c r="B3694" t="s">
        <v>743</v>
      </c>
    </row>
    <row r="3695" spans="1:2" x14ac:dyDescent="0.25">
      <c r="A3695">
        <v>12051090</v>
      </c>
      <c r="B3695" t="s">
        <v>57</v>
      </c>
    </row>
    <row r="3696" spans="1:2" x14ac:dyDescent="0.25">
      <c r="A3696">
        <v>120510901</v>
      </c>
      <c r="B3696" t="s">
        <v>1071</v>
      </c>
    </row>
    <row r="3697" spans="1:2" x14ac:dyDescent="0.25">
      <c r="A3697">
        <v>12051090110</v>
      </c>
      <c r="B3697" t="s">
        <v>1003</v>
      </c>
    </row>
    <row r="3698" spans="1:2" x14ac:dyDescent="0.25">
      <c r="A3698">
        <v>1205109012</v>
      </c>
      <c r="B3698" t="s">
        <v>967</v>
      </c>
    </row>
    <row r="3699" spans="1:2" x14ac:dyDescent="0.25">
      <c r="A3699">
        <v>12051090121</v>
      </c>
      <c r="B3699" t="s">
        <v>962</v>
      </c>
    </row>
    <row r="3700" spans="1:2" x14ac:dyDescent="0.25">
      <c r="A3700">
        <v>12051090129</v>
      </c>
      <c r="B3700" t="s">
        <v>10</v>
      </c>
    </row>
    <row r="3701" spans="1:2" x14ac:dyDescent="0.25">
      <c r="A3701">
        <v>120510902</v>
      </c>
      <c r="B3701" t="s">
        <v>1072</v>
      </c>
    </row>
    <row r="3702" spans="1:2" x14ac:dyDescent="0.25">
      <c r="A3702">
        <v>12051090210</v>
      </c>
      <c r="B3702" t="s">
        <v>1073</v>
      </c>
    </row>
    <row r="3703" spans="1:2" x14ac:dyDescent="0.25">
      <c r="A3703">
        <v>1205109022</v>
      </c>
      <c r="B3703" t="s">
        <v>967</v>
      </c>
    </row>
    <row r="3704" spans="1:2" x14ac:dyDescent="0.25">
      <c r="A3704">
        <v>12051090221</v>
      </c>
      <c r="B3704" t="s">
        <v>962</v>
      </c>
    </row>
    <row r="3705" spans="1:2" x14ac:dyDescent="0.25">
      <c r="A3705">
        <v>12051090229</v>
      </c>
      <c r="B3705" t="s">
        <v>10</v>
      </c>
    </row>
    <row r="3706" spans="1:2" x14ac:dyDescent="0.25">
      <c r="A3706">
        <v>120590</v>
      </c>
      <c r="B3706" t="e">
        <f>- las demas</f>
        <v>#NAME?</v>
      </c>
    </row>
    <row r="3707" spans="1:2" x14ac:dyDescent="0.25">
      <c r="A3707">
        <v>12059010000</v>
      </c>
      <c r="B3707" t="s">
        <v>743</v>
      </c>
    </row>
    <row r="3708" spans="1:2" x14ac:dyDescent="0.25">
      <c r="A3708">
        <v>12059090</v>
      </c>
      <c r="B3708" t="s">
        <v>57</v>
      </c>
    </row>
    <row r="3709" spans="1:2" x14ac:dyDescent="0.25">
      <c r="A3709">
        <v>120590901</v>
      </c>
      <c r="B3709" t="s">
        <v>1074</v>
      </c>
    </row>
    <row r="3710" spans="1:2" x14ac:dyDescent="0.25">
      <c r="A3710">
        <v>12059090110</v>
      </c>
      <c r="B3710" t="s">
        <v>1073</v>
      </c>
    </row>
    <row r="3711" spans="1:2" x14ac:dyDescent="0.25">
      <c r="A3711">
        <v>1205909012</v>
      </c>
      <c r="B3711" t="s">
        <v>1011</v>
      </c>
    </row>
    <row r="3712" spans="1:2" x14ac:dyDescent="0.25">
      <c r="A3712">
        <v>12059090121</v>
      </c>
      <c r="B3712" t="s">
        <v>962</v>
      </c>
    </row>
    <row r="3713" spans="1:2" x14ac:dyDescent="0.25">
      <c r="A3713">
        <v>12059090129</v>
      </c>
      <c r="B3713" t="s">
        <v>10</v>
      </c>
    </row>
    <row r="3714" spans="1:2" x14ac:dyDescent="0.25">
      <c r="A3714">
        <v>120590902</v>
      </c>
      <c r="B3714" t="s">
        <v>1075</v>
      </c>
    </row>
    <row r="3715" spans="1:2" x14ac:dyDescent="0.25">
      <c r="A3715">
        <v>12059090210</v>
      </c>
      <c r="B3715" t="s">
        <v>1073</v>
      </c>
    </row>
    <row r="3716" spans="1:2" x14ac:dyDescent="0.25">
      <c r="A3716">
        <v>1205909022</v>
      </c>
      <c r="B3716" t="s">
        <v>1076</v>
      </c>
    </row>
    <row r="3717" spans="1:2" x14ac:dyDescent="0.25">
      <c r="A3717">
        <v>12059090221</v>
      </c>
      <c r="B3717" t="s">
        <v>962</v>
      </c>
    </row>
    <row r="3718" spans="1:2" x14ac:dyDescent="0.25">
      <c r="A3718">
        <v>12059090229</v>
      </c>
      <c r="B3718" t="s">
        <v>10</v>
      </c>
    </row>
    <row r="3719" spans="1:2" x14ac:dyDescent="0.25">
      <c r="A3719">
        <v>120600</v>
      </c>
      <c r="B3719" t="s">
        <v>1077</v>
      </c>
    </row>
    <row r="3720" spans="1:2" x14ac:dyDescent="0.25">
      <c r="A3720">
        <v>12060010000</v>
      </c>
      <c r="B3720" t="s">
        <v>743</v>
      </c>
    </row>
    <row r="3721" spans="1:2" x14ac:dyDescent="0.25">
      <c r="A3721">
        <v>12060090</v>
      </c>
      <c r="B3721" t="s">
        <v>57</v>
      </c>
    </row>
    <row r="3722" spans="1:2" x14ac:dyDescent="0.25">
      <c r="A3722">
        <v>120600901</v>
      </c>
      <c r="B3722" t="s">
        <v>1078</v>
      </c>
    </row>
    <row r="3723" spans="1:2" x14ac:dyDescent="0.25">
      <c r="A3723">
        <v>12060090110</v>
      </c>
      <c r="B3723" t="s">
        <v>797</v>
      </c>
    </row>
    <row r="3724" spans="1:2" x14ac:dyDescent="0.25">
      <c r="A3724">
        <v>12060090190</v>
      </c>
      <c r="B3724" t="s">
        <v>57</v>
      </c>
    </row>
    <row r="3725" spans="1:2" x14ac:dyDescent="0.25">
      <c r="A3725">
        <v>120600902</v>
      </c>
      <c r="B3725" t="s">
        <v>1079</v>
      </c>
    </row>
    <row r="3726" spans="1:2" x14ac:dyDescent="0.25">
      <c r="A3726">
        <v>12060090210</v>
      </c>
      <c r="B3726" t="s">
        <v>797</v>
      </c>
    </row>
    <row r="3727" spans="1:2" x14ac:dyDescent="0.25">
      <c r="A3727">
        <v>12060090290</v>
      </c>
      <c r="B3727" t="s">
        <v>57</v>
      </c>
    </row>
    <row r="3728" spans="1:2" x14ac:dyDescent="0.25">
      <c r="A3728">
        <v>120600909</v>
      </c>
      <c r="B3728" t="s">
        <v>57</v>
      </c>
    </row>
    <row r="3729" spans="1:2" x14ac:dyDescent="0.25">
      <c r="A3729">
        <v>12060090910</v>
      </c>
      <c r="B3729" t="s">
        <v>1003</v>
      </c>
    </row>
    <row r="3730" spans="1:2" x14ac:dyDescent="0.25">
      <c r="A3730">
        <v>1206009092</v>
      </c>
      <c r="B3730" t="s">
        <v>1011</v>
      </c>
    </row>
    <row r="3731" spans="1:2" x14ac:dyDescent="0.25">
      <c r="A3731">
        <v>12060090921</v>
      </c>
      <c r="B3731" t="s">
        <v>797</v>
      </c>
    </row>
    <row r="3732" spans="1:2" x14ac:dyDescent="0.25">
      <c r="A3732">
        <v>12060090929</v>
      </c>
      <c r="B3732" t="s">
        <v>57</v>
      </c>
    </row>
    <row r="3733" spans="1:2" x14ac:dyDescent="0.25">
      <c r="A3733">
        <v>1207</v>
      </c>
      <c r="B3733" t="s">
        <v>1080</v>
      </c>
    </row>
    <row r="3734" spans="1:2" x14ac:dyDescent="0.25">
      <c r="A3734">
        <v>120710</v>
      </c>
      <c r="B3734" t="e">
        <f>- Nueces y Almendras de palma</f>
        <v>#NAME?</v>
      </c>
    </row>
    <row r="3735" spans="1:2" x14ac:dyDescent="0.25">
      <c r="A3735">
        <v>12071010000</v>
      </c>
      <c r="B3735" t="s">
        <v>743</v>
      </c>
    </row>
    <row r="3736" spans="1:2" x14ac:dyDescent="0.25">
      <c r="A3736">
        <v>12071090000</v>
      </c>
      <c r="B3736" t="s">
        <v>57</v>
      </c>
    </row>
    <row r="3737" spans="1:2" x14ac:dyDescent="0.25">
      <c r="A3737">
        <v>12072</v>
      </c>
      <c r="B3737" t="s">
        <v>1081</v>
      </c>
    </row>
    <row r="3738" spans="1:2" x14ac:dyDescent="0.25">
      <c r="A3738">
        <v>12072100000</v>
      </c>
      <c r="B3738" t="e">
        <f>--para siembra</f>
        <v>#NAME?</v>
      </c>
    </row>
    <row r="3739" spans="1:2" x14ac:dyDescent="0.25">
      <c r="A3739">
        <v>12072900</v>
      </c>
      <c r="B3739" t="e">
        <f>- - las demas</f>
        <v>#NAME?</v>
      </c>
    </row>
    <row r="3740" spans="1:2" x14ac:dyDescent="0.25">
      <c r="A3740">
        <v>12072900100</v>
      </c>
      <c r="B3740" t="s">
        <v>1032</v>
      </c>
    </row>
    <row r="3741" spans="1:2" x14ac:dyDescent="0.25">
      <c r="A3741">
        <v>120729002</v>
      </c>
      <c r="B3741" t="s">
        <v>967</v>
      </c>
    </row>
    <row r="3742" spans="1:2" x14ac:dyDescent="0.25">
      <c r="A3742">
        <v>12072900210</v>
      </c>
      <c r="B3742" t="s">
        <v>962</v>
      </c>
    </row>
    <row r="3743" spans="1:2" x14ac:dyDescent="0.25">
      <c r="A3743">
        <v>12072900290</v>
      </c>
      <c r="B3743" t="s">
        <v>10</v>
      </c>
    </row>
    <row r="3744" spans="1:2" x14ac:dyDescent="0.25">
      <c r="A3744">
        <v>120730</v>
      </c>
      <c r="B3744" t="e">
        <f>- Semillas de ricino</f>
        <v>#NAME?</v>
      </c>
    </row>
    <row r="3745" spans="1:2" x14ac:dyDescent="0.25">
      <c r="A3745">
        <v>12073010000</v>
      </c>
      <c r="B3745" t="s">
        <v>743</v>
      </c>
    </row>
    <row r="3746" spans="1:2" x14ac:dyDescent="0.25">
      <c r="A3746">
        <v>12073090000</v>
      </c>
      <c r="B3746" t="s">
        <v>57</v>
      </c>
    </row>
    <row r="3747" spans="1:2" x14ac:dyDescent="0.25">
      <c r="A3747">
        <v>120740</v>
      </c>
      <c r="B3747" t="e">
        <f>- Semillas de sesamo (ajonjoli)</f>
        <v>#NAME?</v>
      </c>
    </row>
    <row r="3748" spans="1:2" x14ac:dyDescent="0.25">
      <c r="A3748">
        <v>12074010000</v>
      </c>
      <c r="B3748" t="s">
        <v>743</v>
      </c>
    </row>
    <row r="3749" spans="1:2" x14ac:dyDescent="0.25">
      <c r="A3749">
        <v>12074090000</v>
      </c>
      <c r="B3749" t="s">
        <v>57</v>
      </c>
    </row>
    <row r="3750" spans="1:2" x14ac:dyDescent="0.25">
      <c r="A3750">
        <v>120750</v>
      </c>
      <c r="B3750" t="e">
        <f>- Semillas de mostaza</f>
        <v>#NAME?</v>
      </c>
    </row>
    <row r="3751" spans="1:2" x14ac:dyDescent="0.25">
      <c r="A3751">
        <v>12075010000</v>
      </c>
      <c r="B3751" t="s">
        <v>743</v>
      </c>
    </row>
    <row r="3752" spans="1:2" x14ac:dyDescent="0.25">
      <c r="A3752">
        <v>12075090000</v>
      </c>
      <c r="B3752" t="s">
        <v>57</v>
      </c>
    </row>
    <row r="3753" spans="1:2" x14ac:dyDescent="0.25">
      <c r="A3753">
        <v>120760</v>
      </c>
      <c r="B3753" t="e">
        <f>- Semillas de cartamo (Carthamus tinctorius)</f>
        <v>#NAME?</v>
      </c>
    </row>
    <row r="3754" spans="1:2" x14ac:dyDescent="0.25">
      <c r="A3754">
        <v>12076010000</v>
      </c>
      <c r="B3754" t="s">
        <v>743</v>
      </c>
    </row>
    <row r="3755" spans="1:2" x14ac:dyDescent="0.25">
      <c r="A3755">
        <v>12076090</v>
      </c>
      <c r="B3755" t="s">
        <v>57</v>
      </c>
    </row>
    <row r="3756" spans="1:2" x14ac:dyDescent="0.25">
      <c r="A3756">
        <v>12076090100</v>
      </c>
      <c r="B3756" t="s">
        <v>1003</v>
      </c>
    </row>
    <row r="3757" spans="1:2" x14ac:dyDescent="0.25">
      <c r="A3757">
        <v>120760902</v>
      </c>
      <c r="B3757" t="s">
        <v>1004</v>
      </c>
    </row>
    <row r="3758" spans="1:2" x14ac:dyDescent="0.25">
      <c r="A3758">
        <v>12076090210</v>
      </c>
      <c r="B3758" t="s">
        <v>962</v>
      </c>
    </row>
    <row r="3759" spans="1:2" x14ac:dyDescent="0.25">
      <c r="A3759">
        <v>12076090290</v>
      </c>
      <c r="B3759" t="s">
        <v>10</v>
      </c>
    </row>
    <row r="3760" spans="1:2" x14ac:dyDescent="0.25">
      <c r="A3760">
        <v>120770</v>
      </c>
      <c r="B3760" t="e">
        <f>- Semillas de melon</f>
        <v>#NAME?</v>
      </c>
    </row>
    <row r="3761" spans="1:2" x14ac:dyDescent="0.25">
      <c r="A3761">
        <v>12077010000</v>
      </c>
      <c r="B3761" t="s">
        <v>743</v>
      </c>
    </row>
    <row r="3762" spans="1:2" x14ac:dyDescent="0.25">
      <c r="A3762">
        <v>12077090000</v>
      </c>
      <c r="B3762" t="s">
        <v>10</v>
      </c>
    </row>
    <row r="3763" spans="1:2" x14ac:dyDescent="0.25">
      <c r="A3763">
        <v>12079</v>
      </c>
      <c r="B3763" t="s">
        <v>28</v>
      </c>
    </row>
    <row r="3764" spans="1:2" x14ac:dyDescent="0.25">
      <c r="A3764">
        <v>120791</v>
      </c>
      <c r="B3764" t="e">
        <f>- - Semillas de amapola (adormidera)</f>
        <v>#NAME?</v>
      </c>
    </row>
    <row r="3765" spans="1:2" x14ac:dyDescent="0.25">
      <c r="A3765">
        <v>12079110000</v>
      </c>
      <c r="B3765" t="s">
        <v>743</v>
      </c>
    </row>
    <row r="3766" spans="1:2" x14ac:dyDescent="0.25">
      <c r="A3766">
        <v>12079190000</v>
      </c>
      <c r="B3766" t="s">
        <v>57</v>
      </c>
    </row>
    <row r="3767" spans="1:2" x14ac:dyDescent="0.25">
      <c r="A3767">
        <v>120799</v>
      </c>
      <c r="B3767" t="e">
        <f>- - Los demas</f>
        <v>#NAME?</v>
      </c>
    </row>
    <row r="3768" spans="1:2" x14ac:dyDescent="0.25">
      <c r="A3768">
        <v>12079910</v>
      </c>
      <c r="B3768" t="s">
        <v>743</v>
      </c>
    </row>
    <row r="3769" spans="1:2" x14ac:dyDescent="0.25">
      <c r="A3769">
        <v>12079910100</v>
      </c>
      <c r="B3769" t="s">
        <v>1082</v>
      </c>
    </row>
    <row r="3770" spans="1:2" x14ac:dyDescent="0.25">
      <c r="A3770">
        <v>12079910900</v>
      </c>
      <c r="B3770" t="s">
        <v>57</v>
      </c>
    </row>
    <row r="3771" spans="1:2" x14ac:dyDescent="0.25">
      <c r="A3771">
        <v>12079990</v>
      </c>
      <c r="B3771" t="s">
        <v>10</v>
      </c>
    </row>
    <row r="3772" spans="1:2" x14ac:dyDescent="0.25">
      <c r="A3772">
        <v>12079990100</v>
      </c>
      <c r="B3772" t="s">
        <v>1083</v>
      </c>
    </row>
    <row r="3773" spans="1:2" x14ac:dyDescent="0.25">
      <c r="A3773">
        <v>12079990200</v>
      </c>
      <c r="B3773" t="s">
        <v>1082</v>
      </c>
    </row>
    <row r="3774" spans="1:2" x14ac:dyDescent="0.25">
      <c r="A3774">
        <v>12079990300</v>
      </c>
      <c r="B3774" t="s">
        <v>1084</v>
      </c>
    </row>
    <row r="3775" spans="1:2" x14ac:dyDescent="0.25">
      <c r="A3775">
        <v>12079990900</v>
      </c>
      <c r="B3775" t="s">
        <v>57</v>
      </c>
    </row>
    <row r="3776" spans="1:2" x14ac:dyDescent="0.25">
      <c r="A3776">
        <v>1208</v>
      </c>
      <c r="B3776" t="s">
        <v>1085</v>
      </c>
    </row>
    <row r="3777" spans="1:2" x14ac:dyDescent="0.25">
      <c r="A3777">
        <v>12081000000</v>
      </c>
      <c r="B3777" t="e">
        <f>-de Habas (porotos. frijoles. frejoles)* de soja (soya)</f>
        <v>#NAME?</v>
      </c>
    </row>
    <row r="3778" spans="1:2" x14ac:dyDescent="0.25">
      <c r="A3778">
        <v>12089000000</v>
      </c>
      <c r="B3778" t="e">
        <f>-las demas</f>
        <v>#NAME?</v>
      </c>
    </row>
    <row r="3779" spans="1:2" x14ac:dyDescent="0.25">
      <c r="A3779">
        <v>1209</v>
      </c>
      <c r="B3779" t="s">
        <v>1086</v>
      </c>
    </row>
    <row r="3780" spans="1:2" x14ac:dyDescent="0.25">
      <c r="A3780">
        <v>12091000000</v>
      </c>
      <c r="B3780" t="e">
        <f>-Semilla de remolacha azucarera</f>
        <v>#NAME?</v>
      </c>
    </row>
    <row r="3781" spans="1:2" x14ac:dyDescent="0.25">
      <c r="A3781">
        <v>12092</v>
      </c>
      <c r="B3781" t="s">
        <v>1087</v>
      </c>
    </row>
    <row r="3782" spans="1:2" x14ac:dyDescent="0.25">
      <c r="A3782">
        <v>12092100000</v>
      </c>
      <c r="B3782" t="e">
        <f>--de alfalfa</f>
        <v>#NAME?</v>
      </c>
    </row>
    <row r="3783" spans="1:2" x14ac:dyDescent="0.25">
      <c r="A3783">
        <v>12092200</v>
      </c>
      <c r="B3783" t="e">
        <f>- - de trebol (Trifolium spp.)</f>
        <v>#NAME?</v>
      </c>
    </row>
    <row r="3784" spans="1:2" x14ac:dyDescent="0.25">
      <c r="A3784">
        <v>12092200100</v>
      </c>
      <c r="B3784" t="s">
        <v>1088</v>
      </c>
    </row>
    <row r="3785" spans="1:2" x14ac:dyDescent="0.25">
      <c r="A3785">
        <v>12092200200</v>
      </c>
      <c r="B3785" t="s">
        <v>1089</v>
      </c>
    </row>
    <row r="3786" spans="1:2" x14ac:dyDescent="0.25">
      <c r="A3786">
        <v>12092200900</v>
      </c>
      <c r="B3786" t="s">
        <v>10</v>
      </c>
    </row>
    <row r="3787" spans="1:2" x14ac:dyDescent="0.25">
      <c r="A3787">
        <v>12092300</v>
      </c>
      <c r="B3787" t="e">
        <f>- - de festucas</f>
        <v>#NAME?</v>
      </c>
    </row>
    <row r="3788" spans="1:2" x14ac:dyDescent="0.25">
      <c r="A3788">
        <v>12092300100</v>
      </c>
      <c r="B3788" t="s">
        <v>1090</v>
      </c>
    </row>
    <row r="3789" spans="1:2" x14ac:dyDescent="0.25">
      <c r="A3789">
        <v>12092300200</v>
      </c>
      <c r="B3789" t="s">
        <v>1091</v>
      </c>
    </row>
    <row r="3790" spans="1:2" x14ac:dyDescent="0.25">
      <c r="A3790">
        <v>12092300900</v>
      </c>
      <c r="B3790" t="s">
        <v>57</v>
      </c>
    </row>
    <row r="3791" spans="1:2" x14ac:dyDescent="0.25">
      <c r="A3791">
        <v>12092400000</v>
      </c>
      <c r="B3791" t="e">
        <f>--de pasto azul de Kentucky (Poa pratensis L.)</f>
        <v>#NAME?</v>
      </c>
    </row>
    <row r="3792" spans="1:2" x14ac:dyDescent="0.25">
      <c r="A3792">
        <v>12092500000</v>
      </c>
      <c r="B3792" t="e">
        <f>--de ballico (Lolium multiflorum Lam.. Lolium perenne L.)</f>
        <v>#NAME?</v>
      </c>
    </row>
    <row r="3793" spans="1:2" x14ac:dyDescent="0.25">
      <c r="A3793">
        <v>12092900</v>
      </c>
      <c r="B3793" t="e">
        <f>- - las demas</f>
        <v>#NAME?</v>
      </c>
    </row>
    <row r="3794" spans="1:2" x14ac:dyDescent="0.25">
      <c r="A3794">
        <v>12092900100</v>
      </c>
      <c r="B3794" t="s">
        <v>1092</v>
      </c>
    </row>
    <row r="3795" spans="1:2" x14ac:dyDescent="0.25">
      <c r="A3795">
        <v>12092900200</v>
      </c>
      <c r="B3795" t="s">
        <v>1093</v>
      </c>
    </row>
    <row r="3796" spans="1:2" x14ac:dyDescent="0.25">
      <c r="A3796">
        <v>12092900300</v>
      </c>
      <c r="B3796" t="s">
        <v>1094</v>
      </c>
    </row>
    <row r="3797" spans="1:2" x14ac:dyDescent="0.25">
      <c r="A3797">
        <v>12092900400</v>
      </c>
      <c r="B3797" t="s">
        <v>1095</v>
      </c>
    </row>
    <row r="3798" spans="1:2" x14ac:dyDescent="0.25">
      <c r="A3798">
        <v>12092900500</v>
      </c>
      <c r="B3798" t="s">
        <v>1096</v>
      </c>
    </row>
    <row r="3799" spans="1:2" x14ac:dyDescent="0.25">
      <c r="A3799">
        <v>12092900600</v>
      </c>
      <c r="B3799" t="s">
        <v>1097</v>
      </c>
    </row>
    <row r="3800" spans="1:2" x14ac:dyDescent="0.25">
      <c r="A3800">
        <v>12092900700</v>
      </c>
      <c r="B3800" t="s">
        <v>1098</v>
      </c>
    </row>
    <row r="3801" spans="1:2" x14ac:dyDescent="0.25">
      <c r="A3801">
        <v>12092900800</v>
      </c>
      <c r="B3801" t="s">
        <v>1099</v>
      </c>
    </row>
    <row r="3802" spans="1:2" x14ac:dyDescent="0.25">
      <c r="A3802">
        <v>12092900900</v>
      </c>
      <c r="B3802" t="s">
        <v>57</v>
      </c>
    </row>
    <row r="3803" spans="1:2" x14ac:dyDescent="0.25">
      <c r="A3803">
        <v>12093000000</v>
      </c>
      <c r="B3803" t="e">
        <f>-Semillas de plantas herbaceas utilizadas principalmente por sus flores</f>
        <v>#NAME?</v>
      </c>
    </row>
    <row r="3804" spans="1:2" x14ac:dyDescent="0.25">
      <c r="A3804">
        <v>12099</v>
      </c>
      <c r="B3804" t="s">
        <v>28</v>
      </c>
    </row>
    <row r="3805" spans="1:2" x14ac:dyDescent="0.25">
      <c r="A3805">
        <v>12099100</v>
      </c>
      <c r="B3805" t="e">
        <f>- - Semillas de hortalizas</f>
        <v>#NAME?</v>
      </c>
    </row>
    <row r="3806" spans="1:2" x14ac:dyDescent="0.25">
      <c r="A3806">
        <v>12099100100</v>
      </c>
      <c r="B3806" t="s">
        <v>1100</v>
      </c>
    </row>
    <row r="3807" spans="1:2" x14ac:dyDescent="0.25">
      <c r="A3807">
        <v>120991002</v>
      </c>
      <c r="B3807" t="s">
        <v>1101</v>
      </c>
    </row>
    <row r="3808" spans="1:2" x14ac:dyDescent="0.25">
      <c r="A3808">
        <v>12099100210</v>
      </c>
      <c r="B3808" t="s">
        <v>1102</v>
      </c>
    </row>
    <row r="3809" spans="1:2" x14ac:dyDescent="0.25">
      <c r="A3809">
        <v>12099100220</v>
      </c>
      <c r="B3809" t="s">
        <v>1103</v>
      </c>
    </row>
    <row r="3810" spans="1:2" x14ac:dyDescent="0.25">
      <c r="A3810">
        <v>12099100290</v>
      </c>
      <c r="B3810" t="s">
        <v>57</v>
      </c>
    </row>
    <row r="3811" spans="1:2" x14ac:dyDescent="0.25">
      <c r="A3811">
        <v>120991003</v>
      </c>
      <c r="B3811" t="s">
        <v>1104</v>
      </c>
    </row>
    <row r="3812" spans="1:2" x14ac:dyDescent="0.25">
      <c r="A3812">
        <v>12099100310</v>
      </c>
      <c r="B3812" t="s">
        <v>1105</v>
      </c>
    </row>
    <row r="3813" spans="1:2" x14ac:dyDescent="0.25">
      <c r="A3813">
        <v>12099100320</v>
      </c>
      <c r="B3813" t="s">
        <v>1106</v>
      </c>
    </row>
    <row r="3814" spans="1:2" x14ac:dyDescent="0.25">
      <c r="A3814">
        <v>12099100390</v>
      </c>
      <c r="B3814" t="s">
        <v>57</v>
      </c>
    </row>
    <row r="3815" spans="1:2" x14ac:dyDescent="0.25">
      <c r="A3815">
        <v>120991004</v>
      </c>
      <c r="B3815" t="s">
        <v>1107</v>
      </c>
    </row>
    <row r="3816" spans="1:2" x14ac:dyDescent="0.25">
      <c r="A3816">
        <v>12099100410</v>
      </c>
      <c r="B3816" t="s">
        <v>1108</v>
      </c>
    </row>
    <row r="3817" spans="1:2" x14ac:dyDescent="0.25">
      <c r="A3817">
        <v>12099100420</v>
      </c>
      <c r="B3817" t="s">
        <v>1109</v>
      </c>
    </row>
    <row r="3818" spans="1:2" x14ac:dyDescent="0.25">
      <c r="A3818">
        <v>12099100430</v>
      </c>
      <c r="B3818" t="s">
        <v>1110</v>
      </c>
    </row>
    <row r="3819" spans="1:2" x14ac:dyDescent="0.25">
      <c r="A3819">
        <v>12099100440</v>
      </c>
      <c r="B3819" t="s">
        <v>1111</v>
      </c>
    </row>
    <row r="3820" spans="1:2" x14ac:dyDescent="0.25">
      <c r="A3820">
        <v>12099100490</v>
      </c>
      <c r="B3820" t="s">
        <v>57</v>
      </c>
    </row>
    <row r="3821" spans="1:2" x14ac:dyDescent="0.25">
      <c r="A3821">
        <v>12099100500</v>
      </c>
      <c r="B3821" t="s">
        <v>1112</v>
      </c>
    </row>
    <row r="3822" spans="1:2" x14ac:dyDescent="0.25">
      <c r="A3822">
        <v>12099100600</v>
      </c>
      <c r="B3822" t="s">
        <v>1113</v>
      </c>
    </row>
    <row r="3823" spans="1:2" x14ac:dyDescent="0.25">
      <c r="A3823">
        <v>12099100700</v>
      </c>
      <c r="B3823" t="s">
        <v>1114</v>
      </c>
    </row>
    <row r="3824" spans="1:2" x14ac:dyDescent="0.25">
      <c r="A3824">
        <v>12099100900</v>
      </c>
      <c r="B3824" t="s">
        <v>57</v>
      </c>
    </row>
    <row r="3825" spans="1:2" x14ac:dyDescent="0.25">
      <c r="A3825">
        <v>12099900</v>
      </c>
      <c r="B3825" t="e">
        <f>- - Los demas</f>
        <v>#NAME?</v>
      </c>
    </row>
    <row r="3826" spans="1:2" x14ac:dyDescent="0.25">
      <c r="A3826">
        <v>12099900100</v>
      </c>
      <c r="B3826" t="s">
        <v>1115</v>
      </c>
    </row>
    <row r="3827" spans="1:2" x14ac:dyDescent="0.25">
      <c r="A3827">
        <v>120999002</v>
      </c>
      <c r="B3827" t="s">
        <v>1116</v>
      </c>
    </row>
    <row r="3828" spans="1:2" x14ac:dyDescent="0.25">
      <c r="A3828">
        <v>12099900210</v>
      </c>
      <c r="B3828" t="s">
        <v>1117</v>
      </c>
    </row>
    <row r="3829" spans="1:2" x14ac:dyDescent="0.25">
      <c r="A3829">
        <v>12099900220</v>
      </c>
      <c r="B3829" t="s">
        <v>1118</v>
      </c>
    </row>
    <row r="3830" spans="1:2" x14ac:dyDescent="0.25">
      <c r="A3830">
        <v>12099900290</v>
      </c>
      <c r="B3830" t="s">
        <v>57</v>
      </c>
    </row>
    <row r="3831" spans="1:2" x14ac:dyDescent="0.25">
      <c r="A3831">
        <v>12099900300</v>
      </c>
      <c r="B3831" t="s">
        <v>1119</v>
      </c>
    </row>
    <row r="3832" spans="1:2" x14ac:dyDescent="0.25">
      <c r="A3832">
        <v>12099900400</v>
      </c>
      <c r="B3832" t="s">
        <v>1120</v>
      </c>
    </row>
    <row r="3833" spans="1:2" x14ac:dyDescent="0.25">
      <c r="A3833">
        <v>12099900900</v>
      </c>
      <c r="B3833" t="s">
        <v>10</v>
      </c>
    </row>
    <row r="3834" spans="1:2" x14ac:dyDescent="0.25">
      <c r="A3834">
        <v>1210</v>
      </c>
      <c r="B3834" t="s">
        <v>1121</v>
      </c>
    </row>
    <row r="3835" spans="1:2" x14ac:dyDescent="0.25">
      <c r="A3835">
        <v>12101000000</v>
      </c>
      <c r="B3835" t="s">
        <v>1122</v>
      </c>
    </row>
    <row r="3836" spans="1:2" x14ac:dyDescent="0.25">
      <c r="A3836">
        <v>121020</v>
      </c>
      <c r="B3836" t="s">
        <v>1123</v>
      </c>
    </row>
    <row r="3837" spans="1:2" x14ac:dyDescent="0.25">
      <c r="A3837">
        <v>12102010000</v>
      </c>
      <c r="B3837" t="s">
        <v>1124</v>
      </c>
    </row>
    <row r="3838" spans="1:2" x14ac:dyDescent="0.25">
      <c r="A3838">
        <v>12102020000</v>
      </c>
      <c r="B3838" t="s">
        <v>1125</v>
      </c>
    </row>
    <row r="3839" spans="1:2" x14ac:dyDescent="0.25">
      <c r="A3839">
        <v>1211</v>
      </c>
      <c r="B3839" t="s">
        <v>1126</v>
      </c>
    </row>
    <row r="3840" spans="1:2" x14ac:dyDescent="0.25">
      <c r="A3840">
        <v>12112000000</v>
      </c>
      <c r="B3840" t="s">
        <v>1127</v>
      </c>
    </row>
    <row r="3841" spans="1:2" x14ac:dyDescent="0.25">
      <c r="A3841">
        <v>12113000000</v>
      </c>
      <c r="B3841" t="e">
        <f>-Hojas de coca</f>
        <v>#NAME?</v>
      </c>
    </row>
    <row r="3842" spans="1:2" x14ac:dyDescent="0.25">
      <c r="A3842">
        <v>12114000000</v>
      </c>
      <c r="B3842" t="e">
        <f>-Paja de adormidera</f>
        <v>#NAME?</v>
      </c>
    </row>
    <row r="3843" spans="1:2" x14ac:dyDescent="0.25">
      <c r="A3843">
        <v>12115000000</v>
      </c>
      <c r="B3843" t="e">
        <f>-Efedra</f>
        <v>#NAME?</v>
      </c>
    </row>
    <row r="3844" spans="1:2" x14ac:dyDescent="0.25">
      <c r="A3844">
        <v>121190</v>
      </c>
      <c r="B3844" t="e">
        <f>- Los demas</f>
        <v>#NAME?</v>
      </c>
    </row>
    <row r="3845" spans="1:2" x14ac:dyDescent="0.25">
      <c r="A3845">
        <v>12119010000</v>
      </c>
      <c r="B3845" t="s">
        <v>1128</v>
      </c>
    </row>
    <row r="3846" spans="1:2" x14ac:dyDescent="0.25">
      <c r="A3846">
        <v>12119090</v>
      </c>
      <c r="B3846" t="s">
        <v>10</v>
      </c>
    </row>
    <row r="3847" spans="1:2" x14ac:dyDescent="0.25">
      <c r="A3847">
        <v>121190901</v>
      </c>
      <c r="B3847" t="s">
        <v>1129</v>
      </c>
    </row>
    <row r="3848" spans="1:2" x14ac:dyDescent="0.25">
      <c r="A3848">
        <v>1211909011</v>
      </c>
      <c r="B3848" t="s">
        <v>1130</v>
      </c>
    </row>
    <row r="3849" spans="1:2" x14ac:dyDescent="0.25">
      <c r="A3849">
        <v>12119090111</v>
      </c>
      <c r="B3849" t="s">
        <v>1131</v>
      </c>
    </row>
    <row r="3850" spans="1:2" x14ac:dyDescent="0.25">
      <c r="A3850">
        <v>12119090119</v>
      </c>
      <c r="B3850" t="s">
        <v>10</v>
      </c>
    </row>
    <row r="3851" spans="1:2" x14ac:dyDescent="0.25">
      <c r="A3851">
        <v>1211909019</v>
      </c>
      <c r="B3851" t="s">
        <v>10</v>
      </c>
    </row>
    <row r="3852" spans="1:2" x14ac:dyDescent="0.25">
      <c r="A3852">
        <v>12119090191</v>
      </c>
      <c r="B3852" t="s">
        <v>1131</v>
      </c>
    </row>
    <row r="3853" spans="1:2" x14ac:dyDescent="0.25">
      <c r="A3853">
        <v>12119090199</v>
      </c>
      <c r="B3853" t="s">
        <v>10</v>
      </c>
    </row>
    <row r="3854" spans="1:2" x14ac:dyDescent="0.25">
      <c r="A3854">
        <v>121190902</v>
      </c>
      <c r="B3854" t="s">
        <v>1132</v>
      </c>
    </row>
    <row r="3855" spans="1:2" x14ac:dyDescent="0.25">
      <c r="A3855">
        <v>12119090210</v>
      </c>
      <c r="B3855" t="s">
        <v>1133</v>
      </c>
    </row>
    <row r="3856" spans="1:2" x14ac:dyDescent="0.25">
      <c r="A3856">
        <v>12119090290</v>
      </c>
      <c r="B3856" t="s">
        <v>10</v>
      </c>
    </row>
    <row r="3857" spans="1:2" x14ac:dyDescent="0.25">
      <c r="A3857">
        <v>12119090300</v>
      </c>
      <c r="B3857" t="s">
        <v>1134</v>
      </c>
    </row>
    <row r="3858" spans="1:2" x14ac:dyDescent="0.25">
      <c r="A3858">
        <v>12119090400</v>
      </c>
      <c r="B3858" t="s">
        <v>1135</v>
      </c>
    </row>
    <row r="3859" spans="1:2" x14ac:dyDescent="0.25">
      <c r="A3859">
        <v>12119090500</v>
      </c>
      <c r="B3859" t="s">
        <v>1136</v>
      </c>
    </row>
    <row r="3860" spans="1:2" x14ac:dyDescent="0.25">
      <c r="A3860">
        <v>12119090600</v>
      </c>
      <c r="B3860" t="s">
        <v>1137</v>
      </c>
    </row>
    <row r="3861" spans="1:2" x14ac:dyDescent="0.25">
      <c r="A3861">
        <v>12119090700</v>
      </c>
      <c r="B3861" t="s">
        <v>1138</v>
      </c>
    </row>
    <row r="3862" spans="1:2" x14ac:dyDescent="0.25">
      <c r="A3862">
        <v>12119090800</v>
      </c>
      <c r="B3862" t="s">
        <v>1139</v>
      </c>
    </row>
    <row r="3863" spans="1:2" x14ac:dyDescent="0.25">
      <c r="A3863">
        <v>121190909</v>
      </c>
      <c r="B3863" t="s">
        <v>10</v>
      </c>
    </row>
    <row r="3864" spans="1:2" x14ac:dyDescent="0.25">
      <c r="A3864">
        <v>12119090910</v>
      </c>
      <c r="B3864" t="s">
        <v>1140</v>
      </c>
    </row>
    <row r="3865" spans="1:2" x14ac:dyDescent="0.25">
      <c r="A3865">
        <v>12119090920</v>
      </c>
      <c r="B3865" t="s">
        <v>1141</v>
      </c>
    </row>
    <row r="3866" spans="1:2" x14ac:dyDescent="0.25">
      <c r="A3866">
        <v>12119090930</v>
      </c>
      <c r="B3866" t="s">
        <v>1142</v>
      </c>
    </row>
    <row r="3867" spans="1:2" x14ac:dyDescent="0.25">
      <c r="A3867">
        <v>12119090940</v>
      </c>
      <c r="B3867" t="s">
        <v>1143</v>
      </c>
    </row>
    <row r="3868" spans="1:2" x14ac:dyDescent="0.25">
      <c r="A3868">
        <v>12119090950</v>
      </c>
      <c r="B3868" t="s">
        <v>1144</v>
      </c>
    </row>
    <row r="3869" spans="1:2" x14ac:dyDescent="0.25">
      <c r="A3869">
        <v>12119090960</v>
      </c>
      <c r="B3869" t="s">
        <v>1145</v>
      </c>
    </row>
    <row r="3870" spans="1:2" x14ac:dyDescent="0.25">
      <c r="A3870">
        <v>12119090970</v>
      </c>
      <c r="B3870" t="s">
        <v>1146</v>
      </c>
    </row>
    <row r="3871" spans="1:2" x14ac:dyDescent="0.25">
      <c r="A3871">
        <v>12119090990</v>
      </c>
      <c r="B3871" t="s">
        <v>10</v>
      </c>
    </row>
    <row r="3872" spans="1:2" x14ac:dyDescent="0.25">
      <c r="A3872">
        <v>1212</v>
      </c>
      <c r="B3872" t="s">
        <v>1147</v>
      </c>
    </row>
    <row r="3873" spans="1:2" x14ac:dyDescent="0.25">
      <c r="A3873">
        <v>12122</v>
      </c>
      <c r="B3873" t="s">
        <v>1148</v>
      </c>
    </row>
    <row r="3874" spans="1:2" x14ac:dyDescent="0.25">
      <c r="A3874">
        <v>12122100000</v>
      </c>
      <c r="B3874" t="e">
        <f>--Aptas para la alimentacion humana</f>
        <v>#NAME?</v>
      </c>
    </row>
    <row r="3875" spans="1:2" x14ac:dyDescent="0.25">
      <c r="A3875">
        <v>12122900000</v>
      </c>
      <c r="B3875" t="e">
        <f>--las demas</f>
        <v>#NAME?</v>
      </c>
    </row>
    <row r="3876" spans="1:2" x14ac:dyDescent="0.25">
      <c r="A3876">
        <v>12129</v>
      </c>
      <c r="B3876" t="s">
        <v>28</v>
      </c>
    </row>
    <row r="3877" spans="1:2" x14ac:dyDescent="0.25">
      <c r="A3877">
        <v>12129100000</v>
      </c>
      <c r="B3877" t="e">
        <f>--remolacha azucarera</f>
        <v>#NAME?</v>
      </c>
    </row>
    <row r="3878" spans="1:2" x14ac:dyDescent="0.25">
      <c r="A3878">
        <v>12129200000</v>
      </c>
      <c r="B3878" t="e">
        <f>--Algarrobas</f>
        <v>#NAME?</v>
      </c>
    </row>
    <row r="3879" spans="1:2" x14ac:dyDescent="0.25">
      <c r="A3879">
        <v>12129300000</v>
      </c>
      <c r="B3879" t="e">
        <f>--Caña de azucar</f>
        <v>#NAME?</v>
      </c>
    </row>
    <row r="3880" spans="1:2" x14ac:dyDescent="0.25">
      <c r="A3880">
        <v>12129400000</v>
      </c>
      <c r="B3880" t="e">
        <f>--raices de achicoria</f>
        <v>#NAME?</v>
      </c>
    </row>
    <row r="3881" spans="1:2" x14ac:dyDescent="0.25">
      <c r="A3881">
        <v>121299</v>
      </c>
      <c r="B3881" t="e">
        <f>- - Los demas</f>
        <v>#NAME?</v>
      </c>
    </row>
    <row r="3882" spans="1:2" x14ac:dyDescent="0.25">
      <c r="A3882">
        <v>12129910000</v>
      </c>
      <c r="B3882" t="s">
        <v>1149</v>
      </c>
    </row>
    <row r="3883" spans="1:2" x14ac:dyDescent="0.25">
      <c r="A3883">
        <v>12129990</v>
      </c>
      <c r="B3883" t="s">
        <v>10</v>
      </c>
    </row>
    <row r="3884" spans="1:2" x14ac:dyDescent="0.25">
      <c r="A3884">
        <v>12129990200</v>
      </c>
      <c r="B3884" t="s">
        <v>1150</v>
      </c>
    </row>
    <row r="3885" spans="1:2" x14ac:dyDescent="0.25">
      <c r="A3885">
        <v>12129990900</v>
      </c>
      <c r="B3885" t="s">
        <v>10</v>
      </c>
    </row>
    <row r="3886" spans="1:2" x14ac:dyDescent="0.25">
      <c r="A3886">
        <v>12130000</v>
      </c>
      <c r="B3886" t="s">
        <v>1151</v>
      </c>
    </row>
    <row r="3887" spans="1:2" x14ac:dyDescent="0.25">
      <c r="A3887">
        <v>12130000100</v>
      </c>
      <c r="B3887" t="s">
        <v>723</v>
      </c>
    </row>
    <row r="3888" spans="1:2" x14ac:dyDescent="0.25">
      <c r="A3888">
        <v>12130000900</v>
      </c>
      <c r="B3888" t="s">
        <v>10</v>
      </c>
    </row>
    <row r="3889" spans="1:2" x14ac:dyDescent="0.25">
      <c r="A3889">
        <v>1214</v>
      </c>
      <c r="B3889" t="s">
        <v>1152</v>
      </c>
    </row>
    <row r="3890" spans="1:2" x14ac:dyDescent="0.25">
      <c r="A3890">
        <v>12141000000</v>
      </c>
      <c r="B3890" t="s">
        <v>1153</v>
      </c>
    </row>
    <row r="3891" spans="1:2" x14ac:dyDescent="0.25">
      <c r="A3891">
        <v>12149000</v>
      </c>
      <c r="B3891" t="e">
        <f>- Los demas</f>
        <v>#NAME?</v>
      </c>
    </row>
    <row r="3892" spans="1:2" x14ac:dyDescent="0.25">
      <c r="A3892">
        <v>12149000100</v>
      </c>
      <c r="B3892" t="s">
        <v>1154</v>
      </c>
    </row>
    <row r="3893" spans="1:2" x14ac:dyDescent="0.25">
      <c r="A3893">
        <v>12149000900</v>
      </c>
      <c r="B3893" t="s">
        <v>10</v>
      </c>
    </row>
    <row r="3894" spans="1:2" x14ac:dyDescent="0.25">
      <c r="A3894">
        <v>1301</v>
      </c>
      <c r="B3894" t="s">
        <v>1155</v>
      </c>
    </row>
    <row r="3895" spans="1:2" x14ac:dyDescent="0.25">
      <c r="A3895">
        <v>13012000000</v>
      </c>
      <c r="B3895" t="e">
        <f>-Goma arabiga</f>
        <v>#NAME?</v>
      </c>
    </row>
    <row r="3896" spans="1:2" x14ac:dyDescent="0.25">
      <c r="A3896">
        <v>130190</v>
      </c>
      <c r="B3896" t="e">
        <f>- Los demas</f>
        <v>#NAME?</v>
      </c>
    </row>
    <row r="3897" spans="1:2" x14ac:dyDescent="0.25">
      <c r="A3897">
        <v>13019010000</v>
      </c>
      <c r="B3897" t="s">
        <v>1156</v>
      </c>
    </row>
    <row r="3898" spans="1:2" x14ac:dyDescent="0.25">
      <c r="A3898">
        <v>13019090</v>
      </c>
      <c r="B3898" t="s">
        <v>10</v>
      </c>
    </row>
    <row r="3899" spans="1:2" x14ac:dyDescent="0.25">
      <c r="A3899">
        <v>130190901</v>
      </c>
      <c r="B3899" t="s">
        <v>1157</v>
      </c>
    </row>
    <row r="3900" spans="1:2" x14ac:dyDescent="0.25">
      <c r="A3900">
        <v>13019090110</v>
      </c>
      <c r="B3900" t="s">
        <v>1158</v>
      </c>
    </row>
    <row r="3901" spans="1:2" x14ac:dyDescent="0.25">
      <c r="A3901">
        <v>13019090190</v>
      </c>
      <c r="B3901" t="s">
        <v>10</v>
      </c>
    </row>
    <row r="3902" spans="1:2" x14ac:dyDescent="0.25">
      <c r="A3902">
        <v>13019090200</v>
      </c>
      <c r="B3902" t="s">
        <v>1159</v>
      </c>
    </row>
    <row r="3903" spans="1:2" x14ac:dyDescent="0.25">
      <c r="A3903">
        <v>13019090300</v>
      </c>
      <c r="B3903" t="s">
        <v>1160</v>
      </c>
    </row>
    <row r="3904" spans="1:2" x14ac:dyDescent="0.25">
      <c r="A3904">
        <v>13019090400</v>
      </c>
      <c r="B3904" t="s">
        <v>1161</v>
      </c>
    </row>
    <row r="3905" spans="1:2" x14ac:dyDescent="0.25">
      <c r="A3905">
        <v>130190905</v>
      </c>
      <c r="B3905" t="s">
        <v>1162</v>
      </c>
    </row>
    <row r="3906" spans="1:2" x14ac:dyDescent="0.25">
      <c r="A3906">
        <v>13019090510</v>
      </c>
      <c r="B3906" t="s">
        <v>1163</v>
      </c>
    </row>
    <row r="3907" spans="1:2" x14ac:dyDescent="0.25">
      <c r="A3907">
        <v>13019090520</v>
      </c>
      <c r="B3907" t="s">
        <v>1164</v>
      </c>
    </row>
    <row r="3908" spans="1:2" x14ac:dyDescent="0.25">
      <c r="A3908">
        <v>13019090530</v>
      </c>
      <c r="B3908" t="s">
        <v>1165</v>
      </c>
    </row>
    <row r="3909" spans="1:2" x14ac:dyDescent="0.25">
      <c r="A3909">
        <v>13019090590</v>
      </c>
      <c r="B3909" t="s">
        <v>10</v>
      </c>
    </row>
    <row r="3910" spans="1:2" x14ac:dyDescent="0.25">
      <c r="A3910">
        <v>13019090900</v>
      </c>
      <c r="B3910" t="s">
        <v>1166</v>
      </c>
    </row>
    <row r="3911" spans="1:2" x14ac:dyDescent="0.25">
      <c r="A3911">
        <v>1302</v>
      </c>
      <c r="B3911" t="s">
        <v>1167</v>
      </c>
    </row>
    <row r="3912" spans="1:2" x14ac:dyDescent="0.25">
      <c r="A3912">
        <v>13021</v>
      </c>
      <c r="B3912" t="s">
        <v>1168</v>
      </c>
    </row>
    <row r="3913" spans="1:2" x14ac:dyDescent="0.25">
      <c r="A3913">
        <v>130211</v>
      </c>
      <c r="B3913" t="e">
        <f>- - Opio</f>
        <v>#NAME?</v>
      </c>
    </row>
    <row r="3914" spans="1:2" x14ac:dyDescent="0.25">
      <c r="A3914">
        <v>13021110000</v>
      </c>
      <c r="B3914" t="s">
        <v>1169</v>
      </c>
    </row>
    <row r="3915" spans="1:2" x14ac:dyDescent="0.25">
      <c r="A3915">
        <v>13021190000</v>
      </c>
      <c r="B3915" t="s">
        <v>10</v>
      </c>
    </row>
    <row r="3916" spans="1:2" x14ac:dyDescent="0.25">
      <c r="A3916">
        <v>13021200000</v>
      </c>
      <c r="B3916" t="e">
        <f>--de regaliz</f>
        <v>#NAME?</v>
      </c>
    </row>
    <row r="3917" spans="1:2" x14ac:dyDescent="0.25">
      <c r="A3917">
        <v>13021300000</v>
      </c>
      <c r="B3917" t="e">
        <f>--de lupulo</f>
        <v>#NAME?</v>
      </c>
    </row>
    <row r="3918" spans="1:2" x14ac:dyDescent="0.25">
      <c r="A3918">
        <v>13021400000</v>
      </c>
      <c r="B3918" t="e">
        <f>--de Efedra</f>
        <v>#NAME?</v>
      </c>
    </row>
    <row r="3919" spans="1:2" x14ac:dyDescent="0.25">
      <c r="A3919">
        <v>130219</v>
      </c>
      <c r="B3919" t="e">
        <f>- - Los demas</f>
        <v>#NAME?</v>
      </c>
    </row>
    <row r="3920" spans="1:2" x14ac:dyDescent="0.25">
      <c r="A3920">
        <v>13021910000</v>
      </c>
      <c r="B3920" t="s">
        <v>1170</v>
      </c>
    </row>
    <row r="3921" spans="1:2" x14ac:dyDescent="0.25">
      <c r="A3921">
        <v>13021920000</v>
      </c>
      <c r="B3921" t="s">
        <v>1171</v>
      </c>
    </row>
    <row r="3922" spans="1:2" x14ac:dyDescent="0.25">
      <c r="A3922">
        <v>13021930000</v>
      </c>
      <c r="B3922" t="s">
        <v>1172</v>
      </c>
    </row>
    <row r="3923" spans="1:2" x14ac:dyDescent="0.25">
      <c r="A3923">
        <v>13021940000</v>
      </c>
      <c r="B3923" t="s">
        <v>1173</v>
      </c>
    </row>
    <row r="3924" spans="1:2" x14ac:dyDescent="0.25">
      <c r="A3924">
        <v>13021950000</v>
      </c>
      <c r="B3924" t="s">
        <v>1174</v>
      </c>
    </row>
    <row r="3925" spans="1:2" x14ac:dyDescent="0.25">
      <c r="A3925">
        <v>13021960000</v>
      </c>
      <c r="B3925" t="s">
        <v>1175</v>
      </c>
    </row>
    <row r="3926" spans="1:2" x14ac:dyDescent="0.25">
      <c r="A3926">
        <v>1302199</v>
      </c>
      <c r="B3926" t="s">
        <v>10</v>
      </c>
    </row>
    <row r="3927" spans="1:2" x14ac:dyDescent="0.25">
      <c r="A3927">
        <v>13021991</v>
      </c>
      <c r="B3927" t="s">
        <v>1176</v>
      </c>
    </row>
    <row r="3928" spans="1:2" x14ac:dyDescent="0.25">
      <c r="A3928">
        <v>13021991100</v>
      </c>
      <c r="B3928" t="s">
        <v>1177</v>
      </c>
    </row>
    <row r="3929" spans="1:2" x14ac:dyDescent="0.25">
      <c r="A3929">
        <v>13021991900</v>
      </c>
      <c r="B3929" t="s">
        <v>57</v>
      </c>
    </row>
    <row r="3930" spans="1:2" x14ac:dyDescent="0.25">
      <c r="A3930">
        <v>13021999</v>
      </c>
      <c r="B3930" t="s">
        <v>10</v>
      </c>
    </row>
    <row r="3931" spans="1:2" x14ac:dyDescent="0.25">
      <c r="A3931">
        <v>130219991</v>
      </c>
      <c r="B3931" t="s">
        <v>1132</v>
      </c>
    </row>
    <row r="3932" spans="1:2" x14ac:dyDescent="0.25">
      <c r="A3932">
        <v>1302199911</v>
      </c>
      <c r="B3932" t="s">
        <v>1178</v>
      </c>
    </row>
    <row r="3933" spans="1:2" x14ac:dyDescent="0.25">
      <c r="A3933">
        <v>13021999111</v>
      </c>
      <c r="B3933" t="s">
        <v>1179</v>
      </c>
    </row>
    <row r="3934" spans="1:2" x14ac:dyDescent="0.25">
      <c r="A3934">
        <v>13021999112</v>
      </c>
      <c r="B3934" t="s">
        <v>1180</v>
      </c>
    </row>
    <row r="3935" spans="1:2" x14ac:dyDescent="0.25">
      <c r="A3935">
        <v>13021999119</v>
      </c>
      <c r="B3935" t="s">
        <v>10</v>
      </c>
    </row>
    <row r="3936" spans="1:2" x14ac:dyDescent="0.25">
      <c r="A3936">
        <v>13021999190</v>
      </c>
      <c r="B3936" t="s">
        <v>10</v>
      </c>
    </row>
    <row r="3937" spans="1:2" x14ac:dyDescent="0.25">
      <c r="A3937">
        <v>130219999</v>
      </c>
      <c r="B3937" t="s">
        <v>10</v>
      </c>
    </row>
    <row r="3938" spans="1:2" x14ac:dyDescent="0.25">
      <c r="A3938">
        <v>13021999910</v>
      </c>
      <c r="B3938" t="s">
        <v>1181</v>
      </c>
    </row>
    <row r="3939" spans="1:2" x14ac:dyDescent="0.25">
      <c r="A3939">
        <v>13021999920</v>
      </c>
      <c r="B3939" t="s">
        <v>1182</v>
      </c>
    </row>
    <row r="3940" spans="1:2" x14ac:dyDescent="0.25">
      <c r="A3940">
        <v>13021999930</v>
      </c>
      <c r="B3940" t="s">
        <v>1183</v>
      </c>
    </row>
    <row r="3941" spans="1:2" x14ac:dyDescent="0.25">
      <c r="A3941">
        <v>13021999940</v>
      </c>
      <c r="B3941" t="s">
        <v>1184</v>
      </c>
    </row>
    <row r="3942" spans="1:2" x14ac:dyDescent="0.25">
      <c r="A3942">
        <v>13021999990</v>
      </c>
      <c r="B3942" t="s">
        <v>10</v>
      </c>
    </row>
    <row r="3943" spans="1:2" x14ac:dyDescent="0.25">
      <c r="A3943">
        <v>130220</v>
      </c>
      <c r="B3943" t="e">
        <f>- materias pecticas. pectinatos y pectatos</f>
        <v>#NAME?</v>
      </c>
    </row>
    <row r="3944" spans="1:2" x14ac:dyDescent="0.25">
      <c r="A3944">
        <v>13022010000</v>
      </c>
      <c r="B3944" t="s">
        <v>1185</v>
      </c>
    </row>
    <row r="3945" spans="1:2" x14ac:dyDescent="0.25">
      <c r="A3945">
        <v>13022090000</v>
      </c>
      <c r="B3945" t="s">
        <v>10</v>
      </c>
    </row>
    <row r="3946" spans="1:2" x14ac:dyDescent="0.25">
      <c r="A3946">
        <v>13023</v>
      </c>
      <c r="B3946" t="s">
        <v>1186</v>
      </c>
    </row>
    <row r="3947" spans="1:2" x14ac:dyDescent="0.25">
      <c r="A3947">
        <v>13023100000</v>
      </c>
      <c r="B3947" t="e">
        <f>--Agar-Agar</f>
        <v>#NAME?</v>
      </c>
    </row>
    <row r="3948" spans="1:2" x14ac:dyDescent="0.25">
      <c r="A3948">
        <v>130232</v>
      </c>
      <c r="B3948" t="e">
        <f>- - Mucilagos y espesativos de la algarroba o de su Semilla o de las Semillas de guar. incluso modificados</f>
        <v>#NAME?</v>
      </c>
    </row>
    <row r="3949" spans="1:2" x14ac:dyDescent="0.25">
      <c r="A3949">
        <v>1302321</v>
      </c>
      <c r="B3949" t="s">
        <v>1187</v>
      </c>
    </row>
    <row r="3950" spans="1:2" x14ac:dyDescent="0.25">
      <c r="A3950">
        <v>13023211000</v>
      </c>
      <c r="B3950" t="s">
        <v>1188</v>
      </c>
    </row>
    <row r="3951" spans="1:2" x14ac:dyDescent="0.25">
      <c r="A3951">
        <v>13023219000</v>
      </c>
      <c r="B3951" t="s">
        <v>10</v>
      </c>
    </row>
    <row r="3952" spans="1:2" x14ac:dyDescent="0.25">
      <c r="A3952">
        <v>13023220000</v>
      </c>
      <c r="B3952" t="s">
        <v>1189</v>
      </c>
    </row>
    <row r="3953" spans="1:2" x14ac:dyDescent="0.25">
      <c r="A3953">
        <v>130239</v>
      </c>
      <c r="B3953" t="e">
        <f>- - Los demas</f>
        <v>#NAME?</v>
      </c>
    </row>
    <row r="3954" spans="1:2" x14ac:dyDescent="0.25">
      <c r="A3954">
        <v>13023910000</v>
      </c>
      <c r="B3954" t="s">
        <v>1190</v>
      </c>
    </row>
    <row r="3955" spans="1:2" x14ac:dyDescent="0.25">
      <c r="A3955">
        <v>13023990000</v>
      </c>
      <c r="B3955" t="s">
        <v>10</v>
      </c>
    </row>
    <row r="3956" spans="1:2" x14ac:dyDescent="0.25">
      <c r="A3956">
        <v>1401</v>
      </c>
      <c r="B3956" t="s">
        <v>1191</v>
      </c>
    </row>
    <row r="3957" spans="1:2" x14ac:dyDescent="0.25">
      <c r="A3957">
        <v>14011000000</v>
      </c>
      <c r="B3957" t="e">
        <f>-Bambu</f>
        <v>#NAME?</v>
      </c>
    </row>
    <row r="3958" spans="1:2" x14ac:dyDescent="0.25">
      <c r="A3958">
        <v>14012000000</v>
      </c>
      <c r="B3958" t="s">
        <v>1192</v>
      </c>
    </row>
    <row r="3959" spans="1:2" x14ac:dyDescent="0.25">
      <c r="A3959">
        <v>14019000</v>
      </c>
      <c r="B3959" t="e">
        <f>- las demas</f>
        <v>#NAME?</v>
      </c>
    </row>
    <row r="3960" spans="1:2" x14ac:dyDescent="0.25">
      <c r="A3960">
        <v>14019000100</v>
      </c>
      <c r="B3960" t="s">
        <v>1193</v>
      </c>
    </row>
    <row r="3961" spans="1:2" x14ac:dyDescent="0.25">
      <c r="A3961">
        <v>14019000200</v>
      </c>
      <c r="B3961" t="s">
        <v>1194</v>
      </c>
    </row>
    <row r="3962" spans="1:2" x14ac:dyDescent="0.25">
      <c r="A3962">
        <v>14019000300</v>
      </c>
      <c r="B3962" t="s">
        <v>1195</v>
      </c>
    </row>
    <row r="3963" spans="1:2" x14ac:dyDescent="0.25">
      <c r="A3963">
        <v>14019000900</v>
      </c>
      <c r="B3963" t="s">
        <v>10</v>
      </c>
    </row>
    <row r="3964" spans="1:2" x14ac:dyDescent="0.25">
      <c r="A3964">
        <v>1404</v>
      </c>
      <c r="B3964" t="s">
        <v>1196</v>
      </c>
    </row>
    <row r="3965" spans="1:2" x14ac:dyDescent="0.25">
      <c r="A3965">
        <v>140420</v>
      </c>
      <c r="B3965" t="e">
        <f>- Linteres de algodon</f>
        <v>#NAME?</v>
      </c>
    </row>
    <row r="3966" spans="1:2" x14ac:dyDescent="0.25">
      <c r="A3966">
        <v>14042010000</v>
      </c>
      <c r="B3966" t="s">
        <v>1197</v>
      </c>
    </row>
    <row r="3967" spans="1:2" x14ac:dyDescent="0.25">
      <c r="A3967">
        <v>14042090000</v>
      </c>
      <c r="B3967" t="s">
        <v>10</v>
      </c>
    </row>
    <row r="3968" spans="1:2" x14ac:dyDescent="0.25">
      <c r="A3968">
        <v>140490</v>
      </c>
      <c r="B3968" t="e">
        <f>- Los demas</f>
        <v>#NAME?</v>
      </c>
    </row>
    <row r="3969" spans="1:2" x14ac:dyDescent="0.25">
      <c r="A3969">
        <v>14049010</v>
      </c>
      <c r="B3969" t="s">
        <v>1198</v>
      </c>
    </row>
    <row r="3970" spans="1:2" x14ac:dyDescent="0.25">
      <c r="A3970">
        <v>14049010100</v>
      </c>
      <c r="B3970" t="s">
        <v>1199</v>
      </c>
    </row>
    <row r="3971" spans="1:2" x14ac:dyDescent="0.25">
      <c r="A3971">
        <v>14049010900</v>
      </c>
      <c r="B3971" t="s">
        <v>57</v>
      </c>
    </row>
    <row r="3972" spans="1:2" x14ac:dyDescent="0.25">
      <c r="A3972">
        <v>14049090</v>
      </c>
      <c r="B3972" t="s">
        <v>10</v>
      </c>
    </row>
    <row r="3973" spans="1:2" x14ac:dyDescent="0.25">
      <c r="A3973">
        <v>14049090100</v>
      </c>
      <c r="B3973" t="s">
        <v>1200</v>
      </c>
    </row>
    <row r="3974" spans="1:2" x14ac:dyDescent="0.25">
      <c r="A3974">
        <v>14049090200</v>
      </c>
      <c r="B3974" t="s">
        <v>1201</v>
      </c>
    </row>
    <row r="3975" spans="1:2" x14ac:dyDescent="0.25">
      <c r="A3975">
        <v>14049090900</v>
      </c>
      <c r="B3975" t="s">
        <v>10</v>
      </c>
    </row>
    <row r="3976" spans="1:2" x14ac:dyDescent="0.25">
      <c r="A3976">
        <v>1501</v>
      </c>
      <c r="B3976" t="s">
        <v>1202</v>
      </c>
    </row>
    <row r="3977" spans="1:2" x14ac:dyDescent="0.25">
      <c r="A3977">
        <v>15011000000</v>
      </c>
      <c r="B3977" t="e">
        <f>-Manteca de cerdo</f>
        <v>#NAME?</v>
      </c>
    </row>
    <row r="3978" spans="1:2" x14ac:dyDescent="0.25">
      <c r="A3978">
        <v>15012000000</v>
      </c>
      <c r="B3978" t="e">
        <f>-las demas grasas de cerdo</f>
        <v>#NAME?</v>
      </c>
    </row>
    <row r="3979" spans="1:2" x14ac:dyDescent="0.25">
      <c r="A3979">
        <v>15019000000</v>
      </c>
      <c r="B3979" t="e">
        <f>-las demas</f>
        <v>#NAME?</v>
      </c>
    </row>
    <row r="3980" spans="1:2" x14ac:dyDescent="0.25">
      <c r="A3980">
        <v>1502</v>
      </c>
      <c r="B3980" t="s">
        <v>1203</v>
      </c>
    </row>
    <row r="3981" spans="1:2" x14ac:dyDescent="0.25">
      <c r="A3981">
        <v>150210</v>
      </c>
      <c r="B3981" t="e">
        <f>- Sebo</f>
        <v>#NAME?</v>
      </c>
    </row>
    <row r="3982" spans="1:2" x14ac:dyDescent="0.25">
      <c r="A3982">
        <v>1502101</v>
      </c>
      <c r="B3982" t="s">
        <v>1204</v>
      </c>
    </row>
    <row r="3983" spans="1:2" x14ac:dyDescent="0.25">
      <c r="A3983">
        <v>15021011000</v>
      </c>
      <c r="B3983" t="s">
        <v>1197</v>
      </c>
    </row>
    <row r="3984" spans="1:2" x14ac:dyDescent="0.25">
      <c r="A3984">
        <v>15021012000</v>
      </c>
      <c r="B3984" t="s">
        <v>1205</v>
      </c>
    </row>
    <row r="3985" spans="1:2" x14ac:dyDescent="0.25">
      <c r="A3985">
        <v>15021019000</v>
      </c>
      <c r="B3985" t="s">
        <v>10</v>
      </c>
    </row>
    <row r="3986" spans="1:2" x14ac:dyDescent="0.25">
      <c r="A3986">
        <v>15021090000</v>
      </c>
      <c r="B3986" t="s">
        <v>10</v>
      </c>
    </row>
    <row r="3987" spans="1:2" x14ac:dyDescent="0.25">
      <c r="A3987">
        <v>15029000</v>
      </c>
      <c r="B3987" t="e">
        <f>- las demas</f>
        <v>#NAME?</v>
      </c>
    </row>
    <row r="3988" spans="1:2" x14ac:dyDescent="0.25">
      <c r="A3988">
        <v>15029000100</v>
      </c>
      <c r="B3988" t="s">
        <v>1206</v>
      </c>
    </row>
    <row r="3989" spans="1:2" x14ac:dyDescent="0.25">
      <c r="A3989">
        <v>15029000200</v>
      </c>
      <c r="B3989" t="s">
        <v>1207</v>
      </c>
    </row>
    <row r="3990" spans="1:2" x14ac:dyDescent="0.25">
      <c r="A3990">
        <v>150290003</v>
      </c>
      <c r="B3990" t="s">
        <v>1208</v>
      </c>
    </row>
    <row r="3991" spans="1:2" x14ac:dyDescent="0.25">
      <c r="A3991">
        <v>15029000310</v>
      </c>
      <c r="B3991" t="s">
        <v>1209</v>
      </c>
    </row>
    <row r="3992" spans="1:2" x14ac:dyDescent="0.25">
      <c r="A3992">
        <v>15029000390</v>
      </c>
      <c r="B3992" t="s">
        <v>57</v>
      </c>
    </row>
    <row r="3993" spans="1:2" x14ac:dyDescent="0.25">
      <c r="A3993">
        <v>15030000</v>
      </c>
      <c r="B3993" t="s">
        <v>1210</v>
      </c>
    </row>
    <row r="3994" spans="1:2" x14ac:dyDescent="0.25">
      <c r="A3994">
        <v>15030000100</v>
      </c>
      <c r="B3994" t="s">
        <v>1211</v>
      </c>
    </row>
    <row r="3995" spans="1:2" x14ac:dyDescent="0.25">
      <c r="A3995">
        <v>15030000200</v>
      </c>
      <c r="B3995" t="s">
        <v>1212</v>
      </c>
    </row>
    <row r="3996" spans="1:2" x14ac:dyDescent="0.25">
      <c r="A3996">
        <v>15030000300</v>
      </c>
      <c r="B3996" t="s">
        <v>1213</v>
      </c>
    </row>
    <row r="3997" spans="1:2" x14ac:dyDescent="0.25">
      <c r="A3997">
        <v>15030000400</v>
      </c>
      <c r="B3997" t="s">
        <v>1214</v>
      </c>
    </row>
    <row r="3998" spans="1:2" x14ac:dyDescent="0.25">
      <c r="A3998">
        <v>15030000500</v>
      </c>
      <c r="B3998" t="s">
        <v>1215</v>
      </c>
    </row>
    <row r="3999" spans="1:2" x14ac:dyDescent="0.25">
      <c r="A3999">
        <v>1504</v>
      </c>
      <c r="B3999" t="s">
        <v>1216</v>
      </c>
    </row>
    <row r="4000" spans="1:2" x14ac:dyDescent="0.25">
      <c r="A4000">
        <v>150410</v>
      </c>
      <c r="B4000" t="e">
        <f>- Aceites de higado de pescado y sus fracciones</f>
        <v>#NAME?</v>
      </c>
    </row>
    <row r="4001" spans="1:2" x14ac:dyDescent="0.25">
      <c r="A4001">
        <v>1504101</v>
      </c>
      <c r="B4001" t="s">
        <v>1217</v>
      </c>
    </row>
    <row r="4002" spans="1:2" x14ac:dyDescent="0.25">
      <c r="A4002">
        <v>15041011000</v>
      </c>
      <c r="B4002" t="s">
        <v>1218</v>
      </c>
    </row>
    <row r="4003" spans="1:2" x14ac:dyDescent="0.25">
      <c r="A4003">
        <v>15041019000</v>
      </c>
      <c r="B4003" t="s">
        <v>10</v>
      </c>
    </row>
    <row r="4004" spans="1:2" x14ac:dyDescent="0.25">
      <c r="A4004">
        <v>15041090000</v>
      </c>
      <c r="B4004" t="s">
        <v>10</v>
      </c>
    </row>
    <row r="4005" spans="1:2" x14ac:dyDescent="0.25">
      <c r="A4005">
        <v>15042000000</v>
      </c>
      <c r="B4005" t="e">
        <f>-grasas y Aceites de pescado y sus fracciones. excepto Los Aceites de higado</f>
        <v>#NAME?</v>
      </c>
    </row>
    <row r="4006" spans="1:2" x14ac:dyDescent="0.25">
      <c r="A4006">
        <v>15043000000</v>
      </c>
      <c r="B4006" t="e">
        <f>-grasas y Aceites de Mamiferos marinos y sus fracciones</f>
        <v>#NAME?</v>
      </c>
    </row>
    <row r="4007" spans="1:2" x14ac:dyDescent="0.25">
      <c r="A4007">
        <v>150500</v>
      </c>
      <c r="B4007" t="s">
        <v>1219</v>
      </c>
    </row>
    <row r="4008" spans="1:2" x14ac:dyDescent="0.25">
      <c r="A4008">
        <v>15050010000</v>
      </c>
      <c r="B4008" t="s">
        <v>1220</v>
      </c>
    </row>
    <row r="4009" spans="1:2" x14ac:dyDescent="0.25">
      <c r="A4009">
        <v>15050090000</v>
      </c>
      <c r="B4009" t="s">
        <v>57</v>
      </c>
    </row>
    <row r="4010" spans="1:2" x14ac:dyDescent="0.25">
      <c r="A4010">
        <v>15060000</v>
      </c>
      <c r="B4010" t="s">
        <v>1221</v>
      </c>
    </row>
    <row r="4011" spans="1:2" x14ac:dyDescent="0.25">
      <c r="A4011">
        <v>15060000100</v>
      </c>
      <c r="B4011" t="s">
        <v>1222</v>
      </c>
    </row>
    <row r="4012" spans="1:2" x14ac:dyDescent="0.25">
      <c r="A4012">
        <v>15060000900</v>
      </c>
      <c r="B4012" t="s">
        <v>10</v>
      </c>
    </row>
    <row r="4013" spans="1:2" x14ac:dyDescent="0.25">
      <c r="A4013">
        <v>1507</v>
      </c>
      <c r="B4013" t="s">
        <v>1223</v>
      </c>
    </row>
    <row r="4014" spans="1:2" x14ac:dyDescent="0.25">
      <c r="A4014">
        <v>15071000</v>
      </c>
      <c r="B4014" t="e">
        <f>- Aceite En bruto. incluso desgomado</f>
        <v>#NAME?</v>
      </c>
    </row>
    <row r="4015" spans="1:2" x14ac:dyDescent="0.25">
      <c r="A4015">
        <v>15071000100</v>
      </c>
      <c r="B4015" t="s">
        <v>1224</v>
      </c>
    </row>
    <row r="4016" spans="1:2" x14ac:dyDescent="0.25">
      <c r="A4016">
        <v>15071000200</v>
      </c>
      <c r="B4016" t="s">
        <v>1225</v>
      </c>
    </row>
    <row r="4017" spans="1:2" x14ac:dyDescent="0.25">
      <c r="A4017">
        <v>15071000900</v>
      </c>
      <c r="B4017" t="s">
        <v>10</v>
      </c>
    </row>
    <row r="4018" spans="1:2" x14ac:dyDescent="0.25">
      <c r="A4018">
        <v>150790</v>
      </c>
      <c r="B4018" t="e">
        <f>- Los demas</f>
        <v>#NAME?</v>
      </c>
    </row>
    <row r="4019" spans="1:2" x14ac:dyDescent="0.25">
      <c r="A4019">
        <v>1507901</v>
      </c>
      <c r="B4019" t="s">
        <v>1226</v>
      </c>
    </row>
    <row r="4020" spans="1:2" x14ac:dyDescent="0.25">
      <c r="A4020">
        <v>15079011000</v>
      </c>
      <c r="B4020" t="s">
        <v>1227</v>
      </c>
    </row>
    <row r="4021" spans="1:2" x14ac:dyDescent="0.25">
      <c r="A4021">
        <v>15079019</v>
      </c>
      <c r="B4021" t="s">
        <v>10</v>
      </c>
    </row>
    <row r="4022" spans="1:2" x14ac:dyDescent="0.25">
      <c r="A4022">
        <v>15079019100</v>
      </c>
      <c r="B4022" t="s">
        <v>1224</v>
      </c>
    </row>
    <row r="4023" spans="1:2" x14ac:dyDescent="0.25">
      <c r="A4023">
        <v>150790192</v>
      </c>
      <c r="B4023" t="s">
        <v>1228</v>
      </c>
    </row>
    <row r="4024" spans="1:2" x14ac:dyDescent="0.25">
      <c r="A4024">
        <v>15079019210</v>
      </c>
      <c r="B4024" t="s">
        <v>1229</v>
      </c>
    </row>
    <row r="4025" spans="1:2" x14ac:dyDescent="0.25">
      <c r="A4025">
        <v>15079019290</v>
      </c>
      <c r="B4025" t="s">
        <v>10</v>
      </c>
    </row>
    <row r="4026" spans="1:2" x14ac:dyDescent="0.25">
      <c r="A4026">
        <v>15079019900</v>
      </c>
      <c r="B4026" t="s">
        <v>10</v>
      </c>
    </row>
    <row r="4027" spans="1:2" x14ac:dyDescent="0.25">
      <c r="A4027">
        <v>15079090000</v>
      </c>
      <c r="B4027" t="s">
        <v>10</v>
      </c>
    </row>
    <row r="4028" spans="1:2" x14ac:dyDescent="0.25">
      <c r="A4028">
        <v>1508</v>
      </c>
      <c r="B4028" t="s">
        <v>1230</v>
      </c>
    </row>
    <row r="4029" spans="1:2" x14ac:dyDescent="0.25">
      <c r="A4029">
        <v>15081000</v>
      </c>
      <c r="B4029" t="e">
        <f>- Aceite En bruto</f>
        <v>#NAME?</v>
      </c>
    </row>
    <row r="4030" spans="1:2" x14ac:dyDescent="0.25">
      <c r="A4030">
        <v>15081000100</v>
      </c>
      <c r="B4030" t="s">
        <v>1224</v>
      </c>
    </row>
    <row r="4031" spans="1:2" x14ac:dyDescent="0.25">
      <c r="A4031">
        <v>15081000200</v>
      </c>
      <c r="B4031" t="s">
        <v>1225</v>
      </c>
    </row>
    <row r="4032" spans="1:2" x14ac:dyDescent="0.25">
      <c r="A4032">
        <v>15081000900</v>
      </c>
      <c r="B4032" t="s">
        <v>10</v>
      </c>
    </row>
    <row r="4033" spans="1:2" x14ac:dyDescent="0.25">
      <c r="A4033">
        <v>15089000</v>
      </c>
      <c r="B4033" t="e">
        <f>- Los demas</f>
        <v>#NAME?</v>
      </c>
    </row>
    <row r="4034" spans="1:2" x14ac:dyDescent="0.25">
      <c r="A4034">
        <v>150890001</v>
      </c>
      <c r="B4034" t="s">
        <v>1226</v>
      </c>
    </row>
    <row r="4035" spans="1:2" x14ac:dyDescent="0.25">
      <c r="A4035">
        <v>15089000110</v>
      </c>
      <c r="B4035" t="s">
        <v>1231</v>
      </c>
    </row>
    <row r="4036" spans="1:2" x14ac:dyDescent="0.25">
      <c r="A4036">
        <v>15089000120</v>
      </c>
      <c r="B4036" t="s">
        <v>1232</v>
      </c>
    </row>
    <row r="4037" spans="1:2" x14ac:dyDescent="0.25">
      <c r="A4037">
        <v>15089000130</v>
      </c>
      <c r="B4037" t="s">
        <v>1228</v>
      </c>
    </row>
    <row r="4038" spans="1:2" x14ac:dyDescent="0.25">
      <c r="A4038">
        <v>15089000190</v>
      </c>
      <c r="B4038" t="s">
        <v>10</v>
      </c>
    </row>
    <row r="4039" spans="1:2" x14ac:dyDescent="0.25">
      <c r="A4039">
        <v>15089000900</v>
      </c>
      <c r="B4039" t="s">
        <v>10</v>
      </c>
    </row>
    <row r="4040" spans="1:2" x14ac:dyDescent="0.25">
      <c r="A4040">
        <v>1509</v>
      </c>
      <c r="B4040" t="s">
        <v>1233</v>
      </c>
    </row>
    <row r="4041" spans="1:2" x14ac:dyDescent="0.25">
      <c r="A4041">
        <v>15091000</v>
      </c>
      <c r="B4041" t="e">
        <f>- Virgen</f>
        <v>#NAME?</v>
      </c>
    </row>
    <row r="4042" spans="1:2" x14ac:dyDescent="0.25">
      <c r="A4042">
        <v>15091000100</v>
      </c>
      <c r="B4042" t="s">
        <v>1234</v>
      </c>
    </row>
    <row r="4043" spans="1:2" x14ac:dyDescent="0.25">
      <c r="A4043">
        <v>150910009</v>
      </c>
      <c r="B4043" t="s">
        <v>10</v>
      </c>
    </row>
    <row r="4044" spans="1:2" x14ac:dyDescent="0.25">
      <c r="A4044">
        <v>15091000910</v>
      </c>
      <c r="B4044" t="s">
        <v>1235</v>
      </c>
    </row>
    <row r="4045" spans="1:2" x14ac:dyDescent="0.25">
      <c r="A4045">
        <v>15091000990</v>
      </c>
      <c r="B4045" t="s">
        <v>10</v>
      </c>
    </row>
    <row r="4046" spans="1:2" x14ac:dyDescent="0.25">
      <c r="A4046">
        <v>150990</v>
      </c>
      <c r="B4046" t="e">
        <f>- Los demas</f>
        <v>#NAME?</v>
      </c>
    </row>
    <row r="4047" spans="1:2" x14ac:dyDescent="0.25">
      <c r="A4047">
        <v>15099010</v>
      </c>
      <c r="B4047" t="s">
        <v>1226</v>
      </c>
    </row>
    <row r="4048" spans="1:2" x14ac:dyDescent="0.25">
      <c r="A4048">
        <v>15099010100</v>
      </c>
      <c r="B4048" t="s">
        <v>1234</v>
      </c>
    </row>
    <row r="4049" spans="1:2" x14ac:dyDescent="0.25">
      <c r="A4049">
        <v>150990109</v>
      </c>
      <c r="B4049" t="s">
        <v>10</v>
      </c>
    </row>
    <row r="4050" spans="1:2" x14ac:dyDescent="0.25">
      <c r="A4050">
        <v>15099010910</v>
      </c>
      <c r="B4050" t="s">
        <v>1235</v>
      </c>
    </row>
    <row r="4051" spans="1:2" x14ac:dyDescent="0.25">
      <c r="A4051">
        <v>15099010990</v>
      </c>
      <c r="B4051" t="s">
        <v>10</v>
      </c>
    </row>
    <row r="4052" spans="1:2" x14ac:dyDescent="0.25">
      <c r="A4052">
        <v>15099090</v>
      </c>
      <c r="B4052" t="s">
        <v>10</v>
      </c>
    </row>
    <row r="4053" spans="1:2" x14ac:dyDescent="0.25">
      <c r="A4053">
        <v>150990903</v>
      </c>
      <c r="B4053" t="s">
        <v>1236</v>
      </c>
    </row>
    <row r="4054" spans="1:2" x14ac:dyDescent="0.25">
      <c r="A4054">
        <v>1509909031</v>
      </c>
      <c r="B4054" t="s">
        <v>1237</v>
      </c>
    </row>
    <row r="4055" spans="1:2" x14ac:dyDescent="0.25">
      <c r="A4055">
        <v>15099090311</v>
      </c>
      <c r="B4055" t="s">
        <v>595</v>
      </c>
    </row>
    <row r="4056" spans="1:2" x14ac:dyDescent="0.25">
      <c r="A4056">
        <v>15099090319</v>
      </c>
      <c r="B4056" t="s">
        <v>57</v>
      </c>
    </row>
    <row r="4057" spans="1:2" x14ac:dyDescent="0.25">
      <c r="A4057">
        <v>15099090390</v>
      </c>
      <c r="B4057" t="s">
        <v>57</v>
      </c>
    </row>
    <row r="4058" spans="1:2" x14ac:dyDescent="0.25">
      <c r="A4058">
        <v>150990904</v>
      </c>
      <c r="B4058" t="s">
        <v>1238</v>
      </c>
    </row>
    <row r="4059" spans="1:2" x14ac:dyDescent="0.25">
      <c r="A4059">
        <v>15099090410</v>
      </c>
      <c r="B4059" t="s">
        <v>1239</v>
      </c>
    </row>
    <row r="4060" spans="1:2" x14ac:dyDescent="0.25">
      <c r="A4060">
        <v>15099090490</v>
      </c>
      <c r="B4060" t="s">
        <v>57</v>
      </c>
    </row>
    <row r="4061" spans="1:2" x14ac:dyDescent="0.25">
      <c r="A4061">
        <v>15100000</v>
      </c>
      <c r="B4061" t="s">
        <v>1240</v>
      </c>
    </row>
    <row r="4062" spans="1:2" x14ac:dyDescent="0.25">
      <c r="A4062">
        <v>15100000100</v>
      </c>
      <c r="B4062" t="s">
        <v>1241</v>
      </c>
    </row>
    <row r="4063" spans="1:2" x14ac:dyDescent="0.25">
      <c r="A4063">
        <v>15100000200</v>
      </c>
      <c r="B4063" t="s">
        <v>1242</v>
      </c>
    </row>
    <row r="4064" spans="1:2" x14ac:dyDescent="0.25">
      <c r="A4064">
        <v>1511</v>
      </c>
      <c r="B4064" t="s">
        <v>1243</v>
      </c>
    </row>
    <row r="4065" spans="1:2" x14ac:dyDescent="0.25">
      <c r="A4065">
        <v>15111000000</v>
      </c>
      <c r="B4065" t="e">
        <f>-Aceite En bruto</f>
        <v>#NAME?</v>
      </c>
    </row>
    <row r="4066" spans="1:2" x14ac:dyDescent="0.25">
      <c r="A4066">
        <v>15119000000</v>
      </c>
      <c r="B4066" t="e">
        <f>-Los demas</f>
        <v>#NAME?</v>
      </c>
    </row>
    <row r="4067" spans="1:2" x14ac:dyDescent="0.25">
      <c r="A4067">
        <v>1512</v>
      </c>
      <c r="B4067" t="s">
        <v>1244</v>
      </c>
    </row>
    <row r="4068" spans="1:2" x14ac:dyDescent="0.25">
      <c r="A4068">
        <v>15121</v>
      </c>
      <c r="B4068" t="s">
        <v>1245</v>
      </c>
    </row>
    <row r="4069" spans="1:2" x14ac:dyDescent="0.25">
      <c r="A4069">
        <v>151211</v>
      </c>
      <c r="B4069" t="e">
        <f>- - Aceites En bruto</f>
        <v>#NAME?</v>
      </c>
    </row>
    <row r="4070" spans="1:2" x14ac:dyDescent="0.25">
      <c r="A4070">
        <v>15121110</v>
      </c>
      <c r="B4070" t="s">
        <v>1246</v>
      </c>
    </row>
    <row r="4071" spans="1:2" x14ac:dyDescent="0.25">
      <c r="A4071">
        <v>151211103</v>
      </c>
      <c r="B4071" t="s">
        <v>1247</v>
      </c>
    </row>
    <row r="4072" spans="1:2" x14ac:dyDescent="0.25">
      <c r="A4072">
        <v>15121110310</v>
      </c>
      <c r="B4072" t="s">
        <v>1224</v>
      </c>
    </row>
    <row r="4073" spans="1:2" x14ac:dyDescent="0.25">
      <c r="A4073">
        <v>15121110320</v>
      </c>
      <c r="B4073" t="s">
        <v>1225</v>
      </c>
    </row>
    <row r="4074" spans="1:2" x14ac:dyDescent="0.25">
      <c r="A4074">
        <v>15121110390</v>
      </c>
      <c r="B4074" t="s">
        <v>57</v>
      </c>
    </row>
    <row r="4075" spans="1:2" x14ac:dyDescent="0.25">
      <c r="A4075">
        <v>151211109</v>
      </c>
      <c r="B4075" t="s">
        <v>57</v>
      </c>
    </row>
    <row r="4076" spans="1:2" x14ac:dyDescent="0.25">
      <c r="A4076">
        <v>1512111091</v>
      </c>
      <c r="B4076" t="s">
        <v>1224</v>
      </c>
    </row>
    <row r="4077" spans="1:2" x14ac:dyDescent="0.25">
      <c r="A4077">
        <v>15121110911</v>
      </c>
      <c r="B4077" t="s">
        <v>1248</v>
      </c>
    </row>
    <row r="4078" spans="1:2" x14ac:dyDescent="0.25">
      <c r="A4078">
        <v>15121110919</v>
      </c>
      <c r="B4078" t="s">
        <v>10</v>
      </c>
    </row>
    <row r="4079" spans="1:2" x14ac:dyDescent="0.25">
      <c r="A4079">
        <v>15121110920</v>
      </c>
      <c r="B4079" t="s">
        <v>1225</v>
      </c>
    </row>
    <row r="4080" spans="1:2" x14ac:dyDescent="0.25">
      <c r="A4080">
        <v>15121110990</v>
      </c>
      <c r="B4080" t="s">
        <v>57</v>
      </c>
    </row>
    <row r="4081" spans="1:2" x14ac:dyDescent="0.25">
      <c r="A4081">
        <v>15121120</v>
      </c>
      <c r="B4081" t="s">
        <v>1249</v>
      </c>
    </row>
    <row r="4082" spans="1:2" x14ac:dyDescent="0.25">
      <c r="A4082">
        <v>15121120100</v>
      </c>
      <c r="B4082" t="s">
        <v>1248</v>
      </c>
    </row>
    <row r="4083" spans="1:2" x14ac:dyDescent="0.25">
      <c r="A4083">
        <v>15121120900</v>
      </c>
      <c r="B4083" t="s">
        <v>10</v>
      </c>
    </row>
    <row r="4084" spans="1:2" x14ac:dyDescent="0.25">
      <c r="A4084">
        <v>151219</v>
      </c>
      <c r="B4084" t="e">
        <f>- - Los demas</f>
        <v>#NAME?</v>
      </c>
    </row>
    <row r="4085" spans="1:2" x14ac:dyDescent="0.25">
      <c r="A4085">
        <v>1512191</v>
      </c>
      <c r="B4085" t="s">
        <v>1246</v>
      </c>
    </row>
    <row r="4086" spans="1:2" x14ac:dyDescent="0.25">
      <c r="A4086">
        <v>15121911000</v>
      </c>
      <c r="B4086" t="s">
        <v>1250</v>
      </c>
    </row>
    <row r="4087" spans="1:2" x14ac:dyDescent="0.25">
      <c r="A4087">
        <v>15121919</v>
      </c>
      <c r="B4087" t="s">
        <v>10</v>
      </c>
    </row>
    <row r="4088" spans="1:2" x14ac:dyDescent="0.25">
      <c r="A4088">
        <v>151219191</v>
      </c>
      <c r="B4088" t="s">
        <v>1226</v>
      </c>
    </row>
    <row r="4089" spans="1:2" x14ac:dyDescent="0.25">
      <c r="A4089">
        <v>15121919110</v>
      </c>
      <c r="B4089" t="s">
        <v>1224</v>
      </c>
    </row>
    <row r="4090" spans="1:2" x14ac:dyDescent="0.25">
      <c r="A4090">
        <v>1512191912</v>
      </c>
      <c r="B4090" t="s">
        <v>1228</v>
      </c>
    </row>
    <row r="4091" spans="1:2" x14ac:dyDescent="0.25">
      <c r="A4091">
        <v>15121919121</v>
      </c>
      <c r="B4091" t="s">
        <v>1229</v>
      </c>
    </row>
    <row r="4092" spans="1:2" x14ac:dyDescent="0.25">
      <c r="A4092">
        <v>15121919129</v>
      </c>
      <c r="B4092" t="s">
        <v>10</v>
      </c>
    </row>
    <row r="4093" spans="1:2" x14ac:dyDescent="0.25">
      <c r="A4093">
        <v>15121919190</v>
      </c>
      <c r="B4093" t="s">
        <v>10</v>
      </c>
    </row>
    <row r="4094" spans="1:2" x14ac:dyDescent="0.25">
      <c r="A4094">
        <v>15121919900</v>
      </c>
      <c r="B4094" t="s">
        <v>10</v>
      </c>
    </row>
    <row r="4095" spans="1:2" x14ac:dyDescent="0.25">
      <c r="A4095">
        <v>15121920000</v>
      </c>
      <c r="B4095" t="s">
        <v>1249</v>
      </c>
    </row>
    <row r="4096" spans="1:2" x14ac:dyDescent="0.25">
      <c r="A4096">
        <v>15122</v>
      </c>
      <c r="B4096" t="s">
        <v>1251</v>
      </c>
    </row>
    <row r="4097" spans="1:2" x14ac:dyDescent="0.25">
      <c r="A4097">
        <v>15122100</v>
      </c>
      <c r="B4097" t="e">
        <f>- - Aceite En bruto. incluso sin gosipol</f>
        <v>#NAME?</v>
      </c>
    </row>
    <row r="4098" spans="1:2" x14ac:dyDescent="0.25">
      <c r="A4098">
        <v>15122100100</v>
      </c>
      <c r="B4098" t="s">
        <v>1224</v>
      </c>
    </row>
    <row r="4099" spans="1:2" x14ac:dyDescent="0.25">
      <c r="A4099">
        <v>15122100900</v>
      </c>
      <c r="B4099" t="s">
        <v>57</v>
      </c>
    </row>
    <row r="4100" spans="1:2" x14ac:dyDescent="0.25">
      <c r="A4100">
        <v>151229</v>
      </c>
      <c r="B4100" t="e">
        <f>- - Los demas</f>
        <v>#NAME?</v>
      </c>
    </row>
    <row r="4101" spans="1:2" x14ac:dyDescent="0.25">
      <c r="A4101">
        <v>15122910000</v>
      </c>
      <c r="B4101" t="s">
        <v>1226</v>
      </c>
    </row>
    <row r="4102" spans="1:2" x14ac:dyDescent="0.25">
      <c r="A4102">
        <v>15122990000</v>
      </c>
      <c r="B4102" t="s">
        <v>794</v>
      </c>
    </row>
    <row r="4103" spans="1:2" x14ac:dyDescent="0.25">
      <c r="A4103">
        <v>1513</v>
      </c>
      <c r="B4103" t="s">
        <v>1252</v>
      </c>
    </row>
    <row r="4104" spans="1:2" x14ac:dyDescent="0.25">
      <c r="A4104">
        <v>15131</v>
      </c>
      <c r="B4104" t="s">
        <v>1253</v>
      </c>
    </row>
    <row r="4105" spans="1:2" x14ac:dyDescent="0.25">
      <c r="A4105">
        <v>15131100000</v>
      </c>
      <c r="B4105" t="e">
        <f>--Aceite En bruto</f>
        <v>#NAME?</v>
      </c>
    </row>
    <row r="4106" spans="1:2" x14ac:dyDescent="0.25">
      <c r="A4106">
        <v>15131900000</v>
      </c>
      <c r="B4106" t="e">
        <f>--Los demas</f>
        <v>#NAME?</v>
      </c>
    </row>
    <row r="4107" spans="1:2" x14ac:dyDescent="0.25">
      <c r="A4107">
        <v>15132</v>
      </c>
      <c r="B4107" t="s">
        <v>1254</v>
      </c>
    </row>
    <row r="4108" spans="1:2" x14ac:dyDescent="0.25">
      <c r="A4108">
        <v>151321</v>
      </c>
      <c r="B4108" t="e">
        <f>- - Aceites En bruto</f>
        <v>#NAME?</v>
      </c>
    </row>
    <row r="4109" spans="1:2" x14ac:dyDescent="0.25">
      <c r="A4109">
        <v>15132110000</v>
      </c>
      <c r="B4109" t="s">
        <v>1255</v>
      </c>
    </row>
    <row r="4110" spans="1:2" x14ac:dyDescent="0.25">
      <c r="A4110">
        <v>15132120000</v>
      </c>
      <c r="B4110" t="s">
        <v>1256</v>
      </c>
    </row>
    <row r="4111" spans="1:2" x14ac:dyDescent="0.25">
      <c r="A4111">
        <v>151329</v>
      </c>
      <c r="B4111" t="e">
        <f>- - Los demas</f>
        <v>#NAME?</v>
      </c>
    </row>
    <row r="4112" spans="1:2" x14ac:dyDescent="0.25">
      <c r="A4112">
        <v>15132910000</v>
      </c>
      <c r="B4112" t="s">
        <v>1255</v>
      </c>
    </row>
    <row r="4113" spans="1:2" x14ac:dyDescent="0.25">
      <c r="A4113">
        <v>15132920000</v>
      </c>
      <c r="B4113" t="s">
        <v>1256</v>
      </c>
    </row>
    <row r="4114" spans="1:2" x14ac:dyDescent="0.25">
      <c r="A4114">
        <v>1514</v>
      </c>
      <c r="B4114" t="s">
        <v>1257</v>
      </c>
    </row>
    <row r="4115" spans="1:2" x14ac:dyDescent="0.25">
      <c r="A4115">
        <v>15141</v>
      </c>
      <c r="B4115" t="s">
        <v>1258</v>
      </c>
    </row>
    <row r="4116" spans="1:2" x14ac:dyDescent="0.25">
      <c r="A4116">
        <v>15141100</v>
      </c>
      <c r="B4116" t="e">
        <f>- - Aceites En bruto</f>
        <v>#NAME?</v>
      </c>
    </row>
    <row r="4117" spans="1:2" x14ac:dyDescent="0.25">
      <c r="A4117">
        <v>15141100100</v>
      </c>
      <c r="B4117" t="s">
        <v>1231</v>
      </c>
    </row>
    <row r="4118" spans="1:2" x14ac:dyDescent="0.25">
      <c r="A4118">
        <v>15141100900</v>
      </c>
      <c r="B4118" t="s">
        <v>10</v>
      </c>
    </row>
    <row r="4119" spans="1:2" x14ac:dyDescent="0.25">
      <c r="A4119">
        <v>151419</v>
      </c>
      <c r="B4119" t="e">
        <f>- - Los demas</f>
        <v>#NAME?</v>
      </c>
    </row>
    <row r="4120" spans="1:2" x14ac:dyDescent="0.25">
      <c r="A4120">
        <v>15141910000</v>
      </c>
      <c r="B4120" t="s">
        <v>1259</v>
      </c>
    </row>
    <row r="4121" spans="1:2" x14ac:dyDescent="0.25">
      <c r="A4121">
        <v>15141990000</v>
      </c>
      <c r="B4121" t="s">
        <v>10</v>
      </c>
    </row>
    <row r="4122" spans="1:2" x14ac:dyDescent="0.25">
      <c r="A4122">
        <v>15149</v>
      </c>
      <c r="B4122" t="s">
        <v>28</v>
      </c>
    </row>
    <row r="4123" spans="1:2" x14ac:dyDescent="0.25">
      <c r="A4123">
        <v>15149100</v>
      </c>
      <c r="B4123" t="e">
        <f>- - Aceites En bruto</f>
        <v>#NAME?</v>
      </c>
    </row>
    <row r="4124" spans="1:2" x14ac:dyDescent="0.25">
      <c r="A4124">
        <v>15149100100</v>
      </c>
      <c r="B4124" t="s">
        <v>1224</v>
      </c>
    </row>
    <row r="4125" spans="1:2" x14ac:dyDescent="0.25">
      <c r="A4125">
        <v>15149100900</v>
      </c>
      <c r="B4125" t="s">
        <v>10</v>
      </c>
    </row>
    <row r="4126" spans="1:2" x14ac:dyDescent="0.25">
      <c r="A4126">
        <v>151499</v>
      </c>
      <c r="B4126" t="e">
        <f>- - Los demas</f>
        <v>#NAME?</v>
      </c>
    </row>
    <row r="4127" spans="1:2" x14ac:dyDescent="0.25">
      <c r="A4127">
        <v>15149910000</v>
      </c>
      <c r="B4127" t="s">
        <v>1260</v>
      </c>
    </row>
    <row r="4128" spans="1:2" x14ac:dyDescent="0.25">
      <c r="A4128">
        <v>15149990000</v>
      </c>
      <c r="B4128" t="s">
        <v>10</v>
      </c>
    </row>
    <row r="4129" spans="1:2" x14ac:dyDescent="0.25">
      <c r="A4129">
        <v>1515</v>
      </c>
      <c r="B4129" t="s">
        <v>1261</v>
      </c>
    </row>
    <row r="4130" spans="1:2" x14ac:dyDescent="0.25">
      <c r="A4130">
        <v>15151</v>
      </c>
      <c r="B4130" t="s">
        <v>1262</v>
      </c>
    </row>
    <row r="4131" spans="1:2" x14ac:dyDescent="0.25">
      <c r="A4131">
        <v>15151100</v>
      </c>
      <c r="B4131" t="e">
        <f>- - Aceite En bruto</f>
        <v>#NAME?</v>
      </c>
    </row>
    <row r="4132" spans="1:2" x14ac:dyDescent="0.25">
      <c r="A4132">
        <v>15151100100</v>
      </c>
      <c r="B4132" t="s">
        <v>1231</v>
      </c>
    </row>
    <row r="4133" spans="1:2" x14ac:dyDescent="0.25">
      <c r="A4133">
        <v>15151100900</v>
      </c>
      <c r="B4133" t="s">
        <v>10</v>
      </c>
    </row>
    <row r="4134" spans="1:2" x14ac:dyDescent="0.25">
      <c r="A4134">
        <v>15151900</v>
      </c>
      <c r="B4134" t="e">
        <f>- - Los demas</f>
        <v>#NAME?</v>
      </c>
    </row>
    <row r="4135" spans="1:2" x14ac:dyDescent="0.25">
      <c r="A4135">
        <v>151519001</v>
      </c>
      <c r="B4135" t="s">
        <v>1226</v>
      </c>
    </row>
    <row r="4136" spans="1:2" x14ac:dyDescent="0.25">
      <c r="A4136">
        <v>15151900110</v>
      </c>
      <c r="B4136" t="s">
        <v>1231</v>
      </c>
    </row>
    <row r="4137" spans="1:2" x14ac:dyDescent="0.25">
      <c r="A4137">
        <v>15151900120</v>
      </c>
      <c r="B4137" t="s">
        <v>1263</v>
      </c>
    </row>
    <row r="4138" spans="1:2" x14ac:dyDescent="0.25">
      <c r="A4138">
        <v>15151900190</v>
      </c>
      <c r="B4138" t="s">
        <v>10</v>
      </c>
    </row>
    <row r="4139" spans="1:2" x14ac:dyDescent="0.25">
      <c r="A4139">
        <v>15151900900</v>
      </c>
      <c r="B4139" t="s">
        <v>10</v>
      </c>
    </row>
    <row r="4140" spans="1:2" x14ac:dyDescent="0.25">
      <c r="A4140">
        <v>15152</v>
      </c>
      <c r="B4140" t="s">
        <v>1264</v>
      </c>
    </row>
    <row r="4141" spans="1:2" x14ac:dyDescent="0.25">
      <c r="A4141">
        <v>15152100</v>
      </c>
      <c r="B4141" t="e">
        <f>- - Aceite En bruto</f>
        <v>#NAME?</v>
      </c>
    </row>
    <row r="4142" spans="1:2" x14ac:dyDescent="0.25">
      <c r="A4142">
        <v>15152100100</v>
      </c>
      <c r="B4142" t="s">
        <v>1224</v>
      </c>
    </row>
    <row r="4143" spans="1:2" x14ac:dyDescent="0.25">
      <c r="A4143">
        <v>15152100200</v>
      </c>
      <c r="B4143" t="s">
        <v>1225</v>
      </c>
    </row>
    <row r="4144" spans="1:2" x14ac:dyDescent="0.25">
      <c r="A4144">
        <v>15152100900</v>
      </c>
      <c r="B4144" t="s">
        <v>10</v>
      </c>
    </row>
    <row r="4145" spans="1:2" x14ac:dyDescent="0.25">
      <c r="A4145">
        <v>151529</v>
      </c>
      <c r="B4145" t="e">
        <f>- - Los demas</f>
        <v>#NAME?</v>
      </c>
    </row>
    <row r="4146" spans="1:2" x14ac:dyDescent="0.25">
      <c r="A4146">
        <v>15152910000</v>
      </c>
      <c r="B4146" t="s">
        <v>1250</v>
      </c>
    </row>
    <row r="4147" spans="1:2" x14ac:dyDescent="0.25">
      <c r="A4147">
        <v>15152990</v>
      </c>
      <c r="B4147" t="s">
        <v>10</v>
      </c>
    </row>
    <row r="4148" spans="1:2" x14ac:dyDescent="0.25">
      <c r="A4148">
        <v>15152990100</v>
      </c>
      <c r="B4148" t="s">
        <v>1224</v>
      </c>
    </row>
    <row r="4149" spans="1:2" x14ac:dyDescent="0.25">
      <c r="A4149">
        <v>151529902</v>
      </c>
      <c r="B4149" t="s">
        <v>1228</v>
      </c>
    </row>
    <row r="4150" spans="1:2" x14ac:dyDescent="0.25">
      <c r="A4150">
        <v>15152990210</v>
      </c>
      <c r="B4150" t="s">
        <v>1229</v>
      </c>
    </row>
    <row r="4151" spans="1:2" x14ac:dyDescent="0.25">
      <c r="A4151">
        <v>15152990290</v>
      </c>
      <c r="B4151" t="s">
        <v>10</v>
      </c>
    </row>
    <row r="4152" spans="1:2" x14ac:dyDescent="0.25">
      <c r="A4152">
        <v>15152990900</v>
      </c>
      <c r="B4152" t="s">
        <v>10</v>
      </c>
    </row>
    <row r="4153" spans="1:2" x14ac:dyDescent="0.25">
      <c r="A4153">
        <v>15153000000</v>
      </c>
      <c r="B4153" t="e">
        <f>-Aceite de ricino y sus fracciones</f>
        <v>#NAME?</v>
      </c>
    </row>
    <row r="4154" spans="1:2" x14ac:dyDescent="0.25">
      <c r="A4154">
        <v>15155000000</v>
      </c>
      <c r="B4154" t="e">
        <f>-Aceite de sesamo (ajonjoli) y sus fracciones</f>
        <v>#NAME?</v>
      </c>
    </row>
    <row r="4155" spans="1:2" x14ac:dyDescent="0.25">
      <c r="A4155">
        <v>151590</v>
      </c>
      <c r="B4155" t="e">
        <f>- Los demas</f>
        <v>#NAME?</v>
      </c>
    </row>
    <row r="4156" spans="1:2" x14ac:dyDescent="0.25">
      <c r="A4156">
        <v>15159010000</v>
      </c>
      <c r="B4156" t="s">
        <v>1265</v>
      </c>
    </row>
    <row r="4157" spans="1:2" x14ac:dyDescent="0.25">
      <c r="A4157">
        <v>1515902</v>
      </c>
      <c r="B4157" t="s">
        <v>1266</v>
      </c>
    </row>
    <row r="4158" spans="1:2" x14ac:dyDescent="0.25">
      <c r="A4158">
        <v>15159021</v>
      </c>
      <c r="B4158" t="s">
        <v>1197</v>
      </c>
    </row>
    <row r="4159" spans="1:2" x14ac:dyDescent="0.25">
      <c r="A4159">
        <v>15159021100</v>
      </c>
      <c r="B4159" t="s">
        <v>1224</v>
      </c>
    </row>
    <row r="4160" spans="1:2" x14ac:dyDescent="0.25">
      <c r="A4160">
        <v>15159021900</v>
      </c>
      <c r="B4160" t="s">
        <v>10</v>
      </c>
    </row>
    <row r="4161" spans="1:2" x14ac:dyDescent="0.25">
      <c r="A4161">
        <v>15159022</v>
      </c>
      <c r="B4161" t="s">
        <v>1226</v>
      </c>
    </row>
    <row r="4162" spans="1:2" x14ac:dyDescent="0.25">
      <c r="A4162">
        <v>15159022100</v>
      </c>
      <c r="B4162" t="s">
        <v>1231</v>
      </c>
    </row>
    <row r="4163" spans="1:2" x14ac:dyDescent="0.25">
      <c r="A4163">
        <v>15159022200</v>
      </c>
      <c r="B4163" t="s">
        <v>1263</v>
      </c>
    </row>
    <row r="4164" spans="1:2" x14ac:dyDescent="0.25">
      <c r="A4164">
        <v>15159022900</v>
      </c>
      <c r="B4164" t="s">
        <v>10</v>
      </c>
    </row>
    <row r="4165" spans="1:2" x14ac:dyDescent="0.25">
      <c r="A4165">
        <v>15159090</v>
      </c>
      <c r="B4165" t="s">
        <v>10</v>
      </c>
    </row>
    <row r="4166" spans="1:2" x14ac:dyDescent="0.25">
      <c r="A4166">
        <v>151590901</v>
      </c>
      <c r="B4166" t="s">
        <v>1267</v>
      </c>
    </row>
    <row r="4167" spans="1:2" x14ac:dyDescent="0.25">
      <c r="A4167">
        <v>1515909011</v>
      </c>
      <c r="B4167" t="s">
        <v>1231</v>
      </c>
    </row>
    <row r="4168" spans="1:2" x14ac:dyDescent="0.25">
      <c r="A4168">
        <v>15159090111</v>
      </c>
      <c r="B4168" t="s">
        <v>1226</v>
      </c>
    </row>
    <row r="4169" spans="1:2" x14ac:dyDescent="0.25">
      <c r="A4169">
        <v>15159090119</v>
      </c>
      <c r="B4169" t="s">
        <v>10</v>
      </c>
    </row>
    <row r="4170" spans="1:2" x14ac:dyDescent="0.25">
      <c r="A4170">
        <v>1515909012</v>
      </c>
      <c r="B4170" t="s">
        <v>1268</v>
      </c>
    </row>
    <row r="4171" spans="1:2" x14ac:dyDescent="0.25">
      <c r="A4171">
        <v>15159090121</v>
      </c>
      <c r="B4171" t="s">
        <v>1269</v>
      </c>
    </row>
    <row r="4172" spans="1:2" x14ac:dyDescent="0.25">
      <c r="A4172">
        <v>15159090129</v>
      </c>
      <c r="B4172" t="s">
        <v>10</v>
      </c>
    </row>
    <row r="4173" spans="1:2" x14ac:dyDescent="0.25">
      <c r="A4173">
        <v>15159090130</v>
      </c>
      <c r="B4173" t="s">
        <v>1270</v>
      </c>
    </row>
    <row r="4174" spans="1:2" x14ac:dyDescent="0.25">
      <c r="A4174">
        <v>15159090190</v>
      </c>
      <c r="B4174" t="s">
        <v>10</v>
      </c>
    </row>
    <row r="4175" spans="1:2" x14ac:dyDescent="0.25">
      <c r="A4175">
        <v>151590909</v>
      </c>
      <c r="B4175" t="s">
        <v>10</v>
      </c>
    </row>
    <row r="4176" spans="1:2" x14ac:dyDescent="0.25">
      <c r="A4176">
        <v>15159090910</v>
      </c>
      <c r="B4176" t="s">
        <v>1271</v>
      </c>
    </row>
    <row r="4177" spans="1:2" x14ac:dyDescent="0.25">
      <c r="A4177">
        <v>15159090990</v>
      </c>
      <c r="B4177" t="s">
        <v>10</v>
      </c>
    </row>
    <row r="4178" spans="1:2" x14ac:dyDescent="0.25">
      <c r="A4178">
        <v>1516</v>
      </c>
      <c r="B4178" t="s">
        <v>1272</v>
      </c>
    </row>
    <row r="4179" spans="1:2" x14ac:dyDescent="0.25">
      <c r="A4179">
        <v>15161000</v>
      </c>
      <c r="B4179" t="e">
        <f>- grasas y aceites. animales. y sus fracciones</f>
        <v>#NAME?</v>
      </c>
    </row>
    <row r="4180" spans="1:2" x14ac:dyDescent="0.25">
      <c r="A4180">
        <v>15161000100</v>
      </c>
      <c r="B4180" t="s">
        <v>1273</v>
      </c>
    </row>
    <row r="4181" spans="1:2" x14ac:dyDescent="0.25">
      <c r="A4181">
        <v>15161000200</v>
      </c>
      <c r="B4181" t="s">
        <v>1274</v>
      </c>
    </row>
    <row r="4182" spans="1:2" x14ac:dyDescent="0.25">
      <c r="A4182">
        <v>15161000900</v>
      </c>
      <c r="B4182" t="s">
        <v>10</v>
      </c>
    </row>
    <row r="4183" spans="1:2" x14ac:dyDescent="0.25">
      <c r="A4183">
        <v>15162000</v>
      </c>
      <c r="B4183" t="e">
        <f>- grasas y aceites. vegetales. y sus fracciones</f>
        <v>#NAME?</v>
      </c>
    </row>
    <row r="4184" spans="1:2" x14ac:dyDescent="0.25">
      <c r="A4184">
        <v>151620001</v>
      </c>
      <c r="B4184" t="s">
        <v>1273</v>
      </c>
    </row>
    <row r="4185" spans="1:2" x14ac:dyDescent="0.25">
      <c r="A4185">
        <v>15162000110</v>
      </c>
      <c r="B4185" t="s">
        <v>1275</v>
      </c>
    </row>
    <row r="4186" spans="1:2" x14ac:dyDescent="0.25">
      <c r="A4186">
        <v>15162000190</v>
      </c>
      <c r="B4186" t="s">
        <v>10</v>
      </c>
    </row>
    <row r="4187" spans="1:2" x14ac:dyDescent="0.25">
      <c r="A4187">
        <v>15162000200</v>
      </c>
      <c r="B4187" t="s">
        <v>1274</v>
      </c>
    </row>
    <row r="4188" spans="1:2" x14ac:dyDescent="0.25">
      <c r="A4188">
        <v>15162000900</v>
      </c>
      <c r="B4188" t="s">
        <v>10</v>
      </c>
    </row>
    <row r="4189" spans="1:2" x14ac:dyDescent="0.25">
      <c r="A4189">
        <v>1517</v>
      </c>
      <c r="B4189" t="s">
        <v>1276</v>
      </c>
    </row>
    <row r="4190" spans="1:2" x14ac:dyDescent="0.25">
      <c r="A4190">
        <v>15171000</v>
      </c>
      <c r="B4190" t="e">
        <f>- Margarina. excepto la margarina liquida</f>
        <v>#NAME?</v>
      </c>
    </row>
    <row r="4191" spans="1:2" x14ac:dyDescent="0.25">
      <c r="A4191">
        <v>15171000100</v>
      </c>
      <c r="B4191" t="s">
        <v>803</v>
      </c>
    </row>
    <row r="4192" spans="1:2" x14ac:dyDescent="0.25">
      <c r="A4192">
        <v>15171000900</v>
      </c>
      <c r="B4192" t="s">
        <v>57</v>
      </c>
    </row>
    <row r="4193" spans="1:2" x14ac:dyDescent="0.25">
      <c r="A4193">
        <v>151790</v>
      </c>
      <c r="B4193" t="e">
        <f>- las demas</f>
        <v>#NAME?</v>
      </c>
    </row>
    <row r="4194" spans="1:2" x14ac:dyDescent="0.25">
      <c r="A4194">
        <v>15179010</v>
      </c>
      <c r="B4194" t="s">
        <v>1277</v>
      </c>
    </row>
    <row r="4195" spans="1:2" x14ac:dyDescent="0.25">
      <c r="A4195">
        <v>151790101</v>
      </c>
      <c r="B4195" t="s">
        <v>1278</v>
      </c>
    </row>
    <row r="4196" spans="1:2" x14ac:dyDescent="0.25">
      <c r="A4196">
        <v>15179010110</v>
      </c>
      <c r="B4196" t="s">
        <v>1279</v>
      </c>
    </row>
    <row r="4197" spans="1:2" x14ac:dyDescent="0.25">
      <c r="A4197">
        <v>15179010190</v>
      </c>
      <c r="B4197" t="s">
        <v>57</v>
      </c>
    </row>
    <row r="4198" spans="1:2" x14ac:dyDescent="0.25">
      <c r="A4198">
        <v>15179010900</v>
      </c>
      <c r="B4198" t="s">
        <v>57</v>
      </c>
    </row>
    <row r="4199" spans="1:2" x14ac:dyDescent="0.25">
      <c r="A4199">
        <v>15179090</v>
      </c>
      <c r="B4199" t="s">
        <v>57</v>
      </c>
    </row>
    <row r="4200" spans="1:2" x14ac:dyDescent="0.25">
      <c r="A4200">
        <v>15179090100</v>
      </c>
      <c r="B4200" t="s">
        <v>1280</v>
      </c>
    </row>
    <row r="4201" spans="1:2" x14ac:dyDescent="0.25">
      <c r="A4201">
        <v>151790902</v>
      </c>
      <c r="B4201" t="s">
        <v>1281</v>
      </c>
    </row>
    <row r="4202" spans="1:2" x14ac:dyDescent="0.25">
      <c r="A4202">
        <v>1517909021</v>
      </c>
      <c r="B4202" t="s">
        <v>1231</v>
      </c>
    </row>
    <row r="4203" spans="1:2" x14ac:dyDescent="0.25">
      <c r="A4203">
        <v>15179090211</v>
      </c>
      <c r="B4203" t="s">
        <v>1279</v>
      </c>
    </row>
    <row r="4204" spans="1:2" x14ac:dyDescent="0.25">
      <c r="A4204">
        <v>15179090219</v>
      </c>
      <c r="B4204" t="s">
        <v>57</v>
      </c>
    </row>
    <row r="4205" spans="1:2" x14ac:dyDescent="0.25">
      <c r="A4205">
        <v>1517909023</v>
      </c>
      <c r="B4205" t="s">
        <v>1282</v>
      </c>
    </row>
    <row r="4206" spans="1:2" x14ac:dyDescent="0.25">
      <c r="A4206">
        <v>15179090231</v>
      </c>
      <c r="B4206" t="s">
        <v>1269</v>
      </c>
    </row>
    <row r="4207" spans="1:2" x14ac:dyDescent="0.25">
      <c r="A4207">
        <v>15179090239</v>
      </c>
      <c r="B4207" t="s">
        <v>10</v>
      </c>
    </row>
    <row r="4208" spans="1:2" x14ac:dyDescent="0.25">
      <c r="A4208">
        <v>1517909024</v>
      </c>
      <c r="B4208" t="s">
        <v>1268</v>
      </c>
    </row>
    <row r="4209" spans="1:2" x14ac:dyDescent="0.25">
      <c r="A4209">
        <v>15179090241</v>
      </c>
      <c r="B4209" t="s">
        <v>1229</v>
      </c>
    </row>
    <row r="4210" spans="1:2" x14ac:dyDescent="0.25">
      <c r="A4210">
        <v>15179090249</v>
      </c>
      <c r="B4210" t="s">
        <v>10</v>
      </c>
    </row>
    <row r="4211" spans="1:2" x14ac:dyDescent="0.25">
      <c r="A4211">
        <v>1517909029</v>
      </c>
      <c r="B4211" t="s">
        <v>10</v>
      </c>
    </row>
    <row r="4212" spans="1:2" x14ac:dyDescent="0.25">
      <c r="A4212">
        <v>15179090291</v>
      </c>
      <c r="B4212" t="s">
        <v>1279</v>
      </c>
    </row>
    <row r="4213" spans="1:2" x14ac:dyDescent="0.25">
      <c r="A4213">
        <v>15179090299</v>
      </c>
      <c r="B4213" t="s">
        <v>57</v>
      </c>
    </row>
    <row r="4214" spans="1:2" x14ac:dyDescent="0.25">
      <c r="A4214">
        <v>151790909</v>
      </c>
      <c r="B4214" t="s">
        <v>57</v>
      </c>
    </row>
    <row r="4215" spans="1:2" x14ac:dyDescent="0.25">
      <c r="A4215">
        <v>15179090910</v>
      </c>
      <c r="B4215" t="s">
        <v>1231</v>
      </c>
    </row>
    <row r="4216" spans="1:2" x14ac:dyDescent="0.25">
      <c r="A4216">
        <v>1517909092</v>
      </c>
      <c r="B4216" t="s">
        <v>1268</v>
      </c>
    </row>
    <row r="4217" spans="1:2" x14ac:dyDescent="0.25">
      <c r="A4217">
        <v>15179090921</v>
      </c>
      <c r="B4217" t="s">
        <v>1269</v>
      </c>
    </row>
    <row r="4218" spans="1:2" x14ac:dyDescent="0.25">
      <c r="A4218">
        <v>15179090922</v>
      </c>
      <c r="B4218" t="s">
        <v>1283</v>
      </c>
    </row>
    <row r="4219" spans="1:2" x14ac:dyDescent="0.25">
      <c r="A4219">
        <v>15179090929</v>
      </c>
      <c r="B4219" t="s">
        <v>10</v>
      </c>
    </row>
    <row r="4220" spans="1:2" x14ac:dyDescent="0.25">
      <c r="A4220">
        <v>15179090990</v>
      </c>
      <c r="B4220" t="s">
        <v>57</v>
      </c>
    </row>
    <row r="4221" spans="1:2" x14ac:dyDescent="0.25">
      <c r="A4221">
        <v>151800</v>
      </c>
      <c r="B4221" t="s">
        <v>1284</v>
      </c>
    </row>
    <row r="4222" spans="1:2" x14ac:dyDescent="0.25">
      <c r="A4222">
        <v>15180010000</v>
      </c>
      <c r="B4222" t="s">
        <v>1285</v>
      </c>
    </row>
    <row r="4223" spans="1:2" x14ac:dyDescent="0.25">
      <c r="A4223">
        <v>15180090</v>
      </c>
      <c r="B4223" t="s">
        <v>10</v>
      </c>
    </row>
    <row r="4224" spans="1:2" x14ac:dyDescent="0.25">
      <c r="A4224">
        <v>15180090100</v>
      </c>
      <c r="B4224" t="s">
        <v>1286</v>
      </c>
    </row>
    <row r="4225" spans="1:2" x14ac:dyDescent="0.25">
      <c r="A4225">
        <v>151800902</v>
      </c>
      <c r="B4225" t="s">
        <v>1287</v>
      </c>
    </row>
    <row r="4226" spans="1:2" x14ac:dyDescent="0.25">
      <c r="A4226">
        <v>1518009021</v>
      </c>
      <c r="B4226" t="s">
        <v>1288</v>
      </c>
    </row>
    <row r="4227" spans="1:2" x14ac:dyDescent="0.25">
      <c r="A4227">
        <v>15180090211</v>
      </c>
      <c r="B4227" t="s">
        <v>1289</v>
      </c>
    </row>
    <row r="4228" spans="1:2" x14ac:dyDescent="0.25">
      <c r="A4228">
        <v>15180090219</v>
      </c>
      <c r="B4228" t="s">
        <v>10</v>
      </c>
    </row>
    <row r="4229" spans="1:2" x14ac:dyDescent="0.25">
      <c r="A4229">
        <v>15180090290</v>
      </c>
      <c r="B4229" t="s">
        <v>57</v>
      </c>
    </row>
    <row r="4230" spans="1:2" x14ac:dyDescent="0.25">
      <c r="A4230">
        <v>152000</v>
      </c>
      <c r="B4230" t="s">
        <v>1290</v>
      </c>
    </row>
    <row r="4231" spans="1:2" x14ac:dyDescent="0.25">
      <c r="A4231">
        <v>15200010000</v>
      </c>
      <c r="B4231" t="s">
        <v>1291</v>
      </c>
    </row>
    <row r="4232" spans="1:2" x14ac:dyDescent="0.25">
      <c r="A4232">
        <v>15200020000</v>
      </c>
      <c r="B4232" t="s">
        <v>1292</v>
      </c>
    </row>
    <row r="4233" spans="1:2" x14ac:dyDescent="0.25">
      <c r="A4233">
        <v>1521</v>
      </c>
      <c r="B4233" t="s">
        <v>1293</v>
      </c>
    </row>
    <row r="4234" spans="1:2" x14ac:dyDescent="0.25">
      <c r="A4234">
        <v>15211000000</v>
      </c>
      <c r="B4234" t="e">
        <f>-Ceras vegetales</f>
        <v>#NAME?</v>
      </c>
    </row>
    <row r="4235" spans="1:2" x14ac:dyDescent="0.25">
      <c r="A4235">
        <v>152190</v>
      </c>
      <c r="B4235" t="e">
        <f>- las demas</f>
        <v>#NAME?</v>
      </c>
    </row>
    <row r="4236" spans="1:2" x14ac:dyDescent="0.25">
      <c r="A4236">
        <v>1521901</v>
      </c>
      <c r="B4236" t="s">
        <v>1294</v>
      </c>
    </row>
    <row r="4237" spans="1:2" x14ac:dyDescent="0.25">
      <c r="A4237">
        <v>15219011000</v>
      </c>
      <c r="B4237" t="s">
        <v>1197</v>
      </c>
    </row>
    <row r="4238" spans="1:2" x14ac:dyDescent="0.25">
      <c r="A4238">
        <v>15219019000</v>
      </c>
      <c r="B4238" t="s">
        <v>57</v>
      </c>
    </row>
    <row r="4239" spans="1:2" x14ac:dyDescent="0.25">
      <c r="A4239">
        <v>15219090</v>
      </c>
      <c r="B4239" t="s">
        <v>57</v>
      </c>
    </row>
    <row r="4240" spans="1:2" x14ac:dyDescent="0.25">
      <c r="A4240">
        <v>15219090100</v>
      </c>
      <c r="B4240" t="s">
        <v>1295</v>
      </c>
    </row>
    <row r="4241" spans="1:2" x14ac:dyDescent="0.25">
      <c r="A4241">
        <v>15219090900</v>
      </c>
      <c r="B4241" t="s">
        <v>57</v>
      </c>
    </row>
    <row r="4242" spans="1:2" x14ac:dyDescent="0.25">
      <c r="A4242">
        <v>15220000</v>
      </c>
      <c r="B4242" t="s">
        <v>1296</v>
      </c>
    </row>
    <row r="4243" spans="1:2" x14ac:dyDescent="0.25">
      <c r="A4243">
        <v>15220000100</v>
      </c>
      <c r="B4243" t="s">
        <v>1297</v>
      </c>
    </row>
    <row r="4244" spans="1:2" x14ac:dyDescent="0.25">
      <c r="A4244">
        <v>152200002</v>
      </c>
      <c r="B4244" t="s">
        <v>1298</v>
      </c>
    </row>
    <row r="4245" spans="1:2" x14ac:dyDescent="0.25">
      <c r="A4245">
        <v>15220000210</v>
      </c>
      <c r="B4245" t="s">
        <v>1299</v>
      </c>
    </row>
    <row r="4246" spans="1:2" x14ac:dyDescent="0.25">
      <c r="A4246">
        <v>15220000290</v>
      </c>
      <c r="B4246" t="s">
        <v>10</v>
      </c>
    </row>
    <row r="4247" spans="1:2" x14ac:dyDescent="0.25">
      <c r="A4247">
        <v>16010000</v>
      </c>
      <c r="B4247" t="s">
        <v>1300</v>
      </c>
    </row>
    <row r="4248" spans="1:2" x14ac:dyDescent="0.25">
      <c r="A4248">
        <v>160100001</v>
      </c>
      <c r="B4248" t="s">
        <v>320</v>
      </c>
    </row>
    <row r="4249" spans="1:2" x14ac:dyDescent="0.25">
      <c r="A4249">
        <v>16010000110</v>
      </c>
      <c r="B4249" t="s">
        <v>1301</v>
      </c>
    </row>
    <row r="4250" spans="1:2" x14ac:dyDescent="0.25">
      <c r="A4250">
        <v>16010000190</v>
      </c>
      <c r="B4250" t="s">
        <v>10</v>
      </c>
    </row>
    <row r="4251" spans="1:2" x14ac:dyDescent="0.25">
      <c r="A4251">
        <v>160100009</v>
      </c>
      <c r="B4251" t="s">
        <v>10</v>
      </c>
    </row>
    <row r="4252" spans="1:2" x14ac:dyDescent="0.25">
      <c r="A4252">
        <v>16010000910</v>
      </c>
      <c r="B4252" t="s">
        <v>1301</v>
      </c>
    </row>
    <row r="4253" spans="1:2" x14ac:dyDescent="0.25">
      <c r="A4253">
        <v>16010000990</v>
      </c>
      <c r="B4253" t="s">
        <v>10</v>
      </c>
    </row>
    <row r="4254" spans="1:2" x14ac:dyDescent="0.25">
      <c r="A4254">
        <v>1602</v>
      </c>
      <c r="B4254" t="s">
        <v>1302</v>
      </c>
    </row>
    <row r="4255" spans="1:2" x14ac:dyDescent="0.25">
      <c r="A4255">
        <v>16021000000</v>
      </c>
      <c r="B4255" t="e">
        <f>-Preparaciones homogeneizadas</f>
        <v>#NAME?</v>
      </c>
    </row>
    <row r="4256" spans="1:2" x14ac:dyDescent="0.25">
      <c r="A4256">
        <v>16022000</v>
      </c>
      <c r="B4256" t="e">
        <f>- de higado de cualquier animal</f>
        <v>#NAME?</v>
      </c>
    </row>
    <row r="4257" spans="1:2" x14ac:dyDescent="0.25">
      <c r="A4257">
        <v>16022000100</v>
      </c>
      <c r="B4257" t="s">
        <v>1301</v>
      </c>
    </row>
    <row r="4258" spans="1:2" x14ac:dyDescent="0.25">
      <c r="A4258">
        <v>16022000900</v>
      </c>
      <c r="B4258" t="s">
        <v>10</v>
      </c>
    </row>
    <row r="4259" spans="1:2" x14ac:dyDescent="0.25">
      <c r="A4259">
        <v>16023</v>
      </c>
      <c r="B4259" t="s">
        <v>1303</v>
      </c>
    </row>
    <row r="4260" spans="1:2" x14ac:dyDescent="0.25">
      <c r="A4260">
        <v>16023100000</v>
      </c>
      <c r="B4260" t="e">
        <f>--de pavo (gallipavo)</f>
        <v>#NAME?</v>
      </c>
    </row>
    <row r="4261" spans="1:2" x14ac:dyDescent="0.25">
      <c r="A4261">
        <v>160232</v>
      </c>
      <c r="B4261" t="e">
        <f>- - de Aves de la especie Gallus domesticus</f>
        <v>#NAME?</v>
      </c>
    </row>
    <row r="4262" spans="1:2" x14ac:dyDescent="0.25">
      <c r="A4262">
        <v>16023210000</v>
      </c>
      <c r="B4262" t="s">
        <v>1304</v>
      </c>
    </row>
    <row r="4263" spans="1:2" x14ac:dyDescent="0.25">
      <c r="A4263">
        <v>16023220</v>
      </c>
      <c r="B4263" t="s">
        <v>1305</v>
      </c>
    </row>
    <row r="4264" spans="1:2" x14ac:dyDescent="0.25">
      <c r="A4264">
        <v>16023220100</v>
      </c>
      <c r="B4264" t="s">
        <v>1306</v>
      </c>
    </row>
    <row r="4265" spans="1:2" x14ac:dyDescent="0.25">
      <c r="A4265">
        <v>16023220200</v>
      </c>
      <c r="B4265" t="s">
        <v>1307</v>
      </c>
    </row>
    <row r="4266" spans="1:2" x14ac:dyDescent="0.25">
      <c r="A4266">
        <v>16023220900</v>
      </c>
      <c r="B4266" t="s">
        <v>57</v>
      </c>
    </row>
    <row r="4267" spans="1:2" x14ac:dyDescent="0.25">
      <c r="A4267">
        <v>16023230</v>
      </c>
      <c r="B4267" t="s">
        <v>1308</v>
      </c>
    </row>
    <row r="4268" spans="1:2" x14ac:dyDescent="0.25">
      <c r="A4268">
        <v>16023230100</v>
      </c>
      <c r="B4268" t="s">
        <v>1306</v>
      </c>
    </row>
    <row r="4269" spans="1:2" x14ac:dyDescent="0.25">
      <c r="A4269">
        <v>16023230200</v>
      </c>
      <c r="B4269" t="s">
        <v>1307</v>
      </c>
    </row>
    <row r="4270" spans="1:2" x14ac:dyDescent="0.25">
      <c r="A4270">
        <v>16023230900</v>
      </c>
      <c r="B4270" t="s">
        <v>10</v>
      </c>
    </row>
    <row r="4271" spans="1:2" x14ac:dyDescent="0.25">
      <c r="A4271">
        <v>16023290</v>
      </c>
      <c r="B4271" t="s">
        <v>57</v>
      </c>
    </row>
    <row r="4272" spans="1:2" x14ac:dyDescent="0.25">
      <c r="A4272">
        <v>16023290100</v>
      </c>
      <c r="B4272" t="s">
        <v>1306</v>
      </c>
    </row>
    <row r="4273" spans="1:2" x14ac:dyDescent="0.25">
      <c r="A4273">
        <v>16023290200</v>
      </c>
      <c r="B4273" t="s">
        <v>1307</v>
      </c>
    </row>
    <row r="4274" spans="1:2" x14ac:dyDescent="0.25">
      <c r="A4274">
        <v>16023290900</v>
      </c>
      <c r="B4274" t="s">
        <v>10</v>
      </c>
    </row>
    <row r="4275" spans="1:2" x14ac:dyDescent="0.25">
      <c r="A4275">
        <v>16023900</v>
      </c>
      <c r="B4275" t="e">
        <f>- - las demas</f>
        <v>#NAME?</v>
      </c>
    </row>
    <row r="4276" spans="1:2" x14ac:dyDescent="0.25">
      <c r="A4276">
        <v>16023900100</v>
      </c>
      <c r="B4276" t="s">
        <v>1306</v>
      </c>
    </row>
    <row r="4277" spans="1:2" x14ac:dyDescent="0.25">
      <c r="A4277">
        <v>16023900900</v>
      </c>
      <c r="B4277" t="s">
        <v>57</v>
      </c>
    </row>
    <row r="4278" spans="1:2" x14ac:dyDescent="0.25">
      <c r="A4278">
        <v>16024</v>
      </c>
      <c r="B4278" t="s">
        <v>1309</v>
      </c>
    </row>
    <row r="4279" spans="1:2" x14ac:dyDescent="0.25">
      <c r="A4279">
        <v>16024100000</v>
      </c>
      <c r="B4279" t="e">
        <f>--Jamones y trozos de jamon</f>
        <v>#NAME?</v>
      </c>
    </row>
    <row r="4280" spans="1:2" x14ac:dyDescent="0.25">
      <c r="A4280">
        <v>16024200000</v>
      </c>
      <c r="B4280" t="e">
        <f>--Paletas y trozos de paleta</f>
        <v>#NAME?</v>
      </c>
    </row>
    <row r="4281" spans="1:2" x14ac:dyDescent="0.25">
      <c r="A4281">
        <v>16024900</v>
      </c>
      <c r="B4281" t="e">
        <f>- - las demas. incluidas las Mezclas</f>
        <v>#NAME?</v>
      </c>
    </row>
    <row r="4282" spans="1:2" x14ac:dyDescent="0.25">
      <c r="A4282">
        <v>16024900100</v>
      </c>
      <c r="B4282" t="s">
        <v>176</v>
      </c>
    </row>
    <row r="4283" spans="1:2" x14ac:dyDescent="0.25">
      <c r="A4283">
        <v>16024900200</v>
      </c>
      <c r="B4283" t="s">
        <v>1307</v>
      </c>
    </row>
    <row r="4284" spans="1:2" x14ac:dyDescent="0.25">
      <c r="A4284">
        <v>16024900900</v>
      </c>
      <c r="B4284" t="s">
        <v>10</v>
      </c>
    </row>
    <row r="4285" spans="1:2" x14ac:dyDescent="0.25">
      <c r="A4285">
        <v>16025000</v>
      </c>
      <c r="B4285" t="e">
        <f>- de la especie bovina</f>
        <v>#NAME?</v>
      </c>
    </row>
    <row r="4286" spans="1:2" x14ac:dyDescent="0.25">
      <c r="A4286">
        <v>160250001</v>
      </c>
      <c r="B4286" t="s">
        <v>186</v>
      </c>
    </row>
    <row r="4287" spans="1:2" x14ac:dyDescent="0.25">
      <c r="A4287">
        <v>16025000110</v>
      </c>
      <c r="B4287" t="s">
        <v>1310</v>
      </c>
    </row>
    <row r="4288" spans="1:2" x14ac:dyDescent="0.25">
      <c r="A4288">
        <v>16025000120</v>
      </c>
      <c r="B4288" t="s">
        <v>1311</v>
      </c>
    </row>
    <row r="4289" spans="1:2" x14ac:dyDescent="0.25">
      <c r="A4289">
        <v>16025000130</v>
      </c>
      <c r="B4289" t="s">
        <v>1312</v>
      </c>
    </row>
    <row r="4290" spans="1:2" x14ac:dyDescent="0.25">
      <c r="A4290">
        <v>1602500014</v>
      </c>
      <c r="B4290" t="s">
        <v>1313</v>
      </c>
    </row>
    <row r="4291" spans="1:2" x14ac:dyDescent="0.25">
      <c r="A4291">
        <v>16025000141</v>
      </c>
      <c r="B4291" t="s">
        <v>1314</v>
      </c>
    </row>
    <row r="4292" spans="1:2" x14ac:dyDescent="0.25">
      <c r="A4292">
        <v>16025000149</v>
      </c>
      <c r="B4292" t="s">
        <v>57</v>
      </c>
    </row>
    <row r="4293" spans="1:2" x14ac:dyDescent="0.25">
      <c r="A4293">
        <v>16025000150</v>
      </c>
      <c r="B4293" t="s">
        <v>1307</v>
      </c>
    </row>
    <row r="4294" spans="1:2" x14ac:dyDescent="0.25">
      <c r="A4294">
        <v>16025000190</v>
      </c>
      <c r="B4294" t="s">
        <v>57</v>
      </c>
    </row>
    <row r="4295" spans="1:2" x14ac:dyDescent="0.25">
      <c r="A4295">
        <v>160250009</v>
      </c>
      <c r="B4295" t="s">
        <v>57</v>
      </c>
    </row>
    <row r="4296" spans="1:2" x14ac:dyDescent="0.25">
      <c r="A4296">
        <v>16025000910</v>
      </c>
      <c r="B4296" t="s">
        <v>1310</v>
      </c>
    </row>
    <row r="4297" spans="1:2" x14ac:dyDescent="0.25">
      <c r="A4297">
        <v>16025000920</v>
      </c>
      <c r="B4297" t="s">
        <v>1311</v>
      </c>
    </row>
    <row r="4298" spans="1:2" x14ac:dyDescent="0.25">
      <c r="A4298">
        <v>16025000930</v>
      </c>
      <c r="B4298" t="s">
        <v>1312</v>
      </c>
    </row>
    <row r="4299" spans="1:2" x14ac:dyDescent="0.25">
      <c r="A4299">
        <v>1602500094</v>
      </c>
      <c r="B4299" t="s">
        <v>1315</v>
      </c>
    </row>
    <row r="4300" spans="1:2" x14ac:dyDescent="0.25">
      <c r="A4300">
        <v>16025000941</v>
      </c>
      <c r="B4300" t="s">
        <v>1314</v>
      </c>
    </row>
    <row r="4301" spans="1:2" x14ac:dyDescent="0.25">
      <c r="A4301">
        <v>16025000949</v>
      </c>
      <c r="B4301" t="s">
        <v>57</v>
      </c>
    </row>
    <row r="4302" spans="1:2" x14ac:dyDescent="0.25">
      <c r="A4302">
        <v>16025000950</v>
      </c>
      <c r="B4302" t="s">
        <v>1307</v>
      </c>
    </row>
    <row r="4303" spans="1:2" x14ac:dyDescent="0.25">
      <c r="A4303">
        <v>16025000990</v>
      </c>
      <c r="B4303" t="s">
        <v>57</v>
      </c>
    </row>
    <row r="4304" spans="1:2" x14ac:dyDescent="0.25">
      <c r="A4304">
        <v>16029000</v>
      </c>
      <c r="B4304" t="e">
        <f>- las demas. incluidas las Preparaciones de sangre de cualquier animal</f>
        <v>#NAME?</v>
      </c>
    </row>
    <row r="4305" spans="1:2" x14ac:dyDescent="0.25">
      <c r="A4305">
        <v>160290001</v>
      </c>
      <c r="B4305" t="s">
        <v>1316</v>
      </c>
    </row>
    <row r="4306" spans="1:2" x14ac:dyDescent="0.25">
      <c r="A4306">
        <v>16029000110</v>
      </c>
      <c r="B4306" t="s">
        <v>1317</v>
      </c>
    </row>
    <row r="4307" spans="1:2" x14ac:dyDescent="0.25">
      <c r="A4307">
        <v>16029000120</v>
      </c>
      <c r="B4307" t="s">
        <v>1301</v>
      </c>
    </row>
    <row r="4308" spans="1:2" x14ac:dyDescent="0.25">
      <c r="A4308">
        <v>16029000190</v>
      </c>
      <c r="B4308" t="s">
        <v>57</v>
      </c>
    </row>
    <row r="4309" spans="1:2" x14ac:dyDescent="0.25">
      <c r="A4309">
        <v>160290002</v>
      </c>
      <c r="B4309" t="s">
        <v>223</v>
      </c>
    </row>
    <row r="4310" spans="1:2" x14ac:dyDescent="0.25">
      <c r="A4310">
        <v>16029000210</v>
      </c>
      <c r="B4310" t="s">
        <v>1307</v>
      </c>
    </row>
    <row r="4311" spans="1:2" x14ac:dyDescent="0.25">
      <c r="A4311">
        <v>16029000290</v>
      </c>
      <c r="B4311" t="s">
        <v>10</v>
      </c>
    </row>
    <row r="4312" spans="1:2" x14ac:dyDescent="0.25">
      <c r="A4312">
        <v>160290003</v>
      </c>
      <c r="B4312" t="s">
        <v>218</v>
      </c>
    </row>
    <row r="4313" spans="1:2" x14ac:dyDescent="0.25">
      <c r="A4313">
        <v>16029000310</v>
      </c>
      <c r="B4313" t="s">
        <v>1307</v>
      </c>
    </row>
    <row r="4314" spans="1:2" x14ac:dyDescent="0.25">
      <c r="A4314">
        <v>16029000390</v>
      </c>
      <c r="B4314" t="s">
        <v>10</v>
      </c>
    </row>
    <row r="4315" spans="1:2" x14ac:dyDescent="0.25">
      <c r="A4315">
        <v>160290004</v>
      </c>
      <c r="B4315" t="s">
        <v>1318</v>
      </c>
    </row>
    <row r="4316" spans="1:2" x14ac:dyDescent="0.25">
      <c r="A4316">
        <v>16029000410</v>
      </c>
      <c r="B4316" t="s">
        <v>1307</v>
      </c>
    </row>
    <row r="4317" spans="1:2" x14ac:dyDescent="0.25">
      <c r="A4317">
        <v>16029000490</v>
      </c>
      <c r="B4317" t="s">
        <v>10</v>
      </c>
    </row>
    <row r="4318" spans="1:2" x14ac:dyDescent="0.25">
      <c r="A4318">
        <v>16029000900</v>
      </c>
      <c r="B4318" t="s">
        <v>57</v>
      </c>
    </row>
    <row r="4319" spans="1:2" x14ac:dyDescent="0.25">
      <c r="A4319">
        <v>16030000</v>
      </c>
      <c r="B4319" t="s">
        <v>1319</v>
      </c>
    </row>
    <row r="4320" spans="1:2" x14ac:dyDescent="0.25">
      <c r="A4320">
        <v>160300001</v>
      </c>
      <c r="B4320" t="s">
        <v>1320</v>
      </c>
    </row>
    <row r="4321" spans="1:2" x14ac:dyDescent="0.25">
      <c r="A4321">
        <v>16030000110</v>
      </c>
      <c r="B4321" t="s">
        <v>1321</v>
      </c>
    </row>
    <row r="4322" spans="1:2" x14ac:dyDescent="0.25">
      <c r="A4322">
        <v>16030000190</v>
      </c>
      <c r="B4322" t="s">
        <v>10</v>
      </c>
    </row>
    <row r="4323" spans="1:2" x14ac:dyDescent="0.25">
      <c r="A4323">
        <v>16030000900</v>
      </c>
      <c r="B4323" t="s">
        <v>10</v>
      </c>
    </row>
    <row r="4324" spans="1:2" x14ac:dyDescent="0.25">
      <c r="A4324">
        <v>1604</v>
      </c>
      <c r="B4324" t="s">
        <v>1322</v>
      </c>
    </row>
    <row r="4325" spans="1:2" x14ac:dyDescent="0.25">
      <c r="A4325">
        <v>16041</v>
      </c>
      <c r="B4325" t="s">
        <v>1323</v>
      </c>
    </row>
    <row r="4326" spans="1:2" x14ac:dyDescent="0.25">
      <c r="A4326">
        <v>16041100</v>
      </c>
      <c r="B4326" t="e">
        <f>- - Salmones</f>
        <v>#NAME?</v>
      </c>
    </row>
    <row r="4327" spans="1:2" x14ac:dyDescent="0.25">
      <c r="A4327">
        <v>16041100100</v>
      </c>
      <c r="B4327" t="s">
        <v>1307</v>
      </c>
    </row>
    <row r="4328" spans="1:2" x14ac:dyDescent="0.25">
      <c r="A4328">
        <v>16041100900</v>
      </c>
      <c r="B4328" t="s">
        <v>10</v>
      </c>
    </row>
    <row r="4329" spans="1:2" x14ac:dyDescent="0.25">
      <c r="A4329">
        <v>16041200000</v>
      </c>
      <c r="B4329" t="e">
        <f>--Arenques</f>
        <v>#NAME?</v>
      </c>
    </row>
    <row r="4330" spans="1:2" x14ac:dyDescent="0.25">
      <c r="A4330">
        <v>160413</v>
      </c>
      <c r="B4330" t="e">
        <f>- - Sardinas. sardinelas y espadines</f>
        <v>#NAME?</v>
      </c>
    </row>
    <row r="4331" spans="1:2" x14ac:dyDescent="0.25">
      <c r="A4331">
        <v>16041310</v>
      </c>
      <c r="B4331" t="s">
        <v>1324</v>
      </c>
    </row>
    <row r="4332" spans="1:2" x14ac:dyDescent="0.25">
      <c r="A4332">
        <v>16041310100</v>
      </c>
      <c r="B4332" t="s">
        <v>1325</v>
      </c>
    </row>
    <row r="4333" spans="1:2" x14ac:dyDescent="0.25">
      <c r="A4333">
        <v>16041310200</v>
      </c>
      <c r="B4333" t="s">
        <v>1326</v>
      </c>
    </row>
    <row r="4334" spans="1:2" x14ac:dyDescent="0.25">
      <c r="A4334">
        <v>16041310300</v>
      </c>
      <c r="B4334" t="s">
        <v>1327</v>
      </c>
    </row>
    <row r="4335" spans="1:2" x14ac:dyDescent="0.25">
      <c r="A4335">
        <v>16041310900</v>
      </c>
      <c r="B4335" t="s">
        <v>57</v>
      </c>
    </row>
    <row r="4336" spans="1:2" x14ac:dyDescent="0.25">
      <c r="A4336">
        <v>16041390</v>
      </c>
      <c r="B4336" t="s">
        <v>10</v>
      </c>
    </row>
    <row r="4337" spans="1:2" x14ac:dyDescent="0.25">
      <c r="A4337">
        <v>16041390100</v>
      </c>
      <c r="B4337" t="s">
        <v>1325</v>
      </c>
    </row>
    <row r="4338" spans="1:2" x14ac:dyDescent="0.25">
      <c r="A4338">
        <v>16041390200</v>
      </c>
      <c r="B4338" t="s">
        <v>1326</v>
      </c>
    </row>
    <row r="4339" spans="1:2" x14ac:dyDescent="0.25">
      <c r="A4339">
        <v>16041390300</v>
      </c>
      <c r="B4339" t="s">
        <v>1327</v>
      </c>
    </row>
    <row r="4340" spans="1:2" x14ac:dyDescent="0.25">
      <c r="A4340">
        <v>16041390900</v>
      </c>
      <c r="B4340" t="s">
        <v>57</v>
      </c>
    </row>
    <row r="4341" spans="1:2" x14ac:dyDescent="0.25">
      <c r="A4341">
        <v>160414</v>
      </c>
      <c r="B4341" t="e">
        <f>- - Atunes. Listados y bonitos (Sarda spp.)</f>
        <v>#NAME?</v>
      </c>
    </row>
    <row r="4342" spans="1:2" x14ac:dyDescent="0.25">
      <c r="A4342">
        <v>16041410</v>
      </c>
      <c r="B4342" t="s">
        <v>1328</v>
      </c>
    </row>
    <row r="4343" spans="1:2" x14ac:dyDescent="0.25">
      <c r="A4343">
        <v>160414101</v>
      </c>
      <c r="B4343" t="s">
        <v>1329</v>
      </c>
    </row>
    <row r="4344" spans="1:2" x14ac:dyDescent="0.25">
      <c r="A4344">
        <v>16041410110</v>
      </c>
      <c r="B4344" t="s">
        <v>1330</v>
      </c>
    </row>
    <row r="4345" spans="1:2" x14ac:dyDescent="0.25">
      <c r="A4345">
        <v>16041410190</v>
      </c>
      <c r="B4345" t="s">
        <v>10</v>
      </c>
    </row>
    <row r="4346" spans="1:2" x14ac:dyDescent="0.25">
      <c r="A4346">
        <v>160414102</v>
      </c>
      <c r="B4346" t="s">
        <v>1331</v>
      </c>
    </row>
    <row r="4347" spans="1:2" x14ac:dyDescent="0.25">
      <c r="A4347">
        <v>16041410210</v>
      </c>
      <c r="B4347" t="s">
        <v>1325</v>
      </c>
    </row>
    <row r="4348" spans="1:2" x14ac:dyDescent="0.25">
      <c r="A4348">
        <v>16041410220</v>
      </c>
      <c r="B4348" t="s">
        <v>1326</v>
      </c>
    </row>
    <row r="4349" spans="1:2" x14ac:dyDescent="0.25">
      <c r="A4349">
        <v>16041410230</v>
      </c>
      <c r="B4349" t="s">
        <v>1327</v>
      </c>
    </row>
    <row r="4350" spans="1:2" x14ac:dyDescent="0.25">
      <c r="A4350">
        <v>16041410290</v>
      </c>
      <c r="B4350" t="s">
        <v>10</v>
      </c>
    </row>
    <row r="4351" spans="1:2" x14ac:dyDescent="0.25">
      <c r="A4351">
        <v>16041410900</v>
      </c>
      <c r="B4351" t="s">
        <v>10</v>
      </c>
    </row>
    <row r="4352" spans="1:2" x14ac:dyDescent="0.25">
      <c r="A4352">
        <v>16041420000</v>
      </c>
      <c r="B4352" t="s">
        <v>1332</v>
      </c>
    </row>
    <row r="4353" spans="1:2" x14ac:dyDescent="0.25">
      <c r="A4353">
        <v>16041430000</v>
      </c>
      <c r="B4353" t="s">
        <v>1333</v>
      </c>
    </row>
    <row r="4354" spans="1:2" x14ac:dyDescent="0.25">
      <c r="A4354">
        <v>16041500000</v>
      </c>
      <c r="B4354" t="e">
        <f>--Caballas</f>
        <v>#NAME?</v>
      </c>
    </row>
    <row r="4355" spans="1:2" x14ac:dyDescent="0.25">
      <c r="A4355">
        <v>16041600</v>
      </c>
      <c r="B4355" t="e">
        <f>- - Anchoas</f>
        <v>#NAME?</v>
      </c>
    </row>
    <row r="4356" spans="1:2" x14ac:dyDescent="0.25">
      <c r="A4356">
        <v>160416001</v>
      </c>
      <c r="B4356" t="s">
        <v>320</v>
      </c>
    </row>
    <row r="4357" spans="1:2" x14ac:dyDescent="0.25">
      <c r="A4357">
        <v>1604160011</v>
      </c>
      <c r="B4357" t="s">
        <v>1334</v>
      </c>
    </row>
    <row r="4358" spans="1:2" x14ac:dyDescent="0.25">
      <c r="A4358">
        <v>16041600111</v>
      </c>
      <c r="B4358" t="s">
        <v>1335</v>
      </c>
    </row>
    <row r="4359" spans="1:2" x14ac:dyDescent="0.25">
      <c r="A4359">
        <v>16041600112</v>
      </c>
      <c r="B4359" t="s">
        <v>1336</v>
      </c>
    </row>
    <row r="4360" spans="1:2" x14ac:dyDescent="0.25">
      <c r="A4360">
        <v>16041600119</v>
      </c>
      <c r="B4360" t="s">
        <v>10</v>
      </c>
    </row>
    <row r="4361" spans="1:2" x14ac:dyDescent="0.25">
      <c r="A4361">
        <v>16041600190</v>
      </c>
      <c r="B4361" t="s">
        <v>10</v>
      </c>
    </row>
    <row r="4362" spans="1:2" x14ac:dyDescent="0.25">
      <c r="A4362">
        <v>160416009</v>
      </c>
      <c r="B4362" t="s">
        <v>57</v>
      </c>
    </row>
    <row r="4363" spans="1:2" x14ac:dyDescent="0.25">
      <c r="A4363">
        <v>1604160091</v>
      </c>
      <c r="B4363" t="s">
        <v>1337</v>
      </c>
    </row>
    <row r="4364" spans="1:2" x14ac:dyDescent="0.25">
      <c r="A4364">
        <v>16041600911</v>
      </c>
      <c r="B4364" t="s">
        <v>1335</v>
      </c>
    </row>
    <row r="4365" spans="1:2" x14ac:dyDescent="0.25">
      <c r="A4365">
        <v>16041600912</v>
      </c>
      <c r="B4365" t="s">
        <v>1336</v>
      </c>
    </row>
    <row r="4366" spans="1:2" x14ac:dyDescent="0.25">
      <c r="A4366">
        <v>16041600919</v>
      </c>
      <c r="B4366" t="s">
        <v>10</v>
      </c>
    </row>
    <row r="4367" spans="1:2" x14ac:dyDescent="0.25">
      <c r="A4367">
        <v>16041600990</v>
      </c>
      <c r="B4367" t="s">
        <v>10</v>
      </c>
    </row>
    <row r="4368" spans="1:2" x14ac:dyDescent="0.25">
      <c r="A4368">
        <v>16041700</v>
      </c>
      <c r="B4368" t="e">
        <f>- - Anguilas</f>
        <v>#NAME?</v>
      </c>
    </row>
    <row r="4369" spans="1:2" x14ac:dyDescent="0.25">
      <c r="A4369">
        <v>16041700100</v>
      </c>
      <c r="B4369" t="s">
        <v>1338</v>
      </c>
    </row>
    <row r="4370" spans="1:2" x14ac:dyDescent="0.25">
      <c r="A4370">
        <v>16041700900</v>
      </c>
      <c r="B4370" t="s">
        <v>10</v>
      </c>
    </row>
    <row r="4371" spans="1:2" x14ac:dyDescent="0.25">
      <c r="A4371">
        <v>16041800000</v>
      </c>
      <c r="B4371" t="e">
        <f>--Aletas de tiburon</f>
        <v>#NAME?</v>
      </c>
    </row>
    <row r="4372" spans="1:2" x14ac:dyDescent="0.25">
      <c r="A4372">
        <v>16041900</v>
      </c>
      <c r="B4372" t="e">
        <f>- - Los demas</f>
        <v>#NAME?</v>
      </c>
    </row>
    <row r="4373" spans="1:2" x14ac:dyDescent="0.25">
      <c r="A4373">
        <v>160419001</v>
      </c>
      <c r="B4373" t="s">
        <v>320</v>
      </c>
    </row>
    <row r="4374" spans="1:2" x14ac:dyDescent="0.25">
      <c r="A4374">
        <v>16041900110</v>
      </c>
      <c r="B4374" t="s">
        <v>1307</v>
      </c>
    </row>
    <row r="4375" spans="1:2" x14ac:dyDescent="0.25">
      <c r="A4375">
        <v>16041900150</v>
      </c>
      <c r="B4375" t="s">
        <v>1339</v>
      </c>
    </row>
    <row r="4376" spans="1:2" x14ac:dyDescent="0.25">
      <c r="A4376">
        <v>16041900190</v>
      </c>
      <c r="B4376" t="s">
        <v>10</v>
      </c>
    </row>
    <row r="4377" spans="1:2" x14ac:dyDescent="0.25">
      <c r="A4377">
        <v>160419009</v>
      </c>
      <c r="B4377" t="s">
        <v>57</v>
      </c>
    </row>
    <row r="4378" spans="1:2" x14ac:dyDescent="0.25">
      <c r="A4378">
        <v>16041900910</v>
      </c>
      <c r="B4378" t="s">
        <v>1307</v>
      </c>
    </row>
    <row r="4379" spans="1:2" x14ac:dyDescent="0.25">
      <c r="A4379">
        <v>16041900950</v>
      </c>
      <c r="B4379" t="s">
        <v>1339</v>
      </c>
    </row>
    <row r="4380" spans="1:2" x14ac:dyDescent="0.25">
      <c r="A4380">
        <v>16041900990</v>
      </c>
      <c r="B4380" t="s">
        <v>10</v>
      </c>
    </row>
    <row r="4381" spans="1:2" x14ac:dyDescent="0.25">
      <c r="A4381">
        <v>160420</v>
      </c>
      <c r="B4381" t="e">
        <f>- las demas Preparaciones y conservas de pescado</f>
        <v>#NAME?</v>
      </c>
    </row>
    <row r="4382" spans="1:2" x14ac:dyDescent="0.25">
      <c r="A4382">
        <v>16042010</v>
      </c>
      <c r="B4382" t="s">
        <v>1340</v>
      </c>
    </row>
    <row r="4383" spans="1:2" x14ac:dyDescent="0.25">
      <c r="A4383">
        <v>16042010100</v>
      </c>
      <c r="B4383" t="s">
        <v>1325</v>
      </c>
    </row>
    <row r="4384" spans="1:2" x14ac:dyDescent="0.25">
      <c r="A4384">
        <v>16042010200</v>
      </c>
      <c r="B4384" t="s">
        <v>1326</v>
      </c>
    </row>
    <row r="4385" spans="1:2" x14ac:dyDescent="0.25">
      <c r="A4385">
        <v>16042010300</v>
      </c>
      <c r="B4385" t="s">
        <v>1327</v>
      </c>
    </row>
    <row r="4386" spans="1:2" x14ac:dyDescent="0.25">
      <c r="A4386">
        <v>16042010900</v>
      </c>
      <c r="B4386" t="s">
        <v>10</v>
      </c>
    </row>
    <row r="4387" spans="1:2" x14ac:dyDescent="0.25">
      <c r="A4387">
        <v>16042020000</v>
      </c>
      <c r="B4387" t="s">
        <v>1341</v>
      </c>
    </row>
    <row r="4388" spans="1:2" x14ac:dyDescent="0.25">
      <c r="A4388">
        <v>16042030000</v>
      </c>
      <c r="B4388" t="s">
        <v>1342</v>
      </c>
    </row>
    <row r="4389" spans="1:2" x14ac:dyDescent="0.25">
      <c r="A4389">
        <v>16042090</v>
      </c>
      <c r="B4389" t="s">
        <v>57</v>
      </c>
    </row>
    <row r="4390" spans="1:2" x14ac:dyDescent="0.25">
      <c r="A4390">
        <v>160420901</v>
      </c>
      <c r="B4390" t="s">
        <v>1343</v>
      </c>
    </row>
    <row r="4391" spans="1:2" x14ac:dyDescent="0.25">
      <c r="A4391">
        <v>16042090110</v>
      </c>
      <c r="B4391" t="s">
        <v>1344</v>
      </c>
    </row>
    <row r="4392" spans="1:2" x14ac:dyDescent="0.25">
      <c r="A4392">
        <v>16042090190</v>
      </c>
      <c r="B4392" t="s">
        <v>10</v>
      </c>
    </row>
    <row r="4393" spans="1:2" x14ac:dyDescent="0.25">
      <c r="A4393">
        <v>160420902</v>
      </c>
      <c r="B4393" t="s">
        <v>1345</v>
      </c>
    </row>
    <row r="4394" spans="1:2" x14ac:dyDescent="0.25">
      <c r="A4394">
        <v>16042090210</v>
      </c>
      <c r="B4394" t="s">
        <v>1346</v>
      </c>
    </row>
    <row r="4395" spans="1:2" x14ac:dyDescent="0.25">
      <c r="A4395">
        <v>1604209029</v>
      </c>
      <c r="B4395" t="s">
        <v>10</v>
      </c>
    </row>
    <row r="4396" spans="1:2" x14ac:dyDescent="0.25">
      <c r="A4396">
        <v>16042090291</v>
      </c>
      <c r="B4396" t="s">
        <v>274</v>
      </c>
    </row>
    <row r="4397" spans="1:2" x14ac:dyDescent="0.25">
      <c r="A4397">
        <v>16042090299</v>
      </c>
      <c r="B4397" t="s">
        <v>10</v>
      </c>
    </row>
    <row r="4398" spans="1:2" x14ac:dyDescent="0.25">
      <c r="A4398">
        <v>16042090300</v>
      </c>
      <c r="B4398" t="s">
        <v>1347</v>
      </c>
    </row>
    <row r="4399" spans="1:2" x14ac:dyDescent="0.25">
      <c r="A4399">
        <v>160420909</v>
      </c>
      <c r="B4399" t="s">
        <v>57</v>
      </c>
    </row>
    <row r="4400" spans="1:2" x14ac:dyDescent="0.25">
      <c r="A4400">
        <v>16042090910</v>
      </c>
      <c r="B4400" t="s">
        <v>1348</v>
      </c>
    </row>
    <row r="4401" spans="1:2" x14ac:dyDescent="0.25">
      <c r="A4401">
        <v>16042090990</v>
      </c>
      <c r="B4401" t="s">
        <v>57</v>
      </c>
    </row>
    <row r="4402" spans="1:2" x14ac:dyDescent="0.25">
      <c r="A4402">
        <v>16043</v>
      </c>
      <c r="B4402" t="s">
        <v>1349</v>
      </c>
    </row>
    <row r="4403" spans="1:2" x14ac:dyDescent="0.25">
      <c r="A4403">
        <v>16043100</v>
      </c>
      <c r="B4403" t="e">
        <f>- - Caviar</f>
        <v>#NAME?</v>
      </c>
    </row>
    <row r="4404" spans="1:2" x14ac:dyDescent="0.25">
      <c r="A4404">
        <v>16043100100</v>
      </c>
      <c r="B4404" t="s">
        <v>1350</v>
      </c>
    </row>
    <row r="4405" spans="1:2" x14ac:dyDescent="0.25">
      <c r="A4405">
        <v>16043100900</v>
      </c>
      <c r="B4405" t="s">
        <v>10</v>
      </c>
    </row>
    <row r="4406" spans="1:2" x14ac:dyDescent="0.25">
      <c r="A4406">
        <v>16043200000</v>
      </c>
      <c r="B4406" t="e">
        <f>--sucedaneos del Caviar</f>
        <v>#NAME?</v>
      </c>
    </row>
    <row r="4407" spans="1:2" x14ac:dyDescent="0.25">
      <c r="A4407">
        <v>1605</v>
      </c>
      <c r="B4407" t="s">
        <v>1351</v>
      </c>
    </row>
    <row r="4408" spans="1:2" x14ac:dyDescent="0.25">
      <c r="A4408">
        <v>16051000</v>
      </c>
      <c r="B4408" t="e">
        <f>- Cangrejos (excepto macruros)</f>
        <v>#NAME?</v>
      </c>
    </row>
    <row r="4409" spans="1:2" x14ac:dyDescent="0.25">
      <c r="A4409">
        <v>16051000100</v>
      </c>
      <c r="B4409" t="s">
        <v>476</v>
      </c>
    </row>
    <row r="4410" spans="1:2" x14ac:dyDescent="0.25">
      <c r="A4410">
        <v>16051000900</v>
      </c>
      <c r="B4410" t="s">
        <v>10</v>
      </c>
    </row>
    <row r="4411" spans="1:2" x14ac:dyDescent="0.25">
      <c r="A4411">
        <v>16052</v>
      </c>
      <c r="B4411" t="s">
        <v>1352</v>
      </c>
    </row>
    <row r="4412" spans="1:2" x14ac:dyDescent="0.25">
      <c r="A4412">
        <v>16052100</v>
      </c>
      <c r="B4412" t="e">
        <f>- - presentados En envases no hermeticos</f>
        <v>#NAME?</v>
      </c>
    </row>
    <row r="4413" spans="1:2" x14ac:dyDescent="0.25">
      <c r="A4413">
        <v>160521001</v>
      </c>
      <c r="B4413" t="s">
        <v>1353</v>
      </c>
    </row>
    <row r="4414" spans="1:2" x14ac:dyDescent="0.25">
      <c r="A4414">
        <v>16052100110</v>
      </c>
      <c r="B4414" t="s">
        <v>1354</v>
      </c>
    </row>
    <row r="4415" spans="1:2" x14ac:dyDescent="0.25">
      <c r="A4415">
        <v>16052100190</v>
      </c>
      <c r="B4415" t="s">
        <v>10</v>
      </c>
    </row>
    <row r="4416" spans="1:2" x14ac:dyDescent="0.25">
      <c r="A4416">
        <v>160521002</v>
      </c>
      <c r="B4416" t="s">
        <v>490</v>
      </c>
    </row>
    <row r="4417" spans="1:2" x14ac:dyDescent="0.25">
      <c r="A4417">
        <v>16052100210</v>
      </c>
      <c r="B4417" t="s">
        <v>1355</v>
      </c>
    </row>
    <row r="4418" spans="1:2" x14ac:dyDescent="0.25">
      <c r="A4418">
        <v>16052100290</v>
      </c>
      <c r="B4418" t="s">
        <v>10</v>
      </c>
    </row>
    <row r="4419" spans="1:2" x14ac:dyDescent="0.25">
      <c r="A4419">
        <v>16052100900</v>
      </c>
      <c r="B4419" t="s">
        <v>10</v>
      </c>
    </row>
    <row r="4420" spans="1:2" x14ac:dyDescent="0.25">
      <c r="A4420">
        <v>16052900</v>
      </c>
      <c r="B4420" t="e">
        <f>- - Los demas</f>
        <v>#NAME?</v>
      </c>
    </row>
    <row r="4421" spans="1:2" x14ac:dyDescent="0.25">
      <c r="A4421">
        <v>160529001</v>
      </c>
      <c r="B4421" t="s">
        <v>1353</v>
      </c>
    </row>
    <row r="4422" spans="1:2" x14ac:dyDescent="0.25">
      <c r="A4422">
        <v>16052900110</v>
      </c>
      <c r="B4422" t="s">
        <v>1354</v>
      </c>
    </row>
    <row r="4423" spans="1:2" x14ac:dyDescent="0.25">
      <c r="A4423">
        <v>16052900190</v>
      </c>
      <c r="B4423" t="s">
        <v>10</v>
      </c>
    </row>
    <row r="4424" spans="1:2" x14ac:dyDescent="0.25">
      <c r="A4424">
        <v>160529002</v>
      </c>
      <c r="B4424" t="s">
        <v>490</v>
      </c>
    </row>
    <row r="4425" spans="1:2" x14ac:dyDescent="0.25">
      <c r="A4425">
        <v>16052900210</v>
      </c>
      <c r="B4425" t="s">
        <v>1355</v>
      </c>
    </row>
    <row r="4426" spans="1:2" x14ac:dyDescent="0.25">
      <c r="A4426">
        <v>16052900290</v>
      </c>
      <c r="B4426" t="s">
        <v>10</v>
      </c>
    </row>
    <row r="4427" spans="1:2" x14ac:dyDescent="0.25">
      <c r="A4427">
        <v>16052900900</v>
      </c>
      <c r="B4427" t="s">
        <v>10</v>
      </c>
    </row>
    <row r="4428" spans="1:2" x14ac:dyDescent="0.25">
      <c r="A4428">
        <v>16053000000</v>
      </c>
      <c r="B4428" t="e">
        <f>-Bogavantes</f>
        <v>#NAME?</v>
      </c>
    </row>
    <row r="4429" spans="1:2" x14ac:dyDescent="0.25">
      <c r="A4429">
        <v>16054000</v>
      </c>
      <c r="B4429" t="e">
        <f>- Los demas crustaceos</f>
        <v>#NAME?</v>
      </c>
    </row>
    <row r="4430" spans="1:2" x14ac:dyDescent="0.25">
      <c r="A4430">
        <v>16054000100</v>
      </c>
      <c r="B4430" t="s">
        <v>320</v>
      </c>
    </row>
    <row r="4431" spans="1:2" x14ac:dyDescent="0.25">
      <c r="A4431">
        <v>16054000900</v>
      </c>
      <c r="B4431" t="s">
        <v>10</v>
      </c>
    </row>
    <row r="4432" spans="1:2" x14ac:dyDescent="0.25">
      <c r="A4432">
        <v>16055</v>
      </c>
      <c r="B4432" t="s">
        <v>1356</v>
      </c>
    </row>
    <row r="4433" spans="1:2" x14ac:dyDescent="0.25">
      <c r="A4433">
        <v>16055100000</v>
      </c>
      <c r="B4433" t="e">
        <f>--Ostras</f>
        <v>#NAME?</v>
      </c>
    </row>
    <row r="4434" spans="1:2" x14ac:dyDescent="0.25">
      <c r="A4434">
        <v>16055200</v>
      </c>
      <c r="B4434" t="e">
        <f>- - Vieiras. volandeiras y demas moluscos de Los generos Pecten. Chlamys o Placopecten</f>
        <v>#NAME?</v>
      </c>
    </row>
    <row r="4435" spans="1:2" x14ac:dyDescent="0.25">
      <c r="A4435">
        <v>16055200100</v>
      </c>
      <c r="B4435" t="s">
        <v>539</v>
      </c>
    </row>
    <row r="4436" spans="1:2" x14ac:dyDescent="0.25">
      <c r="A4436">
        <v>16055200900</v>
      </c>
      <c r="B4436" t="s">
        <v>10</v>
      </c>
    </row>
    <row r="4437" spans="1:2" x14ac:dyDescent="0.25">
      <c r="A4437">
        <v>16055300</v>
      </c>
      <c r="B4437" t="e">
        <f>- - Mejillones</f>
        <v>#NAME?</v>
      </c>
    </row>
    <row r="4438" spans="1:2" x14ac:dyDescent="0.25">
      <c r="A4438">
        <v>160553001</v>
      </c>
      <c r="B4438" t="s">
        <v>1357</v>
      </c>
    </row>
    <row r="4439" spans="1:2" x14ac:dyDescent="0.25">
      <c r="A4439">
        <v>16055300110</v>
      </c>
      <c r="B4439" t="s">
        <v>1329</v>
      </c>
    </row>
    <row r="4440" spans="1:2" x14ac:dyDescent="0.25">
      <c r="A4440">
        <v>16055300190</v>
      </c>
      <c r="B4440" t="s">
        <v>10</v>
      </c>
    </row>
    <row r="4441" spans="1:2" x14ac:dyDescent="0.25">
      <c r="A4441">
        <v>16055300900</v>
      </c>
      <c r="B4441" t="s">
        <v>10</v>
      </c>
    </row>
    <row r="4442" spans="1:2" x14ac:dyDescent="0.25">
      <c r="A4442">
        <v>16055400</v>
      </c>
      <c r="B4442" t="s">
        <v>1358</v>
      </c>
    </row>
    <row r="4443" spans="1:2" x14ac:dyDescent="0.25">
      <c r="A4443">
        <v>160554001</v>
      </c>
      <c r="B4443" t="s">
        <v>1357</v>
      </c>
    </row>
    <row r="4444" spans="1:2" x14ac:dyDescent="0.25">
      <c r="A4444">
        <v>1605540011</v>
      </c>
      <c r="B4444" t="s">
        <v>1329</v>
      </c>
    </row>
    <row r="4445" spans="1:2" x14ac:dyDescent="0.25">
      <c r="A4445">
        <v>16055400111</v>
      </c>
      <c r="B4445" t="s">
        <v>1359</v>
      </c>
    </row>
    <row r="4446" spans="1:2" x14ac:dyDescent="0.25">
      <c r="A4446">
        <v>16055400119</v>
      </c>
      <c r="B4446" t="s">
        <v>10</v>
      </c>
    </row>
    <row r="4447" spans="1:2" x14ac:dyDescent="0.25">
      <c r="A4447">
        <v>1605540019</v>
      </c>
      <c r="B4447" t="s">
        <v>10</v>
      </c>
    </row>
    <row r="4448" spans="1:2" x14ac:dyDescent="0.25">
      <c r="A4448">
        <v>16055400191</v>
      </c>
      <c r="B4448" t="s">
        <v>1360</v>
      </c>
    </row>
    <row r="4449" spans="1:2" x14ac:dyDescent="0.25">
      <c r="A4449">
        <v>16055400199</v>
      </c>
      <c r="B4449" t="s">
        <v>10</v>
      </c>
    </row>
    <row r="4450" spans="1:2" x14ac:dyDescent="0.25">
      <c r="A4450">
        <v>160554009</v>
      </c>
      <c r="B4450" t="s">
        <v>10</v>
      </c>
    </row>
    <row r="4451" spans="1:2" x14ac:dyDescent="0.25">
      <c r="A4451">
        <v>1605540091</v>
      </c>
      <c r="B4451" t="s">
        <v>1329</v>
      </c>
    </row>
    <row r="4452" spans="1:2" x14ac:dyDescent="0.25">
      <c r="A4452">
        <v>16055400911</v>
      </c>
      <c r="B4452" t="s">
        <v>1359</v>
      </c>
    </row>
    <row r="4453" spans="1:2" x14ac:dyDescent="0.25">
      <c r="A4453">
        <v>16055400919</v>
      </c>
      <c r="B4453" t="s">
        <v>10</v>
      </c>
    </row>
    <row r="4454" spans="1:2" x14ac:dyDescent="0.25">
      <c r="A4454">
        <v>1605540099</v>
      </c>
      <c r="B4454" t="s">
        <v>10</v>
      </c>
    </row>
    <row r="4455" spans="1:2" x14ac:dyDescent="0.25">
      <c r="A4455">
        <v>16055400991</v>
      </c>
      <c r="B4455" t="s">
        <v>1360</v>
      </c>
    </row>
    <row r="4456" spans="1:2" x14ac:dyDescent="0.25">
      <c r="A4456">
        <v>16055400999</v>
      </c>
      <c r="B4456" t="s">
        <v>10</v>
      </c>
    </row>
    <row r="4457" spans="1:2" x14ac:dyDescent="0.25">
      <c r="A4457">
        <v>16055500000</v>
      </c>
      <c r="B4457" t="e">
        <f>--Pulpos</f>
        <v>#NAME?</v>
      </c>
    </row>
    <row r="4458" spans="1:2" x14ac:dyDescent="0.25">
      <c r="A4458">
        <v>16055600</v>
      </c>
      <c r="B4458" t="e">
        <f>- - Almejas. berberechos y arcas</f>
        <v>#NAME?</v>
      </c>
    </row>
    <row r="4459" spans="1:2" x14ac:dyDescent="0.25">
      <c r="A4459">
        <v>160556001</v>
      </c>
      <c r="B4459" t="s">
        <v>1361</v>
      </c>
    </row>
    <row r="4460" spans="1:2" x14ac:dyDescent="0.25">
      <c r="A4460">
        <v>1605560011</v>
      </c>
      <c r="B4460" t="s">
        <v>335</v>
      </c>
    </row>
    <row r="4461" spans="1:2" x14ac:dyDescent="0.25">
      <c r="A4461">
        <v>16055600111</v>
      </c>
      <c r="B4461" t="s">
        <v>512</v>
      </c>
    </row>
    <row r="4462" spans="1:2" x14ac:dyDescent="0.25">
      <c r="A4462">
        <v>16055600119</v>
      </c>
      <c r="B4462" t="s">
        <v>57</v>
      </c>
    </row>
    <row r="4463" spans="1:2" x14ac:dyDescent="0.25">
      <c r="A4463">
        <v>16055600190</v>
      </c>
      <c r="B4463" t="s">
        <v>57</v>
      </c>
    </row>
    <row r="4464" spans="1:2" x14ac:dyDescent="0.25">
      <c r="A4464">
        <v>160556002</v>
      </c>
      <c r="B4464" t="s">
        <v>1362</v>
      </c>
    </row>
    <row r="4465" spans="1:2" x14ac:dyDescent="0.25">
      <c r="A4465">
        <v>16055600210</v>
      </c>
      <c r="B4465" t="s">
        <v>1329</v>
      </c>
    </row>
    <row r="4466" spans="1:2" x14ac:dyDescent="0.25">
      <c r="A4466">
        <v>16055600290</v>
      </c>
      <c r="B4466" t="s">
        <v>10</v>
      </c>
    </row>
    <row r="4467" spans="1:2" x14ac:dyDescent="0.25">
      <c r="A4467">
        <v>16055600300</v>
      </c>
      <c r="B4467" t="s">
        <v>1363</v>
      </c>
    </row>
    <row r="4468" spans="1:2" x14ac:dyDescent="0.25">
      <c r="A4468">
        <v>16055600900</v>
      </c>
      <c r="B4468" t="s">
        <v>10</v>
      </c>
    </row>
    <row r="4469" spans="1:2" x14ac:dyDescent="0.25">
      <c r="A4469">
        <v>16055700000</v>
      </c>
      <c r="B4469" t="e">
        <f>--Abulones u orejas de mar</f>
        <v>#NAME?</v>
      </c>
    </row>
    <row r="4470" spans="1:2" x14ac:dyDescent="0.25">
      <c r="A4470">
        <v>16055800000</v>
      </c>
      <c r="B4470" t="e">
        <f>--Caracoles. excepto Los de mar</f>
        <v>#NAME?</v>
      </c>
    </row>
    <row r="4471" spans="1:2" x14ac:dyDescent="0.25">
      <c r="A4471">
        <v>16055900000</v>
      </c>
      <c r="B4471" t="e">
        <f>--Los demas</f>
        <v>#NAME?</v>
      </c>
    </row>
    <row r="4472" spans="1:2" x14ac:dyDescent="0.25">
      <c r="A4472">
        <v>16056</v>
      </c>
      <c r="B4472" t="s">
        <v>1364</v>
      </c>
    </row>
    <row r="4473" spans="1:2" x14ac:dyDescent="0.25">
      <c r="A4473">
        <v>16056100000</v>
      </c>
      <c r="B4473" t="e">
        <f>--Pepinos de mar</f>
        <v>#NAME?</v>
      </c>
    </row>
    <row r="4474" spans="1:2" x14ac:dyDescent="0.25">
      <c r="A4474">
        <v>16056200000</v>
      </c>
      <c r="B4474" t="e">
        <f>--Erizos de mar</f>
        <v>#NAME?</v>
      </c>
    </row>
    <row r="4475" spans="1:2" x14ac:dyDescent="0.25">
      <c r="A4475">
        <v>16056300000</v>
      </c>
      <c r="B4475" t="e">
        <f>--Medusas</f>
        <v>#NAME?</v>
      </c>
    </row>
    <row r="4476" spans="1:2" x14ac:dyDescent="0.25">
      <c r="A4476">
        <v>16056900000</v>
      </c>
      <c r="B4476" t="e">
        <f>--Los demas</f>
        <v>#NAME?</v>
      </c>
    </row>
    <row r="4477" spans="1:2" x14ac:dyDescent="0.25">
      <c r="A4477">
        <v>1701</v>
      </c>
      <c r="B4477" t="s">
        <v>1365</v>
      </c>
    </row>
    <row r="4478" spans="1:2" x14ac:dyDescent="0.25">
      <c r="A4478">
        <v>17011</v>
      </c>
      <c r="B4478" t="s">
        <v>1366</v>
      </c>
    </row>
    <row r="4479" spans="1:2" x14ac:dyDescent="0.25">
      <c r="A4479">
        <v>17011200000</v>
      </c>
      <c r="B4479" t="e">
        <f>--de remolacha</f>
        <v>#NAME?</v>
      </c>
    </row>
    <row r="4480" spans="1:2" x14ac:dyDescent="0.25">
      <c r="A4480">
        <v>17011300000</v>
      </c>
      <c r="B4480" t="s">
        <v>1367</v>
      </c>
    </row>
    <row r="4481" spans="1:2" x14ac:dyDescent="0.25">
      <c r="A4481">
        <v>17011400000</v>
      </c>
      <c r="B4481" t="e">
        <f>--Los demas azucares de Caña</f>
        <v>#NAME?</v>
      </c>
    </row>
    <row r="4482" spans="1:2" x14ac:dyDescent="0.25">
      <c r="A4482">
        <v>17019</v>
      </c>
      <c r="B4482" t="s">
        <v>28</v>
      </c>
    </row>
    <row r="4483" spans="1:2" x14ac:dyDescent="0.25">
      <c r="A4483">
        <v>17019100000</v>
      </c>
      <c r="B4483" t="e">
        <f>--Con adicion de aromatizante o colorante</f>
        <v>#NAME?</v>
      </c>
    </row>
    <row r="4484" spans="1:2" x14ac:dyDescent="0.25">
      <c r="A4484">
        <v>17019900</v>
      </c>
      <c r="B4484" t="s">
        <v>1368</v>
      </c>
    </row>
    <row r="4485" spans="1:2" x14ac:dyDescent="0.25">
      <c r="A4485">
        <v>17019900100</v>
      </c>
      <c r="B4485" t="s">
        <v>1369</v>
      </c>
    </row>
    <row r="4486" spans="1:2" x14ac:dyDescent="0.25">
      <c r="A4486">
        <v>17019900900</v>
      </c>
      <c r="B4486" t="s">
        <v>10</v>
      </c>
    </row>
    <row r="4487" spans="1:2" x14ac:dyDescent="0.25">
      <c r="A4487">
        <v>1702</v>
      </c>
      <c r="B4487" t="s">
        <v>1370</v>
      </c>
    </row>
    <row r="4488" spans="1:2" x14ac:dyDescent="0.25">
      <c r="A4488">
        <v>17021</v>
      </c>
      <c r="B4488" t="s">
        <v>1371</v>
      </c>
    </row>
    <row r="4489" spans="1:2" x14ac:dyDescent="0.25">
      <c r="A4489">
        <v>17021100000</v>
      </c>
      <c r="B4489" t="s">
        <v>1372</v>
      </c>
    </row>
    <row r="4490" spans="1:2" x14ac:dyDescent="0.25">
      <c r="A4490">
        <v>17021900000</v>
      </c>
      <c r="B4490" t="e">
        <f>--Los demas</f>
        <v>#NAME?</v>
      </c>
    </row>
    <row r="4491" spans="1:2" x14ac:dyDescent="0.25">
      <c r="A4491">
        <v>17022000000</v>
      </c>
      <c r="B4491" t="s">
        <v>1373</v>
      </c>
    </row>
    <row r="4492" spans="1:2" x14ac:dyDescent="0.25">
      <c r="A4492">
        <v>170230</v>
      </c>
      <c r="B4492" t="s">
        <v>1374</v>
      </c>
    </row>
    <row r="4493" spans="1:2" x14ac:dyDescent="0.25">
      <c r="A4493">
        <v>1702301</v>
      </c>
      <c r="B4493" t="s">
        <v>1375</v>
      </c>
    </row>
    <row r="4494" spans="1:2" x14ac:dyDescent="0.25">
      <c r="A4494">
        <v>17023011000</v>
      </c>
      <c r="B4494" t="s">
        <v>1376</v>
      </c>
    </row>
    <row r="4495" spans="1:2" x14ac:dyDescent="0.25">
      <c r="A4495">
        <v>17023019000</v>
      </c>
      <c r="B4495" t="s">
        <v>57</v>
      </c>
    </row>
    <row r="4496" spans="1:2" x14ac:dyDescent="0.25">
      <c r="A4496">
        <v>17023020000</v>
      </c>
      <c r="B4496" t="s">
        <v>1377</v>
      </c>
    </row>
    <row r="4497" spans="1:2" x14ac:dyDescent="0.25">
      <c r="A4497">
        <v>170240</v>
      </c>
      <c r="B4497" t="s">
        <v>1378</v>
      </c>
    </row>
    <row r="4498" spans="1:2" x14ac:dyDescent="0.25">
      <c r="A4498">
        <v>17024010000</v>
      </c>
      <c r="B4498" t="s">
        <v>1375</v>
      </c>
    </row>
    <row r="4499" spans="1:2" x14ac:dyDescent="0.25">
      <c r="A4499">
        <v>17024020000</v>
      </c>
      <c r="B4499" t="s">
        <v>1377</v>
      </c>
    </row>
    <row r="4500" spans="1:2" x14ac:dyDescent="0.25">
      <c r="A4500">
        <v>17025000000</v>
      </c>
      <c r="B4500" t="e">
        <f>-fructosa quimicamente pura</f>
        <v>#NAME?</v>
      </c>
    </row>
    <row r="4501" spans="1:2" x14ac:dyDescent="0.25">
      <c r="A4501">
        <v>170260</v>
      </c>
      <c r="B4501" t="s">
        <v>1379</v>
      </c>
    </row>
    <row r="4502" spans="1:2" x14ac:dyDescent="0.25">
      <c r="A4502">
        <v>17026010000</v>
      </c>
      <c r="B4502" t="s">
        <v>1380</v>
      </c>
    </row>
    <row r="4503" spans="1:2" x14ac:dyDescent="0.25">
      <c r="A4503">
        <v>17026020000</v>
      </c>
      <c r="B4503" t="s">
        <v>1381</v>
      </c>
    </row>
    <row r="4504" spans="1:2" x14ac:dyDescent="0.25">
      <c r="A4504">
        <v>17029000</v>
      </c>
      <c r="B4504" t="s">
        <v>1382</v>
      </c>
    </row>
    <row r="4505" spans="1:2" x14ac:dyDescent="0.25">
      <c r="A4505">
        <v>170290001</v>
      </c>
      <c r="B4505" t="s">
        <v>745</v>
      </c>
    </row>
    <row r="4506" spans="1:2" x14ac:dyDescent="0.25">
      <c r="A4506">
        <v>17029000110</v>
      </c>
      <c r="B4506" t="s">
        <v>1383</v>
      </c>
    </row>
    <row r="4507" spans="1:2" x14ac:dyDescent="0.25">
      <c r="A4507">
        <v>17029000120</v>
      </c>
      <c r="B4507" t="s">
        <v>1384</v>
      </c>
    </row>
    <row r="4508" spans="1:2" x14ac:dyDescent="0.25">
      <c r="A4508">
        <v>17029000130</v>
      </c>
      <c r="B4508" t="s">
        <v>1385</v>
      </c>
    </row>
    <row r="4509" spans="1:2" x14ac:dyDescent="0.25">
      <c r="A4509">
        <v>17029000190</v>
      </c>
      <c r="B4509" t="s">
        <v>10</v>
      </c>
    </row>
    <row r="4510" spans="1:2" x14ac:dyDescent="0.25">
      <c r="A4510">
        <v>170290009</v>
      </c>
      <c r="B4510" t="s">
        <v>10</v>
      </c>
    </row>
    <row r="4511" spans="1:2" x14ac:dyDescent="0.25">
      <c r="A4511">
        <v>17029000910</v>
      </c>
      <c r="B4511" t="s">
        <v>1383</v>
      </c>
    </row>
    <row r="4512" spans="1:2" x14ac:dyDescent="0.25">
      <c r="A4512">
        <v>17029000920</v>
      </c>
      <c r="B4512" t="s">
        <v>1384</v>
      </c>
    </row>
    <row r="4513" spans="1:2" x14ac:dyDescent="0.25">
      <c r="A4513">
        <v>17029000930</v>
      </c>
      <c r="B4513" t="s">
        <v>1385</v>
      </c>
    </row>
    <row r="4514" spans="1:2" x14ac:dyDescent="0.25">
      <c r="A4514">
        <v>17029000990</v>
      </c>
      <c r="B4514" t="s">
        <v>10</v>
      </c>
    </row>
    <row r="4515" spans="1:2" x14ac:dyDescent="0.25">
      <c r="A4515">
        <v>1703</v>
      </c>
      <c r="B4515" t="s">
        <v>1386</v>
      </c>
    </row>
    <row r="4516" spans="1:2" x14ac:dyDescent="0.25">
      <c r="A4516">
        <v>17031000000</v>
      </c>
      <c r="B4516" t="e">
        <f>-Melaza de Caña</f>
        <v>#NAME?</v>
      </c>
    </row>
    <row r="4517" spans="1:2" x14ac:dyDescent="0.25">
      <c r="A4517">
        <v>17039000000</v>
      </c>
      <c r="B4517" t="e">
        <f>-las demas</f>
        <v>#NAME?</v>
      </c>
    </row>
    <row r="4518" spans="1:2" x14ac:dyDescent="0.25">
      <c r="A4518">
        <v>1704</v>
      </c>
      <c r="B4518" t="s">
        <v>1387</v>
      </c>
    </row>
    <row r="4519" spans="1:2" x14ac:dyDescent="0.25">
      <c r="A4519">
        <v>17041000000</v>
      </c>
      <c r="B4519" t="e">
        <f>-Chicles y demas gomas de mascar. incluso recubiertos de azucar</f>
        <v>#NAME?</v>
      </c>
    </row>
    <row r="4520" spans="1:2" x14ac:dyDescent="0.25">
      <c r="A4520">
        <v>170490</v>
      </c>
      <c r="B4520" t="e">
        <f>- Los demas</f>
        <v>#NAME?</v>
      </c>
    </row>
    <row r="4521" spans="1:2" x14ac:dyDescent="0.25">
      <c r="A4521">
        <v>17049010</v>
      </c>
      <c r="B4521" t="s">
        <v>1388</v>
      </c>
    </row>
    <row r="4522" spans="1:2" x14ac:dyDescent="0.25">
      <c r="A4522">
        <v>170490101</v>
      </c>
      <c r="B4522" t="s">
        <v>1389</v>
      </c>
    </row>
    <row r="4523" spans="1:2" x14ac:dyDescent="0.25">
      <c r="A4523">
        <v>1704901011</v>
      </c>
      <c r="B4523" t="s">
        <v>1390</v>
      </c>
    </row>
    <row r="4524" spans="1:2" x14ac:dyDescent="0.25">
      <c r="A4524">
        <v>17049010111</v>
      </c>
      <c r="B4524" t="s">
        <v>1391</v>
      </c>
    </row>
    <row r="4525" spans="1:2" x14ac:dyDescent="0.25">
      <c r="A4525">
        <v>17049010112</v>
      </c>
      <c r="B4525" t="s">
        <v>1392</v>
      </c>
    </row>
    <row r="4526" spans="1:2" x14ac:dyDescent="0.25">
      <c r="A4526">
        <v>17049010119</v>
      </c>
      <c r="B4526" t="s">
        <v>10</v>
      </c>
    </row>
    <row r="4527" spans="1:2" x14ac:dyDescent="0.25">
      <c r="A4527">
        <v>1704901019</v>
      </c>
      <c r="B4527" t="s">
        <v>10</v>
      </c>
    </row>
    <row r="4528" spans="1:2" x14ac:dyDescent="0.25">
      <c r="A4528">
        <v>17049010191</v>
      </c>
      <c r="B4528" t="s">
        <v>1391</v>
      </c>
    </row>
    <row r="4529" spans="1:2" x14ac:dyDescent="0.25">
      <c r="A4529">
        <v>17049010192</v>
      </c>
      <c r="B4529" t="s">
        <v>1392</v>
      </c>
    </row>
    <row r="4530" spans="1:2" x14ac:dyDescent="0.25">
      <c r="A4530">
        <v>17049010199</v>
      </c>
      <c r="B4530" t="s">
        <v>10</v>
      </c>
    </row>
    <row r="4531" spans="1:2" x14ac:dyDescent="0.25">
      <c r="A4531">
        <v>17049010900</v>
      </c>
      <c r="B4531" t="s">
        <v>10</v>
      </c>
    </row>
    <row r="4532" spans="1:2" x14ac:dyDescent="0.25">
      <c r="A4532">
        <v>17049020</v>
      </c>
      <c r="B4532" t="s">
        <v>1393</v>
      </c>
    </row>
    <row r="4533" spans="1:2" x14ac:dyDescent="0.25">
      <c r="A4533">
        <v>170490201</v>
      </c>
      <c r="B4533" t="s">
        <v>1394</v>
      </c>
    </row>
    <row r="4534" spans="1:2" x14ac:dyDescent="0.25">
      <c r="A4534">
        <v>1704902011</v>
      </c>
      <c r="B4534" t="s">
        <v>1395</v>
      </c>
    </row>
    <row r="4535" spans="1:2" x14ac:dyDescent="0.25">
      <c r="A4535">
        <v>17049020111</v>
      </c>
      <c r="B4535" t="s">
        <v>1390</v>
      </c>
    </row>
    <row r="4536" spans="1:2" x14ac:dyDescent="0.25">
      <c r="A4536">
        <v>17049020119</v>
      </c>
      <c r="B4536" t="s">
        <v>10</v>
      </c>
    </row>
    <row r="4537" spans="1:2" x14ac:dyDescent="0.25">
      <c r="A4537">
        <v>1704902012</v>
      </c>
      <c r="B4537" t="s">
        <v>1396</v>
      </c>
    </row>
    <row r="4538" spans="1:2" x14ac:dyDescent="0.25">
      <c r="A4538">
        <v>17049020121</v>
      </c>
      <c r="B4538" t="s">
        <v>1390</v>
      </c>
    </row>
    <row r="4539" spans="1:2" x14ac:dyDescent="0.25">
      <c r="A4539">
        <v>17049020129</v>
      </c>
      <c r="B4539" t="s">
        <v>10</v>
      </c>
    </row>
    <row r="4540" spans="1:2" x14ac:dyDescent="0.25">
      <c r="A4540">
        <v>17049020130</v>
      </c>
      <c r="B4540" t="s">
        <v>1397</v>
      </c>
    </row>
    <row r="4541" spans="1:2" x14ac:dyDescent="0.25">
      <c r="A4541">
        <v>17049020190</v>
      </c>
      <c r="B4541" t="s">
        <v>10</v>
      </c>
    </row>
    <row r="4542" spans="1:2" x14ac:dyDescent="0.25">
      <c r="A4542">
        <v>170490202</v>
      </c>
      <c r="B4542" t="s">
        <v>1398</v>
      </c>
    </row>
    <row r="4543" spans="1:2" x14ac:dyDescent="0.25">
      <c r="A4543">
        <v>17049020210</v>
      </c>
      <c r="B4543" t="s">
        <v>1399</v>
      </c>
    </row>
    <row r="4544" spans="1:2" x14ac:dyDescent="0.25">
      <c r="A4544">
        <v>17049020290</v>
      </c>
      <c r="B4544" t="s">
        <v>10</v>
      </c>
    </row>
    <row r="4545" spans="1:2" x14ac:dyDescent="0.25">
      <c r="A4545">
        <v>170490205</v>
      </c>
      <c r="B4545" t="s">
        <v>1400</v>
      </c>
    </row>
    <row r="4546" spans="1:2" x14ac:dyDescent="0.25">
      <c r="A4546">
        <v>17049020510</v>
      </c>
      <c r="B4546" t="s">
        <v>1401</v>
      </c>
    </row>
    <row r="4547" spans="1:2" x14ac:dyDescent="0.25">
      <c r="A4547">
        <v>1704902059</v>
      </c>
      <c r="B4547" t="s">
        <v>57</v>
      </c>
    </row>
    <row r="4548" spans="1:2" x14ac:dyDescent="0.25">
      <c r="A4548">
        <v>17049020591</v>
      </c>
      <c r="B4548" t="s">
        <v>1402</v>
      </c>
    </row>
    <row r="4549" spans="1:2" x14ac:dyDescent="0.25">
      <c r="A4549">
        <v>17049020599</v>
      </c>
      <c r="B4549" t="s">
        <v>57</v>
      </c>
    </row>
    <row r="4550" spans="1:2" x14ac:dyDescent="0.25">
      <c r="A4550">
        <v>17049020600</v>
      </c>
      <c r="B4550" t="s">
        <v>1403</v>
      </c>
    </row>
    <row r="4551" spans="1:2" x14ac:dyDescent="0.25">
      <c r="A4551">
        <v>17049020900</v>
      </c>
      <c r="B4551" t="s">
        <v>10</v>
      </c>
    </row>
    <row r="4552" spans="1:2" x14ac:dyDescent="0.25">
      <c r="A4552">
        <v>17049090</v>
      </c>
      <c r="B4552" t="s">
        <v>10</v>
      </c>
    </row>
    <row r="4553" spans="1:2" x14ac:dyDescent="0.25">
      <c r="A4553">
        <v>17049090100</v>
      </c>
      <c r="B4553" t="s">
        <v>1404</v>
      </c>
    </row>
    <row r="4554" spans="1:2" x14ac:dyDescent="0.25">
      <c r="A4554">
        <v>17049090200</v>
      </c>
      <c r="B4554" t="s">
        <v>1405</v>
      </c>
    </row>
    <row r="4555" spans="1:2" x14ac:dyDescent="0.25">
      <c r="A4555">
        <v>17049090300</v>
      </c>
      <c r="B4555" t="s">
        <v>1406</v>
      </c>
    </row>
    <row r="4556" spans="1:2" x14ac:dyDescent="0.25">
      <c r="A4556">
        <v>17049090900</v>
      </c>
      <c r="B4556" t="s">
        <v>10</v>
      </c>
    </row>
    <row r="4557" spans="1:2" x14ac:dyDescent="0.25">
      <c r="A4557">
        <v>18010000</v>
      </c>
      <c r="B4557" t="s">
        <v>1407</v>
      </c>
    </row>
    <row r="4558" spans="1:2" x14ac:dyDescent="0.25">
      <c r="A4558">
        <v>180100001</v>
      </c>
      <c r="B4558" t="s">
        <v>1066</v>
      </c>
    </row>
    <row r="4559" spans="1:2" x14ac:dyDescent="0.25">
      <c r="A4559">
        <v>18010000110</v>
      </c>
      <c r="B4559" t="s">
        <v>1408</v>
      </c>
    </row>
    <row r="4560" spans="1:2" x14ac:dyDescent="0.25">
      <c r="A4560">
        <v>18010000120</v>
      </c>
      <c r="B4560" t="s">
        <v>1409</v>
      </c>
    </row>
    <row r="4561" spans="1:2" x14ac:dyDescent="0.25">
      <c r="A4561">
        <v>180100002</v>
      </c>
      <c r="B4561" t="s">
        <v>1067</v>
      </c>
    </row>
    <row r="4562" spans="1:2" x14ac:dyDescent="0.25">
      <c r="A4562">
        <v>18010000210</v>
      </c>
      <c r="B4562" t="s">
        <v>1408</v>
      </c>
    </row>
    <row r="4563" spans="1:2" x14ac:dyDescent="0.25">
      <c r="A4563">
        <v>18010000220</v>
      </c>
      <c r="B4563" t="s">
        <v>1409</v>
      </c>
    </row>
    <row r="4564" spans="1:2" x14ac:dyDescent="0.25">
      <c r="A4564">
        <v>18020000000</v>
      </c>
      <c r="B4564" t="s">
        <v>1410</v>
      </c>
    </row>
    <row r="4565" spans="1:2" x14ac:dyDescent="0.25">
      <c r="A4565">
        <v>1803</v>
      </c>
      <c r="B4565" t="s">
        <v>1411</v>
      </c>
    </row>
    <row r="4566" spans="1:2" x14ac:dyDescent="0.25">
      <c r="A4566">
        <v>18031000000</v>
      </c>
      <c r="B4566" t="e">
        <f>-sin desgrasar</f>
        <v>#NAME?</v>
      </c>
    </row>
    <row r="4567" spans="1:2" x14ac:dyDescent="0.25">
      <c r="A4567">
        <v>18032000000</v>
      </c>
      <c r="B4567" t="e">
        <f>-Desgrasada total o parcialmente</f>
        <v>#NAME?</v>
      </c>
    </row>
    <row r="4568" spans="1:2" x14ac:dyDescent="0.25">
      <c r="A4568">
        <v>18040000</v>
      </c>
      <c r="B4568" t="s">
        <v>1412</v>
      </c>
    </row>
    <row r="4569" spans="1:2" x14ac:dyDescent="0.25">
      <c r="A4569">
        <v>18040000100</v>
      </c>
      <c r="B4569" t="s">
        <v>1413</v>
      </c>
    </row>
    <row r="4570" spans="1:2" x14ac:dyDescent="0.25">
      <c r="A4570">
        <v>18040000900</v>
      </c>
      <c r="B4570" t="s">
        <v>10</v>
      </c>
    </row>
    <row r="4571" spans="1:2" x14ac:dyDescent="0.25">
      <c r="A4571">
        <v>18050000000</v>
      </c>
      <c r="B4571" t="s">
        <v>1414</v>
      </c>
    </row>
    <row r="4572" spans="1:2" x14ac:dyDescent="0.25">
      <c r="A4572">
        <v>1806</v>
      </c>
      <c r="B4572" t="s">
        <v>1415</v>
      </c>
    </row>
    <row r="4573" spans="1:2" x14ac:dyDescent="0.25">
      <c r="A4573">
        <v>18061000000</v>
      </c>
      <c r="B4573" t="e">
        <f>-Cacao En polvo Con adicion de azucar u otro edulcorante</f>
        <v>#NAME?</v>
      </c>
    </row>
    <row r="4574" spans="1:2" x14ac:dyDescent="0.25">
      <c r="A4574">
        <v>18062000</v>
      </c>
      <c r="B4574" t="s">
        <v>1416</v>
      </c>
    </row>
    <row r="4575" spans="1:2" x14ac:dyDescent="0.25">
      <c r="A4575">
        <v>18062000100</v>
      </c>
      <c r="B4575" t="s">
        <v>1417</v>
      </c>
    </row>
    <row r="4576" spans="1:2" x14ac:dyDescent="0.25">
      <c r="A4576">
        <v>18062000200</v>
      </c>
      <c r="B4576" t="s">
        <v>1418</v>
      </c>
    </row>
    <row r="4577" spans="1:2" x14ac:dyDescent="0.25">
      <c r="A4577">
        <v>18062000900</v>
      </c>
      <c r="B4577" t="s">
        <v>57</v>
      </c>
    </row>
    <row r="4578" spans="1:2" x14ac:dyDescent="0.25">
      <c r="A4578">
        <v>18063</v>
      </c>
      <c r="B4578" t="s">
        <v>1419</v>
      </c>
    </row>
    <row r="4579" spans="1:2" x14ac:dyDescent="0.25">
      <c r="A4579">
        <v>180631</v>
      </c>
      <c r="B4579" t="e">
        <f>- - Rellenos</f>
        <v>#NAME?</v>
      </c>
    </row>
    <row r="4580" spans="1:2" x14ac:dyDescent="0.25">
      <c r="A4580">
        <v>18063110</v>
      </c>
      <c r="B4580" t="s">
        <v>1418</v>
      </c>
    </row>
    <row r="4581" spans="1:2" x14ac:dyDescent="0.25">
      <c r="A4581">
        <v>18063110100</v>
      </c>
      <c r="B4581" t="s">
        <v>1391</v>
      </c>
    </row>
    <row r="4582" spans="1:2" x14ac:dyDescent="0.25">
      <c r="A4582">
        <v>18063110200</v>
      </c>
      <c r="B4582" t="s">
        <v>1392</v>
      </c>
    </row>
    <row r="4583" spans="1:2" x14ac:dyDescent="0.25">
      <c r="A4583">
        <v>18063110900</v>
      </c>
      <c r="B4583" t="s">
        <v>10</v>
      </c>
    </row>
    <row r="4584" spans="1:2" x14ac:dyDescent="0.25">
      <c r="A4584">
        <v>18063120</v>
      </c>
      <c r="B4584" t="s">
        <v>1420</v>
      </c>
    </row>
    <row r="4585" spans="1:2" x14ac:dyDescent="0.25">
      <c r="A4585">
        <v>18063120100</v>
      </c>
      <c r="B4585" t="s">
        <v>1391</v>
      </c>
    </row>
    <row r="4586" spans="1:2" x14ac:dyDescent="0.25">
      <c r="A4586">
        <v>18063120200</v>
      </c>
      <c r="B4586" t="s">
        <v>1392</v>
      </c>
    </row>
    <row r="4587" spans="1:2" x14ac:dyDescent="0.25">
      <c r="A4587">
        <v>18063120900</v>
      </c>
      <c r="B4587" t="s">
        <v>57</v>
      </c>
    </row>
    <row r="4588" spans="1:2" x14ac:dyDescent="0.25">
      <c r="A4588">
        <v>180632</v>
      </c>
      <c r="B4588" t="e">
        <f>- - sin rellenar</f>
        <v>#NAME?</v>
      </c>
    </row>
    <row r="4589" spans="1:2" x14ac:dyDescent="0.25">
      <c r="A4589">
        <v>18063210</v>
      </c>
      <c r="B4589" t="s">
        <v>1418</v>
      </c>
    </row>
    <row r="4590" spans="1:2" x14ac:dyDescent="0.25">
      <c r="A4590">
        <v>18063210100</v>
      </c>
      <c r="B4590" t="s">
        <v>1421</v>
      </c>
    </row>
    <row r="4591" spans="1:2" x14ac:dyDescent="0.25">
      <c r="A4591">
        <v>180632102</v>
      </c>
      <c r="B4591" t="s">
        <v>1422</v>
      </c>
    </row>
    <row r="4592" spans="1:2" x14ac:dyDescent="0.25">
      <c r="A4592">
        <v>18063210210</v>
      </c>
      <c r="B4592" t="s">
        <v>1423</v>
      </c>
    </row>
    <row r="4593" spans="1:2" x14ac:dyDescent="0.25">
      <c r="A4593">
        <v>18063210220</v>
      </c>
      <c r="B4593" t="s">
        <v>1392</v>
      </c>
    </row>
    <row r="4594" spans="1:2" x14ac:dyDescent="0.25">
      <c r="A4594">
        <v>18063210290</v>
      </c>
      <c r="B4594" t="s">
        <v>10</v>
      </c>
    </row>
    <row r="4595" spans="1:2" x14ac:dyDescent="0.25">
      <c r="A4595">
        <v>180632109</v>
      </c>
      <c r="B4595" t="s">
        <v>10</v>
      </c>
    </row>
    <row r="4596" spans="1:2" x14ac:dyDescent="0.25">
      <c r="A4596">
        <v>18063210910</v>
      </c>
      <c r="B4596" t="s">
        <v>1423</v>
      </c>
    </row>
    <row r="4597" spans="1:2" x14ac:dyDescent="0.25">
      <c r="A4597">
        <v>18063210920</v>
      </c>
      <c r="B4597" t="s">
        <v>1392</v>
      </c>
    </row>
    <row r="4598" spans="1:2" x14ac:dyDescent="0.25">
      <c r="A4598">
        <v>18063210990</v>
      </c>
      <c r="B4598" t="s">
        <v>10</v>
      </c>
    </row>
    <row r="4599" spans="1:2" x14ac:dyDescent="0.25">
      <c r="A4599">
        <v>18063220</v>
      </c>
      <c r="B4599" t="s">
        <v>1420</v>
      </c>
    </row>
    <row r="4600" spans="1:2" x14ac:dyDescent="0.25">
      <c r="A4600">
        <v>18063220100</v>
      </c>
      <c r="B4600" t="s">
        <v>1421</v>
      </c>
    </row>
    <row r="4601" spans="1:2" x14ac:dyDescent="0.25">
      <c r="A4601">
        <v>180632202</v>
      </c>
      <c r="B4601" t="s">
        <v>1422</v>
      </c>
    </row>
    <row r="4602" spans="1:2" x14ac:dyDescent="0.25">
      <c r="A4602">
        <v>18063220210</v>
      </c>
      <c r="B4602" t="s">
        <v>1423</v>
      </c>
    </row>
    <row r="4603" spans="1:2" x14ac:dyDescent="0.25">
      <c r="A4603">
        <v>18063220220</v>
      </c>
      <c r="B4603" t="s">
        <v>1392</v>
      </c>
    </row>
    <row r="4604" spans="1:2" x14ac:dyDescent="0.25">
      <c r="A4604">
        <v>18063220290</v>
      </c>
      <c r="B4604" t="s">
        <v>10</v>
      </c>
    </row>
    <row r="4605" spans="1:2" x14ac:dyDescent="0.25">
      <c r="A4605">
        <v>180632209</v>
      </c>
      <c r="B4605" t="s">
        <v>10</v>
      </c>
    </row>
    <row r="4606" spans="1:2" x14ac:dyDescent="0.25">
      <c r="A4606">
        <v>18063220910</v>
      </c>
      <c r="B4606" t="s">
        <v>1423</v>
      </c>
    </row>
    <row r="4607" spans="1:2" x14ac:dyDescent="0.25">
      <c r="A4607">
        <v>18063220920</v>
      </c>
      <c r="B4607" t="s">
        <v>1392</v>
      </c>
    </row>
    <row r="4608" spans="1:2" x14ac:dyDescent="0.25">
      <c r="A4608">
        <v>18063220990</v>
      </c>
      <c r="B4608" t="s">
        <v>10</v>
      </c>
    </row>
    <row r="4609" spans="1:2" x14ac:dyDescent="0.25">
      <c r="A4609">
        <v>18069000</v>
      </c>
      <c r="B4609" t="e">
        <f>- Los demas</f>
        <v>#NAME?</v>
      </c>
    </row>
    <row r="4610" spans="1:2" x14ac:dyDescent="0.25">
      <c r="A4610">
        <v>180690001</v>
      </c>
      <c r="B4610" t="s">
        <v>1424</v>
      </c>
    </row>
    <row r="4611" spans="1:2" x14ac:dyDescent="0.25">
      <c r="A4611">
        <v>18069000110</v>
      </c>
      <c r="B4611" t="s">
        <v>1425</v>
      </c>
    </row>
    <row r="4612" spans="1:2" x14ac:dyDescent="0.25">
      <c r="A4612">
        <v>18069000120</v>
      </c>
      <c r="B4612" t="s">
        <v>1426</v>
      </c>
    </row>
    <row r="4613" spans="1:2" x14ac:dyDescent="0.25">
      <c r="A4613">
        <v>18069000130</v>
      </c>
      <c r="B4613" t="s">
        <v>1427</v>
      </c>
    </row>
    <row r="4614" spans="1:2" x14ac:dyDescent="0.25">
      <c r="A4614">
        <v>18069000190</v>
      </c>
      <c r="B4614" t="s">
        <v>10</v>
      </c>
    </row>
    <row r="4615" spans="1:2" x14ac:dyDescent="0.25">
      <c r="A4615">
        <v>180690002</v>
      </c>
      <c r="B4615" t="s">
        <v>1403</v>
      </c>
    </row>
    <row r="4616" spans="1:2" x14ac:dyDescent="0.25">
      <c r="A4616">
        <v>18069000210</v>
      </c>
      <c r="B4616" t="s">
        <v>1390</v>
      </c>
    </row>
    <row r="4617" spans="1:2" x14ac:dyDescent="0.25">
      <c r="A4617">
        <v>18069000290</v>
      </c>
      <c r="B4617" t="s">
        <v>10</v>
      </c>
    </row>
    <row r="4618" spans="1:2" x14ac:dyDescent="0.25">
      <c r="A4618">
        <v>18069000300</v>
      </c>
      <c r="B4618" t="s">
        <v>1394</v>
      </c>
    </row>
    <row r="4619" spans="1:2" x14ac:dyDescent="0.25">
      <c r="A4619">
        <v>180690004</v>
      </c>
      <c r="B4619" t="s">
        <v>1404</v>
      </c>
    </row>
    <row r="4620" spans="1:2" x14ac:dyDescent="0.25">
      <c r="A4620">
        <v>18069000410</v>
      </c>
      <c r="B4620" t="s">
        <v>1428</v>
      </c>
    </row>
    <row r="4621" spans="1:2" x14ac:dyDescent="0.25">
      <c r="A4621">
        <v>18069000490</v>
      </c>
      <c r="B4621" t="s">
        <v>10</v>
      </c>
    </row>
    <row r="4622" spans="1:2" x14ac:dyDescent="0.25">
      <c r="A4622">
        <v>18069000500</v>
      </c>
      <c r="B4622" t="s">
        <v>1398</v>
      </c>
    </row>
    <row r="4623" spans="1:2" x14ac:dyDescent="0.25">
      <c r="A4623">
        <v>180690006</v>
      </c>
      <c r="B4623" t="s">
        <v>1429</v>
      </c>
    </row>
    <row r="4624" spans="1:2" x14ac:dyDescent="0.25">
      <c r="A4624">
        <v>1806900061</v>
      </c>
      <c r="B4624" t="s">
        <v>1430</v>
      </c>
    </row>
    <row r="4625" spans="1:2" x14ac:dyDescent="0.25">
      <c r="A4625">
        <v>18069000611</v>
      </c>
      <c r="B4625" t="s">
        <v>1431</v>
      </c>
    </row>
    <row r="4626" spans="1:2" x14ac:dyDescent="0.25">
      <c r="A4626">
        <v>18069000619</v>
      </c>
      <c r="B4626" t="s">
        <v>10</v>
      </c>
    </row>
    <row r="4627" spans="1:2" x14ac:dyDescent="0.25">
      <c r="A4627">
        <v>1806900069</v>
      </c>
      <c r="B4627" t="s">
        <v>57</v>
      </c>
    </row>
    <row r="4628" spans="1:2" x14ac:dyDescent="0.25">
      <c r="A4628">
        <v>18069000691</v>
      </c>
      <c r="B4628" t="s">
        <v>1432</v>
      </c>
    </row>
    <row r="4629" spans="1:2" x14ac:dyDescent="0.25">
      <c r="A4629">
        <v>18069000699</v>
      </c>
      <c r="B4629" t="s">
        <v>57</v>
      </c>
    </row>
    <row r="4630" spans="1:2" x14ac:dyDescent="0.25">
      <c r="A4630">
        <v>18069000700</v>
      </c>
      <c r="B4630" t="s">
        <v>1433</v>
      </c>
    </row>
    <row r="4631" spans="1:2" x14ac:dyDescent="0.25">
      <c r="A4631">
        <v>180690009</v>
      </c>
      <c r="B4631" t="s">
        <v>10</v>
      </c>
    </row>
    <row r="4632" spans="1:2" x14ac:dyDescent="0.25">
      <c r="A4632">
        <v>18069000910</v>
      </c>
      <c r="B4632" t="s">
        <v>1434</v>
      </c>
    </row>
    <row r="4633" spans="1:2" x14ac:dyDescent="0.25">
      <c r="A4633">
        <v>18069000920</v>
      </c>
      <c r="B4633" t="s">
        <v>1418</v>
      </c>
    </row>
    <row r="4634" spans="1:2" x14ac:dyDescent="0.25">
      <c r="A4634">
        <v>18069000990</v>
      </c>
      <c r="B4634" t="s">
        <v>10</v>
      </c>
    </row>
    <row r="4635" spans="1:2" x14ac:dyDescent="0.25">
      <c r="A4635">
        <v>1901</v>
      </c>
      <c r="B4635" t="s">
        <v>1435</v>
      </c>
    </row>
    <row r="4636" spans="1:2" x14ac:dyDescent="0.25">
      <c r="A4636">
        <v>190110</v>
      </c>
      <c r="B4636" t="e">
        <f>- Preparaciones para la alimentacion de lactantes o niños de corta edad. acondicionadas para la venta al por menor.</f>
        <v>#NAME?</v>
      </c>
    </row>
    <row r="4637" spans="1:2" x14ac:dyDescent="0.25">
      <c r="A4637">
        <v>19011010</v>
      </c>
      <c r="B4637" t="s">
        <v>1436</v>
      </c>
    </row>
    <row r="4638" spans="1:2" x14ac:dyDescent="0.25">
      <c r="A4638">
        <v>190110101</v>
      </c>
      <c r="B4638" t="s">
        <v>1437</v>
      </c>
    </row>
    <row r="4639" spans="1:2" x14ac:dyDescent="0.25">
      <c r="A4639">
        <v>19011010110</v>
      </c>
      <c r="B4639" t="s">
        <v>1438</v>
      </c>
    </row>
    <row r="4640" spans="1:2" x14ac:dyDescent="0.25">
      <c r="A4640">
        <v>19011010190</v>
      </c>
      <c r="B4640" t="s">
        <v>57</v>
      </c>
    </row>
    <row r="4641" spans="1:2" x14ac:dyDescent="0.25">
      <c r="A4641">
        <v>190110102</v>
      </c>
      <c r="B4641" t="s">
        <v>1439</v>
      </c>
    </row>
    <row r="4642" spans="1:2" x14ac:dyDescent="0.25">
      <c r="A4642">
        <v>1901101021</v>
      </c>
      <c r="B4642" t="s">
        <v>575</v>
      </c>
    </row>
    <row r="4643" spans="1:2" x14ac:dyDescent="0.25">
      <c r="A4643">
        <v>19011010211</v>
      </c>
      <c r="B4643" t="s">
        <v>1440</v>
      </c>
    </row>
    <row r="4644" spans="1:2" x14ac:dyDescent="0.25">
      <c r="A4644">
        <v>19011010219</v>
      </c>
      <c r="B4644" t="s">
        <v>10</v>
      </c>
    </row>
    <row r="4645" spans="1:2" x14ac:dyDescent="0.25">
      <c r="A4645">
        <v>1901101029</v>
      </c>
      <c r="B4645" t="s">
        <v>57</v>
      </c>
    </row>
    <row r="4646" spans="1:2" x14ac:dyDescent="0.25">
      <c r="A4646">
        <v>19011010291</v>
      </c>
      <c r="B4646" t="s">
        <v>1440</v>
      </c>
    </row>
    <row r="4647" spans="1:2" x14ac:dyDescent="0.25">
      <c r="A4647">
        <v>19011010299</v>
      </c>
      <c r="B4647" t="s">
        <v>10</v>
      </c>
    </row>
    <row r="4648" spans="1:2" x14ac:dyDescent="0.25">
      <c r="A4648">
        <v>190110109</v>
      </c>
      <c r="B4648" t="s">
        <v>57</v>
      </c>
    </row>
    <row r="4649" spans="1:2" x14ac:dyDescent="0.25">
      <c r="A4649">
        <v>19011010910</v>
      </c>
      <c r="B4649" t="s">
        <v>1438</v>
      </c>
    </row>
    <row r="4650" spans="1:2" x14ac:dyDescent="0.25">
      <c r="A4650">
        <v>19011010990</v>
      </c>
      <c r="B4650" t="s">
        <v>57</v>
      </c>
    </row>
    <row r="4651" spans="1:2" x14ac:dyDescent="0.25">
      <c r="A4651">
        <v>19011020</v>
      </c>
      <c r="B4651" t="s">
        <v>1441</v>
      </c>
    </row>
    <row r="4652" spans="1:2" x14ac:dyDescent="0.25">
      <c r="A4652">
        <v>19011020100</v>
      </c>
      <c r="B4652" t="s">
        <v>575</v>
      </c>
    </row>
    <row r="4653" spans="1:2" x14ac:dyDescent="0.25">
      <c r="A4653">
        <v>19011020900</v>
      </c>
      <c r="B4653" t="s">
        <v>57</v>
      </c>
    </row>
    <row r="4654" spans="1:2" x14ac:dyDescent="0.25">
      <c r="A4654">
        <v>19011030000</v>
      </c>
      <c r="B4654" t="s">
        <v>1442</v>
      </c>
    </row>
    <row r="4655" spans="1:2" x14ac:dyDescent="0.25">
      <c r="A4655">
        <v>19011090</v>
      </c>
      <c r="B4655" t="s">
        <v>57</v>
      </c>
    </row>
    <row r="4656" spans="1:2" x14ac:dyDescent="0.25">
      <c r="A4656">
        <v>19011090100</v>
      </c>
      <c r="B4656" t="s">
        <v>575</v>
      </c>
    </row>
    <row r="4657" spans="1:2" x14ac:dyDescent="0.25">
      <c r="A4657">
        <v>19011090900</v>
      </c>
      <c r="B4657" t="s">
        <v>57</v>
      </c>
    </row>
    <row r="4658" spans="1:2" x14ac:dyDescent="0.25">
      <c r="A4658">
        <v>19012000</v>
      </c>
      <c r="B4658" t="s">
        <v>1443</v>
      </c>
    </row>
    <row r="4659" spans="1:2" x14ac:dyDescent="0.25">
      <c r="A4659">
        <v>190120001</v>
      </c>
      <c r="B4659" t="s">
        <v>274</v>
      </c>
    </row>
    <row r="4660" spans="1:2" x14ac:dyDescent="0.25">
      <c r="A4660">
        <v>1901200011</v>
      </c>
      <c r="B4660" t="s">
        <v>1444</v>
      </c>
    </row>
    <row r="4661" spans="1:2" x14ac:dyDescent="0.25">
      <c r="A4661">
        <v>19012000111</v>
      </c>
      <c r="B4661" t="s">
        <v>1445</v>
      </c>
    </row>
    <row r="4662" spans="1:2" x14ac:dyDescent="0.25">
      <c r="A4662">
        <v>19012000112</v>
      </c>
      <c r="B4662" t="s">
        <v>1446</v>
      </c>
    </row>
    <row r="4663" spans="1:2" x14ac:dyDescent="0.25">
      <c r="A4663">
        <v>19012000119</v>
      </c>
      <c r="B4663" t="s">
        <v>57</v>
      </c>
    </row>
    <row r="4664" spans="1:2" x14ac:dyDescent="0.25">
      <c r="A4664">
        <v>19012000190</v>
      </c>
      <c r="B4664" t="s">
        <v>10</v>
      </c>
    </row>
    <row r="4665" spans="1:2" x14ac:dyDescent="0.25">
      <c r="A4665">
        <v>190120009</v>
      </c>
      <c r="B4665" t="s">
        <v>57</v>
      </c>
    </row>
    <row r="4666" spans="1:2" x14ac:dyDescent="0.25">
      <c r="A4666">
        <v>19012000910</v>
      </c>
      <c r="B4666" t="s">
        <v>1444</v>
      </c>
    </row>
    <row r="4667" spans="1:2" x14ac:dyDescent="0.25">
      <c r="A4667">
        <v>19012000990</v>
      </c>
      <c r="B4667" t="s">
        <v>57</v>
      </c>
    </row>
    <row r="4668" spans="1:2" x14ac:dyDescent="0.25">
      <c r="A4668">
        <v>190190</v>
      </c>
      <c r="B4668" t="e">
        <f>- Los demas</f>
        <v>#NAME?</v>
      </c>
    </row>
    <row r="4669" spans="1:2" x14ac:dyDescent="0.25">
      <c r="A4669">
        <v>19019010000</v>
      </c>
      <c r="B4669" t="s">
        <v>1447</v>
      </c>
    </row>
    <row r="4670" spans="1:2" x14ac:dyDescent="0.25">
      <c r="A4670">
        <v>19019020</v>
      </c>
      <c r="B4670" t="s">
        <v>1448</v>
      </c>
    </row>
    <row r="4671" spans="1:2" x14ac:dyDescent="0.25">
      <c r="A4671">
        <v>190190201</v>
      </c>
      <c r="B4671" t="s">
        <v>1449</v>
      </c>
    </row>
    <row r="4672" spans="1:2" x14ac:dyDescent="0.25">
      <c r="A4672">
        <v>1901902011</v>
      </c>
      <c r="B4672" t="s">
        <v>1450</v>
      </c>
    </row>
    <row r="4673" spans="1:2" x14ac:dyDescent="0.25">
      <c r="A4673">
        <v>19019020111</v>
      </c>
      <c r="B4673" t="s">
        <v>571</v>
      </c>
    </row>
    <row r="4674" spans="1:2" x14ac:dyDescent="0.25">
      <c r="A4674">
        <v>19019020119</v>
      </c>
      <c r="B4674" t="s">
        <v>10</v>
      </c>
    </row>
    <row r="4675" spans="1:2" x14ac:dyDescent="0.25">
      <c r="A4675">
        <v>1901902019</v>
      </c>
      <c r="B4675" t="s">
        <v>10</v>
      </c>
    </row>
    <row r="4676" spans="1:2" x14ac:dyDescent="0.25">
      <c r="A4676">
        <v>19019020191</v>
      </c>
      <c r="B4676" t="s">
        <v>571</v>
      </c>
    </row>
    <row r="4677" spans="1:2" x14ac:dyDescent="0.25">
      <c r="A4677">
        <v>19019020199</v>
      </c>
      <c r="B4677" t="s">
        <v>10</v>
      </c>
    </row>
    <row r="4678" spans="1:2" x14ac:dyDescent="0.25">
      <c r="A4678">
        <v>190190209</v>
      </c>
      <c r="B4678" t="s">
        <v>10</v>
      </c>
    </row>
    <row r="4679" spans="1:2" x14ac:dyDescent="0.25">
      <c r="A4679">
        <v>19019020910</v>
      </c>
      <c r="B4679" t="s">
        <v>571</v>
      </c>
    </row>
    <row r="4680" spans="1:2" x14ac:dyDescent="0.25">
      <c r="A4680">
        <v>19019020990</v>
      </c>
      <c r="B4680" t="s">
        <v>10</v>
      </c>
    </row>
    <row r="4681" spans="1:2" x14ac:dyDescent="0.25">
      <c r="A4681">
        <v>19019090</v>
      </c>
      <c r="B4681" t="s">
        <v>10</v>
      </c>
    </row>
    <row r="4682" spans="1:2" x14ac:dyDescent="0.25">
      <c r="A4682">
        <v>19019090100</v>
      </c>
      <c r="B4682" t="s">
        <v>1444</v>
      </c>
    </row>
    <row r="4683" spans="1:2" x14ac:dyDescent="0.25">
      <c r="A4683">
        <v>190190902</v>
      </c>
      <c r="B4683" t="s">
        <v>1451</v>
      </c>
    </row>
    <row r="4684" spans="1:2" x14ac:dyDescent="0.25">
      <c r="A4684">
        <v>19019090210</v>
      </c>
      <c r="B4684" t="s">
        <v>556</v>
      </c>
    </row>
    <row r="4685" spans="1:2" x14ac:dyDescent="0.25">
      <c r="A4685">
        <v>19019090290</v>
      </c>
      <c r="B4685" t="s">
        <v>57</v>
      </c>
    </row>
    <row r="4686" spans="1:2" x14ac:dyDescent="0.25">
      <c r="A4686">
        <v>190190903</v>
      </c>
      <c r="B4686" t="s">
        <v>1452</v>
      </c>
    </row>
    <row r="4687" spans="1:2" x14ac:dyDescent="0.25">
      <c r="A4687">
        <v>1901909031</v>
      </c>
      <c r="B4687" t="s">
        <v>1006</v>
      </c>
    </row>
    <row r="4688" spans="1:2" x14ac:dyDescent="0.25">
      <c r="A4688">
        <v>19019090311</v>
      </c>
      <c r="B4688" t="s">
        <v>556</v>
      </c>
    </row>
    <row r="4689" spans="1:2" x14ac:dyDescent="0.25">
      <c r="A4689">
        <v>19019090319</v>
      </c>
      <c r="B4689" t="s">
        <v>57</v>
      </c>
    </row>
    <row r="4690" spans="1:2" x14ac:dyDescent="0.25">
      <c r="A4690">
        <v>1901909039</v>
      </c>
      <c r="B4690" t="s">
        <v>10</v>
      </c>
    </row>
    <row r="4691" spans="1:2" x14ac:dyDescent="0.25">
      <c r="A4691">
        <v>19019090391</v>
      </c>
      <c r="B4691" t="s">
        <v>556</v>
      </c>
    </row>
    <row r="4692" spans="1:2" x14ac:dyDescent="0.25">
      <c r="A4692">
        <v>19019090399</v>
      </c>
      <c r="B4692" t="s">
        <v>57</v>
      </c>
    </row>
    <row r="4693" spans="1:2" x14ac:dyDescent="0.25">
      <c r="A4693">
        <v>19019090900</v>
      </c>
      <c r="B4693" t="s">
        <v>57</v>
      </c>
    </row>
    <row r="4694" spans="1:2" x14ac:dyDescent="0.25">
      <c r="A4694">
        <v>1902</v>
      </c>
      <c r="B4694" t="s">
        <v>1453</v>
      </c>
    </row>
    <row r="4695" spans="1:2" x14ac:dyDescent="0.25">
      <c r="A4695">
        <v>19021</v>
      </c>
      <c r="B4695" t="s">
        <v>1454</v>
      </c>
    </row>
    <row r="4696" spans="1:2" x14ac:dyDescent="0.25">
      <c r="A4696">
        <v>19021100</v>
      </c>
      <c r="B4696" t="e">
        <f>- - que contengan huevo</f>
        <v>#NAME?</v>
      </c>
    </row>
    <row r="4697" spans="1:2" x14ac:dyDescent="0.25">
      <c r="A4697">
        <v>19021100100</v>
      </c>
      <c r="B4697" t="s">
        <v>320</v>
      </c>
    </row>
    <row r="4698" spans="1:2" x14ac:dyDescent="0.25">
      <c r="A4698">
        <v>19021100900</v>
      </c>
      <c r="B4698" t="s">
        <v>57</v>
      </c>
    </row>
    <row r="4699" spans="1:2" x14ac:dyDescent="0.25">
      <c r="A4699">
        <v>19021900</v>
      </c>
      <c r="B4699" t="e">
        <f>- - las demas</f>
        <v>#NAME?</v>
      </c>
    </row>
    <row r="4700" spans="1:2" x14ac:dyDescent="0.25">
      <c r="A4700">
        <v>19021900100</v>
      </c>
      <c r="B4700" t="s">
        <v>320</v>
      </c>
    </row>
    <row r="4701" spans="1:2" x14ac:dyDescent="0.25">
      <c r="A4701">
        <v>19021900900</v>
      </c>
      <c r="B4701" t="s">
        <v>57</v>
      </c>
    </row>
    <row r="4702" spans="1:2" x14ac:dyDescent="0.25">
      <c r="A4702">
        <v>19022000</v>
      </c>
      <c r="B4702" t="e">
        <f>- Pastas alimenticias rellenas. incluso cocidas o preparadas de otra forma</f>
        <v>#NAME?</v>
      </c>
    </row>
    <row r="4703" spans="1:2" x14ac:dyDescent="0.25">
      <c r="A4703">
        <v>190220001</v>
      </c>
      <c r="B4703" t="s">
        <v>320</v>
      </c>
    </row>
    <row r="4704" spans="1:2" x14ac:dyDescent="0.25">
      <c r="A4704">
        <v>1902200011</v>
      </c>
      <c r="B4704" t="s">
        <v>512</v>
      </c>
    </row>
    <row r="4705" spans="1:2" x14ac:dyDescent="0.25">
      <c r="A4705">
        <v>19022000111</v>
      </c>
      <c r="B4705" t="s">
        <v>1455</v>
      </c>
    </row>
    <row r="4706" spans="1:2" x14ac:dyDescent="0.25">
      <c r="A4706">
        <v>19022000119</v>
      </c>
      <c r="B4706" t="s">
        <v>57</v>
      </c>
    </row>
    <row r="4707" spans="1:2" x14ac:dyDescent="0.25">
      <c r="A4707">
        <v>19022000190</v>
      </c>
      <c r="B4707" t="s">
        <v>57</v>
      </c>
    </row>
    <row r="4708" spans="1:2" x14ac:dyDescent="0.25">
      <c r="A4708">
        <v>19022000900</v>
      </c>
      <c r="B4708" t="s">
        <v>57</v>
      </c>
    </row>
    <row r="4709" spans="1:2" x14ac:dyDescent="0.25">
      <c r="A4709">
        <v>19023000</v>
      </c>
      <c r="B4709" t="e">
        <f>- las demas Pastas alimenticias</f>
        <v>#NAME?</v>
      </c>
    </row>
    <row r="4710" spans="1:2" x14ac:dyDescent="0.25">
      <c r="A4710">
        <v>190230001</v>
      </c>
      <c r="B4710" t="s">
        <v>320</v>
      </c>
    </row>
    <row r="4711" spans="1:2" x14ac:dyDescent="0.25">
      <c r="A4711">
        <v>19023000110</v>
      </c>
      <c r="B4711" t="s">
        <v>1456</v>
      </c>
    </row>
    <row r="4712" spans="1:2" x14ac:dyDescent="0.25">
      <c r="A4712">
        <v>19023000190</v>
      </c>
      <c r="B4712" t="s">
        <v>57</v>
      </c>
    </row>
    <row r="4713" spans="1:2" x14ac:dyDescent="0.25">
      <c r="A4713">
        <v>19023000900</v>
      </c>
      <c r="B4713" t="s">
        <v>57</v>
      </c>
    </row>
    <row r="4714" spans="1:2" x14ac:dyDescent="0.25">
      <c r="A4714">
        <v>19024000000</v>
      </c>
      <c r="B4714" t="e">
        <f>-Cuscus</f>
        <v>#NAME?</v>
      </c>
    </row>
    <row r="4715" spans="1:2" x14ac:dyDescent="0.25">
      <c r="A4715">
        <v>19030000000</v>
      </c>
      <c r="B4715" t="s">
        <v>1457</v>
      </c>
    </row>
    <row r="4716" spans="1:2" x14ac:dyDescent="0.25">
      <c r="A4716">
        <v>1904</v>
      </c>
      <c r="B4716" t="s">
        <v>1458</v>
      </c>
    </row>
    <row r="4717" spans="1:2" x14ac:dyDescent="0.25">
      <c r="A4717">
        <v>19041000</v>
      </c>
      <c r="B4717" t="e">
        <f>- Productos a base de cereales obtenidos por inflado o tostado</f>
        <v>#NAME?</v>
      </c>
    </row>
    <row r="4718" spans="1:2" x14ac:dyDescent="0.25">
      <c r="A4718">
        <v>190410001</v>
      </c>
      <c r="B4718" t="s">
        <v>320</v>
      </c>
    </row>
    <row r="4719" spans="1:2" x14ac:dyDescent="0.25">
      <c r="A4719">
        <v>19041000110</v>
      </c>
      <c r="B4719" t="s">
        <v>1236</v>
      </c>
    </row>
    <row r="4720" spans="1:2" x14ac:dyDescent="0.25">
      <c r="A4720">
        <v>1904100019</v>
      </c>
      <c r="B4720" t="s">
        <v>10</v>
      </c>
    </row>
    <row r="4721" spans="1:2" x14ac:dyDescent="0.25">
      <c r="A4721">
        <v>19041000191</v>
      </c>
      <c r="B4721" t="s">
        <v>1459</v>
      </c>
    </row>
    <row r="4722" spans="1:2" x14ac:dyDescent="0.25">
      <c r="A4722">
        <v>19041000192</v>
      </c>
      <c r="B4722" t="s">
        <v>1460</v>
      </c>
    </row>
    <row r="4723" spans="1:2" x14ac:dyDescent="0.25">
      <c r="A4723">
        <v>19041000193</v>
      </c>
      <c r="B4723" t="s">
        <v>1461</v>
      </c>
    </row>
    <row r="4724" spans="1:2" x14ac:dyDescent="0.25">
      <c r="A4724">
        <v>19041000199</v>
      </c>
      <c r="B4724" t="s">
        <v>10</v>
      </c>
    </row>
    <row r="4725" spans="1:2" x14ac:dyDescent="0.25">
      <c r="A4725">
        <v>190410009</v>
      </c>
      <c r="B4725" t="s">
        <v>10</v>
      </c>
    </row>
    <row r="4726" spans="1:2" x14ac:dyDescent="0.25">
      <c r="A4726">
        <v>19041000910</v>
      </c>
      <c r="B4726" t="s">
        <v>1461</v>
      </c>
    </row>
    <row r="4727" spans="1:2" x14ac:dyDescent="0.25">
      <c r="A4727">
        <v>19041000990</v>
      </c>
      <c r="B4727" t="s">
        <v>10</v>
      </c>
    </row>
    <row r="4728" spans="1:2" x14ac:dyDescent="0.25">
      <c r="A4728">
        <v>19042000</v>
      </c>
      <c r="B4728" t="e">
        <f>- Preparaciones alimenticias obtenidas Con copos de cereales sin tostar o Con Mezclas de copos de cereales sin tostar y copos de cereales tostados o cereales inflados</f>
        <v>#NAME?</v>
      </c>
    </row>
    <row r="4729" spans="1:2" x14ac:dyDescent="0.25">
      <c r="A4729">
        <v>190420001</v>
      </c>
      <c r="B4729" t="s">
        <v>320</v>
      </c>
    </row>
    <row r="4730" spans="1:2" x14ac:dyDescent="0.25">
      <c r="A4730">
        <v>19042000110</v>
      </c>
      <c r="B4730" t="s">
        <v>1462</v>
      </c>
    </row>
    <row r="4731" spans="1:2" x14ac:dyDescent="0.25">
      <c r="A4731">
        <v>19042000190</v>
      </c>
      <c r="B4731" t="s">
        <v>57</v>
      </c>
    </row>
    <row r="4732" spans="1:2" x14ac:dyDescent="0.25">
      <c r="A4732">
        <v>190420009</v>
      </c>
      <c r="B4732" t="s">
        <v>57</v>
      </c>
    </row>
    <row r="4733" spans="1:2" x14ac:dyDescent="0.25">
      <c r="A4733">
        <v>19042000910</v>
      </c>
      <c r="B4733" t="s">
        <v>1462</v>
      </c>
    </row>
    <row r="4734" spans="1:2" x14ac:dyDescent="0.25">
      <c r="A4734">
        <v>19042000990</v>
      </c>
      <c r="B4734" t="s">
        <v>57</v>
      </c>
    </row>
    <row r="4735" spans="1:2" x14ac:dyDescent="0.25">
      <c r="A4735">
        <v>19043000</v>
      </c>
      <c r="B4735" t="e">
        <f>- Trigo bulgur</f>
        <v>#NAME?</v>
      </c>
    </row>
    <row r="4736" spans="1:2" x14ac:dyDescent="0.25">
      <c r="A4736">
        <v>19043000100</v>
      </c>
      <c r="B4736" t="s">
        <v>320</v>
      </c>
    </row>
    <row r="4737" spans="1:2" x14ac:dyDescent="0.25">
      <c r="A4737">
        <v>19043000900</v>
      </c>
      <c r="B4737" t="s">
        <v>10</v>
      </c>
    </row>
    <row r="4738" spans="1:2" x14ac:dyDescent="0.25">
      <c r="A4738">
        <v>19049000</v>
      </c>
      <c r="B4738" t="e">
        <f>- Los demas</f>
        <v>#NAME?</v>
      </c>
    </row>
    <row r="4739" spans="1:2" x14ac:dyDescent="0.25">
      <c r="A4739">
        <v>190490001</v>
      </c>
      <c r="B4739" t="s">
        <v>320</v>
      </c>
    </row>
    <row r="4740" spans="1:2" x14ac:dyDescent="0.25">
      <c r="A4740">
        <v>19049000110</v>
      </c>
      <c r="B4740" t="s">
        <v>1463</v>
      </c>
    </row>
    <row r="4741" spans="1:2" x14ac:dyDescent="0.25">
      <c r="A4741">
        <v>19049000190</v>
      </c>
      <c r="B4741" t="s">
        <v>10</v>
      </c>
    </row>
    <row r="4742" spans="1:2" x14ac:dyDescent="0.25">
      <c r="A4742">
        <v>19049000900</v>
      </c>
      <c r="B4742" t="s">
        <v>10</v>
      </c>
    </row>
    <row r="4743" spans="1:2" x14ac:dyDescent="0.25">
      <c r="A4743">
        <v>1905</v>
      </c>
      <c r="B4743" t="s">
        <v>1464</v>
      </c>
    </row>
    <row r="4744" spans="1:2" x14ac:dyDescent="0.25">
      <c r="A4744">
        <v>19051000000</v>
      </c>
      <c r="B4744" t="s">
        <v>1465</v>
      </c>
    </row>
    <row r="4745" spans="1:2" x14ac:dyDescent="0.25">
      <c r="A4745">
        <v>190520</v>
      </c>
      <c r="B4745" t="e">
        <f>- Pan de especias</f>
        <v>#NAME?</v>
      </c>
    </row>
    <row r="4746" spans="1:2" x14ac:dyDescent="0.25">
      <c r="A4746">
        <v>19052010000</v>
      </c>
      <c r="B4746" t="s">
        <v>1466</v>
      </c>
    </row>
    <row r="4747" spans="1:2" x14ac:dyDescent="0.25">
      <c r="A4747">
        <v>19052090000</v>
      </c>
      <c r="B4747" t="s">
        <v>10</v>
      </c>
    </row>
    <row r="4748" spans="1:2" x14ac:dyDescent="0.25">
      <c r="A4748">
        <v>19053</v>
      </c>
      <c r="B4748" t="s">
        <v>1467</v>
      </c>
    </row>
    <row r="4749" spans="1:2" x14ac:dyDescent="0.25">
      <c r="A4749">
        <v>19053100</v>
      </c>
      <c r="B4749" t="e">
        <f>- - Galletas dulces (Con adicion de edulcorante)</f>
        <v>#NAME?</v>
      </c>
    </row>
    <row r="4750" spans="1:2" x14ac:dyDescent="0.25">
      <c r="A4750">
        <v>190531001</v>
      </c>
      <c r="B4750" t="s">
        <v>211</v>
      </c>
    </row>
    <row r="4751" spans="1:2" x14ac:dyDescent="0.25">
      <c r="A4751">
        <v>1905310011</v>
      </c>
      <c r="B4751" t="s">
        <v>1468</v>
      </c>
    </row>
    <row r="4752" spans="1:2" x14ac:dyDescent="0.25">
      <c r="A4752">
        <v>19053100111</v>
      </c>
      <c r="B4752" t="s">
        <v>1469</v>
      </c>
    </row>
    <row r="4753" spans="1:2" x14ac:dyDescent="0.25">
      <c r="A4753">
        <v>19053100112</v>
      </c>
      <c r="B4753" t="s">
        <v>1470</v>
      </c>
    </row>
    <row r="4754" spans="1:2" x14ac:dyDescent="0.25">
      <c r="A4754">
        <v>19053100113</v>
      </c>
      <c r="B4754" t="s">
        <v>1471</v>
      </c>
    </row>
    <row r="4755" spans="1:2" x14ac:dyDescent="0.25">
      <c r="A4755">
        <v>19053100119</v>
      </c>
      <c r="B4755" t="s">
        <v>57</v>
      </c>
    </row>
    <row r="4756" spans="1:2" x14ac:dyDescent="0.25">
      <c r="A4756">
        <v>1905310019</v>
      </c>
      <c r="B4756" t="s">
        <v>57</v>
      </c>
    </row>
    <row r="4757" spans="1:2" x14ac:dyDescent="0.25">
      <c r="A4757">
        <v>19053100191</v>
      </c>
      <c r="B4757" t="s">
        <v>1469</v>
      </c>
    </row>
    <row r="4758" spans="1:2" x14ac:dyDescent="0.25">
      <c r="A4758">
        <v>19053100192</v>
      </c>
      <c r="B4758" t="s">
        <v>1470</v>
      </c>
    </row>
    <row r="4759" spans="1:2" x14ac:dyDescent="0.25">
      <c r="A4759">
        <v>19053100193</v>
      </c>
      <c r="B4759" t="s">
        <v>1471</v>
      </c>
    </row>
    <row r="4760" spans="1:2" x14ac:dyDescent="0.25">
      <c r="A4760">
        <v>19053100199</v>
      </c>
      <c r="B4760" t="s">
        <v>57</v>
      </c>
    </row>
    <row r="4761" spans="1:2" x14ac:dyDescent="0.25">
      <c r="A4761">
        <v>190531009</v>
      </c>
      <c r="B4761" t="s">
        <v>57</v>
      </c>
    </row>
    <row r="4762" spans="1:2" x14ac:dyDescent="0.25">
      <c r="A4762">
        <v>19053100910</v>
      </c>
      <c r="B4762" t="s">
        <v>1472</v>
      </c>
    </row>
    <row r="4763" spans="1:2" x14ac:dyDescent="0.25">
      <c r="A4763">
        <v>19053100920</v>
      </c>
      <c r="B4763" t="s">
        <v>1471</v>
      </c>
    </row>
    <row r="4764" spans="1:2" x14ac:dyDescent="0.25">
      <c r="A4764">
        <v>19053100990</v>
      </c>
      <c r="B4764" t="s">
        <v>10</v>
      </c>
    </row>
    <row r="4765" spans="1:2" x14ac:dyDescent="0.25">
      <c r="A4765">
        <v>19053200</v>
      </c>
      <c r="B4765" t="s">
        <v>1473</v>
      </c>
    </row>
    <row r="4766" spans="1:2" x14ac:dyDescent="0.25">
      <c r="A4766">
        <v>190532001</v>
      </c>
      <c r="B4766" t="s">
        <v>211</v>
      </c>
    </row>
    <row r="4767" spans="1:2" x14ac:dyDescent="0.25">
      <c r="A4767">
        <v>1905320011</v>
      </c>
      <c r="B4767" t="s">
        <v>1474</v>
      </c>
    </row>
    <row r="4768" spans="1:2" x14ac:dyDescent="0.25">
      <c r="A4768">
        <v>19053200111</v>
      </c>
      <c r="B4768" t="s">
        <v>1391</v>
      </c>
    </row>
    <row r="4769" spans="1:2" x14ac:dyDescent="0.25">
      <c r="A4769">
        <v>19053200119</v>
      </c>
      <c r="B4769" t="s">
        <v>57</v>
      </c>
    </row>
    <row r="4770" spans="1:2" x14ac:dyDescent="0.25">
      <c r="A4770">
        <v>1905320012</v>
      </c>
      <c r="B4770" t="s">
        <v>1475</v>
      </c>
    </row>
    <row r="4771" spans="1:2" x14ac:dyDescent="0.25">
      <c r="A4771">
        <v>19053200121</v>
      </c>
      <c r="B4771" t="s">
        <v>1391</v>
      </c>
    </row>
    <row r="4772" spans="1:2" x14ac:dyDescent="0.25">
      <c r="A4772">
        <v>19053200129</v>
      </c>
      <c r="B4772" t="s">
        <v>57</v>
      </c>
    </row>
    <row r="4773" spans="1:2" x14ac:dyDescent="0.25">
      <c r="A4773">
        <v>19053200190</v>
      </c>
      <c r="B4773" t="s">
        <v>57</v>
      </c>
    </row>
    <row r="4774" spans="1:2" x14ac:dyDescent="0.25">
      <c r="A4774">
        <v>19053200900</v>
      </c>
      <c r="B4774" t="s">
        <v>57</v>
      </c>
    </row>
    <row r="4775" spans="1:2" x14ac:dyDescent="0.25">
      <c r="A4775">
        <v>19054000000</v>
      </c>
      <c r="B4775" t="e">
        <f>-Pan tostado y Productos similares tostados</f>
        <v>#NAME?</v>
      </c>
    </row>
    <row r="4776" spans="1:2" x14ac:dyDescent="0.25">
      <c r="A4776">
        <v>190590</v>
      </c>
      <c r="B4776" t="e">
        <f>- Los demas</f>
        <v>#NAME?</v>
      </c>
    </row>
    <row r="4777" spans="1:2" x14ac:dyDescent="0.25">
      <c r="A4777">
        <v>19059010000</v>
      </c>
      <c r="B4777" t="s">
        <v>1476</v>
      </c>
    </row>
    <row r="4778" spans="1:2" x14ac:dyDescent="0.25">
      <c r="A4778">
        <v>19059020</v>
      </c>
      <c r="B4778" t="s">
        <v>1477</v>
      </c>
    </row>
    <row r="4779" spans="1:2" x14ac:dyDescent="0.25">
      <c r="A4779">
        <v>190590201</v>
      </c>
      <c r="B4779" t="s">
        <v>1478</v>
      </c>
    </row>
    <row r="4780" spans="1:2" x14ac:dyDescent="0.25">
      <c r="A4780">
        <v>19059020110</v>
      </c>
      <c r="B4780" t="s">
        <v>1479</v>
      </c>
    </row>
    <row r="4781" spans="1:2" x14ac:dyDescent="0.25">
      <c r="A4781">
        <v>19059020120</v>
      </c>
      <c r="B4781" t="s">
        <v>1471</v>
      </c>
    </row>
    <row r="4782" spans="1:2" x14ac:dyDescent="0.25">
      <c r="A4782">
        <v>19059020190</v>
      </c>
      <c r="B4782" t="s">
        <v>10</v>
      </c>
    </row>
    <row r="4783" spans="1:2" x14ac:dyDescent="0.25">
      <c r="A4783">
        <v>190590209</v>
      </c>
      <c r="B4783" t="s">
        <v>57</v>
      </c>
    </row>
    <row r="4784" spans="1:2" x14ac:dyDescent="0.25">
      <c r="A4784">
        <v>19059020910</v>
      </c>
      <c r="B4784" t="s">
        <v>1479</v>
      </c>
    </row>
    <row r="4785" spans="1:2" x14ac:dyDescent="0.25">
      <c r="A4785">
        <v>19059020920</v>
      </c>
      <c r="B4785" t="s">
        <v>1471</v>
      </c>
    </row>
    <row r="4786" spans="1:2" x14ac:dyDescent="0.25">
      <c r="A4786">
        <v>19059020990</v>
      </c>
      <c r="B4786" t="s">
        <v>10</v>
      </c>
    </row>
    <row r="4787" spans="1:2" x14ac:dyDescent="0.25">
      <c r="A4787">
        <v>19059090</v>
      </c>
      <c r="B4787" t="s">
        <v>10</v>
      </c>
    </row>
    <row r="4788" spans="1:2" x14ac:dyDescent="0.25">
      <c r="A4788">
        <v>190590902</v>
      </c>
      <c r="B4788" t="s">
        <v>1480</v>
      </c>
    </row>
    <row r="4789" spans="1:2" x14ac:dyDescent="0.25">
      <c r="A4789">
        <v>19059090210</v>
      </c>
      <c r="B4789" t="s">
        <v>1481</v>
      </c>
    </row>
    <row r="4790" spans="1:2" x14ac:dyDescent="0.25">
      <c r="A4790">
        <v>19059090220</v>
      </c>
      <c r="B4790" t="s">
        <v>1482</v>
      </c>
    </row>
    <row r="4791" spans="1:2" x14ac:dyDescent="0.25">
      <c r="A4791">
        <v>1905909029</v>
      </c>
      <c r="B4791" t="s">
        <v>10</v>
      </c>
    </row>
    <row r="4792" spans="1:2" x14ac:dyDescent="0.25">
      <c r="A4792">
        <v>19059090291</v>
      </c>
      <c r="B4792" t="s">
        <v>1483</v>
      </c>
    </row>
    <row r="4793" spans="1:2" x14ac:dyDescent="0.25">
      <c r="A4793">
        <v>19059090292</v>
      </c>
      <c r="B4793" t="s">
        <v>1484</v>
      </c>
    </row>
    <row r="4794" spans="1:2" x14ac:dyDescent="0.25">
      <c r="A4794">
        <v>19059090299</v>
      </c>
      <c r="B4794" t="s">
        <v>10</v>
      </c>
    </row>
    <row r="4795" spans="1:2" x14ac:dyDescent="0.25">
      <c r="A4795">
        <v>190590903</v>
      </c>
      <c r="B4795" t="s">
        <v>1485</v>
      </c>
    </row>
    <row r="4796" spans="1:2" x14ac:dyDescent="0.25">
      <c r="A4796">
        <v>1905909031</v>
      </c>
      <c r="B4796" t="s">
        <v>1486</v>
      </c>
    </row>
    <row r="4797" spans="1:2" x14ac:dyDescent="0.25">
      <c r="A4797">
        <v>19059090311</v>
      </c>
      <c r="B4797" t="s">
        <v>1487</v>
      </c>
    </row>
    <row r="4798" spans="1:2" x14ac:dyDescent="0.25">
      <c r="A4798">
        <v>19059090319</v>
      </c>
      <c r="B4798" t="s">
        <v>10</v>
      </c>
    </row>
    <row r="4799" spans="1:2" x14ac:dyDescent="0.25">
      <c r="A4799">
        <v>1905909039</v>
      </c>
      <c r="B4799" t="s">
        <v>10</v>
      </c>
    </row>
    <row r="4800" spans="1:2" x14ac:dyDescent="0.25">
      <c r="A4800">
        <v>19059090391</v>
      </c>
      <c r="B4800" t="s">
        <v>1487</v>
      </c>
    </row>
    <row r="4801" spans="1:2" x14ac:dyDescent="0.25">
      <c r="A4801">
        <v>19059090399</v>
      </c>
      <c r="B4801" t="s">
        <v>10</v>
      </c>
    </row>
    <row r="4802" spans="1:2" x14ac:dyDescent="0.25">
      <c r="A4802">
        <v>190590904</v>
      </c>
      <c r="B4802" t="s">
        <v>1488</v>
      </c>
    </row>
    <row r="4803" spans="1:2" x14ac:dyDescent="0.25">
      <c r="A4803">
        <v>19059090410</v>
      </c>
      <c r="B4803" t="s">
        <v>1487</v>
      </c>
    </row>
    <row r="4804" spans="1:2" x14ac:dyDescent="0.25">
      <c r="A4804">
        <v>19059090490</v>
      </c>
      <c r="B4804" t="s">
        <v>10</v>
      </c>
    </row>
    <row r="4805" spans="1:2" x14ac:dyDescent="0.25">
      <c r="A4805">
        <v>190590905</v>
      </c>
      <c r="B4805" t="s">
        <v>1489</v>
      </c>
    </row>
    <row r="4806" spans="1:2" x14ac:dyDescent="0.25">
      <c r="A4806">
        <v>1905909051</v>
      </c>
      <c r="B4806" t="s">
        <v>1490</v>
      </c>
    </row>
    <row r="4807" spans="1:2" x14ac:dyDescent="0.25">
      <c r="A4807">
        <v>19059090511</v>
      </c>
      <c r="B4807" t="s">
        <v>1487</v>
      </c>
    </row>
    <row r="4808" spans="1:2" x14ac:dyDescent="0.25">
      <c r="A4808">
        <v>19059090519</v>
      </c>
      <c r="B4808" t="s">
        <v>10</v>
      </c>
    </row>
    <row r="4809" spans="1:2" x14ac:dyDescent="0.25">
      <c r="A4809">
        <v>1905909052</v>
      </c>
      <c r="B4809" t="s">
        <v>1491</v>
      </c>
    </row>
    <row r="4810" spans="1:2" x14ac:dyDescent="0.25">
      <c r="A4810">
        <v>19059090521</v>
      </c>
      <c r="B4810" t="s">
        <v>1492</v>
      </c>
    </row>
    <row r="4811" spans="1:2" x14ac:dyDescent="0.25">
      <c r="A4811">
        <v>19059090522</v>
      </c>
      <c r="B4811" t="s">
        <v>1493</v>
      </c>
    </row>
    <row r="4812" spans="1:2" x14ac:dyDescent="0.25">
      <c r="A4812">
        <v>19059090523</v>
      </c>
      <c r="B4812" t="s">
        <v>1471</v>
      </c>
    </row>
    <row r="4813" spans="1:2" x14ac:dyDescent="0.25">
      <c r="A4813">
        <v>19059090529</v>
      </c>
      <c r="B4813" t="s">
        <v>57</v>
      </c>
    </row>
    <row r="4814" spans="1:2" x14ac:dyDescent="0.25">
      <c r="A4814">
        <v>1905909059</v>
      </c>
      <c r="B4814" t="s">
        <v>10</v>
      </c>
    </row>
    <row r="4815" spans="1:2" x14ac:dyDescent="0.25">
      <c r="A4815">
        <v>19059090591</v>
      </c>
      <c r="B4815" t="s">
        <v>1487</v>
      </c>
    </row>
    <row r="4816" spans="1:2" x14ac:dyDescent="0.25">
      <c r="A4816">
        <v>19059090599</v>
      </c>
      <c r="B4816" t="s">
        <v>10</v>
      </c>
    </row>
    <row r="4817" spans="1:2" x14ac:dyDescent="0.25">
      <c r="A4817">
        <v>190590906</v>
      </c>
      <c r="B4817" t="s">
        <v>1494</v>
      </c>
    </row>
    <row r="4818" spans="1:2" x14ac:dyDescent="0.25">
      <c r="A4818">
        <v>1905909061</v>
      </c>
      <c r="B4818" t="s">
        <v>1495</v>
      </c>
    </row>
    <row r="4819" spans="1:2" x14ac:dyDescent="0.25">
      <c r="A4819">
        <v>19059090611</v>
      </c>
      <c r="B4819" t="s">
        <v>1487</v>
      </c>
    </row>
    <row r="4820" spans="1:2" x14ac:dyDescent="0.25">
      <c r="A4820">
        <v>19059090619</v>
      </c>
      <c r="B4820" t="s">
        <v>10</v>
      </c>
    </row>
    <row r="4821" spans="1:2" x14ac:dyDescent="0.25">
      <c r="A4821">
        <v>1905909069</v>
      </c>
      <c r="B4821" t="s">
        <v>10</v>
      </c>
    </row>
    <row r="4822" spans="1:2" x14ac:dyDescent="0.25">
      <c r="A4822">
        <v>19059090691</v>
      </c>
      <c r="B4822" t="s">
        <v>1487</v>
      </c>
    </row>
    <row r="4823" spans="1:2" x14ac:dyDescent="0.25">
      <c r="A4823">
        <v>19059090699</v>
      </c>
      <c r="B4823" t="s">
        <v>10</v>
      </c>
    </row>
    <row r="4824" spans="1:2" x14ac:dyDescent="0.25">
      <c r="A4824">
        <v>190590907</v>
      </c>
      <c r="B4824" t="s">
        <v>1496</v>
      </c>
    </row>
    <row r="4825" spans="1:2" x14ac:dyDescent="0.25">
      <c r="A4825">
        <v>19059090710</v>
      </c>
      <c r="B4825" t="s">
        <v>1462</v>
      </c>
    </row>
    <row r="4826" spans="1:2" x14ac:dyDescent="0.25">
      <c r="A4826">
        <v>19059090790</v>
      </c>
      <c r="B4826" t="s">
        <v>57</v>
      </c>
    </row>
    <row r="4827" spans="1:2" x14ac:dyDescent="0.25">
      <c r="A4827">
        <v>190590909</v>
      </c>
      <c r="B4827" t="s">
        <v>10</v>
      </c>
    </row>
    <row r="4828" spans="1:2" x14ac:dyDescent="0.25">
      <c r="A4828">
        <v>19059090910</v>
      </c>
      <c r="B4828" t="s">
        <v>1497</v>
      </c>
    </row>
    <row r="4829" spans="1:2" x14ac:dyDescent="0.25">
      <c r="A4829">
        <v>19059090920</v>
      </c>
      <c r="B4829" t="s">
        <v>1484</v>
      </c>
    </row>
    <row r="4830" spans="1:2" x14ac:dyDescent="0.25">
      <c r="A4830">
        <v>19059090990</v>
      </c>
      <c r="B4830" t="s">
        <v>10</v>
      </c>
    </row>
    <row r="4831" spans="1:2" x14ac:dyDescent="0.25">
      <c r="A4831">
        <v>2001</v>
      </c>
      <c r="B4831" t="s">
        <v>1498</v>
      </c>
    </row>
    <row r="4832" spans="1:2" x14ac:dyDescent="0.25">
      <c r="A4832">
        <v>20011000</v>
      </c>
      <c r="B4832" t="e">
        <f>- Pepinos y pepinillos</f>
        <v>#NAME?</v>
      </c>
    </row>
    <row r="4833" spans="1:2" x14ac:dyDescent="0.25">
      <c r="A4833">
        <v>20011000100</v>
      </c>
      <c r="B4833" t="s">
        <v>745</v>
      </c>
    </row>
    <row r="4834" spans="1:2" x14ac:dyDescent="0.25">
      <c r="A4834">
        <v>20011000900</v>
      </c>
      <c r="B4834" t="s">
        <v>10</v>
      </c>
    </row>
    <row r="4835" spans="1:2" x14ac:dyDescent="0.25">
      <c r="A4835">
        <v>20019000</v>
      </c>
      <c r="B4835" t="e">
        <f>- Los demas</f>
        <v>#NAME?</v>
      </c>
    </row>
    <row r="4836" spans="1:2" x14ac:dyDescent="0.25">
      <c r="A4836">
        <v>200190001</v>
      </c>
      <c r="B4836" t="s">
        <v>745</v>
      </c>
    </row>
    <row r="4837" spans="1:2" x14ac:dyDescent="0.25">
      <c r="A4837">
        <v>20019000110</v>
      </c>
      <c r="B4837" t="s">
        <v>1499</v>
      </c>
    </row>
    <row r="4838" spans="1:2" x14ac:dyDescent="0.25">
      <c r="A4838">
        <v>20019000120</v>
      </c>
      <c r="B4838" t="s">
        <v>1500</v>
      </c>
    </row>
    <row r="4839" spans="1:2" x14ac:dyDescent="0.25">
      <c r="A4839">
        <v>20019000130</v>
      </c>
      <c r="B4839" t="s">
        <v>1501</v>
      </c>
    </row>
    <row r="4840" spans="1:2" x14ac:dyDescent="0.25">
      <c r="A4840">
        <v>20019000180</v>
      </c>
      <c r="B4840" t="s">
        <v>1236</v>
      </c>
    </row>
    <row r="4841" spans="1:2" x14ac:dyDescent="0.25">
      <c r="A4841">
        <v>20019000190</v>
      </c>
      <c r="B4841" t="s">
        <v>10</v>
      </c>
    </row>
    <row r="4842" spans="1:2" x14ac:dyDescent="0.25">
      <c r="A4842">
        <v>200190009</v>
      </c>
      <c r="B4842" t="s">
        <v>10</v>
      </c>
    </row>
    <row r="4843" spans="1:2" x14ac:dyDescent="0.25">
      <c r="A4843">
        <v>20019000910</v>
      </c>
      <c r="B4843" t="s">
        <v>1499</v>
      </c>
    </row>
    <row r="4844" spans="1:2" x14ac:dyDescent="0.25">
      <c r="A4844">
        <v>20019000920</v>
      </c>
      <c r="B4844" t="s">
        <v>1500</v>
      </c>
    </row>
    <row r="4845" spans="1:2" x14ac:dyDescent="0.25">
      <c r="A4845">
        <v>20019000930</v>
      </c>
      <c r="B4845" t="s">
        <v>1501</v>
      </c>
    </row>
    <row r="4846" spans="1:2" x14ac:dyDescent="0.25">
      <c r="A4846">
        <v>20019000980</v>
      </c>
      <c r="B4846" t="s">
        <v>1236</v>
      </c>
    </row>
    <row r="4847" spans="1:2" x14ac:dyDescent="0.25">
      <c r="A4847">
        <v>20019000990</v>
      </c>
      <c r="B4847" t="s">
        <v>10</v>
      </c>
    </row>
    <row r="4848" spans="1:2" x14ac:dyDescent="0.25">
      <c r="A4848">
        <v>2002</v>
      </c>
      <c r="B4848" t="s">
        <v>1502</v>
      </c>
    </row>
    <row r="4849" spans="1:2" x14ac:dyDescent="0.25">
      <c r="A4849">
        <v>20021000</v>
      </c>
      <c r="B4849" t="e">
        <f>- Tomates enteros o En trozos</f>
        <v>#NAME?</v>
      </c>
    </row>
    <row r="4850" spans="1:2" x14ac:dyDescent="0.25">
      <c r="A4850">
        <v>20021000100</v>
      </c>
      <c r="B4850" t="s">
        <v>1503</v>
      </c>
    </row>
    <row r="4851" spans="1:2" x14ac:dyDescent="0.25">
      <c r="A4851">
        <v>20021000900</v>
      </c>
      <c r="B4851" t="s">
        <v>10</v>
      </c>
    </row>
    <row r="4852" spans="1:2" x14ac:dyDescent="0.25">
      <c r="A4852">
        <v>200290</v>
      </c>
      <c r="B4852" t="e">
        <f>- Los demas</f>
        <v>#NAME?</v>
      </c>
    </row>
    <row r="4853" spans="1:2" x14ac:dyDescent="0.25">
      <c r="A4853">
        <v>20029010</v>
      </c>
      <c r="B4853" t="s">
        <v>1504</v>
      </c>
    </row>
    <row r="4854" spans="1:2" x14ac:dyDescent="0.25">
      <c r="A4854">
        <v>20029010100</v>
      </c>
      <c r="B4854" t="s">
        <v>745</v>
      </c>
    </row>
    <row r="4855" spans="1:2" x14ac:dyDescent="0.25">
      <c r="A4855">
        <v>20029010900</v>
      </c>
      <c r="B4855" t="s">
        <v>10</v>
      </c>
    </row>
    <row r="4856" spans="1:2" x14ac:dyDescent="0.25">
      <c r="A4856">
        <v>20029090</v>
      </c>
      <c r="B4856" t="s">
        <v>10</v>
      </c>
    </row>
    <row r="4857" spans="1:2" x14ac:dyDescent="0.25">
      <c r="A4857">
        <v>200290901</v>
      </c>
      <c r="B4857" t="s">
        <v>745</v>
      </c>
    </row>
    <row r="4858" spans="1:2" x14ac:dyDescent="0.25">
      <c r="A4858">
        <v>20029090110</v>
      </c>
      <c r="B4858" t="s">
        <v>1505</v>
      </c>
    </row>
    <row r="4859" spans="1:2" x14ac:dyDescent="0.25">
      <c r="A4859">
        <v>20029090120</v>
      </c>
      <c r="B4859" t="s">
        <v>1506</v>
      </c>
    </row>
    <row r="4860" spans="1:2" x14ac:dyDescent="0.25">
      <c r="A4860">
        <v>2002909013</v>
      </c>
      <c r="B4860" t="s">
        <v>1507</v>
      </c>
    </row>
    <row r="4861" spans="1:2" x14ac:dyDescent="0.25">
      <c r="A4861">
        <v>20029090131</v>
      </c>
      <c r="B4861" t="s">
        <v>1508</v>
      </c>
    </row>
    <row r="4862" spans="1:2" x14ac:dyDescent="0.25">
      <c r="A4862">
        <v>20029090132</v>
      </c>
      <c r="B4862" t="s">
        <v>1509</v>
      </c>
    </row>
    <row r="4863" spans="1:2" x14ac:dyDescent="0.25">
      <c r="A4863">
        <v>20029090139</v>
      </c>
      <c r="B4863" t="s">
        <v>10</v>
      </c>
    </row>
    <row r="4864" spans="1:2" x14ac:dyDescent="0.25">
      <c r="A4864">
        <v>20029090190</v>
      </c>
      <c r="B4864" t="s">
        <v>10</v>
      </c>
    </row>
    <row r="4865" spans="1:2" x14ac:dyDescent="0.25">
      <c r="A4865">
        <v>200290902</v>
      </c>
      <c r="B4865" t="s">
        <v>1510</v>
      </c>
    </row>
    <row r="4866" spans="1:2" x14ac:dyDescent="0.25">
      <c r="A4866">
        <v>20029090210</v>
      </c>
      <c r="B4866" t="s">
        <v>1505</v>
      </c>
    </row>
    <row r="4867" spans="1:2" x14ac:dyDescent="0.25">
      <c r="A4867">
        <v>20029090220</v>
      </c>
      <c r="B4867" t="s">
        <v>1506</v>
      </c>
    </row>
    <row r="4868" spans="1:2" x14ac:dyDescent="0.25">
      <c r="A4868">
        <v>2002909023</v>
      </c>
      <c r="B4868" t="s">
        <v>1507</v>
      </c>
    </row>
    <row r="4869" spans="1:2" x14ac:dyDescent="0.25">
      <c r="A4869">
        <v>20029090231</v>
      </c>
      <c r="B4869" t="s">
        <v>1508</v>
      </c>
    </row>
    <row r="4870" spans="1:2" x14ac:dyDescent="0.25">
      <c r="A4870">
        <v>20029090232</v>
      </c>
      <c r="B4870" t="s">
        <v>1509</v>
      </c>
    </row>
    <row r="4871" spans="1:2" x14ac:dyDescent="0.25">
      <c r="A4871">
        <v>20029090239</v>
      </c>
      <c r="B4871" t="s">
        <v>10</v>
      </c>
    </row>
    <row r="4872" spans="1:2" x14ac:dyDescent="0.25">
      <c r="A4872">
        <v>20029090290</v>
      </c>
      <c r="B4872" t="s">
        <v>10</v>
      </c>
    </row>
    <row r="4873" spans="1:2" x14ac:dyDescent="0.25">
      <c r="A4873">
        <v>200290909</v>
      </c>
      <c r="B4873" t="s">
        <v>10</v>
      </c>
    </row>
    <row r="4874" spans="1:2" x14ac:dyDescent="0.25">
      <c r="A4874">
        <v>20029090910</v>
      </c>
      <c r="B4874" t="s">
        <v>1505</v>
      </c>
    </row>
    <row r="4875" spans="1:2" x14ac:dyDescent="0.25">
      <c r="A4875">
        <v>20029090920</v>
      </c>
      <c r="B4875" t="s">
        <v>1506</v>
      </c>
    </row>
    <row r="4876" spans="1:2" x14ac:dyDescent="0.25">
      <c r="A4876">
        <v>2002909093</v>
      </c>
      <c r="B4876" t="s">
        <v>1507</v>
      </c>
    </row>
    <row r="4877" spans="1:2" x14ac:dyDescent="0.25">
      <c r="A4877">
        <v>20029090931</v>
      </c>
      <c r="B4877" t="s">
        <v>1508</v>
      </c>
    </row>
    <row r="4878" spans="1:2" x14ac:dyDescent="0.25">
      <c r="A4878">
        <v>20029090932</v>
      </c>
      <c r="B4878" t="s">
        <v>1509</v>
      </c>
    </row>
    <row r="4879" spans="1:2" x14ac:dyDescent="0.25">
      <c r="A4879">
        <v>20029090939</v>
      </c>
      <c r="B4879" t="s">
        <v>10</v>
      </c>
    </row>
    <row r="4880" spans="1:2" x14ac:dyDescent="0.25">
      <c r="A4880">
        <v>20029090990</v>
      </c>
      <c r="B4880" t="s">
        <v>10</v>
      </c>
    </row>
    <row r="4881" spans="1:2" x14ac:dyDescent="0.25">
      <c r="A4881">
        <v>2003</v>
      </c>
      <c r="B4881" t="s">
        <v>1511</v>
      </c>
    </row>
    <row r="4882" spans="1:2" x14ac:dyDescent="0.25">
      <c r="A4882">
        <v>20031000</v>
      </c>
      <c r="B4882" t="e">
        <f>- Hongos del genero Agaricus</f>
        <v>#NAME?</v>
      </c>
    </row>
    <row r="4883" spans="1:2" x14ac:dyDescent="0.25">
      <c r="A4883">
        <v>200310001</v>
      </c>
      <c r="B4883" t="s">
        <v>1503</v>
      </c>
    </row>
    <row r="4884" spans="1:2" x14ac:dyDescent="0.25">
      <c r="A4884">
        <v>20031000110</v>
      </c>
      <c r="B4884" t="s">
        <v>340</v>
      </c>
    </row>
    <row r="4885" spans="1:2" x14ac:dyDescent="0.25">
      <c r="A4885">
        <v>20031000190</v>
      </c>
      <c r="B4885" t="s">
        <v>10</v>
      </c>
    </row>
    <row r="4886" spans="1:2" x14ac:dyDescent="0.25">
      <c r="A4886">
        <v>200310009</v>
      </c>
      <c r="B4886" t="s">
        <v>10</v>
      </c>
    </row>
    <row r="4887" spans="1:2" x14ac:dyDescent="0.25">
      <c r="A4887">
        <v>20031000910</v>
      </c>
      <c r="B4887" t="s">
        <v>340</v>
      </c>
    </row>
    <row r="4888" spans="1:2" x14ac:dyDescent="0.25">
      <c r="A4888">
        <v>20031000990</v>
      </c>
      <c r="B4888" t="s">
        <v>10</v>
      </c>
    </row>
    <row r="4889" spans="1:2" x14ac:dyDescent="0.25">
      <c r="A4889">
        <v>20039000</v>
      </c>
      <c r="B4889" t="e">
        <f>- Los demas</f>
        <v>#NAME?</v>
      </c>
    </row>
    <row r="4890" spans="1:2" x14ac:dyDescent="0.25">
      <c r="A4890">
        <v>200390001</v>
      </c>
      <c r="B4890" t="s">
        <v>1503</v>
      </c>
    </row>
    <row r="4891" spans="1:2" x14ac:dyDescent="0.25">
      <c r="A4891">
        <v>20039000110</v>
      </c>
      <c r="B4891" t="s">
        <v>340</v>
      </c>
    </row>
    <row r="4892" spans="1:2" x14ac:dyDescent="0.25">
      <c r="A4892">
        <v>20039000190</v>
      </c>
      <c r="B4892" t="s">
        <v>10</v>
      </c>
    </row>
    <row r="4893" spans="1:2" x14ac:dyDescent="0.25">
      <c r="A4893">
        <v>200390009</v>
      </c>
      <c r="B4893" t="s">
        <v>10</v>
      </c>
    </row>
    <row r="4894" spans="1:2" x14ac:dyDescent="0.25">
      <c r="A4894">
        <v>20039000910</v>
      </c>
      <c r="B4894" t="s">
        <v>340</v>
      </c>
    </row>
    <row r="4895" spans="1:2" x14ac:dyDescent="0.25">
      <c r="A4895">
        <v>20039000990</v>
      </c>
      <c r="B4895" t="s">
        <v>10</v>
      </c>
    </row>
    <row r="4896" spans="1:2" x14ac:dyDescent="0.25">
      <c r="A4896">
        <v>2004</v>
      </c>
      <c r="B4896" t="s">
        <v>1512</v>
      </c>
    </row>
    <row r="4897" spans="1:2" x14ac:dyDescent="0.25">
      <c r="A4897">
        <v>20041000</v>
      </c>
      <c r="B4897" t="s">
        <v>762</v>
      </c>
    </row>
    <row r="4898" spans="1:2" x14ac:dyDescent="0.25">
      <c r="A4898">
        <v>20041000100</v>
      </c>
      <c r="B4898" t="s">
        <v>745</v>
      </c>
    </row>
    <row r="4899" spans="1:2" x14ac:dyDescent="0.25">
      <c r="A4899">
        <v>20041000900</v>
      </c>
      <c r="B4899" t="s">
        <v>57</v>
      </c>
    </row>
    <row r="4900" spans="1:2" x14ac:dyDescent="0.25">
      <c r="A4900">
        <v>20049000</v>
      </c>
      <c r="B4900" t="e">
        <f>- las demas hortalizas y las Mezclas de hortalizas</f>
        <v>#NAME?</v>
      </c>
    </row>
    <row r="4901" spans="1:2" x14ac:dyDescent="0.25">
      <c r="A4901">
        <v>200490001</v>
      </c>
      <c r="B4901" t="s">
        <v>745</v>
      </c>
    </row>
    <row r="4902" spans="1:2" x14ac:dyDescent="0.25">
      <c r="A4902">
        <v>20049000110</v>
      </c>
      <c r="B4902" t="s">
        <v>1513</v>
      </c>
    </row>
    <row r="4903" spans="1:2" x14ac:dyDescent="0.25">
      <c r="A4903">
        <v>20049000120</v>
      </c>
      <c r="B4903" t="s">
        <v>1514</v>
      </c>
    </row>
    <row r="4904" spans="1:2" x14ac:dyDescent="0.25">
      <c r="A4904">
        <v>20049000130</v>
      </c>
      <c r="B4904" t="s">
        <v>1515</v>
      </c>
    </row>
    <row r="4905" spans="1:2" x14ac:dyDescent="0.25">
      <c r="A4905">
        <v>20049000180</v>
      </c>
      <c r="B4905" t="s">
        <v>1236</v>
      </c>
    </row>
    <row r="4906" spans="1:2" x14ac:dyDescent="0.25">
      <c r="A4906">
        <v>20049000190</v>
      </c>
      <c r="B4906" t="s">
        <v>10</v>
      </c>
    </row>
    <row r="4907" spans="1:2" x14ac:dyDescent="0.25">
      <c r="A4907">
        <v>200490009</v>
      </c>
      <c r="B4907" t="s">
        <v>10</v>
      </c>
    </row>
    <row r="4908" spans="1:2" x14ac:dyDescent="0.25">
      <c r="A4908">
        <v>20049000910</v>
      </c>
      <c r="B4908" t="s">
        <v>1513</v>
      </c>
    </row>
    <row r="4909" spans="1:2" x14ac:dyDescent="0.25">
      <c r="A4909">
        <v>20049000920</v>
      </c>
      <c r="B4909" t="s">
        <v>1514</v>
      </c>
    </row>
    <row r="4910" spans="1:2" x14ac:dyDescent="0.25">
      <c r="A4910">
        <v>20049000930</v>
      </c>
      <c r="B4910" t="s">
        <v>1515</v>
      </c>
    </row>
    <row r="4911" spans="1:2" x14ac:dyDescent="0.25">
      <c r="A4911">
        <v>20049000980</v>
      </c>
      <c r="B4911" t="s">
        <v>1236</v>
      </c>
    </row>
    <row r="4912" spans="1:2" x14ac:dyDescent="0.25">
      <c r="A4912">
        <v>20049000990</v>
      </c>
      <c r="B4912" t="s">
        <v>10</v>
      </c>
    </row>
    <row r="4913" spans="1:2" x14ac:dyDescent="0.25">
      <c r="A4913">
        <v>2005</v>
      </c>
      <c r="B4913" t="s">
        <v>1516</v>
      </c>
    </row>
    <row r="4914" spans="1:2" x14ac:dyDescent="0.25">
      <c r="A4914">
        <v>20051000000</v>
      </c>
      <c r="B4914" t="e">
        <f>-hortalizas homogeneizadas</f>
        <v>#NAME?</v>
      </c>
    </row>
    <row r="4915" spans="1:2" x14ac:dyDescent="0.25">
      <c r="A4915">
        <v>20052000</v>
      </c>
      <c r="B4915" t="s">
        <v>762</v>
      </c>
    </row>
    <row r="4916" spans="1:2" x14ac:dyDescent="0.25">
      <c r="A4916">
        <v>200520001</v>
      </c>
      <c r="B4916" t="s">
        <v>745</v>
      </c>
    </row>
    <row r="4917" spans="1:2" x14ac:dyDescent="0.25">
      <c r="A4917">
        <v>20052000110</v>
      </c>
      <c r="B4917" t="s">
        <v>1517</v>
      </c>
    </row>
    <row r="4918" spans="1:2" x14ac:dyDescent="0.25">
      <c r="A4918">
        <v>2005200012</v>
      </c>
      <c r="B4918" t="s">
        <v>1518</v>
      </c>
    </row>
    <row r="4919" spans="1:2" x14ac:dyDescent="0.25">
      <c r="A4919">
        <v>20052000121</v>
      </c>
      <c r="B4919" t="s">
        <v>1519</v>
      </c>
    </row>
    <row r="4920" spans="1:2" x14ac:dyDescent="0.25">
      <c r="A4920">
        <v>20052000129</v>
      </c>
      <c r="B4920" t="s">
        <v>57</v>
      </c>
    </row>
    <row r="4921" spans="1:2" x14ac:dyDescent="0.25">
      <c r="A4921">
        <v>20052000190</v>
      </c>
      <c r="B4921" t="s">
        <v>57</v>
      </c>
    </row>
    <row r="4922" spans="1:2" x14ac:dyDescent="0.25">
      <c r="A4922">
        <v>200520009</v>
      </c>
      <c r="B4922" t="s">
        <v>57</v>
      </c>
    </row>
    <row r="4923" spans="1:2" x14ac:dyDescent="0.25">
      <c r="A4923">
        <v>20052000910</v>
      </c>
      <c r="B4923" t="s">
        <v>1517</v>
      </c>
    </row>
    <row r="4924" spans="1:2" x14ac:dyDescent="0.25">
      <c r="A4924">
        <v>20052000990</v>
      </c>
      <c r="B4924" t="s">
        <v>57</v>
      </c>
    </row>
    <row r="4925" spans="1:2" x14ac:dyDescent="0.25">
      <c r="A4925">
        <v>20054000</v>
      </c>
      <c r="B4925" t="e">
        <f>- Arvejas (chicharos. guisantes)* (Pisum sativum)</f>
        <v>#NAME?</v>
      </c>
    </row>
    <row r="4926" spans="1:2" x14ac:dyDescent="0.25">
      <c r="A4926">
        <v>20054000100</v>
      </c>
      <c r="B4926" t="s">
        <v>745</v>
      </c>
    </row>
    <row r="4927" spans="1:2" x14ac:dyDescent="0.25">
      <c r="A4927">
        <v>20054000900</v>
      </c>
      <c r="B4927" t="s">
        <v>10</v>
      </c>
    </row>
    <row r="4928" spans="1:2" x14ac:dyDescent="0.25">
      <c r="A4928">
        <v>20055</v>
      </c>
      <c r="B4928" t="s">
        <v>796</v>
      </c>
    </row>
    <row r="4929" spans="1:2" x14ac:dyDescent="0.25">
      <c r="A4929">
        <v>20055100</v>
      </c>
      <c r="B4929" t="e">
        <f>- - Desvainados</f>
        <v>#NAME?</v>
      </c>
    </row>
    <row r="4930" spans="1:2" x14ac:dyDescent="0.25">
      <c r="A4930">
        <v>20055100100</v>
      </c>
      <c r="B4930" t="s">
        <v>745</v>
      </c>
    </row>
    <row r="4931" spans="1:2" x14ac:dyDescent="0.25">
      <c r="A4931">
        <v>20055100900</v>
      </c>
      <c r="B4931" t="s">
        <v>10</v>
      </c>
    </row>
    <row r="4932" spans="1:2" x14ac:dyDescent="0.25">
      <c r="A4932">
        <v>20055900</v>
      </c>
      <c r="B4932" t="e">
        <f>- - Los demas</f>
        <v>#NAME?</v>
      </c>
    </row>
    <row r="4933" spans="1:2" x14ac:dyDescent="0.25">
      <c r="A4933">
        <v>20055900100</v>
      </c>
      <c r="B4933" t="s">
        <v>745</v>
      </c>
    </row>
    <row r="4934" spans="1:2" x14ac:dyDescent="0.25">
      <c r="A4934">
        <v>20055900900</v>
      </c>
      <c r="B4934" t="s">
        <v>10</v>
      </c>
    </row>
    <row r="4935" spans="1:2" x14ac:dyDescent="0.25">
      <c r="A4935">
        <v>20056000</v>
      </c>
      <c r="B4935" t="e">
        <f>- Esparragos</f>
        <v>#NAME?</v>
      </c>
    </row>
    <row r="4936" spans="1:2" x14ac:dyDescent="0.25">
      <c r="A4936">
        <v>20056000100</v>
      </c>
      <c r="B4936" t="s">
        <v>745</v>
      </c>
    </row>
    <row r="4937" spans="1:2" x14ac:dyDescent="0.25">
      <c r="A4937">
        <v>20056000900</v>
      </c>
      <c r="B4937" t="s">
        <v>10</v>
      </c>
    </row>
    <row r="4938" spans="1:2" x14ac:dyDescent="0.25">
      <c r="A4938">
        <v>20057000</v>
      </c>
      <c r="B4938" t="e">
        <f>- Aceitunas</f>
        <v>#NAME?</v>
      </c>
    </row>
    <row r="4939" spans="1:2" x14ac:dyDescent="0.25">
      <c r="A4939">
        <v>200570001</v>
      </c>
      <c r="B4939" t="s">
        <v>1520</v>
      </c>
    </row>
    <row r="4940" spans="1:2" x14ac:dyDescent="0.25">
      <c r="A4940">
        <v>2005700011</v>
      </c>
      <c r="B4940" t="s">
        <v>903</v>
      </c>
    </row>
    <row r="4941" spans="1:2" x14ac:dyDescent="0.25">
      <c r="A4941">
        <v>20057000111</v>
      </c>
      <c r="B4941" t="s">
        <v>1521</v>
      </c>
    </row>
    <row r="4942" spans="1:2" x14ac:dyDescent="0.25">
      <c r="A4942">
        <v>20057000119</v>
      </c>
      <c r="B4942" t="s">
        <v>57</v>
      </c>
    </row>
    <row r="4943" spans="1:2" x14ac:dyDescent="0.25">
      <c r="A4943">
        <v>2005700012</v>
      </c>
      <c r="B4943" t="s">
        <v>907</v>
      </c>
    </row>
    <row r="4944" spans="1:2" x14ac:dyDescent="0.25">
      <c r="A4944">
        <v>20057000121</v>
      </c>
      <c r="B4944" t="s">
        <v>1522</v>
      </c>
    </row>
    <row r="4945" spans="1:2" x14ac:dyDescent="0.25">
      <c r="A4945">
        <v>20057000122</v>
      </c>
      <c r="B4945" t="s">
        <v>1523</v>
      </c>
    </row>
    <row r="4946" spans="1:2" x14ac:dyDescent="0.25">
      <c r="A4946">
        <v>20057000123</v>
      </c>
      <c r="B4946" t="s">
        <v>1524</v>
      </c>
    </row>
    <row r="4947" spans="1:2" x14ac:dyDescent="0.25">
      <c r="A4947">
        <v>20057000129</v>
      </c>
      <c r="B4947" t="s">
        <v>57</v>
      </c>
    </row>
    <row r="4948" spans="1:2" x14ac:dyDescent="0.25">
      <c r="A4948">
        <v>200570009</v>
      </c>
      <c r="B4948" t="s">
        <v>57</v>
      </c>
    </row>
    <row r="4949" spans="1:2" x14ac:dyDescent="0.25">
      <c r="A4949">
        <v>2005700091</v>
      </c>
      <c r="B4949" t="s">
        <v>903</v>
      </c>
    </row>
    <row r="4950" spans="1:2" x14ac:dyDescent="0.25">
      <c r="A4950">
        <v>20057000911</v>
      </c>
      <c r="B4950" t="s">
        <v>1521</v>
      </c>
    </row>
    <row r="4951" spans="1:2" x14ac:dyDescent="0.25">
      <c r="A4951">
        <v>20057000919</v>
      </c>
      <c r="B4951" t="s">
        <v>57</v>
      </c>
    </row>
    <row r="4952" spans="1:2" x14ac:dyDescent="0.25">
      <c r="A4952">
        <v>2005700092</v>
      </c>
      <c r="B4952" t="s">
        <v>907</v>
      </c>
    </row>
    <row r="4953" spans="1:2" x14ac:dyDescent="0.25">
      <c r="A4953">
        <v>20057000921</v>
      </c>
      <c r="B4953" t="s">
        <v>1522</v>
      </c>
    </row>
    <row r="4954" spans="1:2" x14ac:dyDescent="0.25">
      <c r="A4954">
        <v>20057000922</v>
      </c>
      <c r="B4954" t="s">
        <v>1523</v>
      </c>
    </row>
    <row r="4955" spans="1:2" x14ac:dyDescent="0.25">
      <c r="A4955">
        <v>20057000923</v>
      </c>
      <c r="B4955" t="s">
        <v>1524</v>
      </c>
    </row>
    <row r="4956" spans="1:2" x14ac:dyDescent="0.25">
      <c r="A4956">
        <v>20057000929</v>
      </c>
      <c r="B4956" t="s">
        <v>57</v>
      </c>
    </row>
    <row r="4957" spans="1:2" x14ac:dyDescent="0.25">
      <c r="A4957">
        <v>20058000</v>
      </c>
      <c r="B4957" t="e">
        <f>- Maiz dulce (Zea mays var. saccharata)</f>
        <v>#NAME?</v>
      </c>
    </row>
    <row r="4958" spans="1:2" x14ac:dyDescent="0.25">
      <c r="A4958">
        <v>20058000100</v>
      </c>
      <c r="B4958" t="s">
        <v>745</v>
      </c>
    </row>
    <row r="4959" spans="1:2" x14ac:dyDescent="0.25">
      <c r="A4959">
        <v>20058000900</v>
      </c>
      <c r="B4959" t="s">
        <v>10</v>
      </c>
    </row>
    <row r="4960" spans="1:2" x14ac:dyDescent="0.25">
      <c r="A4960">
        <v>20059</v>
      </c>
      <c r="B4960" t="s">
        <v>1525</v>
      </c>
    </row>
    <row r="4961" spans="1:2" x14ac:dyDescent="0.25">
      <c r="A4961">
        <v>20059100</v>
      </c>
      <c r="B4961" t="e">
        <f>- - Brotes de Bambu</f>
        <v>#NAME?</v>
      </c>
    </row>
    <row r="4962" spans="1:2" x14ac:dyDescent="0.25">
      <c r="A4962">
        <v>20059100100</v>
      </c>
      <c r="B4962" t="s">
        <v>745</v>
      </c>
    </row>
    <row r="4963" spans="1:2" x14ac:dyDescent="0.25">
      <c r="A4963">
        <v>20059100900</v>
      </c>
      <c r="B4963" t="s">
        <v>10</v>
      </c>
    </row>
    <row r="4964" spans="1:2" x14ac:dyDescent="0.25">
      <c r="A4964">
        <v>20059900</v>
      </c>
      <c r="B4964" t="e">
        <f>- - las demas</f>
        <v>#NAME?</v>
      </c>
    </row>
    <row r="4965" spans="1:2" x14ac:dyDescent="0.25">
      <c r="A4965">
        <v>200599001</v>
      </c>
      <c r="B4965" t="s">
        <v>745</v>
      </c>
    </row>
    <row r="4966" spans="1:2" x14ac:dyDescent="0.25">
      <c r="A4966">
        <v>20059900110</v>
      </c>
      <c r="B4966" t="s">
        <v>1501</v>
      </c>
    </row>
    <row r="4967" spans="1:2" x14ac:dyDescent="0.25">
      <c r="A4967">
        <v>20059900120</v>
      </c>
      <c r="B4967" t="s">
        <v>1526</v>
      </c>
    </row>
    <row r="4968" spans="1:2" x14ac:dyDescent="0.25">
      <c r="A4968">
        <v>20059900180</v>
      </c>
      <c r="B4968" t="s">
        <v>1236</v>
      </c>
    </row>
    <row r="4969" spans="1:2" x14ac:dyDescent="0.25">
      <c r="A4969">
        <v>20059900190</v>
      </c>
      <c r="B4969" t="s">
        <v>57</v>
      </c>
    </row>
    <row r="4970" spans="1:2" x14ac:dyDescent="0.25">
      <c r="A4970">
        <v>200599009</v>
      </c>
      <c r="B4970" t="s">
        <v>10</v>
      </c>
    </row>
    <row r="4971" spans="1:2" x14ac:dyDescent="0.25">
      <c r="A4971">
        <v>20059900910</v>
      </c>
      <c r="B4971" t="s">
        <v>1501</v>
      </c>
    </row>
    <row r="4972" spans="1:2" x14ac:dyDescent="0.25">
      <c r="A4972">
        <v>20059900920</v>
      </c>
      <c r="B4972" t="s">
        <v>1526</v>
      </c>
    </row>
    <row r="4973" spans="1:2" x14ac:dyDescent="0.25">
      <c r="A4973">
        <v>20059900980</v>
      </c>
      <c r="B4973" t="s">
        <v>1236</v>
      </c>
    </row>
    <row r="4974" spans="1:2" x14ac:dyDescent="0.25">
      <c r="A4974">
        <v>20059900990</v>
      </c>
      <c r="B4974" t="s">
        <v>57</v>
      </c>
    </row>
    <row r="4975" spans="1:2" x14ac:dyDescent="0.25">
      <c r="A4975">
        <v>20060000</v>
      </c>
      <c r="B4975" t="s">
        <v>1527</v>
      </c>
    </row>
    <row r="4976" spans="1:2" x14ac:dyDescent="0.25">
      <c r="A4976">
        <v>20060000100</v>
      </c>
      <c r="B4976" t="s">
        <v>1528</v>
      </c>
    </row>
    <row r="4977" spans="1:2" x14ac:dyDescent="0.25">
      <c r="A4977">
        <v>20060000900</v>
      </c>
      <c r="B4977" t="s">
        <v>10</v>
      </c>
    </row>
    <row r="4978" spans="1:2" x14ac:dyDescent="0.25">
      <c r="A4978">
        <v>2007</v>
      </c>
      <c r="B4978" t="s">
        <v>1529</v>
      </c>
    </row>
    <row r="4979" spans="1:2" x14ac:dyDescent="0.25">
      <c r="A4979">
        <v>20071000</v>
      </c>
      <c r="B4979" t="e">
        <f>- Preparaciones homogeneizadas</f>
        <v>#NAME?</v>
      </c>
    </row>
    <row r="4980" spans="1:2" x14ac:dyDescent="0.25">
      <c r="A4980">
        <v>20071000100</v>
      </c>
      <c r="B4980" t="s">
        <v>320</v>
      </c>
    </row>
    <row r="4981" spans="1:2" x14ac:dyDescent="0.25">
      <c r="A4981">
        <v>20071000900</v>
      </c>
      <c r="B4981" t="s">
        <v>57</v>
      </c>
    </row>
    <row r="4982" spans="1:2" x14ac:dyDescent="0.25">
      <c r="A4982">
        <v>20079</v>
      </c>
      <c r="B4982" t="s">
        <v>28</v>
      </c>
    </row>
    <row r="4983" spans="1:2" x14ac:dyDescent="0.25">
      <c r="A4983">
        <v>20079100</v>
      </c>
      <c r="B4983" t="e">
        <f>- - de agrios (citricos)</f>
        <v>#NAME?</v>
      </c>
    </row>
    <row r="4984" spans="1:2" x14ac:dyDescent="0.25">
      <c r="A4984">
        <v>20079100100</v>
      </c>
      <c r="B4984" t="s">
        <v>320</v>
      </c>
    </row>
    <row r="4985" spans="1:2" x14ac:dyDescent="0.25">
      <c r="A4985">
        <v>20079100900</v>
      </c>
      <c r="B4985" t="s">
        <v>10</v>
      </c>
    </row>
    <row r="4986" spans="1:2" x14ac:dyDescent="0.25">
      <c r="A4986">
        <v>200799</v>
      </c>
      <c r="B4986" t="e">
        <f>- - Los demas</f>
        <v>#NAME?</v>
      </c>
    </row>
    <row r="4987" spans="1:2" x14ac:dyDescent="0.25">
      <c r="A4987">
        <v>20079910</v>
      </c>
      <c r="B4987" t="s">
        <v>1530</v>
      </c>
    </row>
    <row r="4988" spans="1:2" x14ac:dyDescent="0.25">
      <c r="A4988">
        <v>200799101</v>
      </c>
      <c r="B4988" t="s">
        <v>320</v>
      </c>
    </row>
    <row r="4989" spans="1:2" x14ac:dyDescent="0.25">
      <c r="A4989">
        <v>2007991011</v>
      </c>
      <c r="B4989" t="s">
        <v>1531</v>
      </c>
    </row>
    <row r="4990" spans="1:2" x14ac:dyDescent="0.25">
      <c r="A4990">
        <v>20079910111</v>
      </c>
      <c r="B4990" t="s">
        <v>1532</v>
      </c>
    </row>
    <row r="4991" spans="1:2" x14ac:dyDescent="0.25">
      <c r="A4991">
        <v>20079910119</v>
      </c>
      <c r="B4991" t="s">
        <v>57</v>
      </c>
    </row>
    <row r="4992" spans="1:2" x14ac:dyDescent="0.25">
      <c r="A4992">
        <v>20079910120</v>
      </c>
      <c r="B4992" t="s">
        <v>1533</v>
      </c>
    </row>
    <row r="4993" spans="1:2" x14ac:dyDescent="0.25">
      <c r="A4993">
        <v>20079910900</v>
      </c>
      <c r="B4993" t="s">
        <v>57</v>
      </c>
    </row>
    <row r="4994" spans="1:2" x14ac:dyDescent="0.25">
      <c r="A4994">
        <v>2007992</v>
      </c>
      <c r="B4994" t="s">
        <v>1534</v>
      </c>
    </row>
    <row r="4995" spans="1:2" x14ac:dyDescent="0.25">
      <c r="A4995">
        <v>20079921000</v>
      </c>
      <c r="B4995" t="s">
        <v>1535</v>
      </c>
    </row>
    <row r="4996" spans="1:2" x14ac:dyDescent="0.25">
      <c r="A4996">
        <v>20079922000</v>
      </c>
      <c r="B4996" t="s">
        <v>1536</v>
      </c>
    </row>
    <row r="4997" spans="1:2" x14ac:dyDescent="0.25">
      <c r="A4997">
        <v>20079923000</v>
      </c>
      <c r="B4997" t="s">
        <v>1537</v>
      </c>
    </row>
    <row r="4998" spans="1:2" x14ac:dyDescent="0.25">
      <c r="A4998">
        <v>20079924000</v>
      </c>
      <c r="B4998" t="s">
        <v>1538</v>
      </c>
    </row>
    <row r="4999" spans="1:2" x14ac:dyDescent="0.25">
      <c r="A4999">
        <v>20079925000</v>
      </c>
      <c r="B4999" t="s">
        <v>1539</v>
      </c>
    </row>
    <row r="5000" spans="1:2" x14ac:dyDescent="0.25">
      <c r="A5000">
        <v>20079926000</v>
      </c>
      <c r="B5000" t="s">
        <v>1540</v>
      </c>
    </row>
    <row r="5001" spans="1:2" x14ac:dyDescent="0.25">
      <c r="A5001">
        <v>20079927000</v>
      </c>
      <c r="B5001" t="s">
        <v>1541</v>
      </c>
    </row>
    <row r="5002" spans="1:2" x14ac:dyDescent="0.25">
      <c r="A5002">
        <v>20079929</v>
      </c>
      <c r="B5002" t="s">
        <v>10</v>
      </c>
    </row>
    <row r="5003" spans="1:2" x14ac:dyDescent="0.25">
      <c r="A5003">
        <v>200799291</v>
      </c>
      <c r="B5003" t="s">
        <v>1338</v>
      </c>
    </row>
    <row r="5004" spans="1:2" x14ac:dyDescent="0.25">
      <c r="A5004">
        <v>20079929110</v>
      </c>
      <c r="B5004" t="s">
        <v>1542</v>
      </c>
    </row>
    <row r="5005" spans="1:2" x14ac:dyDescent="0.25">
      <c r="A5005">
        <v>20079929120</v>
      </c>
      <c r="B5005" t="s">
        <v>1543</v>
      </c>
    </row>
    <row r="5006" spans="1:2" x14ac:dyDescent="0.25">
      <c r="A5006">
        <v>20079929190</v>
      </c>
      <c r="B5006" t="s">
        <v>10</v>
      </c>
    </row>
    <row r="5007" spans="1:2" x14ac:dyDescent="0.25">
      <c r="A5007">
        <v>200799299</v>
      </c>
      <c r="B5007" t="s">
        <v>10</v>
      </c>
    </row>
    <row r="5008" spans="1:2" x14ac:dyDescent="0.25">
      <c r="A5008">
        <v>20079929910</v>
      </c>
      <c r="B5008" t="s">
        <v>1542</v>
      </c>
    </row>
    <row r="5009" spans="1:2" x14ac:dyDescent="0.25">
      <c r="A5009">
        <v>20079929920</v>
      </c>
      <c r="B5009" t="s">
        <v>1543</v>
      </c>
    </row>
    <row r="5010" spans="1:2" x14ac:dyDescent="0.25">
      <c r="A5010">
        <v>20079929990</v>
      </c>
      <c r="B5010" t="s">
        <v>10</v>
      </c>
    </row>
    <row r="5011" spans="1:2" x14ac:dyDescent="0.25">
      <c r="A5011">
        <v>20079990</v>
      </c>
      <c r="B5011" t="s">
        <v>10</v>
      </c>
    </row>
    <row r="5012" spans="1:2" x14ac:dyDescent="0.25">
      <c r="A5012">
        <v>20079990100</v>
      </c>
      <c r="B5012" t="s">
        <v>320</v>
      </c>
    </row>
    <row r="5013" spans="1:2" x14ac:dyDescent="0.25">
      <c r="A5013">
        <v>20079990900</v>
      </c>
      <c r="B5013" t="s">
        <v>10</v>
      </c>
    </row>
    <row r="5014" spans="1:2" x14ac:dyDescent="0.25">
      <c r="A5014">
        <v>2008</v>
      </c>
      <c r="B5014" t="s">
        <v>1544</v>
      </c>
    </row>
    <row r="5015" spans="1:2" x14ac:dyDescent="0.25">
      <c r="A5015">
        <v>20081</v>
      </c>
      <c r="B5015" t="s">
        <v>1545</v>
      </c>
    </row>
    <row r="5016" spans="1:2" x14ac:dyDescent="0.25">
      <c r="A5016">
        <v>20081100</v>
      </c>
      <c r="B5016" t="s">
        <v>1546</v>
      </c>
    </row>
    <row r="5017" spans="1:2" x14ac:dyDescent="0.25">
      <c r="A5017">
        <v>200811002</v>
      </c>
      <c r="B5017" t="s">
        <v>1547</v>
      </c>
    </row>
    <row r="5018" spans="1:2" x14ac:dyDescent="0.25">
      <c r="A5018">
        <v>20081100210</v>
      </c>
      <c r="B5018" t="s">
        <v>320</v>
      </c>
    </row>
    <row r="5019" spans="1:2" x14ac:dyDescent="0.25">
      <c r="A5019">
        <v>20081100290</v>
      </c>
      <c r="B5019" t="s">
        <v>57</v>
      </c>
    </row>
    <row r="5020" spans="1:2" x14ac:dyDescent="0.25">
      <c r="A5020">
        <v>200811003</v>
      </c>
      <c r="B5020" t="s">
        <v>1409</v>
      </c>
    </row>
    <row r="5021" spans="1:2" x14ac:dyDescent="0.25">
      <c r="A5021">
        <v>20081100310</v>
      </c>
      <c r="B5021" t="s">
        <v>1450</v>
      </c>
    </row>
    <row r="5022" spans="1:2" x14ac:dyDescent="0.25">
      <c r="A5022">
        <v>20081100390</v>
      </c>
      <c r="B5022" t="s">
        <v>10</v>
      </c>
    </row>
    <row r="5023" spans="1:2" x14ac:dyDescent="0.25">
      <c r="A5023">
        <v>200811009</v>
      </c>
      <c r="B5023" t="s">
        <v>10</v>
      </c>
    </row>
    <row r="5024" spans="1:2" x14ac:dyDescent="0.25">
      <c r="A5024">
        <v>20081100910</v>
      </c>
      <c r="B5024" t="s">
        <v>320</v>
      </c>
    </row>
    <row r="5025" spans="1:2" x14ac:dyDescent="0.25">
      <c r="A5025">
        <v>20081100990</v>
      </c>
      <c r="B5025" t="s">
        <v>10</v>
      </c>
    </row>
    <row r="5026" spans="1:2" x14ac:dyDescent="0.25">
      <c r="A5026">
        <v>20081900</v>
      </c>
      <c r="B5026" t="e">
        <f>- - Los demas. incluidas las Mezclas</f>
        <v>#NAME?</v>
      </c>
    </row>
    <row r="5027" spans="1:2" x14ac:dyDescent="0.25">
      <c r="A5027">
        <v>200819001</v>
      </c>
      <c r="B5027" t="s">
        <v>320</v>
      </c>
    </row>
    <row r="5028" spans="1:2" x14ac:dyDescent="0.25">
      <c r="A5028">
        <v>20081900110</v>
      </c>
      <c r="B5028" t="s">
        <v>1426</v>
      </c>
    </row>
    <row r="5029" spans="1:2" x14ac:dyDescent="0.25">
      <c r="A5029">
        <v>20081900120</v>
      </c>
      <c r="B5029" t="s">
        <v>1548</v>
      </c>
    </row>
    <row r="5030" spans="1:2" x14ac:dyDescent="0.25">
      <c r="A5030">
        <v>20081900130</v>
      </c>
      <c r="B5030" t="s">
        <v>1549</v>
      </c>
    </row>
    <row r="5031" spans="1:2" x14ac:dyDescent="0.25">
      <c r="A5031">
        <v>20081900140</v>
      </c>
      <c r="B5031" t="s">
        <v>1550</v>
      </c>
    </row>
    <row r="5032" spans="1:2" x14ac:dyDescent="0.25">
      <c r="A5032">
        <v>20081900190</v>
      </c>
      <c r="B5032" t="s">
        <v>10</v>
      </c>
    </row>
    <row r="5033" spans="1:2" x14ac:dyDescent="0.25">
      <c r="A5033">
        <v>200819009</v>
      </c>
      <c r="B5033" t="s">
        <v>10</v>
      </c>
    </row>
    <row r="5034" spans="1:2" x14ac:dyDescent="0.25">
      <c r="A5034">
        <v>20081900910</v>
      </c>
      <c r="B5034" t="s">
        <v>1426</v>
      </c>
    </row>
    <row r="5035" spans="1:2" x14ac:dyDescent="0.25">
      <c r="A5035">
        <v>20081900920</v>
      </c>
      <c r="B5035" t="s">
        <v>1548</v>
      </c>
    </row>
    <row r="5036" spans="1:2" x14ac:dyDescent="0.25">
      <c r="A5036">
        <v>20081900930</v>
      </c>
      <c r="B5036" t="s">
        <v>1549</v>
      </c>
    </row>
    <row r="5037" spans="1:2" x14ac:dyDescent="0.25">
      <c r="A5037">
        <v>20081900940</v>
      </c>
      <c r="B5037" t="s">
        <v>1550</v>
      </c>
    </row>
    <row r="5038" spans="1:2" x14ac:dyDescent="0.25">
      <c r="A5038">
        <v>20081900990</v>
      </c>
      <c r="B5038" t="s">
        <v>10</v>
      </c>
    </row>
    <row r="5039" spans="1:2" x14ac:dyDescent="0.25">
      <c r="A5039">
        <v>200820</v>
      </c>
      <c r="B5039" t="e">
        <f>- Piñas (ananas)</f>
        <v>#NAME?</v>
      </c>
    </row>
    <row r="5040" spans="1:2" x14ac:dyDescent="0.25">
      <c r="A5040">
        <v>20082010</v>
      </c>
      <c r="B5040" t="s">
        <v>1551</v>
      </c>
    </row>
    <row r="5041" spans="1:2" x14ac:dyDescent="0.25">
      <c r="A5041">
        <v>200820101</v>
      </c>
      <c r="B5041" t="s">
        <v>737</v>
      </c>
    </row>
    <row r="5042" spans="1:2" x14ac:dyDescent="0.25">
      <c r="A5042">
        <v>20082010110</v>
      </c>
      <c r="B5042" t="s">
        <v>1552</v>
      </c>
    </row>
    <row r="5043" spans="1:2" x14ac:dyDescent="0.25">
      <c r="A5043">
        <v>20082010190</v>
      </c>
      <c r="B5043" t="s">
        <v>57</v>
      </c>
    </row>
    <row r="5044" spans="1:2" x14ac:dyDescent="0.25">
      <c r="A5044">
        <v>200820109</v>
      </c>
      <c r="B5044" t="s">
        <v>57</v>
      </c>
    </row>
    <row r="5045" spans="1:2" x14ac:dyDescent="0.25">
      <c r="A5045">
        <v>20082010910</v>
      </c>
      <c r="B5045" t="s">
        <v>1552</v>
      </c>
    </row>
    <row r="5046" spans="1:2" x14ac:dyDescent="0.25">
      <c r="A5046">
        <v>20082010990</v>
      </c>
      <c r="B5046" t="s">
        <v>57</v>
      </c>
    </row>
    <row r="5047" spans="1:2" x14ac:dyDescent="0.25">
      <c r="A5047">
        <v>20082090</v>
      </c>
      <c r="B5047" t="s">
        <v>57</v>
      </c>
    </row>
    <row r="5048" spans="1:2" x14ac:dyDescent="0.25">
      <c r="A5048">
        <v>200820901</v>
      </c>
      <c r="B5048" t="s">
        <v>745</v>
      </c>
    </row>
    <row r="5049" spans="1:2" x14ac:dyDescent="0.25">
      <c r="A5049">
        <v>20082090110</v>
      </c>
      <c r="B5049" t="s">
        <v>1552</v>
      </c>
    </row>
    <row r="5050" spans="1:2" x14ac:dyDescent="0.25">
      <c r="A5050">
        <v>20082090190</v>
      </c>
      <c r="B5050" t="s">
        <v>10</v>
      </c>
    </row>
    <row r="5051" spans="1:2" x14ac:dyDescent="0.25">
      <c r="A5051">
        <v>200820909</v>
      </c>
      <c r="B5051" t="s">
        <v>10</v>
      </c>
    </row>
    <row r="5052" spans="1:2" x14ac:dyDescent="0.25">
      <c r="A5052">
        <v>20082090910</v>
      </c>
      <c r="B5052" t="s">
        <v>1552</v>
      </c>
    </row>
    <row r="5053" spans="1:2" x14ac:dyDescent="0.25">
      <c r="A5053">
        <v>20082090990</v>
      </c>
      <c r="B5053" t="s">
        <v>57</v>
      </c>
    </row>
    <row r="5054" spans="1:2" x14ac:dyDescent="0.25">
      <c r="A5054">
        <v>20083000</v>
      </c>
      <c r="B5054" t="e">
        <f>- agrios (citricos)</f>
        <v>#NAME?</v>
      </c>
    </row>
    <row r="5055" spans="1:2" x14ac:dyDescent="0.25">
      <c r="A5055">
        <v>20083000100</v>
      </c>
      <c r="B5055" t="s">
        <v>737</v>
      </c>
    </row>
    <row r="5056" spans="1:2" x14ac:dyDescent="0.25">
      <c r="A5056">
        <v>200830009</v>
      </c>
      <c r="B5056" t="s">
        <v>10</v>
      </c>
    </row>
    <row r="5057" spans="1:2" x14ac:dyDescent="0.25">
      <c r="A5057">
        <v>2008300091</v>
      </c>
      <c r="B5057" t="s">
        <v>1553</v>
      </c>
    </row>
    <row r="5058" spans="1:2" x14ac:dyDescent="0.25">
      <c r="A5058">
        <v>20083000911</v>
      </c>
      <c r="B5058" t="s">
        <v>1554</v>
      </c>
    </row>
    <row r="5059" spans="1:2" x14ac:dyDescent="0.25">
      <c r="A5059">
        <v>20083000919</v>
      </c>
      <c r="B5059" t="s">
        <v>10</v>
      </c>
    </row>
    <row r="5060" spans="1:2" x14ac:dyDescent="0.25">
      <c r="A5060">
        <v>20083000990</v>
      </c>
      <c r="B5060" t="s">
        <v>10</v>
      </c>
    </row>
    <row r="5061" spans="1:2" x14ac:dyDescent="0.25">
      <c r="A5061">
        <v>200840</v>
      </c>
      <c r="B5061" t="e">
        <f>- Peras</f>
        <v>#NAME?</v>
      </c>
    </row>
    <row r="5062" spans="1:2" x14ac:dyDescent="0.25">
      <c r="A5062">
        <v>20084010</v>
      </c>
      <c r="B5062" t="s">
        <v>1551</v>
      </c>
    </row>
    <row r="5063" spans="1:2" x14ac:dyDescent="0.25">
      <c r="A5063">
        <v>20084010100</v>
      </c>
      <c r="B5063" t="s">
        <v>737</v>
      </c>
    </row>
    <row r="5064" spans="1:2" x14ac:dyDescent="0.25">
      <c r="A5064">
        <v>20084010900</v>
      </c>
      <c r="B5064" t="s">
        <v>57</v>
      </c>
    </row>
    <row r="5065" spans="1:2" x14ac:dyDescent="0.25">
      <c r="A5065">
        <v>20084090</v>
      </c>
      <c r="B5065" t="s">
        <v>57</v>
      </c>
    </row>
    <row r="5066" spans="1:2" x14ac:dyDescent="0.25">
      <c r="A5066">
        <v>20084090100</v>
      </c>
      <c r="B5066" t="s">
        <v>745</v>
      </c>
    </row>
    <row r="5067" spans="1:2" x14ac:dyDescent="0.25">
      <c r="A5067">
        <v>20084090900</v>
      </c>
      <c r="B5067" t="s">
        <v>57</v>
      </c>
    </row>
    <row r="5068" spans="1:2" x14ac:dyDescent="0.25">
      <c r="A5068">
        <v>20085000</v>
      </c>
      <c r="B5068" t="s">
        <v>881</v>
      </c>
    </row>
    <row r="5069" spans="1:2" x14ac:dyDescent="0.25">
      <c r="A5069">
        <v>20085000100</v>
      </c>
      <c r="B5069" t="s">
        <v>737</v>
      </c>
    </row>
    <row r="5070" spans="1:2" x14ac:dyDescent="0.25">
      <c r="A5070">
        <v>20085000900</v>
      </c>
      <c r="B5070" t="s">
        <v>10</v>
      </c>
    </row>
    <row r="5071" spans="1:2" x14ac:dyDescent="0.25">
      <c r="A5071">
        <v>200860</v>
      </c>
      <c r="B5071" t="e">
        <f>- Cerezas</f>
        <v>#NAME?</v>
      </c>
    </row>
    <row r="5072" spans="1:2" x14ac:dyDescent="0.25">
      <c r="A5072">
        <v>20086010</v>
      </c>
      <c r="B5072" t="s">
        <v>1551</v>
      </c>
    </row>
    <row r="5073" spans="1:2" x14ac:dyDescent="0.25">
      <c r="A5073">
        <v>200860101</v>
      </c>
      <c r="B5073" t="s">
        <v>737</v>
      </c>
    </row>
    <row r="5074" spans="1:2" x14ac:dyDescent="0.25">
      <c r="A5074">
        <v>20086010110</v>
      </c>
      <c r="B5074" t="s">
        <v>1555</v>
      </c>
    </row>
    <row r="5075" spans="1:2" x14ac:dyDescent="0.25">
      <c r="A5075">
        <v>20086010190</v>
      </c>
      <c r="B5075" t="s">
        <v>57</v>
      </c>
    </row>
    <row r="5076" spans="1:2" x14ac:dyDescent="0.25">
      <c r="A5076">
        <v>200860109</v>
      </c>
      <c r="B5076" t="s">
        <v>57</v>
      </c>
    </row>
    <row r="5077" spans="1:2" x14ac:dyDescent="0.25">
      <c r="A5077">
        <v>20086010910</v>
      </c>
      <c r="B5077" t="s">
        <v>1555</v>
      </c>
    </row>
    <row r="5078" spans="1:2" x14ac:dyDescent="0.25">
      <c r="A5078">
        <v>20086010990</v>
      </c>
      <c r="B5078" t="s">
        <v>57</v>
      </c>
    </row>
    <row r="5079" spans="1:2" x14ac:dyDescent="0.25">
      <c r="A5079">
        <v>20086090</v>
      </c>
      <c r="B5079" t="s">
        <v>57</v>
      </c>
    </row>
    <row r="5080" spans="1:2" x14ac:dyDescent="0.25">
      <c r="A5080">
        <v>200860901</v>
      </c>
      <c r="B5080" t="s">
        <v>745</v>
      </c>
    </row>
    <row r="5081" spans="1:2" x14ac:dyDescent="0.25">
      <c r="A5081">
        <v>20086090110</v>
      </c>
      <c r="B5081" t="s">
        <v>1555</v>
      </c>
    </row>
    <row r="5082" spans="1:2" x14ac:dyDescent="0.25">
      <c r="A5082">
        <v>20086090190</v>
      </c>
      <c r="B5082" t="s">
        <v>57</v>
      </c>
    </row>
    <row r="5083" spans="1:2" x14ac:dyDescent="0.25">
      <c r="A5083">
        <v>200860909</v>
      </c>
      <c r="B5083" t="s">
        <v>57</v>
      </c>
    </row>
    <row r="5084" spans="1:2" x14ac:dyDescent="0.25">
      <c r="A5084">
        <v>20086090910</v>
      </c>
      <c r="B5084" t="s">
        <v>1555</v>
      </c>
    </row>
    <row r="5085" spans="1:2" x14ac:dyDescent="0.25">
      <c r="A5085">
        <v>20086090990</v>
      </c>
      <c r="B5085" t="s">
        <v>57</v>
      </c>
    </row>
    <row r="5086" spans="1:2" x14ac:dyDescent="0.25">
      <c r="A5086">
        <v>200870</v>
      </c>
      <c r="B5086" t="s">
        <v>883</v>
      </c>
    </row>
    <row r="5087" spans="1:2" x14ac:dyDescent="0.25">
      <c r="A5087">
        <v>20087010</v>
      </c>
      <c r="B5087" t="s">
        <v>1551</v>
      </c>
    </row>
    <row r="5088" spans="1:2" x14ac:dyDescent="0.25">
      <c r="A5088">
        <v>20087010100</v>
      </c>
      <c r="B5088" t="s">
        <v>737</v>
      </c>
    </row>
    <row r="5089" spans="1:2" x14ac:dyDescent="0.25">
      <c r="A5089">
        <v>20087010900</v>
      </c>
      <c r="B5089" t="s">
        <v>10</v>
      </c>
    </row>
    <row r="5090" spans="1:2" x14ac:dyDescent="0.25">
      <c r="A5090">
        <v>20087020</v>
      </c>
      <c r="B5090" t="s">
        <v>1556</v>
      </c>
    </row>
    <row r="5091" spans="1:2" x14ac:dyDescent="0.25">
      <c r="A5091">
        <v>20087020100</v>
      </c>
      <c r="B5091" t="s">
        <v>745</v>
      </c>
    </row>
    <row r="5092" spans="1:2" x14ac:dyDescent="0.25">
      <c r="A5092">
        <v>20087020900</v>
      </c>
      <c r="B5092" t="s">
        <v>10</v>
      </c>
    </row>
    <row r="5093" spans="1:2" x14ac:dyDescent="0.25">
      <c r="A5093">
        <v>20087090</v>
      </c>
      <c r="B5093" t="s">
        <v>10</v>
      </c>
    </row>
    <row r="5094" spans="1:2" x14ac:dyDescent="0.25">
      <c r="A5094">
        <v>20087090100</v>
      </c>
      <c r="B5094" t="s">
        <v>745</v>
      </c>
    </row>
    <row r="5095" spans="1:2" x14ac:dyDescent="0.25">
      <c r="A5095">
        <v>20087090900</v>
      </c>
      <c r="B5095" t="s">
        <v>10</v>
      </c>
    </row>
    <row r="5096" spans="1:2" x14ac:dyDescent="0.25">
      <c r="A5096">
        <v>20088000</v>
      </c>
      <c r="B5096" t="s">
        <v>887</v>
      </c>
    </row>
    <row r="5097" spans="1:2" x14ac:dyDescent="0.25">
      <c r="A5097">
        <v>20088000100</v>
      </c>
      <c r="B5097" t="s">
        <v>737</v>
      </c>
    </row>
    <row r="5098" spans="1:2" x14ac:dyDescent="0.25">
      <c r="A5098">
        <v>20088000900</v>
      </c>
      <c r="B5098" t="s">
        <v>57</v>
      </c>
    </row>
    <row r="5099" spans="1:2" x14ac:dyDescent="0.25">
      <c r="A5099">
        <v>20089</v>
      </c>
      <c r="B5099" t="s">
        <v>1557</v>
      </c>
    </row>
    <row r="5100" spans="1:2" x14ac:dyDescent="0.25">
      <c r="A5100">
        <v>20089100</v>
      </c>
      <c r="B5100" t="e">
        <f>- - Palmitos</f>
        <v>#NAME?</v>
      </c>
    </row>
    <row r="5101" spans="1:2" x14ac:dyDescent="0.25">
      <c r="A5101">
        <v>200891001</v>
      </c>
      <c r="B5101" t="s">
        <v>1503</v>
      </c>
    </row>
    <row r="5102" spans="1:2" x14ac:dyDescent="0.25">
      <c r="A5102">
        <v>20089100110</v>
      </c>
      <c r="B5102" t="s">
        <v>1558</v>
      </c>
    </row>
    <row r="5103" spans="1:2" x14ac:dyDescent="0.25">
      <c r="A5103">
        <v>20089100190</v>
      </c>
      <c r="B5103" t="s">
        <v>10</v>
      </c>
    </row>
    <row r="5104" spans="1:2" x14ac:dyDescent="0.25">
      <c r="A5104">
        <v>200891009</v>
      </c>
      <c r="B5104" t="s">
        <v>10</v>
      </c>
    </row>
    <row r="5105" spans="1:2" x14ac:dyDescent="0.25">
      <c r="A5105">
        <v>20089100910</v>
      </c>
      <c r="B5105" t="s">
        <v>1558</v>
      </c>
    </row>
    <row r="5106" spans="1:2" x14ac:dyDescent="0.25">
      <c r="A5106">
        <v>20089100990</v>
      </c>
      <c r="B5106" t="s">
        <v>10</v>
      </c>
    </row>
    <row r="5107" spans="1:2" x14ac:dyDescent="0.25">
      <c r="A5107">
        <v>20089300</v>
      </c>
      <c r="B5107" t="s">
        <v>1559</v>
      </c>
    </row>
    <row r="5108" spans="1:2" x14ac:dyDescent="0.25">
      <c r="A5108">
        <v>20089300100</v>
      </c>
      <c r="B5108" t="s">
        <v>1560</v>
      </c>
    </row>
    <row r="5109" spans="1:2" x14ac:dyDescent="0.25">
      <c r="A5109">
        <v>20089300900</v>
      </c>
      <c r="B5109" t="s">
        <v>10</v>
      </c>
    </row>
    <row r="5110" spans="1:2" x14ac:dyDescent="0.25">
      <c r="A5110">
        <v>200897</v>
      </c>
      <c r="B5110" t="e">
        <f>- - Mezclas</f>
        <v>#NAME?</v>
      </c>
    </row>
    <row r="5111" spans="1:2" x14ac:dyDescent="0.25">
      <c r="A5111">
        <v>20089710</v>
      </c>
      <c r="B5111" t="s">
        <v>1551</v>
      </c>
    </row>
    <row r="5112" spans="1:2" x14ac:dyDescent="0.25">
      <c r="A5112">
        <v>200897101</v>
      </c>
      <c r="B5112" t="s">
        <v>1561</v>
      </c>
    </row>
    <row r="5113" spans="1:2" x14ac:dyDescent="0.25">
      <c r="A5113">
        <v>20089710110</v>
      </c>
      <c r="B5113" t="s">
        <v>1562</v>
      </c>
    </row>
    <row r="5114" spans="1:2" x14ac:dyDescent="0.25">
      <c r="A5114">
        <v>20089710190</v>
      </c>
      <c r="B5114" t="s">
        <v>57</v>
      </c>
    </row>
    <row r="5115" spans="1:2" x14ac:dyDescent="0.25">
      <c r="A5115">
        <v>200897109</v>
      </c>
      <c r="B5115" t="s">
        <v>57</v>
      </c>
    </row>
    <row r="5116" spans="1:2" x14ac:dyDescent="0.25">
      <c r="A5116">
        <v>20089710910</v>
      </c>
      <c r="B5116" t="s">
        <v>1562</v>
      </c>
    </row>
    <row r="5117" spans="1:2" x14ac:dyDescent="0.25">
      <c r="A5117">
        <v>20089710990</v>
      </c>
      <c r="B5117" t="s">
        <v>57</v>
      </c>
    </row>
    <row r="5118" spans="1:2" x14ac:dyDescent="0.25">
      <c r="A5118">
        <v>20089790</v>
      </c>
      <c r="B5118" t="s">
        <v>57</v>
      </c>
    </row>
    <row r="5119" spans="1:2" x14ac:dyDescent="0.25">
      <c r="A5119">
        <v>20089790100</v>
      </c>
      <c r="B5119" t="s">
        <v>745</v>
      </c>
    </row>
    <row r="5120" spans="1:2" x14ac:dyDescent="0.25">
      <c r="A5120">
        <v>20089790900</v>
      </c>
      <c r="B5120" t="s">
        <v>57</v>
      </c>
    </row>
    <row r="5121" spans="1:2" x14ac:dyDescent="0.25">
      <c r="A5121">
        <v>20089900</v>
      </c>
      <c r="B5121" t="e">
        <f>- - Los demas</f>
        <v>#NAME?</v>
      </c>
    </row>
    <row r="5122" spans="1:2" x14ac:dyDescent="0.25">
      <c r="A5122">
        <v>200899001</v>
      </c>
      <c r="B5122" t="s">
        <v>1560</v>
      </c>
    </row>
    <row r="5123" spans="1:2" x14ac:dyDescent="0.25">
      <c r="A5123">
        <v>20089900110</v>
      </c>
      <c r="B5123" t="s">
        <v>1563</v>
      </c>
    </row>
    <row r="5124" spans="1:2" x14ac:dyDescent="0.25">
      <c r="A5124">
        <v>20089900190</v>
      </c>
      <c r="B5124" t="s">
        <v>57</v>
      </c>
    </row>
    <row r="5125" spans="1:2" x14ac:dyDescent="0.25">
      <c r="A5125">
        <v>200899009</v>
      </c>
      <c r="B5125" t="s">
        <v>57</v>
      </c>
    </row>
    <row r="5126" spans="1:2" x14ac:dyDescent="0.25">
      <c r="A5126">
        <v>20089900910</v>
      </c>
      <c r="B5126" t="s">
        <v>1563</v>
      </c>
    </row>
    <row r="5127" spans="1:2" x14ac:dyDescent="0.25">
      <c r="A5127">
        <v>20089900990</v>
      </c>
      <c r="B5127" t="s">
        <v>57</v>
      </c>
    </row>
    <row r="5128" spans="1:2" x14ac:dyDescent="0.25">
      <c r="A5128">
        <v>2009</v>
      </c>
      <c r="B5128" t="s">
        <v>1564</v>
      </c>
    </row>
    <row r="5129" spans="1:2" x14ac:dyDescent="0.25">
      <c r="A5129">
        <v>20091</v>
      </c>
      <c r="B5129" t="s">
        <v>1565</v>
      </c>
    </row>
    <row r="5130" spans="1:2" x14ac:dyDescent="0.25">
      <c r="A5130">
        <v>20091100</v>
      </c>
      <c r="B5130" t="e">
        <f>- - Congelado</f>
        <v>#NAME?</v>
      </c>
    </row>
    <row r="5131" spans="1:2" x14ac:dyDescent="0.25">
      <c r="A5131">
        <v>20091100100</v>
      </c>
      <c r="B5131" t="s">
        <v>1566</v>
      </c>
    </row>
    <row r="5132" spans="1:2" x14ac:dyDescent="0.25">
      <c r="A5132">
        <v>20091100900</v>
      </c>
      <c r="B5132" t="s">
        <v>10</v>
      </c>
    </row>
    <row r="5133" spans="1:2" x14ac:dyDescent="0.25">
      <c r="A5133">
        <v>20091200000</v>
      </c>
      <c r="B5133" t="s">
        <v>1567</v>
      </c>
    </row>
    <row r="5134" spans="1:2" x14ac:dyDescent="0.25">
      <c r="A5134">
        <v>20091900000</v>
      </c>
      <c r="B5134" t="e">
        <f>--Los demas</f>
        <v>#NAME?</v>
      </c>
    </row>
    <row r="5135" spans="1:2" x14ac:dyDescent="0.25">
      <c r="A5135">
        <v>20092</v>
      </c>
      <c r="B5135" t="s">
        <v>1568</v>
      </c>
    </row>
    <row r="5136" spans="1:2" x14ac:dyDescent="0.25">
      <c r="A5136">
        <v>20092100000</v>
      </c>
      <c r="B5136" t="s">
        <v>1569</v>
      </c>
    </row>
    <row r="5137" spans="1:2" x14ac:dyDescent="0.25">
      <c r="A5137">
        <v>20092900</v>
      </c>
      <c r="B5137" t="e">
        <f>- - Los demas</f>
        <v>#NAME?</v>
      </c>
    </row>
    <row r="5138" spans="1:2" x14ac:dyDescent="0.25">
      <c r="A5138">
        <v>20092900100</v>
      </c>
      <c r="B5138" t="s">
        <v>1570</v>
      </c>
    </row>
    <row r="5139" spans="1:2" x14ac:dyDescent="0.25">
      <c r="A5139">
        <v>20092900900</v>
      </c>
      <c r="B5139" t="s">
        <v>10</v>
      </c>
    </row>
    <row r="5140" spans="1:2" x14ac:dyDescent="0.25">
      <c r="A5140">
        <v>20093</v>
      </c>
      <c r="B5140" t="s">
        <v>1571</v>
      </c>
    </row>
    <row r="5141" spans="1:2" x14ac:dyDescent="0.25">
      <c r="A5141">
        <v>20093100000</v>
      </c>
      <c r="B5141" t="s">
        <v>1569</v>
      </c>
    </row>
    <row r="5142" spans="1:2" x14ac:dyDescent="0.25">
      <c r="A5142">
        <v>20093900</v>
      </c>
      <c r="B5142" t="e">
        <f>- - Los demas</f>
        <v>#NAME?</v>
      </c>
    </row>
    <row r="5143" spans="1:2" x14ac:dyDescent="0.25">
      <c r="A5143">
        <v>200939001</v>
      </c>
      <c r="B5143" t="s">
        <v>1572</v>
      </c>
    </row>
    <row r="5144" spans="1:2" x14ac:dyDescent="0.25">
      <c r="A5144">
        <v>20093900110</v>
      </c>
      <c r="B5144" t="s">
        <v>1573</v>
      </c>
    </row>
    <row r="5145" spans="1:2" x14ac:dyDescent="0.25">
      <c r="A5145">
        <v>20093900190</v>
      </c>
      <c r="B5145" t="s">
        <v>10</v>
      </c>
    </row>
    <row r="5146" spans="1:2" x14ac:dyDescent="0.25">
      <c r="A5146">
        <v>20093900900</v>
      </c>
      <c r="B5146" t="s">
        <v>10</v>
      </c>
    </row>
    <row r="5147" spans="1:2" x14ac:dyDescent="0.25">
      <c r="A5147">
        <v>20094</v>
      </c>
      <c r="B5147" t="s">
        <v>1574</v>
      </c>
    </row>
    <row r="5148" spans="1:2" x14ac:dyDescent="0.25">
      <c r="A5148">
        <v>20094100</v>
      </c>
      <c r="B5148" t="s">
        <v>1575</v>
      </c>
    </row>
    <row r="5149" spans="1:2" x14ac:dyDescent="0.25">
      <c r="A5149">
        <v>20094100100</v>
      </c>
      <c r="B5149" t="s">
        <v>570</v>
      </c>
    </row>
    <row r="5150" spans="1:2" x14ac:dyDescent="0.25">
      <c r="A5150">
        <v>20094100900</v>
      </c>
      <c r="B5150" t="s">
        <v>10</v>
      </c>
    </row>
    <row r="5151" spans="1:2" x14ac:dyDescent="0.25">
      <c r="A5151">
        <v>20094900</v>
      </c>
      <c r="B5151" t="e">
        <f>- - Los demas</f>
        <v>#NAME?</v>
      </c>
    </row>
    <row r="5152" spans="1:2" x14ac:dyDescent="0.25">
      <c r="A5152">
        <v>20094900100</v>
      </c>
      <c r="B5152" t="s">
        <v>570</v>
      </c>
    </row>
    <row r="5153" spans="1:2" x14ac:dyDescent="0.25">
      <c r="A5153">
        <v>20094900900</v>
      </c>
      <c r="B5153" t="s">
        <v>10</v>
      </c>
    </row>
    <row r="5154" spans="1:2" x14ac:dyDescent="0.25">
      <c r="A5154">
        <v>20095000</v>
      </c>
      <c r="B5154" t="e">
        <f>- Jugo de tomate</f>
        <v>#NAME?</v>
      </c>
    </row>
    <row r="5155" spans="1:2" x14ac:dyDescent="0.25">
      <c r="A5155">
        <v>20095000100</v>
      </c>
      <c r="B5155" t="s">
        <v>1576</v>
      </c>
    </row>
    <row r="5156" spans="1:2" x14ac:dyDescent="0.25">
      <c r="A5156">
        <v>20095000900</v>
      </c>
      <c r="B5156" t="s">
        <v>10</v>
      </c>
    </row>
    <row r="5157" spans="1:2" x14ac:dyDescent="0.25">
      <c r="A5157">
        <v>20096</v>
      </c>
      <c r="B5157" t="s">
        <v>1577</v>
      </c>
    </row>
    <row r="5158" spans="1:2" x14ac:dyDescent="0.25">
      <c r="A5158">
        <v>20096100</v>
      </c>
      <c r="B5158" t="s">
        <v>1578</v>
      </c>
    </row>
    <row r="5159" spans="1:2" x14ac:dyDescent="0.25">
      <c r="A5159">
        <v>20096100100</v>
      </c>
      <c r="B5159" t="s">
        <v>570</v>
      </c>
    </row>
    <row r="5160" spans="1:2" x14ac:dyDescent="0.25">
      <c r="A5160">
        <v>200961009</v>
      </c>
      <c r="B5160" t="s">
        <v>10</v>
      </c>
    </row>
    <row r="5161" spans="1:2" x14ac:dyDescent="0.25">
      <c r="A5161">
        <v>20096100910</v>
      </c>
      <c r="B5161" t="s">
        <v>1579</v>
      </c>
    </row>
    <row r="5162" spans="1:2" x14ac:dyDescent="0.25">
      <c r="A5162">
        <v>20096100990</v>
      </c>
      <c r="B5162" t="s">
        <v>10</v>
      </c>
    </row>
    <row r="5163" spans="1:2" x14ac:dyDescent="0.25">
      <c r="A5163">
        <v>20096900</v>
      </c>
      <c r="B5163" t="e">
        <f>- - Los demas</f>
        <v>#NAME?</v>
      </c>
    </row>
    <row r="5164" spans="1:2" x14ac:dyDescent="0.25">
      <c r="A5164">
        <v>20096900100</v>
      </c>
      <c r="B5164" t="s">
        <v>570</v>
      </c>
    </row>
    <row r="5165" spans="1:2" x14ac:dyDescent="0.25">
      <c r="A5165">
        <v>200969009</v>
      </c>
      <c r="B5165" t="s">
        <v>10</v>
      </c>
    </row>
    <row r="5166" spans="1:2" x14ac:dyDescent="0.25">
      <c r="A5166">
        <v>20096900910</v>
      </c>
      <c r="B5166" t="s">
        <v>1580</v>
      </c>
    </row>
    <row r="5167" spans="1:2" x14ac:dyDescent="0.25">
      <c r="A5167">
        <v>20096900990</v>
      </c>
      <c r="B5167" t="s">
        <v>10</v>
      </c>
    </row>
    <row r="5168" spans="1:2" x14ac:dyDescent="0.25">
      <c r="A5168">
        <v>20097</v>
      </c>
      <c r="B5168" t="s">
        <v>1581</v>
      </c>
    </row>
    <row r="5169" spans="1:2" x14ac:dyDescent="0.25">
      <c r="A5169">
        <v>20097100</v>
      </c>
      <c r="B5169" t="s">
        <v>1575</v>
      </c>
    </row>
    <row r="5170" spans="1:2" x14ac:dyDescent="0.25">
      <c r="A5170">
        <v>20097100100</v>
      </c>
      <c r="B5170" t="s">
        <v>570</v>
      </c>
    </row>
    <row r="5171" spans="1:2" x14ac:dyDescent="0.25">
      <c r="A5171">
        <v>20097100900</v>
      </c>
      <c r="B5171" t="s">
        <v>10</v>
      </c>
    </row>
    <row r="5172" spans="1:2" x14ac:dyDescent="0.25">
      <c r="A5172">
        <v>20097900</v>
      </c>
      <c r="B5172" t="e">
        <f>- - Los demas</f>
        <v>#NAME?</v>
      </c>
    </row>
    <row r="5173" spans="1:2" x14ac:dyDescent="0.25">
      <c r="A5173">
        <v>20097900100</v>
      </c>
      <c r="B5173" t="s">
        <v>570</v>
      </c>
    </row>
    <row r="5174" spans="1:2" x14ac:dyDescent="0.25">
      <c r="A5174">
        <v>20097900900</v>
      </c>
      <c r="B5174" t="s">
        <v>10</v>
      </c>
    </row>
    <row r="5175" spans="1:2" x14ac:dyDescent="0.25">
      <c r="A5175">
        <v>20098</v>
      </c>
      <c r="B5175" t="s">
        <v>1582</v>
      </c>
    </row>
    <row r="5176" spans="1:2" x14ac:dyDescent="0.25">
      <c r="A5176">
        <v>20098100</v>
      </c>
      <c r="B5176" t="s">
        <v>1583</v>
      </c>
    </row>
    <row r="5177" spans="1:2" x14ac:dyDescent="0.25">
      <c r="A5177">
        <v>20098100100</v>
      </c>
      <c r="B5177" t="s">
        <v>1584</v>
      </c>
    </row>
    <row r="5178" spans="1:2" x14ac:dyDescent="0.25">
      <c r="A5178">
        <v>20098100900</v>
      </c>
      <c r="B5178" t="s">
        <v>10</v>
      </c>
    </row>
    <row r="5179" spans="1:2" x14ac:dyDescent="0.25">
      <c r="A5179">
        <v>200989</v>
      </c>
      <c r="B5179" t="e">
        <f>- - Los demas</f>
        <v>#NAME?</v>
      </c>
    </row>
    <row r="5180" spans="1:2" x14ac:dyDescent="0.25">
      <c r="A5180">
        <v>2009891</v>
      </c>
      <c r="B5180" t="s">
        <v>1585</v>
      </c>
    </row>
    <row r="5181" spans="1:2" x14ac:dyDescent="0.25">
      <c r="A5181">
        <v>20098911</v>
      </c>
      <c r="B5181" t="s">
        <v>1586</v>
      </c>
    </row>
    <row r="5182" spans="1:2" x14ac:dyDescent="0.25">
      <c r="A5182">
        <v>20098911100</v>
      </c>
      <c r="B5182" t="s">
        <v>570</v>
      </c>
    </row>
    <row r="5183" spans="1:2" x14ac:dyDescent="0.25">
      <c r="A5183">
        <v>20098911900</v>
      </c>
      <c r="B5183" t="s">
        <v>10</v>
      </c>
    </row>
    <row r="5184" spans="1:2" x14ac:dyDescent="0.25">
      <c r="A5184">
        <v>20098912000</v>
      </c>
      <c r="B5184" t="s">
        <v>1536</v>
      </c>
    </row>
    <row r="5185" spans="1:2" x14ac:dyDescent="0.25">
      <c r="A5185">
        <v>20098913000</v>
      </c>
      <c r="B5185" t="s">
        <v>1587</v>
      </c>
    </row>
    <row r="5186" spans="1:2" x14ac:dyDescent="0.25">
      <c r="A5186">
        <v>20098919</v>
      </c>
      <c r="B5186" t="s">
        <v>10</v>
      </c>
    </row>
    <row r="5187" spans="1:2" x14ac:dyDescent="0.25">
      <c r="A5187">
        <v>20098919100</v>
      </c>
      <c r="B5187" t="s">
        <v>1588</v>
      </c>
    </row>
    <row r="5188" spans="1:2" x14ac:dyDescent="0.25">
      <c r="A5188">
        <v>20098919900</v>
      </c>
      <c r="B5188" t="s">
        <v>10</v>
      </c>
    </row>
    <row r="5189" spans="1:2" x14ac:dyDescent="0.25">
      <c r="A5189">
        <v>2009892</v>
      </c>
      <c r="B5189" t="s">
        <v>1589</v>
      </c>
    </row>
    <row r="5190" spans="1:2" x14ac:dyDescent="0.25">
      <c r="A5190">
        <v>20098921000</v>
      </c>
      <c r="B5190" t="s">
        <v>1590</v>
      </c>
    </row>
    <row r="5191" spans="1:2" x14ac:dyDescent="0.25">
      <c r="A5191">
        <v>20098922000</v>
      </c>
      <c r="B5191" t="s">
        <v>1591</v>
      </c>
    </row>
    <row r="5192" spans="1:2" x14ac:dyDescent="0.25">
      <c r="A5192">
        <v>20098990</v>
      </c>
      <c r="B5192" t="s">
        <v>10</v>
      </c>
    </row>
    <row r="5193" spans="1:2" x14ac:dyDescent="0.25">
      <c r="A5193">
        <v>200989901</v>
      </c>
      <c r="B5193" t="s">
        <v>1592</v>
      </c>
    </row>
    <row r="5194" spans="1:2" x14ac:dyDescent="0.25">
      <c r="A5194">
        <v>20098990110</v>
      </c>
      <c r="B5194" t="s">
        <v>1593</v>
      </c>
    </row>
    <row r="5195" spans="1:2" x14ac:dyDescent="0.25">
      <c r="A5195">
        <v>20098990190</v>
      </c>
      <c r="B5195" t="s">
        <v>10</v>
      </c>
    </row>
    <row r="5196" spans="1:2" x14ac:dyDescent="0.25">
      <c r="A5196">
        <v>200989909</v>
      </c>
      <c r="B5196" t="s">
        <v>10</v>
      </c>
    </row>
    <row r="5197" spans="1:2" x14ac:dyDescent="0.25">
      <c r="A5197">
        <v>20098990910</v>
      </c>
      <c r="B5197" t="s">
        <v>1593</v>
      </c>
    </row>
    <row r="5198" spans="1:2" x14ac:dyDescent="0.25">
      <c r="A5198">
        <v>20098990990</v>
      </c>
      <c r="B5198" t="s">
        <v>10</v>
      </c>
    </row>
    <row r="5199" spans="1:2" x14ac:dyDescent="0.25">
      <c r="A5199">
        <v>20099000</v>
      </c>
      <c r="B5199" t="e">
        <f>- Mezclas de Jugos</f>
        <v>#NAME?</v>
      </c>
    </row>
    <row r="5200" spans="1:2" x14ac:dyDescent="0.25">
      <c r="A5200">
        <v>20099000100</v>
      </c>
      <c r="B5200" t="s">
        <v>570</v>
      </c>
    </row>
    <row r="5201" spans="1:2" x14ac:dyDescent="0.25">
      <c r="A5201">
        <v>20099000900</v>
      </c>
      <c r="B5201" t="s">
        <v>10</v>
      </c>
    </row>
    <row r="5202" spans="1:2" x14ac:dyDescent="0.25">
      <c r="A5202">
        <v>2101</v>
      </c>
      <c r="B5202" t="s">
        <v>1594</v>
      </c>
    </row>
    <row r="5203" spans="1:2" x14ac:dyDescent="0.25">
      <c r="A5203">
        <v>21011</v>
      </c>
      <c r="B5203" t="s">
        <v>1595</v>
      </c>
    </row>
    <row r="5204" spans="1:2" x14ac:dyDescent="0.25">
      <c r="A5204">
        <v>210111</v>
      </c>
      <c r="B5204" t="e">
        <f>- - Extractos. esencias y concentrados</f>
        <v>#NAME?</v>
      </c>
    </row>
    <row r="5205" spans="1:2" x14ac:dyDescent="0.25">
      <c r="A5205">
        <v>21011110</v>
      </c>
      <c r="B5205" t="s">
        <v>1596</v>
      </c>
    </row>
    <row r="5206" spans="1:2" x14ac:dyDescent="0.25">
      <c r="A5206">
        <v>210111101</v>
      </c>
      <c r="B5206" t="s">
        <v>1597</v>
      </c>
    </row>
    <row r="5207" spans="1:2" x14ac:dyDescent="0.25">
      <c r="A5207">
        <v>21011110110</v>
      </c>
      <c r="B5207" t="s">
        <v>920</v>
      </c>
    </row>
    <row r="5208" spans="1:2" x14ac:dyDescent="0.25">
      <c r="A5208">
        <v>21011110190</v>
      </c>
      <c r="B5208" t="s">
        <v>10</v>
      </c>
    </row>
    <row r="5209" spans="1:2" x14ac:dyDescent="0.25">
      <c r="A5209">
        <v>210111109</v>
      </c>
      <c r="B5209" t="s">
        <v>10</v>
      </c>
    </row>
    <row r="5210" spans="1:2" x14ac:dyDescent="0.25">
      <c r="A5210">
        <v>21011110910</v>
      </c>
      <c r="B5210" t="s">
        <v>1598</v>
      </c>
    </row>
    <row r="5211" spans="1:2" x14ac:dyDescent="0.25">
      <c r="A5211">
        <v>21011110990</v>
      </c>
      <c r="B5211" t="s">
        <v>10</v>
      </c>
    </row>
    <row r="5212" spans="1:2" x14ac:dyDescent="0.25">
      <c r="A5212">
        <v>21011190</v>
      </c>
      <c r="B5212" t="s">
        <v>10</v>
      </c>
    </row>
    <row r="5213" spans="1:2" x14ac:dyDescent="0.25">
      <c r="A5213">
        <v>21011190100</v>
      </c>
      <c r="B5213" t="s">
        <v>920</v>
      </c>
    </row>
    <row r="5214" spans="1:2" x14ac:dyDescent="0.25">
      <c r="A5214">
        <v>21011190900</v>
      </c>
      <c r="B5214" t="s">
        <v>10</v>
      </c>
    </row>
    <row r="5215" spans="1:2" x14ac:dyDescent="0.25">
      <c r="A5215">
        <v>21011200</v>
      </c>
      <c r="B5215" t="e">
        <f>- - Preparaciones a base de Extractos. esencias o concentrados o a base de Cafe</f>
        <v>#NAME?</v>
      </c>
    </row>
    <row r="5216" spans="1:2" x14ac:dyDescent="0.25">
      <c r="A5216">
        <v>210112001</v>
      </c>
      <c r="B5216" t="s">
        <v>1599</v>
      </c>
    </row>
    <row r="5217" spans="1:2" x14ac:dyDescent="0.25">
      <c r="A5217">
        <v>2101120011</v>
      </c>
      <c r="B5217" t="s">
        <v>916</v>
      </c>
    </row>
    <row r="5218" spans="1:2" x14ac:dyDescent="0.25">
      <c r="A5218">
        <v>21011200111</v>
      </c>
      <c r="B5218" t="s">
        <v>920</v>
      </c>
    </row>
    <row r="5219" spans="1:2" x14ac:dyDescent="0.25">
      <c r="A5219">
        <v>21011200119</v>
      </c>
      <c r="B5219" t="s">
        <v>10</v>
      </c>
    </row>
    <row r="5220" spans="1:2" x14ac:dyDescent="0.25">
      <c r="A5220">
        <v>2101120012</v>
      </c>
      <c r="B5220" t="s">
        <v>1600</v>
      </c>
    </row>
    <row r="5221" spans="1:2" x14ac:dyDescent="0.25">
      <c r="A5221">
        <v>21011200121</v>
      </c>
      <c r="B5221" t="s">
        <v>920</v>
      </c>
    </row>
    <row r="5222" spans="1:2" x14ac:dyDescent="0.25">
      <c r="A5222">
        <v>21011200129</v>
      </c>
      <c r="B5222" t="s">
        <v>10</v>
      </c>
    </row>
    <row r="5223" spans="1:2" x14ac:dyDescent="0.25">
      <c r="A5223">
        <v>210112009</v>
      </c>
      <c r="B5223" t="s">
        <v>57</v>
      </c>
    </row>
    <row r="5224" spans="1:2" x14ac:dyDescent="0.25">
      <c r="A5224">
        <v>21011200910</v>
      </c>
      <c r="B5224" t="s">
        <v>1598</v>
      </c>
    </row>
    <row r="5225" spans="1:2" x14ac:dyDescent="0.25">
      <c r="A5225">
        <v>21011200920</v>
      </c>
      <c r="B5225" t="s">
        <v>1601</v>
      </c>
    </row>
    <row r="5226" spans="1:2" x14ac:dyDescent="0.25">
      <c r="A5226">
        <v>21011200990</v>
      </c>
      <c r="B5226" t="s">
        <v>57</v>
      </c>
    </row>
    <row r="5227" spans="1:2" x14ac:dyDescent="0.25">
      <c r="A5227">
        <v>210120</v>
      </c>
      <c r="B5227" t="e">
        <f>- Extractos. esencias y concentrados de Te o de yerba mate y Preparaciones a base de estos Extractos. esencias o concentrados o a base de Te o de yerba mate</f>
        <v>#NAME?</v>
      </c>
    </row>
    <row r="5228" spans="1:2" x14ac:dyDescent="0.25">
      <c r="A5228">
        <v>21012010</v>
      </c>
      <c r="B5228" t="s">
        <v>1602</v>
      </c>
    </row>
    <row r="5229" spans="1:2" x14ac:dyDescent="0.25">
      <c r="A5229">
        <v>210120101</v>
      </c>
      <c r="B5229" t="s">
        <v>1598</v>
      </c>
    </row>
    <row r="5230" spans="1:2" x14ac:dyDescent="0.25">
      <c r="A5230">
        <v>21012010110</v>
      </c>
      <c r="B5230" t="s">
        <v>1603</v>
      </c>
    </row>
    <row r="5231" spans="1:2" x14ac:dyDescent="0.25">
      <c r="A5231">
        <v>21012010190</v>
      </c>
      <c r="B5231" t="s">
        <v>10</v>
      </c>
    </row>
    <row r="5232" spans="1:2" x14ac:dyDescent="0.25">
      <c r="A5232">
        <v>210120109</v>
      </c>
      <c r="B5232" t="s">
        <v>823</v>
      </c>
    </row>
    <row r="5233" spans="1:2" x14ac:dyDescent="0.25">
      <c r="A5233">
        <v>21012010910</v>
      </c>
      <c r="B5233" t="s">
        <v>1603</v>
      </c>
    </row>
    <row r="5234" spans="1:2" x14ac:dyDescent="0.25">
      <c r="A5234">
        <v>21012010990</v>
      </c>
      <c r="B5234" t="s">
        <v>10</v>
      </c>
    </row>
    <row r="5235" spans="1:2" x14ac:dyDescent="0.25">
      <c r="A5235">
        <v>21012020</v>
      </c>
      <c r="B5235" t="s">
        <v>1604</v>
      </c>
    </row>
    <row r="5236" spans="1:2" x14ac:dyDescent="0.25">
      <c r="A5236">
        <v>21012020100</v>
      </c>
      <c r="B5236" t="s">
        <v>1598</v>
      </c>
    </row>
    <row r="5237" spans="1:2" x14ac:dyDescent="0.25">
      <c r="A5237">
        <v>21012020900</v>
      </c>
      <c r="B5237" t="s">
        <v>823</v>
      </c>
    </row>
    <row r="5238" spans="1:2" x14ac:dyDescent="0.25">
      <c r="A5238">
        <v>21013000</v>
      </c>
      <c r="B5238" t="e">
        <f>- achicoria Tostada y demas sucedaneos del Cafe tostados y sus Extractos. esencias y concentrados</f>
        <v>#NAME?</v>
      </c>
    </row>
    <row r="5239" spans="1:2" x14ac:dyDescent="0.25">
      <c r="A5239">
        <v>210130001</v>
      </c>
      <c r="B5239" t="s">
        <v>1605</v>
      </c>
    </row>
    <row r="5240" spans="1:2" x14ac:dyDescent="0.25">
      <c r="A5240">
        <v>21013000110</v>
      </c>
      <c r="B5240" t="s">
        <v>1598</v>
      </c>
    </row>
    <row r="5241" spans="1:2" x14ac:dyDescent="0.25">
      <c r="A5241">
        <v>21013000190</v>
      </c>
      <c r="B5241" t="s">
        <v>10</v>
      </c>
    </row>
    <row r="5242" spans="1:2" x14ac:dyDescent="0.25">
      <c r="A5242">
        <v>210130002</v>
      </c>
      <c r="B5242" t="s">
        <v>1606</v>
      </c>
    </row>
    <row r="5243" spans="1:2" x14ac:dyDescent="0.25">
      <c r="A5243">
        <v>2101300021</v>
      </c>
      <c r="B5243" t="s">
        <v>1598</v>
      </c>
    </row>
    <row r="5244" spans="1:2" x14ac:dyDescent="0.25">
      <c r="A5244">
        <v>21013000211</v>
      </c>
      <c r="B5244" t="s">
        <v>1607</v>
      </c>
    </row>
    <row r="5245" spans="1:2" x14ac:dyDescent="0.25">
      <c r="A5245">
        <v>21013000219</v>
      </c>
      <c r="B5245" t="s">
        <v>10</v>
      </c>
    </row>
    <row r="5246" spans="1:2" x14ac:dyDescent="0.25">
      <c r="A5246">
        <v>21013000290</v>
      </c>
      <c r="B5246" t="s">
        <v>10</v>
      </c>
    </row>
    <row r="5247" spans="1:2" x14ac:dyDescent="0.25">
      <c r="A5247">
        <v>2102</v>
      </c>
      <c r="B5247" t="s">
        <v>1608</v>
      </c>
    </row>
    <row r="5248" spans="1:2" x14ac:dyDescent="0.25">
      <c r="A5248">
        <v>210210</v>
      </c>
      <c r="B5248" t="e">
        <f>- Levaduras vivas</f>
        <v>#NAME?</v>
      </c>
    </row>
    <row r="5249" spans="1:2" x14ac:dyDescent="0.25">
      <c r="A5249">
        <v>21021010000</v>
      </c>
      <c r="B5249" t="s">
        <v>1609</v>
      </c>
    </row>
    <row r="5250" spans="1:2" x14ac:dyDescent="0.25">
      <c r="A5250">
        <v>21021090</v>
      </c>
      <c r="B5250" t="s">
        <v>57</v>
      </c>
    </row>
    <row r="5251" spans="1:2" x14ac:dyDescent="0.25">
      <c r="A5251">
        <v>21021090100</v>
      </c>
      <c r="B5251" t="s">
        <v>1610</v>
      </c>
    </row>
    <row r="5252" spans="1:2" x14ac:dyDescent="0.25">
      <c r="A5252">
        <v>210210902</v>
      </c>
      <c r="B5252" t="s">
        <v>1611</v>
      </c>
    </row>
    <row r="5253" spans="1:2" x14ac:dyDescent="0.25">
      <c r="A5253">
        <v>2102109021</v>
      </c>
      <c r="B5253" t="s">
        <v>829</v>
      </c>
    </row>
    <row r="5254" spans="1:2" x14ac:dyDescent="0.25">
      <c r="A5254">
        <v>21021090211</v>
      </c>
      <c r="B5254" t="s">
        <v>1612</v>
      </c>
    </row>
    <row r="5255" spans="1:2" x14ac:dyDescent="0.25">
      <c r="A5255">
        <v>21021090219</v>
      </c>
      <c r="B5255" t="s">
        <v>57</v>
      </c>
    </row>
    <row r="5256" spans="1:2" x14ac:dyDescent="0.25">
      <c r="A5256">
        <v>2102109029</v>
      </c>
      <c r="B5256" t="s">
        <v>57</v>
      </c>
    </row>
    <row r="5257" spans="1:2" x14ac:dyDescent="0.25">
      <c r="A5257">
        <v>21021090291</v>
      </c>
      <c r="B5257" t="s">
        <v>1612</v>
      </c>
    </row>
    <row r="5258" spans="1:2" x14ac:dyDescent="0.25">
      <c r="A5258">
        <v>21021090299</v>
      </c>
      <c r="B5258" t="s">
        <v>57</v>
      </c>
    </row>
    <row r="5259" spans="1:2" x14ac:dyDescent="0.25">
      <c r="A5259">
        <v>21021090900</v>
      </c>
      <c r="B5259" t="s">
        <v>57</v>
      </c>
    </row>
    <row r="5260" spans="1:2" x14ac:dyDescent="0.25">
      <c r="A5260">
        <v>21022000</v>
      </c>
      <c r="B5260" t="e">
        <f>- Levaduras muertas, Los demas microorganismos monocelulares muertos</f>
        <v>#NAME?</v>
      </c>
    </row>
    <row r="5261" spans="1:2" x14ac:dyDescent="0.25">
      <c r="A5261">
        <v>210220001</v>
      </c>
      <c r="B5261" t="s">
        <v>1613</v>
      </c>
    </row>
    <row r="5262" spans="1:2" x14ac:dyDescent="0.25">
      <c r="A5262">
        <v>21022000110</v>
      </c>
      <c r="B5262" t="s">
        <v>1598</v>
      </c>
    </row>
    <row r="5263" spans="1:2" x14ac:dyDescent="0.25">
      <c r="A5263">
        <v>21022000190</v>
      </c>
      <c r="B5263" t="s">
        <v>57</v>
      </c>
    </row>
    <row r="5264" spans="1:2" x14ac:dyDescent="0.25">
      <c r="A5264">
        <v>21022000900</v>
      </c>
      <c r="B5264" t="s">
        <v>10</v>
      </c>
    </row>
    <row r="5265" spans="1:2" x14ac:dyDescent="0.25">
      <c r="A5265">
        <v>21023000</v>
      </c>
      <c r="B5265" t="e">
        <f>- Polvos preparados para esponjar masas</f>
        <v>#NAME?</v>
      </c>
    </row>
    <row r="5266" spans="1:2" x14ac:dyDescent="0.25">
      <c r="A5266">
        <v>21023000100</v>
      </c>
      <c r="B5266" t="s">
        <v>1614</v>
      </c>
    </row>
    <row r="5267" spans="1:2" x14ac:dyDescent="0.25">
      <c r="A5267">
        <v>21023000900</v>
      </c>
      <c r="B5267" t="s">
        <v>10</v>
      </c>
    </row>
    <row r="5268" spans="1:2" x14ac:dyDescent="0.25">
      <c r="A5268">
        <v>2103</v>
      </c>
      <c r="B5268" t="s">
        <v>1615</v>
      </c>
    </row>
    <row r="5269" spans="1:2" x14ac:dyDescent="0.25">
      <c r="A5269">
        <v>210310</v>
      </c>
      <c r="B5269" t="e">
        <f>- Salsa de soja (soya)</f>
        <v>#NAME?</v>
      </c>
    </row>
    <row r="5270" spans="1:2" x14ac:dyDescent="0.25">
      <c r="A5270">
        <v>21031010000</v>
      </c>
      <c r="B5270" t="s">
        <v>1598</v>
      </c>
    </row>
    <row r="5271" spans="1:2" x14ac:dyDescent="0.25">
      <c r="A5271">
        <v>21031090000</v>
      </c>
      <c r="B5271" t="s">
        <v>57</v>
      </c>
    </row>
    <row r="5272" spans="1:2" x14ac:dyDescent="0.25">
      <c r="A5272">
        <v>210320</v>
      </c>
      <c r="B5272" t="e">
        <f>- Ketchup y demas salsas de tomate</f>
        <v>#NAME?</v>
      </c>
    </row>
    <row r="5273" spans="1:2" x14ac:dyDescent="0.25">
      <c r="A5273">
        <v>21032010</v>
      </c>
      <c r="B5273" t="s">
        <v>1598</v>
      </c>
    </row>
    <row r="5274" spans="1:2" x14ac:dyDescent="0.25">
      <c r="A5274">
        <v>210320101</v>
      </c>
      <c r="B5274" t="s">
        <v>1616</v>
      </c>
    </row>
    <row r="5275" spans="1:2" x14ac:dyDescent="0.25">
      <c r="A5275">
        <v>21032010110</v>
      </c>
      <c r="B5275" t="s">
        <v>1617</v>
      </c>
    </row>
    <row r="5276" spans="1:2" x14ac:dyDescent="0.25">
      <c r="A5276">
        <v>21032010120</v>
      </c>
      <c r="B5276" t="s">
        <v>1618</v>
      </c>
    </row>
    <row r="5277" spans="1:2" x14ac:dyDescent="0.25">
      <c r="A5277">
        <v>21032010190</v>
      </c>
      <c r="B5277" t="s">
        <v>57</v>
      </c>
    </row>
    <row r="5278" spans="1:2" x14ac:dyDescent="0.25">
      <c r="A5278">
        <v>210320102</v>
      </c>
      <c r="B5278" t="s">
        <v>1619</v>
      </c>
    </row>
    <row r="5279" spans="1:2" x14ac:dyDescent="0.25">
      <c r="A5279">
        <v>21032010210</v>
      </c>
      <c r="B5279" t="s">
        <v>1614</v>
      </c>
    </row>
    <row r="5280" spans="1:2" x14ac:dyDescent="0.25">
      <c r="A5280">
        <v>21032010290</v>
      </c>
      <c r="B5280" t="s">
        <v>57</v>
      </c>
    </row>
    <row r="5281" spans="1:2" x14ac:dyDescent="0.25">
      <c r="A5281">
        <v>210320109</v>
      </c>
      <c r="B5281" t="s">
        <v>57</v>
      </c>
    </row>
    <row r="5282" spans="1:2" x14ac:dyDescent="0.25">
      <c r="A5282">
        <v>21032010910</v>
      </c>
      <c r="B5282" t="s">
        <v>1614</v>
      </c>
    </row>
    <row r="5283" spans="1:2" x14ac:dyDescent="0.25">
      <c r="A5283">
        <v>21032010990</v>
      </c>
      <c r="B5283" t="s">
        <v>57</v>
      </c>
    </row>
    <row r="5284" spans="1:2" x14ac:dyDescent="0.25">
      <c r="A5284">
        <v>21032090000</v>
      </c>
      <c r="B5284" t="s">
        <v>10</v>
      </c>
    </row>
    <row r="5285" spans="1:2" x14ac:dyDescent="0.25">
      <c r="A5285">
        <v>210330</v>
      </c>
      <c r="B5285" t="e">
        <f>- harina de mostaza y mostaza preparada</f>
        <v>#NAME?</v>
      </c>
    </row>
    <row r="5286" spans="1:2" x14ac:dyDescent="0.25">
      <c r="A5286">
        <v>21033010000</v>
      </c>
      <c r="B5286" t="s">
        <v>1620</v>
      </c>
    </row>
    <row r="5287" spans="1:2" x14ac:dyDescent="0.25">
      <c r="A5287">
        <v>2103302</v>
      </c>
      <c r="B5287" t="s">
        <v>1621</v>
      </c>
    </row>
    <row r="5288" spans="1:2" x14ac:dyDescent="0.25">
      <c r="A5288">
        <v>21033021</v>
      </c>
      <c r="B5288" t="s">
        <v>1598</v>
      </c>
    </row>
    <row r="5289" spans="1:2" x14ac:dyDescent="0.25">
      <c r="A5289">
        <v>21033021100</v>
      </c>
      <c r="B5289" t="s">
        <v>1617</v>
      </c>
    </row>
    <row r="5290" spans="1:2" x14ac:dyDescent="0.25">
      <c r="A5290">
        <v>21033021200</v>
      </c>
      <c r="B5290" t="s">
        <v>1618</v>
      </c>
    </row>
    <row r="5291" spans="1:2" x14ac:dyDescent="0.25">
      <c r="A5291">
        <v>21033021900</v>
      </c>
      <c r="B5291" t="s">
        <v>57</v>
      </c>
    </row>
    <row r="5292" spans="1:2" x14ac:dyDescent="0.25">
      <c r="A5292">
        <v>21033029000</v>
      </c>
      <c r="B5292" t="s">
        <v>57</v>
      </c>
    </row>
    <row r="5293" spans="1:2" x14ac:dyDescent="0.25">
      <c r="A5293">
        <v>210390</v>
      </c>
      <c r="B5293" t="e">
        <f>- Los demas</f>
        <v>#NAME?</v>
      </c>
    </row>
    <row r="5294" spans="1:2" x14ac:dyDescent="0.25">
      <c r="A5294">
        <v>2103901</v>
      </c>
      <c r="B5294" t="s">
        <v>1622</v>
      </c>
    </row>
    <row r="5295" spans="1:2" x14ac:dyDescent="0.25">
      <c r="A5295">
        <v>21039011</v>
      </c>
      <c r="B5295" t="s">
        <v>1598</v>
      </c>
    </row>
    <row r="5296" spans="1:2" x14ac:dyDescent="0.25">
      <c r="A5296">
        <v>21039011100</v>
      </c>
      <c r="B5296" t="s">
        <v>1617</v>
      </c>
    </row>
    <row r="5297" spans="1:2" x14ac:dyDescent="0.25">
      <c r="A5297">
        <v>21039011200</v>
      </c>
      <c r="B5297" t="s">
        <v>1618</v>
      </c>
    </row>
    <row r="5298" spans="1:2" x14ac:dyDescent="0.25">
      <c r="A5298">
        <v>21039011900</v>
      </c>
      <c r="B5298" t="s">
        <v>57</v>
      </c>
    </row>
    <row r="5299" spans="1:2" x14ac:dyDescent="0.25">
      <c r="A5299">
        <v>21039019000</v>
      </c>
      <c r="B5299" t="s">
        <v>57</v>
      </c>
    </row>
    <row r="5300" spans="1:2" x14ac:dyDescent="0.25">
      <c r="A5300">
        <v>2103902</v>
      </c>
      <c r="B5300" t="s">
        <v>1623</v>
      </c>
    </row>
    <row r="5301" spans="1:2" x14ac:dyDescent="0.25">
      <c r="A5301">
        <v>21039021000</v>
      </c>
      <c r="B5301" t="s">
        <v>1598</v>
      </c>
    </row>
    <row r="5302" spans="1:2" x14ac:dyDescent="0.25">
      <c r="A5302">
        <v>21039029000</v>
      </c>
      <c r="B5302" t="s">
        <v>10</v>
      </c>
    </row>
    <row r="5303" spans="1:2" x14ac:dyDescent="0.25">
      <c r="A5303">
        <v>2103909</v>
      </c>
      <c r="B5303" t="s">
        <v>10</v>
      </c>
    </row>
    <row r="5304" spans="1:2" x14ac:dyDescent="0.25">
      <c r="A5304">
        <v>21039091</v>
      </c>
      <c r="B5304" t="s">
        <v>1598</v>
      </c>
    </row>
    <row r="5305" spans="1:2" x14ac:dyDescent="0.25">
      <c r="A5305">
        <v>21039091100</v>
      </c>
      <c r="B5305" t="s">
        <v>1617</v>
      </c>
    </row>
    <row r="5306" spans="1:2" x14ac:dyDescent="0.25">
      <c r="A5306">
        <v>21039091200</v>
      </c>
      <c r="B5306" t="s">
        <v>1618</v>
      </c>
    </row>
    <row r="5307" spans="1:2" x14ac:dyDescent="0.25">
      <c r="A5307">
        <v>21039091900</v>
      </c>
      <c r="B5307" t="s">
        <v>57</v>
      </c>
    </row>
    <row r="5308" spans="1:2" x14ac:dyDescent="0.25">
      <c r="A5308">
        <v>21039099000</v>
      </c>
      <c r="B5308" t="s">
        <v>10</v>
      </c>
    </row>
    <row r="5309" spans="1:2" x14ac:dyDescent="0.25">
      <c r="A5309">
        <v>2104</v>
      </c>
      <c r="B5309" t="s">
        <v>1624</v>
      </c>
    </row>
    <row r="5310" spans="1:2" x14ac:dyDescent="0.25">
      <c r="A5310">
        <v>210410</v>
      </c>
      <c r="B5310" t="e">
        <f>- Preparaciones para sopas. potajes o caldos, sopas. potajes o caldos. preparados</f>
        <v>#NAME?</v>
      </c>
    </row>
    <row r="5311" spans="1:2" x14ac:dyDescent="0.25">
      <c r="A5311">
        <v>2104101</v>
      </c>
      <c r="B5311" t="s">
        <v>1625</v>
      </c>
    </row>
    <row r="5312" spans="1:2" x14ac:dyDescent="0.25">
      <c r="A5312">
        <v>21041011</v>
      </c>
      <c r="B5312" t="s">
        <v>1598</v>
      </c>
    </row>
    <row r="5313" spans="1:2" x14ac:dyDescent="0.25">
      <c r="A5313">
        <v>210410111</v>
      </c>
      <c r="B5313" t="s">
        <v>1626</v>
      </c>
    </row>
    <row r="5314" spans="1:2" x14ac:dyDescent="0.25">
      <c r="A5314">
        <v>21041011110</v>
      </c>
      <c r="B5314" t="s">
        <v>1627</v>
      </c>
    </row>
    <row r="5315" spans="1:2" x14ac:dyDescent="0.25">
      <c r="A5315">
        <v>21041011120</v>
      </c>
      <c r="B5315" t="s">
        <v>1628</v>
      </c>
    </row>
    <row r="5316" spans="1:2" x14ac:dyDescent="0.25">
      <c r="A5316">
        <v>2104101113</v>
      </c>
      <c r="B5316" t="s">
        <v>1629</v>
      </c>
    </row>
    <row r="5317" spans="1:2" x14ac:dyDescent="0.25">
      <c r="A5317">
        <v>21041011131</v>
      </c>
      <c r="B5317" t="s">
        <v>1317</v>
      </c>
    </row>
    <row r="5318" spans="1:2" x14ac:dyDescent="0.25">
      <c r="A5318">
        <v>21041011139</v>
      </c>
      <c r="B5318" t="s">
        <v>57</v>
      </c>
    </row>
    <row r="5319" spans="1:2" x14ac:dyDescent="0.25">
      <c r="A5319">
        <v>2104101119</v>
      </c>
      <c r="B5319" t="s">
        <v>57</v>
      </c>
    </row>
    <row r="5320" spans="1:2" x14ac:dyDescent="0.25">
      <c r="A5320">
        <v>21041011191</v>
      </c>
      <c r="B5320" t="s">
        <v>1317</v>
      </c>
    </row>
    <row r="5321" spans="1:2" x14ac:dyDescent="0.25">
      <c r="A5321">
        <v>21041011199</v>
      </c>
      <c r="B5321" t="s">
        <v>57</v>
      </c>
    </row>
    <row r="5322" spans="1:2" x14ac:dyDescent="0.25">
      <c r="A5322">
        <v>210410119</v>
      </c>
      <c r="B5322" t="s">
        <v>57</v>
      </c>
    </row>
    <row r="5323" spans="1:2" x14ac:dyDescent="0.25">
      <c r="A5323">
        <v>21041011910</v>
      </c>
      <c r="B5323" t="s">
        <v>1627</v>
      </c>
    </row>
    <row r="5324" spans="1:2" x14ac:dyDescent="0.25">
      <c r="A5324">
        <v>21041011920</v>
      </c>
      <c r="B5324" t="s">
        <v>1628</v>
      </c>
    </row>
    <row r="5325" spans="1:2" x14ac:dyDescent="0.25">
      <c r="A5325">
        <v>2104101193</v>
      </c>
      <c r="B5325" t="s">
        <v>1629</v>
      </c>
    </row>
    <row r="5326" spans="1:2" x14ac:dyDescent="0.25">
      <c r="A5326">
        <v>21041011931</v>
      </c>
      <c r="B5326" t="s">
        <v>1317</v>
      </c>
    </row>
    <row r="5327" spans="1:2" x14ac:dyDescent="0.25">
      <c r="A5327">
        <v>21041011939</v>
      </c>
      <c r="B5327" t="s">
        <v>57</v>
      </c>
    </row>
    <row r="5328" spans="1:2" x14ac:dyDescent="0.25">
      <c r="A5328">
        <v>2104101199</v>
      </c>
      <c r="B5328" t="s">
        <v>57</v>
      </c>
    </row>
    <row r="5329" spans="1:2" x14ac:dyDescent="0.25">
      <c r="A5329">
        <v>21041011991</v>
      </c>
      <c r="B5329" t="s">
        <v>1317</v>
      </c>
    </row>
    <row r="5330" spans="1:2" x14ac:dyDescent="0.25">
      <c r="A5330">
        <v>21041011999</v>
      </c>
      <c r="B5330" t="s">
        <v>57</v>
      </c>
    </row>
    <row r="5331" spans="1:2" x14ac:dyDescent="0.25">
      <c r="A5331">
        <v>21041019</v>
      </c>
      <c r="B5331" t="s">
        <v>57</v>
      </c>
    </row>
    <row r="5332" spans="1:2" x14ac:dyDescent="0.25">
      <c r="A5332">
        <v>21041019100</v>
      </c>
      <c r="B5332" t="s">
        <v>1630</v>
      </c>
    </row>
    <row r="5333" spans="1:2" x14ac:dyDescent="0.25">
      <c r="A5333">
        <v>21041019200</v>
      </c>
      <c r="B5333" t="s">
        <v>1593</v>
      </c>
    </row>
    <row r="5334" spans="1:2" x14ac:dyDescent="0.25">
      <c r="A5334">
        <v>210410193</v>
      </c>
      <c r="B5334" t="s">
        <v>1631</v>
      </c>
    </row>
    <row r="5335" spans="1:2" x14ac:dyDescent="0.25">
      <c r="A5335">
        <v>21041019310</v>
      </c>
      <c r="B5335" t="s">
        <v>1317</v>
      </c>
    </row>
    <row r="5336" spans="1:2" x14ac:dyDescent="0.25">
      <c r="A5336">
        <v>21041019390</v>
      </c>
      <c r="B5336" t="s">
        <v>57</v>
      </c>
    </row>
    <row r="5337" spans="1:2" x14ac:dyDescent="0.25">
      <c r="A5337">
        <v>21041019900</v>
      </c>
      <c r="B5337" t="s">
        <v>10</v>
      </c>
    </row>
    <row r="5338" spans="1:2" x14ac:dyDescent="0.25">
      <c r="A5338">
        <v>2104102</v>
      </c>
      <c r="B5338" t="s">
        <v>1632</v>
      </c>
    </row>
    <row r="5339" spans="1:2" x14ac:dyDescent="0.25">
      <c r="A5339">
        <v>21041021</v>
      </c>
      <c r="B5339" t="s">
        <v>1598</v>
      </c>
    </row>
    <row r="5340" spans="1:2" x14ac:dyDescent="0.25">
      <c r="A5340">
        <v>210410211</v>
      </c>
      <c r="B5340" t="s">
        <v>1631</v>
      </c>
    </row>
    <row r="5341" spans="1:2" x14ac:dyDescent="0.25">
      <c r="A5341">
        <v>21041021110</v>
      </c>
      <c r="B5341" t="s">
        <v>1317</v>
      </c>
    </row>
    <row r="5342" spans="1:2" x14ac:dyDescent="0.25">
      <c r="A5342">
        <v>21041021190</v>
      </c>
      <c r="B5342" t="s">
        <v>57</v>
      </c>
    </row>
    <row r="5343" spans="1:2" x14ac:dyDescent="0.25">
      <c r="A5343">
        <v>21041021900</v>
      </c>
      <c r="B5343" t="s">
        <v>10</v>
      </c>
    </row>
    <row r="5344" spans="1:2" x14ac:dyDescent="0.25">
      <c r="A5344">
        <v>21041029</v>
      </c>
      <c r="B5344" t="s">
        <v>10</v>
      </c>
    </row>
    <row r="5345" spans="1:2" x14ac:dyDescent="0.25">
      <c r="A5345">
        <v>210410291</v>
      </c>
      <c r="B5345" t="s">
        <v>1631</v>
      </c>
    </row>
    <row r="5346" spans="1:2" x14ac:dyDescent="0.25">
      <c r="A5346">
        <v>21041029110</v>
      </c>
      <c r="B5346" t="s">
        <v>1317</v>
      </c>
    </row>
    <row r="5347" spans="1:2" x14ac:dyDescent="0.25">
      <c r="A5347">
        <v>21041029190</v>
      </c>
      <c r="B5347" t="s">
        <v>57</v>
      </c>
    </row>
    <row r="5348" spans="1:2" x14ac:dyDescent="0.25">
      <c r="A5348">
        <v>21041029900</v>
      </c>
      <c r="B5348" t="s">
        <v>10</v>
      </c>
    </row>
    <row r="5349" spans="1:2" x14ac:dyDescent="0.25">
      <c r="A5349">
        <v>21042000000</v>
      </c>
      <c r="B5349" t="e">
        <f>-Preparaciones alimenticias compuestas homogeneizadas</f>
        <v>#NAME?</v>
      </c>
    </row>
    <row r="5350" spans="1:2" x14ac:dyDescent="0.25">
      <c r="A5350">
        <v>210500</v>
      </c>
      <c r="B5350" t="s">
        <v>1633</v>
      </c>
    </row>
    <row r="5351" spans="1:2" x14ac:dyDescent="0.25">
      <c r="A5351">
        <v>21050010</v>
      </c>
      <c r="B5351" t="s">
        <v>920</v>
      </c>
    </row>
    <row r="5352" spans="1:2" x14ac:dyDescent="0.25">
      <c r="A5352">
        <v>21050010100</v>
      </c>
      <c r="B5352" t="s">
        <v>571</v>
      </c>
    </row>
    <row r="5353" spans="1:2" x14ac:dyDescent="0.25">
      <c r="A5353">
        <v>21050010900</v>
      </c>
      <c r="B5353" t="s">
        <v>10</v>
      </c>
    </row>
    <row r="5354" spans="1:2" x14ac:dyDescent="0.25">
      <c r="A5354">
        <v>21050090</v>
      </c>
      <c r="B5354" t="s">
        <v>10</v>
      </c>
    </row>
    <row r="5355" spans="1:2" x14ac:dyDescent="0.25">
      <c r="A5355">
        <v>21050090100</v>
      </c>
      <c r="B5355" t="s">
        <v>571</v>
      </c>
    </row>
    <row r="5356" spans="1:2" x14ac:dyDescent="0.25">
      <c r="A5356">
        <v>21050090900</v>
      </c>
      <c r="B5356" t="s">
        <v>10</v>
      </c>
    </row>
    <row r="5357" spans="1:2" x14ac:dyDescent="0.25">
      <c r="A5357">
        <v>2106</v>
      </c>
      <c r="B5357" t="s">
        <v>1634</v>
      </c>
    </row>
    <row r="5358" spans="1:2" x14ac:dyDescent="0.25">
      <c r="A5358">
        <v>21061000000</v>
      </c>
      <c r="B5358" t="e">
        <f>-concentrados de proteinas y sustancias proteicas texturadas</f>
        <v>#NAME?</v>
      </c>
    </row>
    <row r="5359" spans="1:2" x14ac:dyDescent="0.25">
      <c r="A5359">
        <v>210690</v>
      </c>
      <c r="B5359" t="e">
        <f>- las demas</f>
        <v>#NAME?</v>
      </c>
    </row>
    <row r="5360" spans="1:2" x14ac:dyDescent="0.25">
      <c r="A5360">
        <v>21069010</v>
      </c>
      <c r="B5360" t="s">
        <v>1635</v>
      </c>
    </row>
    <row r="5361" spans="1:2" x14ac:dyDescent="0.25">
      <c r="A5361">
        <v>210690101</v>
      </c>
      <c r="B5361" t="s">
        <v>1636</v>
      </c>
    </row>
    <row r="5362" spans="1:2" x14ac:dyDescent="0.25">
      <c r="A5362">
        <v>21069010110</v>
      </c>
      <c r="B5362" t="s">
        <v>1637</v>
      </c>
    </row>
    <row r="5363" spans="1:2" x14ac:dyDescent="0.25">
      <c r="A5363">
        <v>21069010190</v>
      </c>
      <c r="B5363" t="s">
        <v>57</v>
      </c>
    </row>
    <row r="5364" spans="1:2" x14ac:dyDescent="0.25">
      <c r="A5364">
        <v>21069010900</v>
      </c>
      <c r="B5364" t="s">
        <v>57</v>
      </c>
    </row>
    <row r="5365" spans="1:2" x14ac:dyDescent="0.25">
      <c r="A5365">
        <v>2106902</v>
      </c>
      <c r="B5365" t="s">
        <v>1638</v>
      </c>
    </row>
    <row r="5366" spans="1:2" x14ac:dyDescent="0.25">
      <c r="A5366">
        <v>21069021000</v>
      </c>
      <c r="B5366" t="s">
        <v>1639</v>
      </c>
    </row>
    <row r="5367" spans="1:2" x14ac:dyDescent="0.25">
      <c r="A5367">
        <v>21069029</v>
      </c>
      <c r="B5367" t="s">
        <v>10</v>
      </c>
    </row>
    <row r="5368" spans="1:2" x14ac:dyDescent="0.25">
      <c r="A5368">
        <v>210690291</v>
      </c>
      <c r="B5368" t="s">
        <v>1614</v>
      </c>
    </row>
    <row r="5369" spans="1:2" x14ac:dyDescent="0.25">
      <c r="A5369">
        <v>21069029110</v>
      </c>
      <c r="B5369" t="s">
        <v>1640</v>
      </c>
    </row>
    <row r="5370" spans="1:2" x14ac:dyDescent="0.25">
      <c r="A5370">
        <v>21069029190</v>
      </c>
      <c r="B5370" t="s">
        <v>10</v>
      </c>
    </row>
    <row r="5371" spans="1:2" x14ac:dyDescent="0.25">
      <c r="A5371">
        <v>21069029900</v>
      </c>
      <c r="B5371" t="s">
        <v>10</v>
      </c>
    </row>
    <row r="5372" spans="1:2" x14ac:dyDescent="0.25">
      <c r="A5372">
        <v>21069030</v>
      </c>
      <c r="B5372" t="s">
        <v>1641</v>
      </c>
    </row>
    <row r="5373" spans="1:2" x14ac:dyDescent="0.25">
      <c r="A5373">
        <v>21069030100</v>
      </c>
      <c r="B5373" t="s">
        <v>1642</v>
      </c>
    </row>
    <row r="5374" spans="1:2" x14ac:dyDescent="0.25">
      <c r="A5374">
        <v>21069030200</v>
      </c>
      <c r="B5374" t="s">
        <v>1643</v>
      </c>
    </row>
    <row r="5375" spans="1:2" x14ac:dyDescent="0.25">
      <c r="A5375">
        <v>21069030900</v>
      </c>
      <c r="B5375" t="s">
        <v>10</v>
      </c>
    </row>
    <row r="5376" spans="1:2" x14ac:dyDescent="0.25">
      <c r="A5376">
        <v>21069040000</v>
      </c>
      <c r="B5376" t="s">
        <v>1644</v>
      </c>
    </row>
    <row r="5377" spans="1:2" x14ac:dyDescent="0.25">
      <c r="A5377">
        <v>21069050</v>
      </c>
      <c r="B5377" t="s">
        <v>1645</v>
      </c>
    </row>
    <row r="5378" spans="1:2" x14ac:dyDescent="0.25">
      <c r="A5378">
        <v>21069050100</v>
      </c>
      <c r="B5378" t="s">
        <v>1598</v>
      </c>
    </row>
    <row r="5379" spans="1:2" x14ac:dyDescent="0.25">
      <c r="A5379">
        <v>21069050900</v>
      </c>
      <c r="B5379" t="s">
        <v>10</v>
      </c>
    </row>
    <row r="5380" spans="1:2" x14ac:dyDescent="0.25">
      <c r="A5380">
        <v>21069060</v>
      </c>
      <c r="B5380" t="s">
        <v>1646</v>
      </c>
    </row>
    <row r="5381" spans="1:2" x14ac:dyDescent="0.25">
      <c r="A5381">
        <v>210690601</v>
      </c>
      <c r="B5381" t="s">
        <v>1598</v>
      </c>
    </row>
    <row r="5382" spans="1:2" x14ac:dyDescent="0.25">
      <c r="A5382">
        <v>21069060110</v>
      </c>
      <c r="B5382" t="s">
        <v>1394</v>
      </c>
    </row>
    <row r="5383" spans="1:2" x14ac:dyDescent="0.25">
      <c r="A5383">
        <v>21069060190</v>
      </c>
      <c r="B5383" t="s">
        <v>10</v>
      </c>
    </row>
    <row r="5384" spans="1:2" x14ac:dyDescent="0.25">
      <c r="A5384">
        <v>21069060900</v>
      </c>
      <c r="B5384" t="s">
        <v>10</v>
      </c>
    </row>
    <row r="5385" spans="1:2" x14ac:dyDescent="0.25">
      <c r="A5385">
        <v>21069090</v>
      </c>
      <c r="B5385" t="s">
        <v>57</v>
      </c>
    </row>
    <row r="5386" spans="1:2" x14ac:dyDescent="0.25">
      <c r="A5386">
        <v>21069090100</v>
      </c>
      <c r="B5386" t="s">
        <v>1647</v>
      </c>
    </row>
    <row r="5387" spans="1:2" x14ac:dyDescent="0.25">
      <c r="A5387">
        <v>21069090200</v>
      </c>
      <c r="B5387" t="s">
        <v>1648</v>
      </c>
    </row>
    <row r="5388" spans="1:2" x14ac:dyDescent="0.25">
      <c r="A5388">
        <v>21069090400</v>
      </c>
      <c r="B5388" t="s">
        <v>1649</v>
      </c>
    </row>
    <row r="5389" spans="1:2" x14ac:dyDescent="0.25">
      <c r="A5389">
        <v>21069090900</v>
      </c>
      <c r="B5389" t="s">
        <v>57</v>
      </c>
    </row>
    <row r="5390" spans="1:2" x14ac:dyDescent="0.25">
      <c r="A5390">
        <v>2201</v>
      </c>
      <c r="B5390" t="s">
        <v>1650</v>
      </c>
    </row>
    <row r="5391" spans="1:2" x14ac:dyDescent="0.25">
      <c r="A5391">
        <v>22011000</v>
      </c>
      <c r="B5391" t="e">
        <f>- agua mineral y agua gaseada</f>
        <v>#NAME?</v>
      </c>
    </row>
    <row r="5392" spans="1:2" x14ac:dyDescent="0.25">
      <c r="A5392">
        <v>220110001</v>
      </c>
      <c r="B5392" t="s">
        <v>1651</v>
      </c>
    </row>
    <row r="5393" spans="1:2" x14ac:dyDescent="0.25">
      <c r="A5393">
        <v>22011000110</v>
      </c>
      <c r="B5393" t="s">
        <v>1652</v>
      </c>
    </row>
    <row r="5394" spans="1:2" x14ac:dyDescent="0.25">
      <c r="A5394">
        <v>22011000120</v>
      </c>
      <c r="B5394" t="s">
        <v>1653</v>
      </c>
    </row>
    <row r="5395" spans="1:2" x14ac:dyDescent="0.25">
      <c r="A5395">
        <v>22011000190</v>
      </c>
      <c r="B5395" t="s">
        <v>57</v>
      </c>
    </row>
    <row r="5396" spans="1:2" x14ac:dyDescent="0.25">
      <c r="A5396">
        <v>22011000900</v>
      </c>
      <c r="B5396" t="s">
        <v>57</v>
      </c>
    </row>
    <row r="5397" spans="1:2" x14ac:dyDescent="0.25">
      <c r="A5397">
        <v>22019000000</v>
      </c>
      <c r="B5397" t="e">
        <f>-Los demas</f>
        <v>#NAME?</v>
      </c>
    </row>
    <row r="5398" spans="1:2" x14ac:dyDescent="0.25">
      <c r="A5398">
        <v>2202</v>
      </c>
      <c r="B5398" t="s">
        <v>1654</v>
      </c>
    </row>
    <row r="5399" spans="1:2" x14ac:dyDescent="0.25">
      <c r="A5399">
        <v>22021000</v>
      </c>
      <c r="B5399" t="e">
        <f>- Agua. incluidas el agua mineral y la gaseada. Con adicion de azucar u otro edulcorante o aromatizada</f>
        <v>#NAME?</v>
      </c>
    </row>
    <row r="5400" spans="1:2" x14ac:dyDescent="0.25">
      <c r="A5400">
        <v>220210001</v>
      </c>
      <c r="B5400" t="s">
        <v>1655</v>
      </c>
    </row>
    <row r="5401" spans="1:2" x14ac:dyDescent="0.25">
      <c r="A5401">
        <v>22021000110</v>
      </c>
      <c r="B5401" t="s">
        <v>1656</v>
      </c>
    </row>
    <row r="5402" spans="1:2" x14ac:dyDescent="0.25">
      <c r="A5402">
        <v>22021000190</v>
      </c>
      <c r="B5402" t="s">
        <v>57</v>
      </c>
    </row>
    <row r="5403" spans="1:2" x14ac:dyDescent="0.25">
      <c r="A5403">
        <v>22021000200</v>
      </c>
      <c r="B5403" t="s">
        <v>1657</v>
      </c>
    </row>
    <row r="5404" spans="1:2" x14ac:dyDescent="0.25">
      <c r="A5404">
        <v>220210009</v>
      </c>
      <c r="B5404" t="s">
        <v>57</v>
      </c>
    </row>
    <row r="5405" spans="1:2" x14ac:dyDescent="0.25">
      <c r="A5405">
        <v>22021000910</v>
      </c>
      <c r="B5405" t="s">
        <v>1656</v>
      </c>
    </row>
    <row r="5406" spans="1:2" x14ac:dyDescent="0.25">
      <c r="A5406">
        <v>22021000990</v>
      </c>
      <c r="B5406" t="s">
        <v>57</v>
      </c>
    </row>
    <row r="5407" spans="1:2" x14ac:dyDescent="0.25">
      <c r="A5407">
        <v>22029</v>
      </c>
      <c r="B5407" t="s">
        <v>567</v>
      </c>
    </row>
    <row r="5408" spans="1:2" x14ac:dyDescent="0.25">
      <c r="A5408">
        <v>22029100</v>
      </c>
      <c r="B5408" t="e">
        <f>- - Cerveza sin alcohol</f>
        <v>#NAME?</v>
      </c>
    </row>
    <row r="5409" spans="1:2" x14ac:dyDescent="0.25">
      <c r="A5409">
        <v>22029100100</v>
      </c>
      <c r="B5409" t="s">
        <v>1658</v>
      </c>
    </row>
    <row r="5410" spans="1:2" x14ac:dyDescent="0.25">
      <c r="A5410">
        <v>220291002</v>
      </c>
      <c r="B5410" t="s">
        <v>1659</v>
      </c>
    </row>
    <row r="5411" spans="1:2" x14ac:dyDescent="0.25">
      <c r="A5411">
        <v>22029100210</v>
      </c>
      <c r="B5411" t="s">
        <v>1660</v>
      </c>
    </row>
    <row r="5412" spans="1:2" x14ac:dyDescent="0.25">
      <c r="A5412">
        <v>22029100220</v>
      </c>
      <c r="B5412" t="s">
        <v>1661</v>
      </c>
    </row>
    <row r="5413" spans="1:2" x14ac:dyDescent="0.25">
      <c r="A5413">
        <v>22029100230</v>
      </c>
      <c r="B5413" t="s">
        <v>1662</v>
      </c>
    </row>
    <row r="5414" spans="1:2" x14ac:dyDescent="0.25">
      <c r="A5414">
        <v>22029100900</v>
      </c>
      <c r="B5414" t="s">
        <v>57</v>
      </c>
    </row>
    <row r="5415" spans="1:2" x14ac:dyDescent="0.25">
      <c r="A5415">
        <v>22029900</v>
      </c>
      <c r="B5415" t="s">
        <v>1663</v>
      </c>
    </row>
    <row r="5416" spans="1:2" x14ac:dyDescent="0.25">
      <c r="A5416">
        <v>220299001</v>
      </c>
      <c r="B5416" t="s">
        <v>1664</v>
      </c>
    </row>
    <row r="5417" spans="1:2" x14ac:dyDescent="0.25">
      <c r="A5417">
        <v>22029900110</v>
      </c>
      <c r="B5417" t="s">
        <v>1665</v>
      </c>
    </row>
    <row r="5418" spans="1:2" x14ac:dyDescent="0.25">
      <c r="A5418">
        <v>22029900190</v>
      </c>
      <c r="B5418" t="s">
        <v>10</v>
      </c>
    </row>
    <row r="5419" spans="1:2" x14ac:dyDescent="0.25">
      <c r="A5419">
        <v>22029900200</v>
      </c>
      <c r="B5419" t="s">
        <v>1437</v>
      </c>
    </row>
    <row r="5420" spans="1:2" x14ac:dyDescent="0.25">
      <c r="A5420">
        <v>220299009</v>
      </c>
      <c r="B5420" t="s">
        <v>57</v>
      </c>
    </row>
    <row r="5421" spans="1:2" x14ac:dyDescent="0.25">
      <c r="A5421">
        <v>22029900910</v>
      </c>
      <c r="B5421" t="s">
        <v>1655</v>
      </c>
    </row>
    <row r="5422" spans="1:2" x14ac:dyDescent="0.25">
      <c r="A5422">
        <v>22029900920</v>
      </c>
      <c r="B5422" t="s">
        <v>1666</v>
      </c>
    </row>
    <row r="5423" spans="1:2" x14ac:dyDescent="0.25">
      <c r="A5423">
        <v>22029900990</v>
      </c>
      <c r="B5423" t="s">
        <v>57</v>
      </c>
    </row>
    <row r="5424" spans="1:2" x14ac:dyDescent="0.25">
      <c r="A5424">
        <v>22030000</v>
      </c>
      <c r="B5424" t="s">
        <v>1667</v>
      </c>
    </row>
    <row r="5425" spans="1:2" x14ac:dyDescent="0.25">
      <c r="A5425">
        <v>220300001</v>
      </c>
      <c r="B5425" t="s">
        <v>1668</v>
      </c>
    </row>
    <row r="5426" spans="1:2" x14ac:dyDescent="0.25">
      <c r="A5426">
        <v>22030000110</v>
      </c>
      <c r="B5426" t="s">
        <v>1231</v>
      </c>
    </row>
    <row r="5427" spans="1:2" x14ac:dyDescent="0.25">
      <c r="A5427">
        <v>2203000012</v>
      </c>
      <c r="B5427" t="s">
        <v>1669</v>
      </c>
    </row>
    <row r="5428" spans="1:2" x14ac:dyDescent="0.25">
      <c r="A5428">
        <v>22030000121</v>
      </c>
      <c r="B5428" t="s">
        <v>1670</v>
      </c>
    </row>
    <row r="5429" spans="1:2" x14ac:dyDescent="0.25">
      <c r="A5429">
        <v>22030000122</v>
      </c>
      <c r="B5429" t="s">
        <v>1671</v>
      </c>
    </row>
    <row r="5430" spans="1:2" x14ac:dyDescent="0.25">
      <c r="A5430">
        <v>22030000129</v>
      </c>
      <c r="B5430" t="s">
        <v>57</v>
      </c>
    </row>
    <row r="5431" spans="1:2" x14ac:dyDescent="0.25">
      <c r="A5431">
        <v>2203000013</v>
      </c>
      <c r="B5431" t="s">
        <v>1659</v>
      </c>
    </row>
    <row r="5432" spans="1:2" x14ac:dyDescent="0.25">
      <c r="A5432">
        <v>22030000131</v>
      </c>
      <c r="B5432" t="s">
        <v>1670</v>
      </c>
    </row>
    <row r="5433" spans="1:2" x14ac:dyDescent="0.25">
      <c r="A5433">
        <v>22030000132</v>
      </c>
      <c r="B5433" t="s">
        <v>1672</v>
      </c>
    </row>
    <row r="5434" spans="1:2" x14ac:dyDescent="0.25">
      <c r="A5434">
        <v>22030000133</v>
      </c>
      <c r="B5434" t="s">
        <v>1673</v>
      </c>
    </row>
    <row r="5435" spans="1:2" x14ac:dyDescent="0.25">
      <c r="A5435">
        <v>22030000139</v>
      </c>
      <c r="B5435" t="s">
        <v>57</v>
      </c>
    </row>
    <row r="5436" spans="1:2" x14ac:dyDescent="0.25">
      <c r="A5436">
        <v>2203000014</v>
      </c>
      <c r="B5436" t="s">
        <v>1674</v>
      </c>
    </row>
    <row r="5437" spans="1:2" x14ac:dyDescent="0.25">
      <c r="A5437">
        <v>22030000141</v>
      </c>
      <c r="B5437" t="s">
        <v>1675</v>
      </c>
    </row>
    <row r="5438" spans="1:2" x14ac:dyDescent="0.25">
      <c r="A5438">
        <v>22030000142</v>
      </c>
      <c r="B5438" t="s">
        <v>1676</v>
      </c>
    </row>
    <row r="5439" spans="1:2" x14ac:dyDescent="0.25">
      <c r="A5439">
        <v>22030000143</v>
      </c>
      <c r="B5439" t="s">
        <v>1677</v>
      </c>
    </row>
    <row r="5440" spans="1:2" x14ac:dyDescent="0.25">
      <c r="A5440">
        <v>22030000144</v>
      </c>
      <c r="B5440" t="s">
        <v>1678</v>
      </c>
    </row>
    <row r="5441" spans="1:2" x14ac:dyDescent="0.25">
      <c r="A5441">
        <v>22030000149</v>
      </c>
      <c r="B5441" t="s">
        <v>57</v>
      </c>
    </row>
    <row r="5442" spans="1:2" x14ac:dyDescent="0.25">
      <c r="A5442">
        <v>220300002</v>
      </c>
      <c r="B5442" t="s">
        <v>1679</v>
      </c>
    </row>
    <row r="5443" spans="1:2" x14ac:dyDescent="0.25">
      <c r="A5443">
        <v>22030000210</v>
      </c>
      <c r="B5443" t="s">
        <v>1669</v>
      </c>
    </row>
    <row r="5444" spans="1:2" x14ac:dyDescent="0.25">
      <c r="A5444">
        <v>22030000220</v>
      </c>
      <c r="B5444" t="s">
        <v>1659</v>
      </c>
    </row>
    <row r="5445" spans="1:2" x14ac:dyDescent="0.25">
      <c r="A5445">
        <v>22030000290</v>
      </c>
      <c r="B5445" t="s">
        <v>57</v>
      </c>
    </row>
    <row r="5446" spans="1:2" x14ac:dyDescent="0.25">
      <c r="A5446">
        <v>220300009</v>
      </c>
      <c r="B5446" t="s">
        <v>57</v>
      </c>
    </row>
    <row r="5447" spans="1:2" x14ac:dyDescent="0.25">
      <c r="A5447">
        <v>22030000910</v>
      </c>
      <c r="B5447" t="s">
        <v>1669</v>
      </c>
    </row>
    <row r="5448" spans="1:2" x14ac:dyDescent="0.25">
      <c r="A5448">
        <v>22030000920</v>
      </c>
      <c r="B5448" t="s">
        <v>1659</v>
      </c>
    </row>
    <row r="5449" spans="1:2" x14ac:dyDescent="0.25">
      <c r="A5449">
        <v>22030000990</v>
      </c>
      <c r="B5449" t="s">
        <v>57</v>
      </c>
    </row>
    <row r="5450" spans="1:2" x14ac:dyDescent="0.25">
      <c r="A5450">
        <v>2204</v>
      </c>
      <c r="B5450" t="s">
        <v>1680</v>
      </c>
    </row>
    <row r="5451" spans="1:2" x14ac:dyDescent="0.25">
      <c r="A5451">
        <v>220410</v>
      </c>
      <c r="B5451" t="e">
        <f>- Vino espumoso</f>
        <v>#NAME?</v>
      </c>
    </row>
    <row r="5452" spans="1:2" x14ac:dyDescent="0.25">
      <c r="A5452">
        <v>22041010000</v>
      </c>
      <c r="B5452" t="s">
        <v>1681</v>
      </c>
    </row>
    <row r="5453" spans="1:2" x14ac:dyDescent="0.25">
      <c r="A5453">
        <v>22041090</v>
      </c>
      <c r="B5453" t="s">
        <v>10</v>
      </c>
    </row>
    <row r="5454" spans="1:2" x14ac:dyDescent="0.25">
      <c r="A5454">
        <v>22041090100</v>
      </c>
      <c r="B5454" t="s">
        <v>1682</v>
      </c>
    </row>
    <row r="5455" spans="1:2" x14ac:dyDescent="0.25">
      <c r="A5455">
        <v>22041090900</v>
      </c>
      <c r="B5455" t="s">
        <v>10</v>
      </c>
    </row>
    <row r="5456" spans="1:2" x14ac:dyDescent="0.25">
      <c r="A5456">
        <v>22042</v>
      </c>
      <c r="B5456" t="s">
        <v>1683</v>
      </c>
    </row>
    <row r="5457" spans="1:2" x14ac:dyDescent="0.25">
      <c r="A5457">
        <v>22042100</v>
      </c>
      <c r="B5457" t="s">
        <v>1684</v>
      </c>
    </row>
    <row r="5458" spans="1:2" x14ac:dyDescent="0.25">
      <c r="A5458">
        <v>22042100100</v>
      </c>
      <c r="B5458" t="s">
        <v>1685</v>
      </c>
    </row>
    <row r="5459" spans="1:2" x14ac:dyDescent="0.25">
      <c r="A5459">
        <v>22042100200</v>
      </c>
      <c r="B5459" t="s">
        <v>1686</v>
      </c>
    </row>
    <row r="5460" spans="1:2" x14ac:dyDescent="0.25">
      <c r="A5460">
        <v>22042100900</v>
      </c>
      <c r="B5460" t="s">
        <v>10</v>
      </c>
    </row>
    <row r="5461" spans="1:2" x14ac:dyDescent="0.25">
      <c r="A5461">
        <v>220422</v>
      </c>
      <c r="B5461" t="s">
        <v>1687</v>
      </c>
    </row>
    <row r="5462" spans="1:2" x14ac:dyDescent="0.25">
      <c r="A5462">
        <v>2204221</v>
      </c>
      <c r="B5462" t="s">
        <v>1688</v>
      </c>
    </row>
    <row r="5463" spans="1:2" x14ac:dyDescent="0.25">
      <c r="A5463">
        <v>22042211</v>
      </c>
      <c r="B5463" t="s">
        <v>1689</v>
      </c>
    </row>
    <row r="5464" spans="1:2" x14ac:dyDescent="0.25">
      <c r="A5464">
        <v>22042211100</v>
      </c>
      <c r="B5464" t="s">
        <v>1690</v>
      </c>
    </row>
    <row r="5465" spans="1:2" x14ac:dyDescent="0.25">
      <c r="A5465">
        <v>22042211900</v>
      </c>
      <c r="B5465" t="s">
        <v>10</v>
      </c>
    </row>
    <row r="5466" spans="1:2" x14ac:dyDescent="0.25">
      <c r="A5466">
        <v>22042219</v>
      </c>
      <c r="B5466" t="s">
        <v>10</v>
      </c>
    </row>
    <row r="5467" spans="1:2" x14ac:dyDescent="0.25">
      <c r="A5467">
        <v>22042219100</v>
      </c>
      <c r="B5467" t="s">
        <v>1690</v>
      </c>
    </row>
    <row r="5468" spans="1:2" x14ac:dyDescent="0.25">
      <c r="A5468">
        <v>22042219900</v>
      </c>
      <c r="B5468" t="s">
        <v>10</v>
      </c>
    </row>
    <row r="5469" spans="1:2" x14ac:dyDescent="0.25">
      <c r="A5469">
        <v>22042220</v>
      </c>
      <c r="B5469" t="s">
        <v>1691</v>
      </c>
    </row>
    <row r="5470" spans="1:2" x14ac:dyDescent="0.25">
      <c r="A5470">
        <v>22042220100</v>
      </c>
      <c r="B5470" t="s">
        <v>1692</v>
      </c>
    </row>
    <row r="5471" spans="1:2" x14ac:dyDescent="0.25">
      <c r="A5471">
        <v>22042220900</v>
      </c>
      <c r="B5471" t="s">
        <v>10</v>
      </c>
    </row>
    <row r="5472" spans="1:2" x14ac:dyDescent="0.25">
      <c r="A5472">
        <v>220429</v>
      </c>
      <c r="B5472" t="s">
        <v>1693</v>
      </c>
    </row>
    <row r="5473" spans="1:2" x14ac:dyDescent="0.25">
      <c r="A5473">
        <v>22042910</v>
      </c>
      <c r="B5473" t="s">
        <v>1688</v>
      </c>
    </row>
    <row r="5474" spans="1:2" x14ac:dyDescent="0.25">
      <c r="A5474">
        <v>22042910100</v>
      </c>
      <c r="B5474" t="s">
        <v>1690</v>
      </c>
    </row>
    <row r="5475" spans="1:2" x14ac:dyDescent="0.25">
      <c r="A5475">
        <v>22042910900</v>
      </c>
      <c r="B5475" t="s">
        <v>10</v>
      </c>
    </row>
    <row r="5476" spans="1:2" x14ac:dyDescent="0.25">
      <c r="A5476">
        <v>22042920</v>
      </c>
      <c r="B5476" t="s">
        <v>1691</v>
      </c>
    </row>
    <row r="5477" spans="1:2" x14ac:dyDescent="0.25">
      <c r="A5477">
        <v>22042920100</v>
      </c>
      <c r="B5477" t="s">
        <v>1694</v>
      </c>
    </row>
    <row r="5478" spans="1:2" x14ac:dyDescent="0.25">
      <c r="A5478">
        <v>22042920900</v>
      </c>
      <c r="B5478" t="s">
        <v>10</v>
      </c>
    </row>
    <row r="5479" spans="1:2" x14ac:dyDescent="0.25">
      <c r="A5479">
        <v>22043000000</v>
      </c>
      <c r="B5479" t="e">
        <f>-Los demas mostos de uva</f>
        <v>#NAME?</v>
      </c>
    </row>
    <row r="5480" spans="1:2" x14ac:dyDescent="0.25">
      <c r="A5480">
        <v>2205</v>
      </c>
      <c r="B5480" t="s">
        <v>1695</v>
      </c>
    </row>
    <row r="5481" spans="1:2" x14ac:dyDescent="0.25">
      <c r="A5481">
        <v>22051000</v>
      </c>
      <c r="B5481" t="s">
        <v>1696</v>
      </c>
    </row>
    <row r="5482" spans="1:2" x14ac:dyDescent="0.25">
      <c r="A5482">
        <v>22051000100</v>
      </c>
      <c r="B5482" t="s">
        <v>1697</v>
      </c>
    </row>
    <row r="5483" spans="1:2" x14ac:dyDescent="0.25">
      <c r="A5483">
        <v>22051000900</v>
      </c>
      <c r="B5483" t="s">
        <v>10</v>
      </c>
    </row>
    <row r="5484" spans="1:2" x14ac:dyDescent="0.25">
      <c r="A5484">
        <v>22059000</v>
      </c>
      <c r="B5484" t="e">
        <f>- Los demas</f>
        <v>#NAME?</v>
      </c>
    </row>
    <row r="5485" spans="1:2" x14ac:dyDescent="0.25">
      <c r="A5485">
        <v>22059000100</v>
      </c>
      <c r="B5485" t="s">
        <v>1697</v>
      </c>
    </row>
    <row r="5486" spans="1:2" x14ac:dyDescent="0.25">
      <c r="A5486">
        <v>22059000900</v>
      </c>
      <c r="B5486" t="s">
        <v>10</v>
      </c>
    </row>
    <row r="5487" spans="1:2" x14ac:dyDescent="0.25">
      <c r="A5487">
        <v>220600</v>
      </c>
      <c r="B5487" t="s">
        <v>1698</v>
      </c>
    </row>
    <row r="5488" spans="1:2" x14ac:dyDescent="0.25">
      <c r="A5488">
        <v>22060010000</v>
      </c>
      <c r="B5488" t="s">
        <v>1699</v>
      </c>
    </row>
    <row r="5489" spans="1:2" x14ac:dyDescent="0.25">
      <c r="A5489">
        <v>22060090</v>
      </c>
      <c r="B5489" t="s">
        <v>57</v>
      </c>
    </row>
    <row r="5490" spans="1:2" x14ac:dyDescent="0.25">
      <c r="A5490">
        <v>22060090100</v>
      </c>
      <c r="B5490" t="s">
        <v>1697</v>
      </c>
    </row>
    <row r="5491" spans="1:2" x14ac:dyDescent="0.25">
      <c r="A5491">
        <v>220600909</v>
      </c>
      <c r="B5491" t="s">
        <v>10</v>
      </c>
    </row>
    <row r="5492" spans="1:2" x14ac:dyDescent="0.25">
      <c r="A5492">
        <v>22060090910</v>
      </c>
      <c r="B5492" t="s">
        <v>1700</v>
      </c>
    </row>
    <row r="5493" spans="1:2" x14ac:dyDescent="0.25">
      <c r="A5493">
        <v>22060090920</v>
      </c>
      <c r="B5493" t="s">
        <v>1701</v>
      </c>
    </row>
    <row r="5494" spans="1:2" x14ac:dyDescent="0.25">
      <c r="A5494">
        <v>22060090990</v>
      </c>
      <c r="B5494" t="s">
        <v>57</v>
      </c>
    </row>
    <row r="5495" spans="1:2" x14ac:dyDescent="0.25">
      <c r="A5495">
        <v>2207</v>
      </c>
      <c r="B5495" t="s">
        <v>1702</v>
      </c>
    </row>
    <row r="5496" spans="1:2" x14ac:dyDescent="0.25">
      <c r="A5496">
        <v>220710</v>
      </c>
      <c r="B5496" t="s">
        <v>1703</v>
      </c>
    </row>
    <row r="5497" spans="1:2" x14ac:dyDescent="0.25">
      <c r="A5497">
        <v>22071010000</v>
      </c>
      <c r="B5497" t="s">
        <v>1704</v>
      </c>
    </row>
    <row r="5498" spans="1:2" x14ac:dyDescent="0.25">
      <c r="A5498">
        <v>22071090000</v>
      </c>
      <c r="B5498" t="s">
        <v>10</v>
      </c>
    </row>
    <row r="5499" spans="1:2" x14ac:dyDescent="0.25">
      <c r="A5499">
        <v>220720</v>
      </c>
      <c r="B5499" t="e">
        <f>- alcohol etilico y aguardiente desnaturalizados. de cualquier graduacion</f>
        <v>#NAME?</v>
      </c>
    </row>
    <row r="5500" spans="1:2" x14ac:dyDescent="0.25">
      <c r="A5500">
        <v>2207201</v>
      </c>
      <c r="B5500" t="s">
        <v>1705</v>
      </c>
    </row>
    <row r="5501" spans="1:2" x14ac:dyDescent="0.25">
      <c r="A5501">
        <v>22072011000</v>
      </c>
      <c r="B5501" t="s">
        <v>1704</v>
      </c>
    </row>
    <row r="5502" spans="1:2" x14ac:dyDescent="0.25">
      <c r="A5502">
        <v>22072019000</v>
      </c>
      <c r="B5502" t="s">
        <v>10</v>
      </c>
    </row>
    <row r="5503" spans="1:2" x14ac:dyDescent="0.25">
      <c r="A5503">
        <v>22072020000</v>
      </c>
      <c r="B5503" t="s">
        <v>1706</v>
      </c>
    </row>
    <row r="5504" spans="1:2" x14ac:dyDescent="0.25">
      <c r="A5504">
        <v>2208</v>
      </c>
      <c r="B5504" t="s">
        <v>1707</v>
      </c>
    </row>
    <row r="5505" spans="1:2" x14ac:dyDescent="0.25">
      <c r="A5505">
        <v>22082000</v>
      </c>
      <c r="B5505" t="e">
        <f>- aguardiente de Vino o de orujo de uvas</f>
        <v>#NAME?</v>
      </c>
    </row>
    <row r="5506" spans="1:2" x14ac:dyDescent="0.25">
      <c r="A5506">
        <v>22082000100</v>
      </c>
      <c r="B5506" t="s">
        <v>1708</v>
      </c>
    </row>
    <row r="5507" spans="1:2" x14ac:dyDescent="0.25">
      <c r="A5507">
        <v>22082000900</v>
      </c>
      <c r="B5507" t="s">
        <v>1709</v>
      </c>
    </row>
    <row r="5508" spans="1:2" x14ac:dyDescent="0.25">
      <c r="A5508">
        <v>220830</v>
      </c>
      <c r="B5508" t="e">
        <f>- Whisky</f>
        <v>#NAME?</v>
      </c>
    </row>
    <row r="5509" spans="1:2" x14ac:dyDescent="0.25">
      <c r="A5509">
        <v>22083010000</v>
      </c>
      <c r="B5509" t="s">
        <v>1710</v>
      </c>
    </row>
    <row r="5510" spans="1:2" x14ac:dyDescent="0.25">
      <c r="A5510">
        <v>22083020000</v>
      </c>
      <c r="B5510" t="s">
        <v>1711</v>
      </c>
    </row>
    <row r="5511" spans="1:2" x14ac:dyDescent="0.25">
      <c r="A5511">
        <v>22083090000</v>
      </c>
      <c r="B5511" t="s">
        <v>10</v>
      </c>
    </row>
    <row r="5512" spans="1:2" x14ac:dyDescent="0.25">
      <c r="A5512">
        <v>22084000</v>
      </c>
      <c r="B5512" t="e">
        <f>- Ron y demas aguardientes procedentes de la destilacion. previa fermentacion. de Productos de la Caña de azucar</f>
        <v>#NAME?</v>
      </c>
    </row>
    <row r="5513" spans="1:2" x14ac:dyDescent="0.25">
      <c r="A5513">
        <v>220840001</v>
      </c>
      <c r="B5513" t="s">
        <v>1712</v>
      </c>
    </row>
    <row r="5514" spans="1:2" x14ac:dyDescent="0.25">
      <c r="A5514">
        <v>22084000110</v>
      </c>
      <c r="B5514" t="s">
        <v>1713</v>
      </c>
    </row>
    <row r="5515" spans="1:2" x14ac:dyDescent="0.25">
      <c r="A5515">
        <v>22084000190</v>
      </c>
      <c r="B5515" t="s">
        <v>10</v>
      </c>
    </row>
    <row r="5516" spans="1:2" x14ac:dyDescent="0.25">
      <c r="A5516">
        <v>22084000200</v>
      </c>
      <c r="B5516" t="s">
        <v>1714</v>
      </c>
    </row>
    <row r="5517" spans="1:2" x14ac:dyDescent="0.25">
      <c r="A5517">
        <v>22085000000</v>
      </c>
      <c r="B5517" t="e">
        <f>-Gin y ginebra</f>
        <v>#NAME?</v>
      </c>
    </row>
    <row r="5518" spans="1:2" x14ac:dyDescent="0.25">
      <c r="A5518">
        <v>22086000000</v>
      </c>
      <c r="B5518" t="e">
        <f>-Vodka</f>
        <v>#NAME?</v>
      </c>
    </row>
    <row r="5519" spans="1:2" x14ac:dyDescent="0.25">
      <c r="A5519">
        <v>22087000</v>
      </c>
      <c r="B5519" t="e">
        <f>- Licores</f>
        <v>#NAME?</v>
      </c>
    </row>
    <row r="5520" spans="1:2" x14ac:dyDescent="0.25">
      <c r="A5520">
        <v>22087000100</v>
      </c>
      <c r="B5520" t="s">
        <v>1715</v>
      </c>
    </row>
    <row r="5521" spans="1:2" x14ac:dyDescent="0.25">
      <c r="A5521">
        <v>22087000200</v>
      </c>
      <c r="B5521" t="s">
        <v>1716</v>
      </c>
    </row>
    <row r="5522" spans="1:2" x14ac:dyDescent="0.25">
      <c r="A5522">
        <v>22089000</v>
      </c>
      <c r="B5522" t="e">
        <f>- Los demas</f>
        <v>#NAME?</v>
      </c>
    </row>
    <row r="5523" spans="1:2" x14ac:dyDescent="0.25">
      <c r="A5523">
        <v>220890001</v>
      </c>
      <c r="B5523" t="s">
        <v>1717</v>
      </c>
    </row>
    <row r="5524" spans="1:2" x14ac:dyDescent="0.25">
      <c r="A5524">
        <v>22089000110</v>
      </c>
      <c r="B5524" t="s">
        <v>1713</v>
      </c>
    </row>
    <row r="5525" spans="1:2" x14ac:dyDescent="0.25">
      <c r="A5525">
        <v>22089000190</v>
      </c>
      <c r="B5525" t="s">
        <v>10</v>
      </c>
    </row>
    <row r="5526" spans="1:2" x14ac:dyDescent="0.25">
      <c r="A5526">
        <v>22089000200</v>
      </c>
      <c r="B5526" t="s">
        <v>1718</v>
      </c>
    </row>
    <row r="5527" spans="1:2" x14ac:dyDescent="0.25">
      <c r="A5527">
        <v>22089000300</v>
      </c>
      <c r="B5527" t="s">
        <v>1719</v>
      </c>
    </row>
    <row r="5528" spans="1:2" x14ac:dyDescent="0.25">
      <c r="A5528">
        <v>22089000400</v>
      </c>
      <c r="B5528" t="s">
        <v>1720</v>
      </c>
    </row>
    <row r="5529" spans="1:2" x14ac:dyDescent="0.25">
      <c r="A5529">
        <v>220890009</v>
      </c>
      <c r="B5529" t="s">
        <v>10</v>
      </c>
    </row>
    <row r="5530" spans="1:2" x14ac:dyDescent="0.25">
      <c r="A5530">
        <v>22089000910</v>
      </c>
      <c r="B5530" t="s">
        <v>1721</v>
      </c>
    </row>
    <row r="5531" spans="1:2" x14ac:dyDescent="0.25">
      <c r="A5531">
        <v>22089000920</v>
      </c>
      <c r="B5531" t="s">
        <v>1722</v>
      </c>
    </row>
    <row r="5532" spans="1:2" x14ac:dyDescent="0.25">
      <c r="A5532">
        <v>22089000990</v>
      </c>
      <c r="B5532" t="s">
        <v>10</v>
      </c>
    </row>
    <row r="5533" spans="1:2" x14ac:dyDescent="0.25">
      <c r="A5533">
        <v>22090000000</v>
      </c>
      <c r="B5533" t="s">
        <v>1723</v>
      </c>
    </row>
    <row r="5534" spans="1:2" x14ac:dyDescent="0.25">
      <c r="A5534">
        <v>2301</v>
      </c>
      <c r="B5534" t="s">
        <v>1724</v>
      </c>
    </row>
    <row r="5535" spans="1:2" x14ac:dyDescent="0.25">
      <c r="A5535">
        <v>230110</v>
      </c>
      <c r="B5535" t="s">
        <v>1725</v>
      </c>
    </row>
    <row r="5536" spans="1:2" x14ac:dyDescent="0.25">
      <c r="A5536">
        <v>23011010</v>
      </c>
      <c r="B5536" t="s">
        <v>1631</v>
      </c>
    </row>
    <row r="5537" spans="1:2" x14ac:dyDescent="0.25">
      <c r="A5537">
        <v>23011010100</v>
      </c>
      <c r="B5537" t="s">
        <v>1726</v>
      </c>
    </row>
    <row r="5538" spans="1:2" x14ac:dyDescent="0.25">
      <c r="A5538">
        <v>23011010900</v>
      </c>
      <c r="B5538" t="s">
        <v>10</v>
      </c>
    </row>
    <row r="5539" spans="1:2" x14ac:dyDescent="0.25">
      <c r="A5539">
        <v>23011090000</v>
      </c>
      <c r="B5539" t="s">
        <v>10</v>
      </c>
    </row>
    <row r="5540" spans="1:2" x14ac:dyDescent="0.25">
      <c r="A5540">
        <v>230120</v>
      </c>
      <c r="B5540" t="s">
        <v>1727</v>
      </c>
    </row>
    <row r="5541" spans="1:2" x14ac:dyDescent="0.25">
      <c r="A5541">
        <v>23012010</v>
      </c>
      <c r="B5541" t="s">
        <v>1728</v>
      </c>
    </row>
    <row r="5542" spans="1:2" x14ac:dyDescent="0.25">
      <c r="A5542">
        <v>230120101</v>
      </c>
      <c r="B5542" t="s">
        <v>1726</v>
      </c>
    </row>
    <row r="5543" spans="1:2" x14ac:dyDescent="0.25">
      <c r="A5543">
        <v>23012010110</v>
      </c>
      <c r="B5543" t="s">
        <v>320</v>
      </c>
    </row>
    <row r="5544" spans="1:2" x14ac:dyDescent="0.25">
      <c r="A5544">
        <v>23012010190</v>
      </c>
      <c r="B5544" t="s">
        <v>57</v>
      </c>
    </row>
    <row r="5545" spans="1:2" x14ac:dyDescent="0.25">
      <c r="A5545">
        <v>23012010900</v>
      </c>
      <c r="B5545" t="s">
        <v>10</v>
      </c>
    </row>
    <row r="5546" spans="1:2" x14ac:dyDescent="0.25">
      <c r="A5546">
        <v>23012090</v>
      </c>
      <c r="B5546" t="s">
        <v>10</v>
      </c>
    </row>
    <row r="5547" spans="1:2" x14ac:dyDescent="0.25">
      <c r="A5547">
        <v>230120901</v>
      </c>
      <c r="B5547" t="s">
        <v>1729</v>
      </c>
    </row>
    <row r="5548" spans="1:2" x14ac:dyDescent="0.25">
      <c r="A5548">
        <v>23012090110</v>
      </c>
      <c r="B5548" t="s">
        <v>1730</v>
      </c>
    </row>
    <row r="5549" spans="1:2" x14ac:dyDescent="0.25">
      <c r="A5549">
        <v>23012090190</v>
      </c>
      <c r="B5549" t="s">
        <v>57</v>
      </c>
    </row>
    <row r="5550" spans="1:2" x14ac:dyDescent="0.25">
      <c r="A5550">
        <v>23012090900</v>
      </c>
      <c r="B5550" t="s">
        <v>10</v>
      </c>
    </row>
    <row r="5551" spans="1:2" x14ac:dyDescent="0.25">
      <c r="A5551">
        <v>2302</v>
      </c>
      <c r="B5551" t="s">
        <v>1731</v>
      </c>
    </row>
    <row r="5552" spans="1:2" x14ac:dyDescent="0.25">
      <c r="A5552">
        <v>23021000000</v>
      </c>
      <c r="B5552" t="e">
        <f>-de Maiz</f>
        <v>#NAME?</v>
      </c>
    </row>
    <row r="5553" spans="1:2" x14ac:dyDescent="0.25">
      <c r="A5553">
        <v>230230</v>
      </c>
      <c r="B5553" t="e">
        <f>- de Trigo</f>
        <v>#NAME?</v>
      </c>
    </row>
    <row r="5554" spans="1:2" x14ac:dyDescent="0.25">
      <c r="A5554">
        <v>23023010</v>
      </c>
      <c r="B5554" t="s">
        <v>1732</v>
      </c>
    </row>
    <row r="5555" spans="1:2" x14ac:dyDescent="0.25">
      <c r="A5555">
        <v>230230101</v>
      </c>
      <c r="B5555" t="s">
        <v>1733</v>
      </c>
    </row>
    <row r="5556" spans="1:2" x14ac:dyDescent="0.25">
      <c r="A5556">
        <v>23023010110</v>
      </c>
      <c r="B5556" t="s">
        <v>1734</v>
      </c>
    </row>
    <row r="5557" spans="1:2" x14ac:dyDescent="0.25">
      <c r="A5557">
        <v>2302301019</v>
      </c>
      <c r="B5557" t="s">
        <v>57</v>
      </c>
    </row>
    <row r="5558" spans="1:2" x14ac:dyDescent="0.25">
      <c r="A5558">
        <v>23023010191</v>
      </c>
      <c r="B5558" t="s">
        <v>962</v>
      </c>
    </row>
    <row r="5559" spans="1:2" x14ac:dyDescent="0.25">
      <c r="A5559">
        <v>23023010199</v>
      </c>
      <c r="B5559" t="s">
        <v>10</v>
      </c>
    </row>
    <row r="5560" spans="1:2" x14ac:dyDescent="0.25">
      <c r="A5560">
        <v>230230109</v>
      </c>
      <c r="B5560" t="s">
        <v>794</v>
      </c>
    </row>
    <row r="5561" spans="1:2" x14ac:dyDescent="0.25">
      <c r="A5561">
        <v>23023010910</v>
      </c>
      <c r="B5561" t="s">
        <v>962</v>
      </c>
    </row>
    <row r="5562" spans="1:2" x14ac:dyDescent="0.25">
      <c r="A5562">
        <v>23023010990</v>
      </c>
      <c r="B5562" t="s">
        <v>10</v>
      </c>
    </row>
    <row r="5563" spans="1:2" x14ac:dyDescent="0.25">
      <c r="A5563">
        <v>23023090</v>
      </c>
      <c r="B5563" t="s">
        <v>10</v>
      </c>
    </row>
    <row r="5564" spans="1:2" x14ac:dyDescent="0.25">
      <c r="A5564">
        <v>230230901</v>
      </c>
      <c r="B5564" t="s">
        <v>1733</v>
      </c>
    </row>
    <row r="5565" spans="1:2" x14ac:dyDescent="0.25">
      <c r="A5565">
        <v>23023090110</v>
      </c>
      <c r="B5565" t="s">
        <v>1735</v>
      </c>
    </row>
    <row r="5566" spans="1:2" x14ac:dyDescent="0.25">
      <c r="A5566">
        <v>2302309019</v>
      </c>
      <c r="B5566" t="s">
        <v>57</v>
      </c>
    </row>
    <row r="5567" spans="1:2" x14ac:dyDescent="0.25">
      <c r="A5567">
        <v>23023090191</v>
      </c>
      <c r="B5567" t="s">
        <v>962</v>
      </c>
    </row>
    <row r="5568" spans="1:2" x14ac:dyDescent="0.25">
      <c r="A5568">
        <v>23023090199</v>
      </c>
      <c r="B5568" t="s">
        <v>10</v>
      </c>
    </row>
    <row r="5569" spans="1:2" x14ac:dyDescent="0.25">
      <c r="A5569">
        <v>23023090900</v>
      </c>
      <c r="B5569" t="s">
        <v>10</v>
      </c>
    </row>
    <row r="5570" spans="1:2" x14ac:dyDescent="0.25">
      <c r="A5570">
        <v>23024000</v>
      </c>
      <c r="B5570" t="e">
        <f>- de Los demas cereales</f>
        <v>#NAME?</v>
      </c>
    </row>
    <row r="5571" spans="1:2" x14ac:dyDescent="0.25">
      <c r="A5571">
        <v>230240001</v>
      </c>
      <c r="B5571" t="s">
        <v>1022</v>
      </c>
    </row>
    <row r="5572" spans="1:2" x14ac:dyDescent="0.25">
      <c r="A5572">
        <v>23024000110</v>
      </c>
      <c r="B5572" t="s">
        <v>1732</v>
      </c>
    </row>
    <row r="5573" spans="1:2" x14ac:dyDescent="0.25">
      <c r="A5573">
        <v>23024000190</v>
      </c>
      <c r="B5573" t="s">
        <v>10</v>
      </c>
    </row>
    <row r="5574" spans="1:2" x14ac:dyDescent="0.25">
      <c r="A5574">
        <v>23024000900</v>
      </c>
      <c r="B5574" t="s">
        <v>10</v>
      </c>
    </row>
    <row r="5575" spans="1:2" x14ac:dyDescent="0.25">
      <c r="A5575">
        <v>23025000</v>
      </c>
      <c r="B5575" t="e">
        <f>- de leguminosas</f>
        <v>#NAME?</v>
      </c>
    </row>
    <row r="5576" spans="1:2" x14ac:dyDescent="0.25">
      <c r="A5576">
        <v>23025000100</v>
      </c>
      <c r="B5576" t="s">
        <v>1736</v>
      </c>
    </row>
    <row r="5577" spans="1:2" x14ac:dyDescent="0.25">
      <c r="A5577">
        <v>230250009</v>
      </c>
      <c r="B5577" t="s">
        <v>10</v>
      </c>
    </row>
    <row r="5578" spans="1:2" x14ac:dyDescent="0.25">
      <c r="A5578">
        <v>23025000910</v>
      </c>
      <c r="B5578" t="s">
        <v>1737</v>
      </c>
    </row>
    <row r="5579" spans="1:2" x14ac:dyDescent="0.25">
      <c r="A5579">
        <v>23025000990</v>
      </c>
      <c r="B5579" t="s">
        <v>10</v>
      </c>
    </row>
    <row r="5580" spans="1:2" x14ac:dyDescent="0.25">
      <c r="A5580">
        <v>2303</v>
      </c>
      <c r="B5580" t="s">
        <v>1738</v>
      </c>
    </row>
    <row r="5581" spans="1:2" x14ac:dyDescent="0.25">
      <c r="A5581">
        <v>23031000000</v>
      </c>
      <c r="B5581" t="e">
        <f>-Residuos de la industria del Almidon y Residuos similares</f>
        <v>#NAME?</v>
      </c>
    </row>
    <row r="5582" spans="1:2" x14ac:dyDescent="0.25">
      <c r="A5582">
        <v>23032000000</v>
      </c>
      <c r="B5582" t="e">
        <f>-Pulpa de remolacha. bagazo de Caña de azucar y demas desperdicios de la industria azucarera</f>
        <v>#NAME?</v>
      </c>
    </row>
    <row r="5583" spans="1:2" x14ac:dyDescent="0.25">
      <c r="A5583">
        <v>23033000000</v>
      </c>
      <c r="B5583" t="e">
        <f>-Heces y desperdicios de cerveceria o de destileria</f>
        <v>#NAME?</v>
      </c>
    </row>
    <row r="5584" spans="1:2" x14ac:dyDescent="0.25">
      <c r="A5584">
        <v>230400</v>
      </c>
      <c r="B5584" t="s">
        <v>1739</v>
      </c>
    </row>
    <row r="5585" spans="1:2" x14ac:dyDescent="0.25">
      <c r="A5585">
        <v>23040010</v>
      </c>
      <c r="B5585" t="s">
        <v>1740</v>
      </c>
    </row>
    <row r="5586" spans="1:2" x14ac:dyDescent="0.25">
      <c r="A5586">
        <v>23040010100</v>
      </c>
      <c r="B5586" t="s">
        <v>1741</v>
      </c>
    </row>
    <row r="5587" spans="1:2" x14ac:dyDescent="0.25">
      <c r="A5587">
        <v>23040010200</v>
      </c>
      <c r="B5587" t="s">
        <v>1733</v>
      </c>
    </row>
    <row r="5588" spans="1:2" x14ac:dyDescent="0.25">
      <c r="A5588">
        <v>23040090</v>
      </c>
      <c r="B5588" t="s">
        <v>10</v>
      </c>
    </row>
    <row r="5589" spans="1:2" x14ac:dyDescent="0.25">
      <c r="A5589">
        <v>23040090100</v>
      </c>
      <c r="B5589" t="s">
        <v>1742</v>
      </c>
    </row>
    <row r="5590" spans="1:2" x14ac:dyDescent="0.25">
      <c r="A5590">
        <v>23040090200</v>
      </c>
      <c r="B5590" t="s">
        <v>1743</v>
      </c>
    </row>
    <row r="5591" spans="1:2" x14ac:dyDescent="0.25">
      <c r="A5591">
        <v>23040090900</v>
      </c>
      <c r="B5591" t="s">
        <v>57</v>
      </c>
    </row>
    <row r="5592" spans="1:2" x14ac:dyDescent="0.25">
      <c r="A5592">
        <v>23050000</v>
      </c>
      <c r="B5592" t="s">
        <v>1744</v>
      </c>
    </row>
    <row r="5593" spans="1:2" x14ac:dyDescent="0.25">
      <c r="A5593">
        <v>23050000100</v>
      </c>
      <c r="B5593" t="s">
        <v>1742</v>
      </c>
    </row>
    <row r="5594" spans="1:2" x14ac:dyDescent="0.25">
      <c r="A5594">
        <v>23050000200</v>
      </c>
      <c r="B5594" t="s">
        <v>1745</v>
      </c>
    </row>
    <row r="5595" spans="1:2" x14ac:dyDescent="0.25">
      <c r="A5595">
        <v>23050000300</v>
      </c>
      <c r="B5595" t="s">
        <v>1733</v>
      </c>
    </row>
    <row r="5596" spans="1:2" x14ac:dyDescent="0.25">
      <c r="A5596">
        <v>23050000400</v>
      </c>
      <c r="B5596" t="s">
        <v>1741</v>
      </c>
    </row>
    <row r="5597" spans="1:2" x14ac:dyDescent="0.25">
      <c r="A5597">
        <v>23050000900</v>
      </c>
      <c r="B5597" t="s">
        <v>57</v>
      </c>
    </row>
    <row r="5598" spans="1:2" x14ac:dyDescent="0.25">
      <c r="A5598">
        <v>2306</v>
      </c>
      <c r="B5598" t="s">
        <v>1746</v>
      </c>
    </row>
    <row r="5599" spans="1:2" x14ac:dyDescent="0.25">
      <c r="A5599">
        <v>23061000</v>
      </c>
      <c r="B5599" t="e">
        <f>- de Semillas de algodon</f>
        <v>#NAME?</v>
      </c>
    </row>
    <row r="5600" spans="1:2" x14ac:dyDescent="0.25">
      <c r="A5600">
        <v>23061000100</v>
      </c>
      <c r="B5600" t="s">
        <v>1742</v>
      </c>
    </row>
    <row r="5601" spans="1:2" x14ac:dyDescent="0.25">
      <c r="A5601">
        <v>23061000200</v>
      </c>
      <c r="B5601" t="s">
        <v>1745</v>
      </c>
    </row>
    <row r="5602" spans="1:2" x14ac:dyDescent="0.25">
      <c r="A5602">
        <v>23061000300</v>
      </c>
      <c r="B5602" t="s">
        <v>1733</v>
      </c>
    </row>
    <row r="5603" spans="1:2" x14ac:dyDescent="0.25">
      <c r="A5603">
        <v>23061000400</v>
      </c>
      <c r="B5603" t="s">
        <v>1741</v>
      </c>
    </row>
    <row r="5604" spans="1:2" x14ac:dyDescent="0.25">
      <c r="A5604">
        <v>23061000900</v>
      </c>
      <c r="B5604" t="s">
        <v>57</v>
      </c>
    </row>
    <row r="5605" spans="1:2" x14ac:dyDescent="0.25">
      <c r="A5605">
        <v>23062000</v>
      </c>
      <c r="B5605" t="e">
        <f>- de Semillas de lino</f>
        <v>#NAME?</v>
      </c>
    </row>
    <row r="5606" spans="1:2" x14ac:dyDescent="0.25">
      <c r="A5606">
        <v>23062000100</v>
      </c>
      <c r="B5606" t="s">
        <v>1747</v>
      </c>
    </row>
    <row r="5607" spans="1:2" x14ac:dyDescent="0.25">
      <c r="A5607">
        <v>23062000200</v>
      </c>
      <c r="B5607" t="s">
        <v>1743</v>
      </c>
    </row>
    <row r="5608" spans="1:2" x14ac:dyDescent="0.25">
      <c r="A5608">
        <v>23062000300</v>
      </c>
      <c r="B5608" t="s">
        <v>1748</v>
      </c>
    </row>
    <row r="5609" spans="1:2" x14ac:dyDescent="0.25">
      <c r="A5609">
        <v>23062000400</v>
      </c>
      <c r="B5609" t="s">
        <v>1749</v>
      </c>
    </row>
    <row r="5610" spans="1:2" x14ac:dyDescent="0.25">
      <c r="A5610">
        <v>23062000900</v>
      </c>
      <c r="B5610" t="s">
        <v>57</v>
      </c>
    </row>
    <row r="5611" spans="1:2" x14ac:dyDescent="0.25">
      <c r="A5611">
        <v>230630</v>
      </c>
      <c r="B5611" t="e">
        <f>- de Semillas de girasol</f>
        <v>#NAME?</v>
      </c>
    </row>
    <row r="5612" spans="1:2" x14ac:dyDescent="0.25">
      <c r="A5612">
        <v>23063010</v>
      </c>
      <c r="B5612" t="s">
        <v>1750</v>
      </c>
    </row>
    <row r="5613" spans="1:2" x14ac:dyDescent="0.25">
      <c r="A5613">
        <v>23063010100</v>
      </c>
      <c r="B5613" t="s">
        <v>1742</v>
      </c>
    </row>
    <row r="5614" spans="1:2" x14ac:dyDescent="0.25">
      <c r="A5614">
        <v>23063010200</v>
      </c>
      <c r="B5614" t="s">
        <v>1741</v>
      </c>
    </row>
    <row r="5615" spans="1:2" x14ac:dyDescent="0.25">
      <c r="A5615">
        <v>230630103</v>
      </c>
      <c r="B5615" t="s">
        <v>1733</v>
      </c>
    </row>
    <row r="5616" spans="1:2" x14ac:dyDescent="0.25">
      <c r="A5616">
        <v>23063010310</v>
      </c>
      <c r="B5616" t="s">
        <v>1751</v>
      </c>
    </row>
    <row r="5617" spans="1:2" x14ac:dyDescent="0.25">
      <c r="A5617">
        <v>23063010320</v>
      </c>
      <c r="B5617" t="s">
        <v>1752</v>
      </c>
    </row>
    <row r="5618" spans="1:2" x14ac:dyDescent="0.25">
      <c r="A5618">
        <v>23063090</v>
      </c>
      <c r="B5618" t="s">
        <v>10</v>
      </c>
    </row>
    <row r="5619" spans="1:2" x14ac:dyDescent="0.25">
      <c r="A5619">
        <v>23063090100</v>
      </c>
      <c r="B5619" t="s">
        <v>1745</v>
      </c>
    </row>
    <row r="5620" spans="1:2" x14ac:dyDescent="0.25">
      <c r="A5620">
        <v>23063090900</v>
      </c>
      <c r="B5620" t="s">
        <v>57</v>
      </c>
    </row>
    <row r="5621" spans="1:2" x14ac:dyDescent="0.25">
      <c r="A5621">
        <v>23064</v>
      </c>
      <c r="B5621" t="s">
        <v>1753</v>
      </c>
    </row>
    <row r="5622" spans="1:2" x14ac:dyDescent="0.25">
      <c r="A5622">
        <v>23064100</v>
      </c>
      <c r="B5622" t="e">
        <f>- - Con bajo contenido de acido erucico</f>
        <v>#NAME?</v>
      </c>
    </row>
    <row r="5623" spans="1:2" x14ac:dyDescent="0.25">
      <c r="A5623">
        <v>23064100100</v>
      </c>
      <c r="B5623" t="s">
        <v>1747</v>
      </c>
    </row>
    <row r="5624" spans="1:2" x14ac:dyDescent="0.25">
      <c r="A5624">
        <v>23064100200</v>
      </c>
      <c r="B5624" t="s">
        <v>1743</v>
      </c>
    </row>
    <row r="5625" spans="1:2" x14ac:dyDescent="0.25">
      <c r="A5625">
        <v>23064100300</v>
      </c>
      <c r="B5625" t="s">
        <v>1748</v>
      </c>
    </row>
    <row r="5626" spans="1:2" x14ac:dyDescent="0.25">
      <c r="A5626">
        <v>23064100400</v>
      </c>
      <c r="B5626" t="s">
        <v>1749</v>
      </c>
    </row>
    <row r="5627" spans="1:2" x14ac:dyDescent="0.25">
      <c r="A5627">
        <v>23064100900</v>
      </c>
      <c r="B5627" t="s">
        <v>57</v>
      </c>
    </row>
    <row r="5628" spans="1:2" x14ac:dyDescent="0.25">
      <c r="A5628">
        <v>23064900</v>
      </c>
      <c r="B5628" t="e">
        <f>- - Los demas</f>
        <v>#NAME?</v>
      </c>
    </row>
    <row r="5629" spans="1:2" x14ac:dyDescent="0.25">
      <c r="A5629">
        <v>23064900100</v>
      </c>
      <c r="B5629" t="s">
        <v>1747</v>
      </c>
    </row>
    <row r="5630" spans="1:2" x14ac:dyDescent="0.25">
      <c r="A5630">
        <v>23064900200</v>
      </c>
      <c r="B5630" t="s">
        <v>1743</v>
      </c>
    </row>
    <row r="5631" spans="1:2" x14ac:dyDescent="0.25">
      <c r="A5631">
        <v>23064900300</v>
      </c>
      <c r="B5631" t="s">
        <v>1748</v>
      </c>
    </row>
    <row r="5632" spans="1:2" x14ac:dyDescent="0.25">
      <c r="A5632">
        <v>23064900400</v>
      </c>
      <c r="B5632" t="s">
        <v>1749</v>
      </c>
    </row>
    <row r="5633" spans="1:2" x14ac:dyDescent="0.25">
      <c r="A5633">
        <v>23064900900</v>
      </c>
      <c r="B5633" t="s">
        <v>57</v>
      </c>
    </row>
    <row r="5634" spans="1:2" x14ac:dyDescent="0.25">
      <c r="A5634">
        <v>23065000000</v>
      </c>
      <c r="B5634" t="e">
        <f>-de coco o de copra</f>
        <v>#NAME?</v>
      </c>
    </row>
    <row r="5635" spans="1:2" x14ac:dyDescent="0.25">
      <c r="A5635">
        <v>23066000000</v>
      </c>
      <c r="B5635" t="e">
        <f>-de Nuez o de almendra de palma</f>
        <v>#NAME?</v>
      </c>
    </row>
    <row r="5636" spans="1:2" x14ac:dyDescent="0.25">
      <c r="A5636">
        <v>230690</v>
      </c>
      <c r="B5636" t="e">
        <f>- Los demas</f>
        <v>#NAME?</v>
      </c>
    </row>
    <row r="5637" spans="1:2" x14ac:dyDescent="0.25">
      <c r="A5637">
        <v>23069010000</v>
      </c>
      <c r="B5637" t="s">
        <v>1754</v>
      </c>
    </row>
    <row r="5638" spans="1:2" x14ac:dyDescent="0.25">
      <c r="A5638">
        <v>23069090000</v>
      </c>
      <c r="B5638" t="s">
        <v>10</v>
      </c>
    </row>
    <row r="5639" spans="1:2" x14ac:dyDescent="0.25">
      <c r="A5639">
        <v>23070000000</v>
      </c>
      <c r="B5639" t="s">
        <v>1755</v>
      </c>
    </row>
    <row r="5640" spans="1:2" x14ac:dyDescent="0.25">
      <c r="A5640">
        <v>23080000</v>
      </c>
      <c r="B5640" t="s">
        <v>1756</v>
      </c>
    </row>
    <row r="5641" spans="1:2" x14ac:dyDescent="0.25">
      <c r="A5641">
        <v>23080000100</v>
      </c>
      <c r="B5641" t="s">
        <v>1757</v>
      </c>
    </row>
    <row r="5642" spans="1:2" x14ac:dyDescent="0.25">
      <c r="A5642">
        <v>23080000900</v>
      </c>
      <c r="B5642" t="s">
        <v>10</v>
      </c>
    </row>
    <row r="5643" spans="1:2" x14ac:dyDescent="0.25">
      <c r="A5643">
        <v>2309</v>
      </c>
      <c r="B5643" t="s">
        <v>1758</v>
      </c>
    </row>
    <row r="5644" spans="1:2" x14ac:dyDescent="0.25">
      <c r="A5644">
        <v>23091000</v>
      </c>
      <c r="B5644" t="e">
        <f>- Alimentos para perros o gatos. acondicionados para la venta al por menor</f>
        <v>#NAME?</v>
      </c>
    </row>
    <row r="5645" spans="1:2" x14ac:dyDescent="0.25">
      <c r="A5645">
        <v>23091000100</v>
      </c>
      <c r="B5645" t="s">
        <v>1759</v>
      </c>
    </row>
    <row r="5646" spans="1:2" x14ac:dyDescent="0.25">
      <c r="A5646">
        <v>23091000900</v>
      </c>
      <c r="B5646" t="s">
        <v>1760</v>
      </c>
    </row>
    <row r="5647" spans="1:2" x14ac:dyDescent="0.25">
      <c r="A5647">
        <v>230990</v>
      </c>
      <c r="B5647" t="e">
        <f>- las demas</f>
        <v>#NAME?</v>
      </c>
    </row>
    <row r="5648" spans="1:2" x14ac:dyDescent="0.25">
      <c r="A5648">
        <v>23099010</v>
      </c>
      <c r="B5648" t="s">
        <v>1761</v>
      </c>
    </row>
    <row r="5649" spans="1:2" x14ac:dyDescent="0.25">
      <c r="A5649">
        <v>23099010100</v>
      </c>
      <c r="B5649" t="s">
        <v>1759</v>
      </c>
    </row>
    <row r="5650" spans="1:2" x14ac:dyDescent="0.25">
      <c r="A5650">
        <v>23099010200</v>
      </c>
      <c r="B5650" t="s">
        <v>1762</v>
      </c>
    </row>
    <row r="5651" spans="1:2" x14ac:dyDescent="0.25">
      <c r="A5651">
        <v>230990103</v>
      </c>
      <c r="B5651" t="s">
        <v>1763</v>
      </c>
    </row>
    <row r="5652" spans="1:2" x14ac:dyDescent="0.25">
      <c r="A5652">
        <v>2309901031</v>
      </c>
      <c r="B5652" t="s">
        <v>1764</v>
      </c>
    </row>
    <row r="5653" spans="1:2" x14ac:dyDescent="0.25">
      <c r="A5653">
        <v>23099010311</v>
      </c>
      <c r="B5653" t="s">
        <v>1765</v>
      </c>
    </row>
    <row r="5654" spans="1:2" x14ac:dyDescent="0.25">
      <c r="A5654">
        <v>23099010319</v>
      </c>
      <c r="B5654" t="s">
        <v>57</v>
      </c>
    </row>
    <row r="5655" spans="1:2" x14ac:dyDescent="0.25">
      <c r="A5655">
        <v>2309901032</v>
      </c>
      <c r="B5655" t="s">
        <v>1766</v>
      </c>
    </row>
    <row r="5656" spans="1:2" x14ac:dyDescent="0.25">
      <c r="A5656">
        <v>23099010321</v>
      </c>
      <c r="B5656" t="s">
        <v>1765</v>
      </c>
    </row>
    <row r="5657" spans="1:2" x14ac:dyDescent="0.25">
      <c r="A5657">
        <v>23099010329</v>
      </c>
      <c r="B5657" t="s">
        <v>57</v>
      </c>
    </row>
    <row r="5658" spans="1:2" x14ac:dyDescent="0.25">
      <c r="A5658">
        <v>2309901039</v>
      </c>
      <c r="B5658" t="s">
        <v>57</v>
      </c>
    </row>
    <row r="5659" spans="1:2" x14ac:dyDescent="0.25">
      <c r="A5659">
        <v>23099010391</v>
      </c>
      <c r="B5659" t="s">
        <v>1767</v>
      </c>
    </row>
    <row r="5660" spans="1:2" x14ac:dyDescent="0.25">
      <c r="A5660">
        <v>23099010399</v>
      </c>
      <c r="B5660" t="s">
        <v>57</v>
      </c>
    </row>
    <row r="5661" spans="1:2" x14ac:dyDescent="0.25">
      <c r="A5661">
        <v>230990109</v>
      </c>
      <c r="B5661" t="s">
        <v>10</v>
      </c>
    </row>
    <row r="5662" spans="1:2" x14ac:dyDescent="0.25">
      <c r="A5662">
        <v>23099010910</v>
      </c>
      <c r="B5662" t="s">
        <v>1768</v>
      </c>
    </row>
    <row r="5663" spans="1:2" x14ac:dyDescent="0.25">
      <c r="A5663">
        <v>23099010990</v>
      </c>
      <c r="B5663" t="s">
        <v>57</v>
      </c>
    </row>
    <row r="5664" spans="1:2" x14ac:dyDescent="0.25">
      <c r="A5664">
        <v>23099020</v>
      </c>
      <c r="B5664" t="s">
        <v>1769</v>
      </c>
    </row>
    <row r="5665" spans="1:2" x14ac:dyDescent="0.25">
      <c r="A5665">
        <v>23099020100</v>
      </c>
      <c r="B5665" t="s">
        <v>1759</v>
      </c>
    </row>
    <row r="5666" spans="1:2" x14ac:dyDescent="0.25">
      <c r="A5666">
        <v>23099020200</v>
      </c>
      <c r="B5666" t="s">
        <v>1770</v>
      </c>
    </row>
    <row r="5667" spans="1:2" x14ac:dyDescent="0.25">
      <c r="A5667">
        <v>23099020900</v>
      </c>
      <c r="B5667" t="s">
        <v>1760</v>
      </c>
    </row>
    <row r="5668" spans="1:2" x14ac:dyDescent="0.25">
      <c r="A5668">
        <v>23099030</v>
      </c>
      <c r="B5668" t="s">
        <v>1477</v>
      </c>
    </row>
    <row r="5669" spans="1:2" x14ac:dyDescent="0.25">
      <c r="A5669">
        <v>23099030100</v>
      </c>
      <c r="B5669" t="s">
        <v>1759</v>
      </c>
    </row>
    <row r="5670" spans="1:2" x14ac:dyDescent="0.25">
      <c r="A5670">
        <v>23099030200</v>
      </c>
      <c r="B5670" t="s">
        <v>1771</v>
      </c>
    </row>
    <row r="5671" spans="1:2" x14ac:dyDescent="0.25">
      <c r="A5671">
        <v>23099030900</v>
      </c>
      <c r="B5671" t="s">
        <v>10</v>
      </c>
    </row>
    <row r="5672" spans="1:2" x14ac:dyDescent="0.25">
      <c r="A5672">
        <v>23099040</v>
      </c>
      <c r="B5672" t="s">
        <v>1772</v>
      </c>
    </row>
    <row r="5673" spans="1:2" x14ac:dyDescent="0.25">
      <c r="A5673">
        <v>23099040100</v>
      </c>
      <c r="B5673" t="s">
        <v>1773</v>
      </c>
    </row>
    <row r="5674" spans="1:2" x14ac:dyDescent="0.25">
      <c r="A5674">
        <v>23099040900</v>
      </c>
      <c r="B5674" t="s">
        <v>57</v>
      </c>
    </row>
    <row r="5675" spans="1:2" x14ac:dyDescent="0.25">
      <c r="A5675">
        <v>23099050</v>
      </c>
      <c r="B5675" t="s">
        <v>1774</v>
      </c>
    </row>
    <row r="5676" spans="1:2" x14ac:dyDescent="0.25">
      <c r="A5676">
        <v>23099050100</v>
      </c>
      <c r="B5676" t="s">
        <v>1759</v>
      </c>
    </row>
    <row r="5677" spans="1:2" x14ac:dyDescent="0.25">
      <c r="A5677">
        <v>23099050900</v>
      </c>
      <c r="B5677" t="s">
        <v>10</v>
      </c>
    </row>
    <row r="5678" spans="1:2" x14ac:dyDescent="0.25">
      <c r="A5678">
        <v>23099060</v>
      </c>
      <c r="B5678" t="s">
        <v>1775</v>
      </c>
    </row>
    <row r="5679" spans="1:2" x14ac:dyDescent="0.25">
      <c r="A5679">
        <v>23099060100</v>
      </c>
      <c r="B5679" t="s">
        <v>1759</v>
      </c>
    </row>
    <row r="5680" spans="1:2" x14ac:dyDescent="0.25">
      <c r="A5680">
        <v>230990602</v>
      </c>
      <c r="B5680" t="s">
        <v>1763</v>
      </c>
    </row>
    <row r="5681" spans="1:2" x14ac:dyDescent="0.25">
      <c r="A5681">
        <v>23099060210</v>
      </c>
      <c r="B5681" t="s">
        <v>1776</v>
      </c>
    </row>
    <row r="5682" spans="1:2" x14ac:dyDescent="0.25">
      <c r="A5682">
        <v>23099060290</v>
      </c>
      <c r="B5682" t="s">
        <v>57</v>
      </c>
    </row>
    <row r="5683" spans="1:2" x14ac:dyDescent="0.25">
      <c r="A5683">
        <v>230990609</v>
      </c>
      <c r="B5683" t="s">
        <v>10</v>
      </c>
    </row>
    <row r="5684" spans="1:2" x14ac:dyDescent="0.25">
      <c r="A5684">
        <v>23099060910</v>
      </c>
      <c r="B5684" t="s">
        <v>1768</v>
      </c>
    </row>
    <row r="5685" spans="1:2" x14ac:dyDescent="0.25">
      <c r="A5685">
        <v>23099060990</v>
      </c>
      <c r="B5685" t="s">
        <v>57</v>
      </c>
    </row>
    <row r="5686" spans="1:2" x14ac:dyDescent="0.25">
      <c r="A5686">
        <v>23099090</v>
      </c>
      <c r="B5686" t="s">
        <v>57</v>
      </c>
    </row>
    <row r="5687" spans="1:2" x14ac:dyDescent="0.25">
      <c r="A5687">
        <v>23099090100</v>
      </c>
      <c r="B5687" t="s">
        <v>1759</v>
      </c>
    </row>
    <row r="5688" spans="1:2" x14ac:dyDescent="0.25">
      <c r="A5688">
        <v>23099090200</v>
      </c>
      <c r="B5688" t="s">
        <v>1762</v>
      </c>
    </row>
    <row r="5689" spans="1:2" x14ac:dyDescent="0.25">
      <c r="A5689">
        <v>230990909</v>
      </c>
      <c r="B5689" t="s">
        <v>1760</v>
      </c>
    </row>
    <row r="5690" spans="1:2" x14ac:dyDescent="0.25">
      <c r="A5690">
        <v>2309909091</v>
      </c>
      <c r="B5690" t="s">
        <v>1777</v>
      </c>
    </row>
    <row r="5691" spans="1:2" x14ac:dyDescent="0.25">
      <c r="A5691">
        <v>23099090911</v>
      </c>
      <c r="B5691" t="s">
        <v>1778</v>
      </c>
    </row>
    <row r="5692" spans="1:2" x14ac:dyDescent="0.25">
      <c r="A5692">
        <v>23099090919</v>
      </c>
      <c r="B5692" t="s">
        <v>10</v>
      </c>
    </row>
    <row r="5693" spans="1:2" x14ac:dyDescent="0.25">
      <c r="A5693">
        <v>2309909099</v>
      </c>
      <c r="B5693" t="s">
        <v>10</v>
      </c>
    </row>
    <row r="5694" spans="1:2" x14ac:dyDescent="0.25">
      <c r="A5694">
        <v>23099090991</v>
      </c>
      <c r="B5694" t="s">
        <v>1768</v>
      </c>
    </row>
    <row r="5695" spans="1:2" x14ac:dyDescent="0.25">
      <c r="A5695">
        <v>23099090999</v>
      </c>
      <c r="B5695" t="s">
        <v>57</v>
      </c>
    </row>
    <row r="5696" spans="1:2" x14ac:dyDescent="0.25">
      <c r="A5696">
        <v>2401</v>
      </c>
      <c r="B5696" t="s">
        <v>1779</v>
      </c>
    </row>
    <row r="5697" spans="1:2" x14ac:dyDescent="0.25">
      <c r="A5697">
        <v>240110</v>
      </c>
      <c r="B5697" t="e">
        <f>- Tabaco sin desvenar o desnervar</f>
        <v>#NAME?</v>
      </c>
    </row>
    <row r="5698" spans="1:2" x14ac:dyDescent="0.25">
      <c r="A5698">
        <v>24011010000</v>
      </c>
      <c r="B5698" t="s">
        <v>1780</v>
      </c>
    </row>
    <row r="5699" spans="1:2" x14ac:dyDescent="0.25">
      <c r="A5699">
        <v>24011020000</v>
      </c>
      <c r="B5699" t="s">
        <v>1781</v>
      </c>
    </row>
    <row r="5700" spans="1:2" x14ac:dyDescent="0.25">
      <c r="A5700">
        <v>24011030000</v>
      </c>
      <c r="B5700" t="s">
        <v>1782</v>
      </c>
    </row>
    <row r="5701" spans="1:2" x14ac:dyDescent="0.25">
      <c r="A5701">
        <v>24011040000</v>
      </c>
      <c r="B5701" t="s">
        <v>1783</v>
      </c>
    </row>
    <row r="5702" spans="1:2" x14ac:dyDescent="0.25">
      <c r="A5702">
        <v>24011090000</v>
      </c>
      <c r="B5702" t="s">
        <v>10</v>
      </c>
    </row>
    <row r="5703" spans="1:2" x14ac:dyDescent="0.25">
      <c r="A5703">
        <v>240120</v>
      </c>
      <c r="B5703" t="e">
        <f>- Tabaco total o parcialmente desvenado o desnervado</f>
        <v>#NAME?</v>
      </c>
    </row>
    <row r="5704" spans="1:2" x14ac:dyDescent="0.25">
      <c r="A5704">
        <v>24012010000</v>
      </c>
      <c r="B5704" t="s">
        <v>1780</v>
      </c>
    </row>
    <row r="5705" spans="1:2" x14ac:dyDescent="0.25">
      <c r="A5705">
        <v>24012020000</v>
      </c>
      <c r="B5705" t="s">
        <v>1781</v>
      </c>
    </row>
    <row r="5706" spans="1:2" x14ac:dyDescent="0.25">
      <c r="A5706">
        <v>24012030000</v>
      </c>
      <c r="B5706" t="s">
        <v>1782</v>
      </c>
    </row>
    <row r="5707" spans="1:2" x14ac:dyDescent="0.25">
      <c r="A5707">
        <v>24012040000</v>
      </c>
      <c r="B5707" t="s">
        <v>1784</v>
      </c>
    </row>
    <row r="5708" spans="1:2" x14ac:dyDescent="0.25">
      <c r="A5708">
        <v>24012090000</v>
      </c>
      <c r="B5708" t="s">
        <v>10</v>
      </c>
    </row>
    <row r="5709" spans="1:2" x14ac:dyDescent="0.25">
      <c r="A5709">
        <v>24013000000</v>
      </c>
      <c r="B5709" t="e">
        <f>-desperdicios de Tabaco</f>
        <v>#NAME?</v>
      </c>
    </row>
    <row r="5710" spans="1:2" x14ac:dyDescent="0.25">
      <c r="A5710">
        <v>2402</v>
      </c>
      <c r="B5710" t="s">
        <v>1785</v>
      </c>
    </row>
    <row r="5711" spans="1:2" x14ac:dyDescent="0.25">
      <c r="A5711">
        <v>24021000</v>
      </c>
      <c r="B5711" t="s">
        <v>1786</v>
      </c>
    </row>
    <row r="5712" spans="1:2" x14ac:dyDescent="0.25">
      <c r="A5712">
        <v>24021000100</v>
      </c>
      <c r="B5712" t="s">
        <v>1787</v>
      </c>
    </row>
    <row r="5713" spans="1:2" x14ac:dyDescent="0.25">
      <c r="A5713">
        <v>24021000200</v>
      </c>
      <c r="B5713" t="s">
        <v>1788</v>
      </c>
    </row>
    <row r="5714" spans="1:2" x14ac:dyDescent="0.25">
      <c r="A5714">
        <v>24021000900</v>
      </c>
      <c r="B5714" t="s">
        <v>10</v>
      </c>
    </row>
    <row r="5715" spans="1:2" x14ac:dyDescent="0.25">
      <c r="A5715">
        <v>24022000</v>
      </c>
      <c r="B5715" t="e">
        <f>- Cigarrillos que contengan Tabaco</f>
        <v>#NAME?</v>
      </c>
    </row>
    <row r="5716" spans="1:2" x14ac:dyDescent="0.25">
      <c r="A5716">
        <v>24022000100</v>
      </c>
      <c r="B5716" t="s">
        <v>1789</v>
      </c>
    </row>
    <row r="5717" spans="1:2" x14ac:dyDescent="0.25">
      <c r="A5717">
        <v>24022000200</v>
      </c>
      <c r="B5717" t="s">
        <v>1790</v>
      </c>
    </row>
    <row r="5718" spans="1:2" x14ac:dyDescent="0.25">
      <c r="A5718">
        <v>24029000</v>
      </c>
      <c r="B5718" t="e">
        <f>- Los demas</f>
        <v>#NAME?</v>
      </c>
    </row>
    <row r="5719" spans="1:2" x14ac:dyDescent="0.25">
      <c r="A5719">
        <v>24029000100</v>
      </c>
      <c r="B5719" t="s">
        <v>1791</v>
      </c>
    </row>
    <row r="5720" spans="1:2" x14ac:dyDescent="0.25">
      <c r="A5720">
        <v>24029000900</v>
      </c>
      <c r="B5720" t="s">
        <v>10</v>
      </c>
    </row>
    <row r="5721" spans="1:2" x14ac:dyDescent="0.25">
      <c r="A5721">
        <v>2403</v>
      </c>
      <c r="B5721" t="s">
        <v>1792</v>
      </c>
    </row>
    <row r="5722" spans="1:2" x14ac:dyDescent="0.25">
      <c r="A5722">
        <v>24031</v>
      </c>
      <c r="B5722" t="s">
        <v>1793</v>
      </c>
    </row>
    <row r="5723" spans="1:2" x14ac:dyDescent="0.25">
      <c r="A5723">
        <v>24031100000</v>
      </c>
      <c r="B5723" t="s">
        <v>1794</v>
      </c>
    </row>
    <row r="5724" spans="1:2" x14ac:dyDescent="0.25">
      <c r="A5724">
        <v>24031900</v>
      </c>
      <c r="B5724" t="e">
        <f>- - Los demas</f>
        <v>#NAME?</v>
      </c>
    </row>
    <row r="5725" spans="1:2" x14ac:dyDescent="0.25">
      <c r="A5725">
        <v>24031900100</v>
      </c>
      <c r="B5725" t="s">
        <v>1795</v>
      </c>
    </row>
    <row r="5726" spans="1:2" x14ac:dyDescent="0.25">
      <c r="A5726">
        <v>24031900900</v>
      </c>
      <c r="B5726" t="s">
        <v>10</v>
      </c>
    </row>
    <row r="5727" spans="1:2" x14ac:dyDescent="0.25">
      <c r="A5727">
        <v>24039</v>
      </c>
      <c r="B5727" t="s">
        <v>28</v>
      </c>
    </row>
    <row r="5728" spans="1:2" x14ac:dyDescent="0.25">
      <c r="A5728">
        <v>24039100000</v>
      </c>
      <c r="B5728" t="s">
        <v>1796</v>
      </c>
    </row>
    <row r="5729" spans="1:2" x14ac:dyDescent="0.25">
      <c r="A5729">
        <v>240399</v>
      </c>
      <c r="B5729" t="e">
        <f>- - Los demas</f>
        <v>#NAME?</v>
      </c>
    </row>
    <row r="5730" spans="1:2" x14ac:dyDescent="0.25">
      <c r="A5730">
        <v>24039910000</v>
      </c>
      <c r="B5730" t="s">
        <v>1797</v>
      </c>
    </row>
    <row r="5731" spans="1:2" x14ac:dyDescent="0.25">
      <c r="A5731">
        <v>24039990000</v>
      </c>
      <c r="B5731" t="s">
        <v>10</v>
      </c>
    </row>
    <row r="5732" spans="1:2" x14ac:dyDescent="0.25">
      <c r="A5732">
        <v>250100</v>
      </c>
      <c r="B5732" t="s">
        <v>1798</v>
      </c>
    </row>
    <row r="5733" spans="1:2" x14ac:dyDescent="0.25">
      <c r="A5733">
        <v>2501001</v>
      </c>
      <c r="B5733" t="s">
        <v>1799</v>
      </c>
    </row>
    <row r="5734" spans="1:2" x14ac:dyDescent="0.25">
      <c r="A5734">
        <v>25010011000</v>
      </c>
      <c r="B5734" t="s">
        <v>1800</v>
      </c>
    </row>
    <row r="5735" spans="1:2" x14ac:dyDescent="0.25">
      <c r="A5735">
        <v>25010019000</v>
      </c>
      <c r="B5735" t="s">
        <v>57</v>
      </c>
    </row>
    <row r="5736" spans="1:2" x14ac:dyDescent="0.25">
      <c r="A5736">
        <v>25010020000</v>
      </c>
      <c r="B5736" t="s">
        <v>1801</v>
      </c>
    </row>
    <row r="5737" spans="1:2" x14ac:dyDescent="0.25">
      <c r="A5737">
        <v>25010090</v>
      </c>
      <c r="B5737" t="s">
        <v>10</v>
      </c>
    </row>
    <row r="5738" spans="1:2" x14ac:dyDescent="0.25">
      <c r="A5738">
        <v>25010090100</v>
      </c>
      <c r="B5738" t="s">
        <v>1802</v>
      </c>
    </row>
    <row r="5739" spans="1:2" x14ac:dyDescent="0.25">
      <c r="A5739">
        <v>25010090900</v>
      </c>
      <c r="B5739" t="s">
        <v>10</v>
      </c>
    </row>
    <row r="5740" spans="1:2" x14ac:dyDescent="0.25">
      <c r="A5740">
        <v>25020000000</v>
      </c>
      <c r="B5740" t="s">
        <v>1803</v>
      </c>
    </row>
    <row r="5741" spans="1:2" x14ac:dyDescent="0.25">
      <c r="A5741">
        <v>250300</v>
      </c>
      <c r="B5741" t="s">
        <v>1804</v>
      </c>
    </row>
    <row r="5742" spans="1:2" x14ac:dyDescent="0.25">
      <c r="A5742">
        <v>25030010000</v>
      </c>
      <c r="B5742" t="s">
        <v>1231</v>
      </c>
    </row>
    <row r="5743" spans="1:2" x14ac:dyDescent="0.25">
      <c r="A5743">
        <v>25030090000</v>
      </c>
      <c r="B5743" t="s">
        <v>10</v>
      </c>
    </row>
    <row r="5744" spans="1:2" x14ac:dyDescent="0.25">
      <c r="A5744">
        <v>2504</v>
      </c>
      <c r="B5744" t="s">
        <v>1805</v>
      </c>
    </row>
    <row r="5745" spans="1:2" x14ac:dyDescent="0.25">
      <c r="A5745">
        <v>25041000</v>
      </c>
      <c r="B5745" t="e">
        <f>- En polvo o En escamas</f>
        <v>#NAME?</v>
      </c>
    </row>
    <row r="5746" spans="1:2" x14ac:dyDescent="0.25">
      <c r="A5746">
        <v>25041000100</v>
      </c>
      <c r="B5746" t="s">
        <v>1806</v>
      </c>
    </row>
    <row r="5747" spans="1:2" x14ac:dyDescent="0.25">
      <c r="A5747">
        <v>25041000200</v>
      </c>
      <c r="B5747" t="s">
        <v>1807</v>
      </c>
    </row>
    <row r="5748" spans="1:2" x14ac:dyDescent="0.25">
      <c r="A5748">
        <v>25049000000</v>
      </c>
      <c r="B5748" t="e">
        <f>-Los demas</f>
        <v>#NAME?</v>
      </c>
    </row>
    <row r="5749" spans="1:2" x14ac:dyDescent="0.25">
      <c r="A5749">
        <v>2505</v>
      </c>
      <c r="B5749" t="s">
        <v>1808</v>
      </c>
    </row>
    <row r="5750" spans="1:2" x14ac:dyDescent="0.25">
      <c r="A5750">
        <v>25051000</v>
      </c>
      <c r="B5750" t="e">
        <f>- Arenas siliceas y Arenas cuarzosas</f>
        <v>#NAME?</v>
      </c>
    </row>
    <row r="5751" spans="1:2" x14ac:dyDescent="0.25">
      <c r="A5751">
        <v>25051000100</v>
      </c>
      <c r="B5751" t="s">
        <v>1809</v>
      </c>
    </row>
    <row r="5752" spans="1:2" x14ac:dyDescent="0.25">
      <c r="A5752">
        <v>25051000200</v>
      </c>
      <c r="B5752" t="s">
        <v>1810</v>
      </c>
    </row>
    <row r="5753" spans="1:2" x14ac:dyDescent="0.25">
      <c r="A5753">
        <v>25059000</v>
      </c>
      <c r="B5753" t="e">
        <f>- las demas</f>
        <v>#NAME?</v>
      </c>
    </row>
    <row r="5754" spans="1:2" x14ac:dyDescent="0.25">
      <c r="A5754">
        <v>25059000100</v>
      </c>
      <c r="B5754" t="s">
        <v>1811</v>
      </c>
    </row>
    <row r="5755" spans="1:2" x14ac:dyDescent="0.25">
      <c r="A5755">
        <v>25059000200</v>
      </c>
      <c r="B5755" t="s">
        <v>1812</v>
      </c>
    </row>
    <row r="5756" spans="1:2" x14ac:dyDescent="0.25">
      <c r="A5756">
        <v>25059000300</v>
      </c>
      <c r="B5756" t="s">
        <v>1813</v>
      </c>
    </row>
    <row r="5757" spans="1:2" x14ac:dyDescent="0.25">
      <c r="A5757">
        <v>25059000900</v>
      </c>
      <c r="B5757" t="s">
        <v>57</v>
      </c>
    </row>
    <row r="5758" spans="1:2" x14ac:dyDescent="0.25">
      <c r="A5758">
        <v>2506</v>
      </c>
      <c r="B5758" t="s">
        <v>1814</v>
      </c>
    </row>
    <row r="5759" spans="1:2" x14ac:dyDescent="0.25">
      <c r="A5759">
        <v>25061000000</v>
      </c>
      <c r="B5759" t="e">
        <f>-Cuarzo</f>
        <v>#NAME?</v>
      </c>
    </row>
    <row r="5760" spans="1:2" x14ac:dyDescent="0.25">
      <c r="A5760">
        <v>25062000000</v>
      </c>
      <c r="B5760" t="e">
        <f>-Cuarcita</f>
        <v>#NAME?</v>
      </c>
    </row>
    <row r="5761" spans="1:2" x14ac:dyDescent="0.25">
      <c r="A5761">
        <v>250700</v>
      </c>
      <c r="B5761" t="s">
        <v>1815</v>
      </c>
    </row>
    <row r="5762" spans="1:2" x14ac:dyDescent="0.25">
      <c r="A5762">
        <v>25070010000</v>
      </c>
      <c r="B5762" t="s">
        <v>1816</v>
      </c>
    </row>
    <row r="5763" spans="1:2" x14ac:dyDescent="0.25">
      <c r="A5763">
        <v>25070090000</v>
      </c>
      <c r="B5763" t="s">
        <v>57</v>
      </c>
    </row>
    <row r="5764" spans="1:2" x14ac:dyDescent="0.25">
      <c r="A5764">
        <v>2508</v>
      </c>
      <c r="B5764" t="s">
        <v>1817</v>
      </c>
    </row>
    <row r="5765" spans="1:2" x14ac:dyDescent="0.25">
      <c r="A5765">
        <v>25081000000</v>
      </c>
      <c r="B5765" t="e">
        <f>-Bentonita</f>
        <v>#NAME?</v>
      </c>
    </row>
    <row r="5766" spans="1:2" x14ac:dyDescent="0.25">
      <c r="A5766">
        <v>25083000000</v>
      </c>
      <c r="B5766" t="e">
        <f>-Arcillas refractarias</f>
        <v>#NAME?</v>
      </c>
    </row>
    <row r="5767" spans="1:2" x14ac:dyDescent="0.25">
      <c r="A5767">
        <v>250840</v>
      </c>
      <c r="B5767" t="e">
        <f>- las demas Arcillas</f>
        <v>#NAME?</v>
      </c>
    </row>
    <row r="5768" spans="1:2" x14ac:dyDescent="0.25">
      <c r="A5768">
        <v>25084010000</v>
      </c>
      <c r="B5768" t="s">
        <v>1818</v>
      </c>
    </row>
    <row r="5769" spans="1:2" x14ac:dyDescent="0.25">
      <c r="A5769">
        <v>25084090000</v>
      </c>
      <c r="B5769" t="s">
        <v>57</v>
      </c>
    </row>
    <row r="5770" spans="1:2" x14ac:dyDescent="0.25">
      <c r="A5770">
        <v>25085000</v>
      </c>
      <c r="B5770" t="e">
        <f>- Andalucita. cianita y silimanita</f>
        <v>#NAME?</v>
      </c>
    </row>
    <row r="5771" spans="1:2" x14ac:dyDescent="0.25">
      <c r="A5771">
        <v>25085000100</v>
      </c>
      <c r="B5771" t="s">
        <v>1819</v>
      </c>
    </row>
    <row r="5772" spans="1:2" x14ac:dyDescent="0.25">
      <c r="A5772">
        <v>25085000200</v>
      </c>
      <c r="B5772" t="s">
        <v>1820</v>
      </c>
    </row>
    <row r="5773" spans="1:2" x14ac:dyDescent="0.25">
      <c r="A5773">
        <v>25085000300</v>
      </c>
      <c r="B5773" t="s">
        <v>1821</v>
      </c>
    </row>
    <row r="5774" spans="1:2" x14ac:dyDescent="0.25">
      <c r="A5774">
        <v>25086000000</v>
      </c>
      <c r="B5774" t="e">
        <f>-Mullita</f>
        <v>#NAME?</v>
      </c>
    </row>
    <row r="5775" spans="1:2" x14ac:dyDescent="0.25">
      <c r="A5775">
        <v>25087000</v>
      </c>
      <c r="B5775" t="e">
        <f>- Tierras de chamota o de dinas</f>
        <v>#NAME?</v>
      </c>
    </row>
    <row r="5776" spans="1:2" x14ac:dyDescent="0.25">
      <c r="A5776">
        <v>25087000100</v>
      </c>
      <c r="B5776" t="s">
        <v>1822</v>
      </c>
    </row>
    <row r="5777" spans="1:2" x14ac:dyDescent="0.25">
      <c r="A5777">
        <v>25087000200</v>
      </c>
      <c r="B5777" t="s">
        <v>1823</v>
      </c>
    </row>
    <row r="5778" spans="1:2" x14ac:dyDescent="0.25">
      <c r="A5778">
        <v>25090000000</v>
      </c>
      <c r="B5778" t="s">
        <v>1824</v>
      </c>
    </row>
    <row r="5779" spans="1:2" x14ac:dyDescent="0.25">
      <c r="A5779">
        <v>2510</v>
      </c>
      <c r="B5779" t="s">
        <v>1825</v>
      </c>
    </row>
    <row r="5780" spans="1:2" x14ac:dyDescent="0.25">
      <c r="A5780">
        <v>251010</v>
      </c>
      <c r="B5780" t="e">
        <f>- sin moler</f>
        <v>#NAME?</v>
      </c>
    </row>
    <row r="5781" spans="1:2" x14ac:dyDescent="0.25">
      <c r="A5781">
        <v>25101010000</v>
      </c>
      <c r="B5781" t="s">
        <v>1826</v>
      </c>
    </row>
    <row r="5782" spans="1:2" x14ac:dyDescent="0.25">
      <c r="A5782">
        <v>25101090</v>
      </c>
      <c r="B5782" t="s">
        <v>10</v>
      </c>
    </row>
    <row r="5783" spans="1:2" x14ac:dyDescent="0.25">
      <c r="A5783">
        <v>25101090100</v>
      </c>
      <c r="B5783" t="s">
        <v>1827</v>
      </c>
    </row>
    <row r="5784" spans="1:2" x14ac:dyDescent="0.25">
      <c r="A5784">
        <v>25101090200</v>
      </c>
      <c r="B5784" t="s">
        <v>1828</v>
      </c>
    </row>
    <row r="5785" spans="1:2" x14ac:dyDescent="0.25">
      <c r="A5785">
        <v>251020</v>
      </c>
      <c r="B5785" t="e">
        <f>- molidos</f>
        <v>#NAME?</v>
      </c>
    </row>
    <row r="5786" spans="1:2" x14ac:dyDescent="0.25">
      <c r="A5786">
        <v>25102010000</v>
      </c>
      <c r="B5786" t="s">
        <v>1826</v>
      </c>
    </row>
    <row r="5787" spans="1:2" x14ac:dyDescent="0.25">
      <c r="A5787">
        <v>25102090</v>
      </c>
      <c r="B5787" t="s">
        <v>10</v>
      </c>
    </row>
    <row r="5788" spans="1:2" x14ac:dyDescent="0.25">
      <c r="A5788">
        <v>25102090100</v>
      </c>
      <c r="B5788" t="s">
        <v>1827</v>
      </c>
    </row>
    <row r="5789" spans="1:2" x14ac:dyDescent="0.25">
      <c r="A5789">
        <v>25102090200</v>
      </c>
      <c r="B5789" t="s">
        <v>1828</v>
      </c>
    </row>
    <row r="5790" spans="1:2" x14ac:dyDescent="0.25">
      <c r="A5790">
        <v>2511</v>
      </c>
      <c r="B5790" t="s">
        <v>1829</v>
      </c>
    </row>
    <row r="5791" spans="1:2" x14ac:dyDescent="0.25">
      <c r="A5791">
        <v>25111000000</v>
      </c>
      <c r="B5791" t="e">
        <f>-Sulfato de bario natural (baritina)</f>
        <v>#NAME?</v>
      </c>
    </row>
    <row r="5792" spans="1:2" x14ac:dyDescent="0.25">
      <c r="A5792">
        <v>25112000000</v>
      </c>
      <c r="B5792" t="e">
        <f>-Carbonato de bario natural (witherita)</f>
        <v>#NAME?</v>
      </c>
    </row>
    <row r="5793" spans="1:2" x14ac:dyDescent="0.25">
      <c r="A5793">
        <v>25120000</v>
      </c>
      <c r="B5793" t="s">
        <v>1830</v>
      </c>
    </row>
    <row r="5794" spans="1:2" x14ac:dyDescent="0.25">
      <c r="A5794">
        <v>25120000100</v>
      </c>
      <c r="B5794" t="s">
        <v>1831</v>
      </c>
    </row>
    <row r="5795" spans="1:2" x14ac:dyDescent="0.25">
      <c r="A5795">
        <v>25120000200</v>
      </c>
      <c r="B5795" t="s">
        <v>1832</v>
      </c>
    </row>
    <row r="5796" spans="1:2" x14ac:dyDescent="0.25">
      <c r="A5796">
        <v>25120000300</v>
      </c>
      <c r="B5796" t="s">
        <v>1833</v>
      </c>
    </row>
    <row r="5797" spans="1:2" x14ac:dyDescent="0.25">
      <c r="A5797">
        <v>25120000900</v>
      </c>
      <c r="B5797" t="s">
        <v>57</v>
      </c>
    </row>
    <row r="5798" spans="1:2" x14ac:dyDescent="0.25">
      <c r="A5798">
        <v>2513</v>
      </c>
      <c r="B5798" t="s">
        <v>1834</v>
      </c>
    </row>
    <row r="5799" spans="1:2" x14ac:dyDescent="0.25">
      <c r="A5799">
        <v>25131000000</v>
      </c>
      <c r="B5799" t="e">
        <f>-Piedra pomez</f>
        <v>#NAME?</v>
      </c>
    </row>
    <row r="5800" spans="1:2" x14ac:dyDescent="0.25">
      <c r="A5800">
        <v>25132000</v>
      </c>
      <c r="B5800" t="e">
        <f>- Esmeril. corindon natural. granate natural y demas abrasivos naturales</f>
        <v>#NAME?</v>
      </c>
    </row>
    <row r="5801" spans="1:2" x14ac:dyDescent="0.25">
      <c r="A5801">
        <v>25132000100</v>
      </c>
      <c r="B5801" t="s">
        <v>1835</v>
      </c>
    </row>
    <row r="5802" spans="1:2" x14ac:dyDescent="0.25">
      <c r="A5802">
        <v>25132000200</v>
      </c>
      <c r="B5802" t="s">
        <v>1836</v>
      </c>
    </row>
    <row r="5803" spans="1:2" x14ac:dyDescent="0.25">
      <c r="A5803">
        <v>25132000300</v>
      </c>
      <c r="B5803" t="s">
        <v>1837</v>
      </c>
    </row>
    <row r="5804" spans="1:2" x14ac:dyDescent="0.25">
      <c r="A5804">
        <v>25132000900</v>
      </c>
      <c r="B5804" t="s">
        <v>1838</v>
      </c>
    </row>
    <row r="5805" spans="1:2" x14ac:dyDescent="0.25">
      <c r="A5805">
        <v>25140000</v>
      </c>
      <c r="B5805" t="s">
        <v>1839</v>
      </c>
    </row>
    <row r="5806" spans="1:2" x14ac:dyDescent="0.25">
      <c r="A5806">
        <v>25140000100</v>
      </c>
      <c r="B5806" t="s">
        <v>1840</v>
      </c>
    </row>
    <row r="5807" spans="1:2" x14ac:dyDescent="0.25">
      <c r="A5807">
        <v>25140000200</v>
      </c>
      <c r="B5807" t="s">
        <v>1841</v>
      </c>
    </row>
    <row r="5808" spans="1:2" x14ac:dyDescent="0.25">
      <c r="A5808">
        <v>25140000300</v>
      </c>
      <c r="B5808" t="s">
        <v>1842</v>
      </c>
    </row>
    <row r="5809" spans="1:2" x14ac:dyDescent="0.25">
      <c r="A5809">
        <v>2515</v>
      </c>
      <c r="B5809" t="s">
        <v>1843</v>
      </c>
    </row>
    <row r="5810" spans="1:2" x14ac:dyDescent="0.25">
      <c r="A5810">
        <v>25151</v>
      </c>
      <c r="B5810" t="s">
        <v>1844</v>
      </c>
    </row>
    <row r="5811" spans="1:2" x14ac:dyDescent="0.25">
      <c r="A5811">
        <v>25151100</v>
      </c>
      <c r="B5811" t="e">
        <f>- - En bruto o desbastados</f>
        <v>#NAME?</v>
      </c>
    </row>
    <row r="5812" spans="1:2" x14ac:dyDescent="0.25">
      <c r="A5812">
        <v>25151100100</v>
      </c>
      <c r="B5812" t="s">
        <v>1845</v>
      </c>
    </row>
    <row r="5813" spans="1:2" x14ac:dyDescent="0.25">
      <c r="A5813">
        <v>25151100900</v>
      </c>
      <c r="B5813" t="s">
        <v>10</v>
      </c>
    </row>
    <row r="5814" spans="1:2" x14ac:dyDescent="0.25">
      <c r="A5814">
        <v>251512</v>
      </c>
      <c r="B5814" t="e">
        <f>- - Simplemente troceados. por aserrado o de otro modo. En bloques o En placas cuadradas o rectangulares</f>
        <v>#NAME?</v>
      </c>
    </row>
    <row r="5815" spans="1:2" x14ac:dyDescent="0.25">
      <c r="A5815">
        <v>25151210000</v>
      </c>
      <c r="B5815" t="s">
        <v>1846</v>
      </c>
    </row>
    <row r="5816" spans="1:2" x14ac:dyDescent="0.25">
      <c r="A5816">
        <v>25151220000</v>
      </c>
      <c r="B5816" t="s">
        <v>1847</v>
      </c>
    </row>
    <row r="5817" spans="1:2" x14ac:dyDescent="0.25">
      <c r="A5817">
        <v>25152000000</v>
      </c>
      <c r="B5817" t="s">
        <v>1848</v>
      </c>
    </row>
    <row r="5818" spans="1:2" x14ac:dyDescent="0.25">
      <c r="A5818">
        <v>2516</v>
      </c>
      <c r="B5818" t="s">
        <v>1849</v>
      </c>
    </row>
    <row r="5819" spans="1:2" x14ac:dyDescent="0.25">
      <c r="A5819">
        <v>25161</v>
      </c>
      <c r="B5819" t="s">
        <v>1850</v>
      </c>
    </row>
    <row r="5820" spans="1:2" x14ac:dyDescent="0.25">
      <c r="A5820">
        <v>25161100000</v>
      </c>
      <c r="B5820" t="e">
        <f>--En bruto o desbastado</f>
        <v>#NAME?</v>
      </c>
    </row>
    <row r="5821" spans="1:2" x14ac:dyDescent="0.25">
      <c r="A5821">
        <v>25161200000</v>
      </c>
      <c r="B5821" t="e">
        <f>--Simplemente troceado. por aserrado o de otro modo. En bloques o En placas cuadradas o rectangulares</f>
        <v>#NAME?</v>
      </c>
    </row>
    <row r="5822" spans="1:2" x14ac:dyDescent="0.25">
      <c r="A5822">
        <v>25162000</v>
      </c>
      <c r="B5822" t="e">
        <f>- Arenisca</f>
        <v>#NAME?</v>
      </c>
    </row>
    <row r="5823" spans="1:2" x14ac:dyDescent="0.25">
      <c r="A5823">
        <v>25162000100</v>
      </c>
      <c r="B5823" t="s">
        <v>1851</v>
      </c>
    </row>
    <row r="5824" spans="1:2" x14ac:dyDescent="0.25">
      <c r="A5824">
        <v>25162000900</v>
      </c>
      <c r="B5824" t="s">
        <v>57</v>
      </c>
    </row>
    <row r="5825" spans="1:2" x14ac:dyDescent="0.25">
      <c r="A5825">
        <v>25169000</v>
      </c>
      <c r="B5825" t="e">
        <f>- las demas piedras de talla o de construccion</f>
        <v>#NAME?</v>
      </c>
    </row>
    <row r="5826" spans="1:2" x14ac:dyDescent="0.25">
      <c r="A5826">
        <v>251690001</v>
      </c>
      <c r="B5826" t="s">
        <v>1852</v>
      </c>
    </row>
    <row r="5827" spans="1:2" x14ac:dyDescent="0.25">
      <c r="A5827">
        <v>25169000110</v>
      </c>
      <c r="B5827" t="s">
        <v>1853</v>
      </c>
    </row>
    <row r="5828" spans="1:2" x14ac:dyDescent="0.25">
      <c r="A5828">
        <v>25169000120</v>
      </c>
      <c r="B5828" t="s">
        <v>1841</v>
      </c>
    </row>
    <row r="5829" spans="1:2" x14ac:dyDescent="0.25">
      <c r="A5829">
        <v>251690002</v>
      </c>
      <c r="B5829" t="s">
        <v>1854</v>
      </c>
    </row>
    <row r="5830" spans="1:2" x14ac:dyDescent="0.25">
      <c r="A5830">
        <v>25169000210</v>
      </c>
      <c r="B5830" t="s">
        <v>1853</v>
      </c>
    </row>
    <row r="5831" spans="1:2" x14ac:dyDescent="0.25">
      <c r="A5831">
        <v>25169000220</v>
      </c>
      <c r="B5831" t="s">
        <v>1841</v>
      </c>
    </row>
    <row r="5832" spans="1:2" x14ac:dyDescent="0.25">
      <c r="A5832">
        <v>251690009</v>
      </c>
      <c r="B5832" t="s">
        <v>57</v>
      </c>
    </row>
    <row r="5833" spans="1:2" x14ac:dyDescent="0.25">
      <c r="A5833">
        <v>25169000910</v>
      </c>
      <c r="B5833" t="s">
        <v>1855</v>
      </c>
    </row>
    <row r="5834" spans="1:2" x14ac:dyDescent="0.25">
      <c r="A5834">
        <v>25169000920</v>
      </c>
      <c r="B5834" t="s">
        <v>1856</v>
      </c>
    </row>
    <row r="5835" spans="1:2" x14ac:dyDescent="0.25">
      <c r="A5835">
        <v>25169000990</v>
      </c>
      <c r="B5835" t="s">
        <v>57</v>
      </c>
    </row>
    <row r="5836" spans="1:2" x14ac:dyDescent="0.25">
      <c r="A5836">
        <v>2517</v>
      </c>
      <c r="B5836" t="s">
        <v>1857</v>
      </c>
    </row>
    <row r="5837" spans="1:2" x14ac:dyDescent="0.25">
      <c r="A5837">
        <v>25171000000</v>
      </c>
      <c r="B5837" t="e">
        <f>-Cantos. grava. piedras machacadas. de Los tipos generalmente utilizados para hacer hormigon. o para firmes de carreteras. vias ferreas u otros balastos. guijarros y pedernal. incluso tratados termicamente</f>
        <v>#NAME?</v>
      </c>
    </row>
    <row r="5838" spans="1:2" x14ac:dyDescent="0.25">
      <c r="A5838">
        <v>25172000000</v>
      </c>
      <c r="B5838" t="s">
        <v>1858</v>
      </c>
    </row>
    <row r="5839" spans="1:2" x14ac:dyDescent="0.25">
      <c r="A5839">
        <v>25173000000</v>
      </c>
      <c r="B5839" t="e">
        <f>-Macadan alquitranado</f>
        <v>#NAME?</v>
      </c>
    </row>
    <row r="5840" spans="1:2" x14ac:dyDescent="0.25">
      <c r="A5840">
        <v>25174</v>
      </c>
      <c r="B5840" t="s">
        <v>1859</v>
      </c>
    </row>
    <row r="5841" spans="1:2" x14ac:dyDescent="0.25">
      <c r="A5841">
        <v>25174100000</v>
      </c>
      <c r="B5841" t="e">
        <f>--de Marmol</f>
        <v>#NAME?</v>
      </c>
    </row>
    <row r="5842" spans="1:2" x14ac:dyDescent="0.25">
      <c r="A5842">
        <v>25174900000</v>
      </c>
      <c r="B5842" t="e">
        <f>--Los demas</f>
        <v>#NAME?</v>
      </c>
    </row>
    <row r="5843" spans="1:2" x14ac:dyDescent="0.25">
      <c r="A5843">
        <v>2518</v>
      </c>
      <c r="B5843" t="s">
        <v>1860</v>
      </c>
    </row>
    <row r="5844" spans="1:2" x14ac:dyDescent="0.25">
      <c r="A5844">
        <v>25181000000</v>
      </c>
      <c r="B5844" t="s">
        <v>1861</v>
      </c>
    </row>
    <row r="5845" spans="1:2" x14ac:dyDescent="0.25">
      <c r="A5845">
        <v>25182000000</v>
      </c>
      <c r="B5845" t="e">
        <f>-Dolomita calcinada o sinterizada</f>
        <v>#NAME?</v>
      </c>
    </row>
    <row r="5846" spans="1:2" x14ac:dyDescent="0.25">
      <c r="A5846">
        <v>25183000000</v>
      </c>
      <c r="B5846" t="e">
        <f>-Aglomerado de Dolomita</f>
        <v>#NAME?</v>
      </c>
    </row>
    <row r="5847" spans="1:2" x14ac:dyDescent="0.25">
      <c r="A5847">
        <v>2519</v>
      </c>
      <c r="B5847" t="s">
        <v>1862</v>
      </c>
    </row>
    <row r="5848" spans="1:2" x14ac:dyDescent="0.25">
      <c r="A5848">
        <v>25191000000</v>
      </c>
      <c r="B5848" t="e">
        <f>-Carbonato de magnesio natural (magnesita)</f>
        <v>#NAME?</v>
      </c>
    </row>
    <row r="5849" spans="1:2" x14ac:dyDescent="0.25">
      <c r="A5849">
        <v>251990</v>
      </c>
      <c r="B5849" t="e">
        <f>- Los demas</f>
        <v>#NAME?</v>
      </c>
    </row>
    <row r="5850" spans="1:2" x14ac:dyDescent="0.25">
      <c r="A5850">
        <v>25199010000</v>
      </c>
      <c r="B5850" t="s">
        <v>1863</v>
      </c>
    </row>
    <row r="5851" spans="1:2" x14ac:dyDescent="0.25">
      <c r="A5851">
        <v>25199090</v>
      </c>
      <c r="B5851" t="s">
        <v>10</v>
      </c>
    </row>
    <row r="5852" spans="1:2" x14ac:dyDescent="0.25">
      <c r="A5852">
        <v>25199090100</v>
      </c>
      <c r="B5852" t="s">
        <v>1864</v>
      </c>
    </row>
    <row r="5853" spans="1:2" x14ac:dyDescent="0.25">
      <c r="A5853">
        <v>25199090200</v>
      </c>
      <c r="B5853" t="s">
        <v>1865</v>
      </c>
    </row>
    <row r="5854" spans="1:2" x14ac:dyDescent="0.25">
      <c r="A5854">
        <v>251990903</v>
      </c>
      <c r="B5854" t="s">
        <v>1866</v>
      </c>
    </row>
    <row r="5855" spans="1:2" x14ac:dyDescent="0.25">
      <c r="A5855">
        <v>25199090310</v>
      </c>
      <c r="B5855" t="s">
        <v>1867</v>
      </c>
    </row>
    <row r="5856" spans="1:2" x14ac:dyDescent="0.25">
      <c r="A5856">
        <v>25199090390</v>
      </c>
      <c r="B5856" t="s">
        <v>10</v>
      </c>
    </row>
    <row r="5857" spans="1:2" x14ac:dyDescent="0.25">
      <c r="A5857">
        <v>2520</v>
      </c>
      <c r="B5857" t="s">
        <v>1868</v>
      </c>
    </row>
    <row r="5858" spans="1:2" x14ac:dyDescent="0.25">
      <c r="A5858">
        <v>252010</v>
      </c>
      <c r="B5858" t="e">
        <f>- Yeso natural, anhidrita</f>
        <v>#NAME?</v>
      </c>
    </row>
    <row r="5859" spans="1:2" x14ac:dyDescent="0.25">
      <c r="A5859">
        <v>2520101</v>
      </c>
      <c r="B5859" t="s">
        <v>1869</v>
      </c>
    </row>
    <row r="5860" spans="1:2" x14ac:dyDescent="0.25">
      <c r="A5860">
        <v>25201011000</v>
      </c>
      <c r="B5860" t="s">
        <v>1870</v>
      </c>
    </row>
    <row r="5861" spans="1:2" x14ac:dyDescent="0.25">
      <c r="A5861">
        <v>25201019000</v>
      </c>
      <c r="B5861" t="s">
        <v>10</v>
      </c>
    </row>
    <row r="5862" spans="1:2" x14ac:dyDescent="0.25">
      <c r="A5862">
        <v>25201020000</v>
      </c>
      <c r="B5862" t="s">
        <v>1871</v>
      </c>
    </row>
    <row r="5863" spans="1:2" x14ac:dyDescent="0.25">
      <c r="A5863">
        <v>252020</v>
      </c>
      <c r="B5863" t="e">
        <f>- Yeso fraguable</f>
        <v>#NAME?</v>
      </c>
    </row>
    <row r="5864" spans="1:2" x14ac:dyDescent="0.25">
      <c r="A5864">
        <v>25202010000</v>
      </c>
      <c r="B5864" t="s">
        <v>1872</v>
      </c>
    </row>
    <row r="5865" spans="1:2" x14ac:dyDescent="0.25">
      <c r="A5865">
        <v>25202090000</v>
      </c>
      <c r="B5865" t="s">
        <v>10</v>
      </c>
    </row>
    <row r="5866" spans="1:2" x14ac:dyDescent="0.25">
      <c r="A5866">
        <v>25210000000</v>
      </c>
      <c r="B5866" t="s">
        <v>1873</v>
      </c>
    </row>
    <row r="5867" spans="1:2" x14ac:dyDescent="0.25">
      <c r="A5867">
        <v>2522</v>
      </c>
      <c r="B5867" t="s">
        <v>1874</v>
      </c>
    </row>
    <row r="5868" spans="1:2" x14ac:dyDescent="0.25">
      <c r="A5868">
        <v>25221000000</v>
      </c>
      <c r="B5868" t="e">
        <f>-Cal viva</f>
        <v>#NAME?</v>
      </c>
    </row>
    <row r="5869" spans="1:2" x14ac:dyDescent="0.25">
      <c r="A5869">
        <v>25222000000</v>
      </c>
      <c r="B5869" t="e">
        <f>-Cal apagada</f>
        <v>#NAME?</v>
      </c>
    </row>
    <row r="5870" spans="1:2" x14ac:dyDescent="0.25">
      <c r="A5870">
        <v>25223000000</v>
      </c>
      <c r="B5870" t="e">
        <f>-Cal hidraulica</f>
        <v>#NAME?</v>
      </c>
    </row>
    <row r="5871" spans="1:2" x14ac:dyDescent="0.25">
      <c r="A5871">
        <v>2523</v>
      </c>
      <c r="B5871" t="s">
        <v>1875</v>
      </c>
    </row>
    <row r="5872" spans="1:2" x14ac:dyDescent="0.25">
      <c r="A5872">
        <v>25231000000</v>
      </c>
      <c r="B5872" t="e">
        <f>-Cementos sin pulverizar o clinker</f>
        <v>#NAME?</v>
      </c>
    </row>
    <row r="5873" spans="1:2" x14ac:dyDescent="0.25">
      <c r="A5873">
        <v>25232</v>
      </c>
      <c r="B5873" t="s">
        <v>1876</v>
      </c>
    </row>
    <row r="5874" spans="1:2" x14ac:dyDescent="0.25">
      <c r="A5874">
        <v>25232100000</v>
      </c>
      <c r="B5874" t="e">
        <f>--Cemento blanco. incluso coloreado artificialmente</f>
        <v>#NAME?</v>
      </c>
    </row>
    <row r="5875" spans="1:2" x14ac:dyDescent="0.25">
      <c r="A5875">
        <v>252329</v>
      </c>
      <c r="B5875" t="e">
        <f>- - Los demas</f>
        <v>#NAME?</v>
      </c>
    </row>
    <row r="5876" spans="1:2" x14ac:dyDescent="0.25">
      <c r="A5876">
        <v>25232910000</v>
      </c>
      <c r="B5876" t="s">
        <v>1877</v>
      </c>
    </row>
    <row r="5877" spans="1:2" x14ac:dyDescent="0.25">
      <c r="A5877">
        <v>25232990</v>
      </c>
      <c r="B5877" t="s">
        <v>10</v>
      </c>
    </row>
    <row r="5878" spans="1:2" x14ac:dyDescent="0.25">
      <c r="A5878">
        <v>25232990100</v>
      </c>
      <c r="B5878" t="s">
        <v>1878</v>
      </c>
    </row>
    <row r="5879" spans="1:2" x14ac:dyDescent="0.25">
      <c r="A5879">
        <v>25232990900</v>
      </c>
      <c r="B5879" t="s">
        <v>10</v>
      </c>
    </row>
    <row r="5880" spans="1:2" x14ac:dyDescent="0.25">
      <c r="A5880">
        <v>25233000000</v>
      </c>
      <c r="B5880" t="e">
        <f>-Cementos aluminosos</f>
        <v>#NAME?</v>
      </c>
    </row>
    <row r="5881" spans="1:2" x14ac:dyDescent="0.25">
      <c r="A5881">
        <v>25239000</v>
      </c>
      <c r="B5881" t="e">
        <f>-Los demas Cementos hidraulicos</f>
        <v>#NAME?</v>
      </c>
    </row>
    <row r="5882" spans="1:2" x14ac:dyDescent="0.25">
      <c r="A5882">
        <v>25239000100</v>
      </c>
      <c r="B5882" t="s">
        <v>1879</v>
      </c>
    </row>
    <row r="5883" spans="1:2" x14ac:dyDescent="0.25">
      <c r="A5883">
        <v>25239000200</v>
      </c>
      <c r="B5883" t="s">
        <v>1880</v>
      </c>
    </row>
    <row r="5884" spans="1:2" x14ac:dyDescent="0.25">
      <c r="A5884">
        <v>25239000900</v>
      </c>
      <c r="B5884" t="s">
        <v>10</v>
      </c>
    </row>
    <row r="5885" spans="1:2" x14ac:dyDescent="0.25">
      <c r="A5885">
        <v>2524</v>
      </c>
      <c r="B5885" t="s">
        <v>1881</v>
      </c>
    </row>
    <row r="5886" spans="1:2" x14ac:dyDescent="0.25">
      <c r="A5886">
        <v>25241000000</v>
      </c>
      <c r="B5886" t="e">
        <f>-Crocidolita</f>
        <v>#NAME?</v>
      </c>
    </row>
    <row r="5887" spans="1:2" x14ac:dyDescent="0.25">
      <c r="A5887">
        <v>25249000</v>
      </c>
      <c r="B5887" t="e">
        <f>- Los demas</f>
        <v>#NAME?</v>
      </c>
    </row>
    <row r="5888" spans="1:2" x14ac:dyDescent="0.25">
      <c r="A5888">
        <v>25249000100</v>
      </c>
      <c r="B5888" t="s">
        <v>1882</v>
      </c>
    </row>
    <row r="5889" spans="1:2" x14ac:dyDescent="0.25">
      <c r="A5889">
        <v>25249000900</v>
      </c>
      <c r="B5889" t="s">
        <v>10</v>
      </c>
    </row>
    <row r="5890" spans="1:2" x14ac:dyDescent="0.25">
      <c r="A5890">
        <v>2525</v>
      </c>
      <c r="B5890" t="s">
        <v>1883</v>
      </c>
    </row>
    <row r="5891" spans="1:2" x14ac:dyDescent="0.25">
      <c r="A5891">
        <v>25251000000</v>
      </c>
      <c r="B5891" t="s">
        <v>1884</v>
      </c>
    </row>
    <row r="5892" spans="1:2" x14ac:dyDescent="0.25">
      <c r="A5892">
        <v>25252000000</v>
      </c>
      <c r="B5892" t="e">
        <f>-Mica En polvo</f>
        <v>#NAME?</v>
      </c>
    </row>
    <row r="5893" spans="1:2" x14ac:dyDescent="0.25">
      <c r="A5893">
        <v>25253000000</v>
      </c>
      <c r="B5893" t="e">
        <f>-desperdicios de Mica</f>
        <v>#NAME?</v>
      </c>
    </row>
    <row r="5894" spans="1:2" x14ac:dyDescent="0.25">
      <c r="A5894">
        <v>2526</v>
      </c>
      <c r="B5894" t="s">
        <v>1885</v>
      </c>
    </row>
    <row r="5895" spans="1:2" x14ac:dyDescent="0.25">
      <c r="A5895">
        <v>25261000</v>
      </c>
      <c r="B5895" t="e">
        <f>- sin triturar ni pulverizar</f>
        <v>#NAME?</v>
      </c>
    </row>
    <row r="5896" spans="1:2" x14ac:dyDescent="0.25">
      <c r="A5896">
        <v>252610001</v>
      </c>
      <c r="B5896" t="s">
        <v>1886</v>
      </c>
    </row>
    <row r="5897" spans="1:2" x14ac:dyDescent="0.25">
      <c r="A5897">
        <v>25261000110</v>
      </c>
      <c r="B5897" t="s">
        <v>1197</v>
      </c>
    </row>
    <row r="5898" spans="1:2" x14ac:dyDescent="0.25">
      <c r="A5898">
        <v>25261000120</v>
      </c>
      <c r="B5898" t="s">
        <v>1887</v>
      </c>
    </row>
    <row r="5899" spans="1:2" x14ac:dyDescent="0.25">
      <c r="A5899">
        <v>25261000130</v>
      </c>
      <c r="B5899" t="s">
        <v>1888</v>
      </c>
    </row>
    <row r="5900" spans="1:2" x14ac:dyDescent="0.25">
      <c r="A5900">
        <v>25261000200</v>
      </c>
      <c r="B5900" t="s">
        <v>1889</v>
      </c>
    </row>
    <row r="5901" spans="1:2" x14ac:dyDescent="0.25">
      <c r="A5901">
        <v>25262000</v>
      </c>
      <c r="B5901" t="e">
        <f>- Triturados o pulverizados</f>
        <v>#NAME?</v>
      </c>
    </row>
    <row r="5902" spans="1:2" x14ac:dyDescent="0.25">
      <c r="A5902">
        <v>25262000100</v>
      </c>
      <c r="B5902" t="s">
        <v>1886</v>
      </c>
    </row>
    <row r="5903" spans="1:2" x14ac:dyDescent="0.25">
      <c r="A5903">
        <v>25262000200</v>
      </c>
      <c r="B5903" t="s">
        <v>1889</v>
      </c>
    </row>
    <row r="5904" spans="1:2" x14ac:dyDescent="0.25">
      <c r="A5904">
        <v>25280000</v>
      </c>
      <c r="B5904" t="s">
        <v>1890</v>
      </c>
    </row>
    <row r="5905" spans="1:2" x14ac:dyDescent="0.25">
      <c r="A5905">
        <v>252800001</v>
      </c>
      <c r="B5905" t="s">
        <v>1891</v>
      </c>
    </row>
    <row r="5906" spans="1:2" x14ac:dyDescent="0.25">
      <c r="A5906">
        <v>25280000110</v>
      </c>
      <c r="B5906" t="s">
        <v>1892</v>
      </c>
    </row>
    <row r="5907" spans="1:2" x14ac:dyDescent="0.25">
      <c r="A5907">
        <v>25280000120</v>
      </c>
      <c r="B5907" t="s">
        <v>1893</v>
      </c>
    </row>
    <row r="5908" spans="1:2" x14ac:dyDescent="0.25">
      <c r="A5908">
        <v>252800009</v>
      </c>
      <c r="B5908" t="s">
        <v>10</v>
      </c>
    </row>
    <row r="5909" spans="1:2" x14ac:dyDescent="0.25">
      <c r="A5909">
        <v>25280000910</v>
      </c>
      <c r="B5909" t="s">
        <v>1894</v>
      </c>
    </row>
    <row r="5910" spans="1:2" x14ac:dyDescent="0.25">
      <c r="A5910">
        <v>2528000092</v>
      </c>
      <c r="B5910" t="s">
        <v>1895</v>
      </c>
    </row>
    <row r="5911" spans="1:2" x14ac:dyDescent="0.25">
      <c r="A5911">
        <v>25280000921</v>
      </c>
      <c r="B5911" t="s">
        <v>1896</v>
      </c>
    </row>
    <row r="5912" spans="1:2" x14ac:dyDescent="0.25">
      <c r="A5912">
        <v>25280000929</v>
      </c>
      <c r="B5912" t="s">
        <v>10</v>
      </c>
    </row>
    <row r="5913" spans="1:2" x14ac:dyDescent="0.25">
      <c r="A5913">
        <v>25280000990</v>
      </c>
      <c r="B5913" t="s">
        <v>10</v>
      </c>
    </row>
    <row r="5914" spans="1:2" x14ac:dyDescent="0.25">
      <c r="A5914">
        <v>2529</v>
      </c>
      <c r="B5914" t="s">
        <v>1897</v>
      </c>
    </row>
    <row r="5915" spans="1:2" x14ac:dyDescent="0.25">
      <c r="A5915">
        <v>25291000000</v>
      </c>
      <c r="B5915" t="e">
        <f>-Feldespato</f>
        <v>#NAME?</v>
      </c>
    </row>
    <row r="5916" spans="1:2" x14ac:dyDescent="0.25">
      <c r="A5916">
        <v>25292</v>
      </c>
      <c r="B5916" t="s">
        <v>1898</v>
      </c>
    </row>
    <row r="5917" spans="1:2" x14ac:dyDescent="0.25">
      <c r="A5917">
        <v>25292100000</v>
      </c>
      <c r="B5917" t="s">
        <v>1899</v>
      </c>
    </row>
    <row r="5918" spans="1:2" x14ac:dyDescent="0.25">
      <c r="A5918">
        <v>25292200000</v>
      </c>
      <c r="B5918" t="s">
        <v>1900</v>
      </c>
    </row>
    <row r="5919" spans="1:2" x14ac:dyDescent="0.25">
      <c r="A5919">
        <v>25293000</v>
      </c>
      <c r="B5919" t="e">
        <f>- Leucita, nefelina y nefelina sienita</f>
        <v>#NAME?</v>
      </c>
    </row>
    <row r="5920" spans="1:2" x14ac:dyDescent="0.25">
      <c r="A5920">
        <v>25293000100</v>
      </c>
      <c r="B5920" t="s">
        <v>1901</v>
      </c>
    </row>
    <row r="5921" spans="1:2" x14ac:dyDescent="0.25">
      <c r="A5921">
        <v>25293000200</v>
      </c>
      <c r="B5921" t="s">
        <v>1902</v>
      </c>
    </row>
    <row r="5922" spans="1:2" x14ac:dyDescent="0.25">
      <c r="A5922">
        <v>2530</v>
      </c>
      <c r="B5922" t="s">
        <v>1903</v>
      </c>
    </row>
    <row r="5923" spans="1:2" x14ac:dyDescent="0.25">
      <c r="A5923">
        <v>253010</v>
      </c>
      <c r="B5923" t="e">
        <f>- Vermiculita. perlita y cloritas. sin dilatar</f>
        <v>#NAME?</v>
      </c>
    </row>
    <row r="5924" spans="1:2" x14ac:dyDescent="0.25">
      <c r="A5924">
        <v>25301010000</v>
      </c>
      <c r="B5924" t="s">
        <v>1904</v>
      </c>
    </row>
    <row r="5925" spans="1:2" x14ac:dyDescent="0.25">
      <c r="A5925">
        <v>25301090</v>
      </c>
      <c r="B5925" t="s">
        <v>57</v>
      </c>
    </row>
    <row r="5926" spans="1:2" x14ac:dyDescent="0.25">
      <c r="A5926">
        <v>25301090100</v>
      </c>
      <c r="B5926" t="s">
        <v>1905</v>
      </c>
    </row>
    <row r="5927" spans="1:2" x14ac:dyDescent="0.25">
      <c r="A5927">
        <v>25301090200</v>
      </c>
      <c r="B5927" t="s">
        <v>1906</v>
      </c>
    </row>
    <row r="5928" spans="1:2" x14ac:dyDescent="0.25">
      <c r="A5928">
        <v>25302000000</v>
      </c>
      <c r="B5928" t="e">
        <f>-Kieserita. epsomita (sulfatos de magnesio naturales)</f>
        <v>#NAME?</v>
      </c>
    </row>
    <row r="5929" spans="1:2" x14ac:dyDescent="0.25">
      <c r="A5929">
        <v>253090</v>
      </c>
      <c r="B5929" t="e">
        <f>- las demas</f>
        <v>#NAME?</v>
      </c>
    </row>
    <row r="5930" spans="1:2" x14ac:dyDescent="0.25">
      <c r="A5930">
        <v>25309010000</v>
      </c>
      <c r="B5930" t="s">
        <v>1907</v>
      </c>
    </row>
    <row r="5931" spans="1:2" x14ac:dyDescent="0.25">
      <c r="A5931">
        <v>25309020000</v>
      </c>
      <c r="B5931" t="s">
        <v>1908</v>
      </c>
    </row>
    <row r="5932" spans="1:2" x14ac:dyDescent="0.25">
      <c r="A5932">
        <v>25309030000</v>
      </c>
      <c r="B5932" t="s">
        <v>1909</v>
      </c>
    </row>
    <row r="5933" spans="1:2" x14ac:dyDescent="0.25">
      <c r="A5933">
        <v>25309040</v>
      </c>
      <c r="B5933" t="s">
        <v>1910</v>
      </c>
    </row>
    <row r="5934" spans="1:2" x14ac:dyDescent="0.25">
      <c r="A5934">
        <v>25309040100</v>
      </c>
      <c r="B5934" t="s">
        <v>1911</v>
      </c>
    </row>
    <row r="5935" spans="1:2" x14ac:dyDescent="0.25">
      <c r="A5935">
        <v>25309040200</v>
      </c>
      <c r="B5935" t="s">
        <v>1912</v>
      </c>
    </row>
    <row r="5936" spans="1:2" x14ac:dyDescent="0.25">
      <c r="A5936">
        <v>25309040900</v>
      </c>
      <c r="B5936" t="s">
        <v>57</v>
      </c>
    </row>
    <row r="5937" spans="1:2" x14ac:dyDescent="0.25">
      <c r="A5937">
        <v>25309090</v>
      </c>
      <c r="B5937" t="s">
        <v>57</v>
      </c>
    </row>
    <row r="5938" spans="1:2" x14ac:dyDescent="0.25">
      <c r="A5938">
        <v>25309090100</v>
      </c>
      <c r="B5938" t="s">
        <v>1913</v>
      </c>
    </row>
    <row r="5939" spans="1:2" x14ac:dyDescent="0.25">
      <c r="A5939">
        <v>25309090200</v>
      </c>
      <c r="B5939" t="s">
        <v>1914</v>
      </c>
    </row>
    <row r="5940" spans="1:2" x14ac:dyDescent="0.25">
      <c r="A5940">
        <v>25309090300</v>
      </c>
      <c r="B5940" t="s">
        <v>1915</v>
      </c>
    </row>
    <row r="5941" spans="1:2" x14ac:dyDescent="0.25">
      <c r="A5941">
        <v>25309090400</v>
      </c>
      <c r="B5941" t="s">
        <v>1916</v>
      </c>
    </row>
    <row r="5942" spans="1:2" x14ac:dyDescent="0.25">
      <c r="A5942">
        <v>253090909</v>
      </c>
      <c r="B5942" t="s">
        <v>10</v>
      </c>
    </row>
    <row r="5943" spans="1:2" x14ac:dyDescent="0.25">
      <c r="A5943">
        <v>25309090910</v>
      </c>
      <c r="B5943" t="s">
        <v>1917</v>
      </c>
    </row>
    <row r="5944" spans="1:2" x14ac:dyDescent="0.25">
      <c r="A5944">
        <v>25309090920</v>
      </c>
      <c r="B5944" t="s">
        <v>1918</v>
      </c>
    </row>
    <row r="5945" spans="1:2" x14ac:dyDescent="0.25">
      <c r="A5945">
        <v>25309090930</v>
      </c>
      <c r="B5945" t="s">
        <v>1919</v>
      </c>
    </row>
    <row r="5946" spans="1:2" x14ac:dyDescent="0.25">
      <c r="A5946">
        <v>25309090940</v>
      </c>
      <c r="B5946" t="s">
        <v>1920</v>
      </c>
    </row>
    <row r="5947" spans="1:2" x14ac:dyDescent="0.25">
      <c r="A5947">
        <v>25309090990</v>
      </c>
      <c r="B5947" t="s">
        <v>10</v>
      </c>
    </row>
    <row r="5948" spans="1:2" x14ac:dyDescent="0.25">
      <c r="A5948">
        <v>2601</v>
      </c>
      <c r="B5948" t="s">
        <v>1921</v>
      </c>
    </row>
    <row r="5949" spans="1:2" x14ac:dyDescent="0.25">
      <c r="A5949">
        <v>26011</v>
      </c>
      <c r="B5949" t="s">
        <v>1922</v>
      </c>
    </row>
    <row r="5950" spans="1:2" x14ac:dyDescent="0.25">
      <c r="A5950">
        <v>26011100</v>
      </c>
      <c r="B5950" t="e">
        <f>- - sin aglomerar</f>
        <v>#NAME?</v>
      </c>
    </row>
    <row r="5951" spans="1:2" x14ac:dyDescent="0.25">
      <c r="A5951">
        <v>260111001</v>
      </c>
      <c r="B5951" t="s">
        <v>1923</v>
      </c>
    </row>
    <row r="5952" spans="1:2" x14ac:dyDescent="0.25">
      <c r="A5952">
        <v>26011100110</v>
      </c>
      <c r="B5952" t="s">
        <v>1924</v>
      </c>
    </row>
    <row r="5953" spans="1:2" x14ac:dyDescent="0.25">
      <c r="A5953">
        <v>26011100120</v>
      </c>
      <c r="B5953" t="s">
        <v>1925</v>
      </c>
    </row>
    <row r="5954" spans="1:2" x14ac:dyDescent="0.25">
      <c r="A5954">
        <v>26011100130</v>
      </c>
      <c r="B5954" t="s">
        <v>1926</v>
      </c>
    </row>
    <row r="5955" spans="1:2" x14ac:dyDescent="0.25">
      <c r="A5955">
        <v>26011100140</v>
      </c>
      <c r="B5955" t="s">
        <v>1927</v>
      </c>
    </row>
    <row r="5956" spans="1:2" x14ac:dyDescent="0.25">
      <c r="A5956">
        <v>26011100190</v>
      </c>
      <c r="B5956" t="s">
        <v>10</v>
      </c>
    </row>
    <row r="5957" spans="1:2" x14ac:dyDescent="0.25">
      <c r="A5957">
        <v>26011100200</v>
      </c>
      <c r="B5957" t="s">
        <v>1928</v>
      </c>
    </row>
    <row r="5958" spans="1:2" x14ac:dyDescent="0.25">
      <c r="A5958">
        <v>260112</v>
      </c>
      <c r="B5958" t="e">
        <f>- - Aglomerados</f>
        <v>#NAME?</v>
      </c>
    </row>
    <row r="5959" spans="1:2" x14ac:dyDescent="0.25">
      <c r="A5959">
        <v>26011210</v>
      </c>
      <c r="B5959" t="s">
        <v>1929</v>
      </c>
    </row>
    <row r="5960" spans="1:2" x14ac:dyDescent="0.25">
      <c r="A5960">
        <v>260112101</v>
      </c>
      <c r="B5960" t="s">
        <v>1923</v>
      </c>
    </row>
    <row r="5961" spans="1:2" x14ac:dyDescent="0.25">
      <c r="A5961">
        <v>26011210110</v>
      </c>
      <c r="B5961" t="s">
        <v>1924</v>
      </c>
    </row>
    <row r="5962" spans="1:2" x14ac:dyDescent="0.25">
      <c r="A5962">
        <v>26011210120</v>
      </c>
      <c r="B5962" t="s">
        <v>1925</v>
      </c>
    </row>
    <row r="5963" spans="1:2" x14ac:dyDescent="0.25">
      <c r="A5963">
        <v>26011210130</v>
      </c>
      <c r="B5963" t="s">
        <v>1926</v>
      </c>
    </row>
    <row r="5964" spans="1:2" x14ac:dyDescent="0.25">
      <c r="A5964">
        <v>26011210140</v>
      </c>
      <c r="B5964" t="s">
        <v>1927</v>
      </c>
    </row>
    <row r="5965" spans="1:2" x14ac:dyDescent="0.25">
      <c r="A5965">
        <v>26011210190</v>
      </c>
      <c r="B5965" t="s">
        <v>10</v>
      </c>
    </row>
    <row r="5966" spans="1:2" x14ac:dyDescent="0.25">
      <c r="A5966">
        <v>26011210200</v>
      </c>
      <c r="B5966" t="s">
        <v>1928</v>
      </c>
    </row>
    <row r="5967" spans="1:2" x14ac:dyDescent="0.25">
      <c r="A5967">
        <v>26011290</v>
      </c>
      <c r="B5967" t="s">
        <v>10</v>
      </c>
    </row>
    <row r="5968" spans="1:2" x14ac:dyDescent="0.25">
      <c r="A5968">
        <v>260112901</v>
      </c>
      <c r="B5968" t="s">
        <v>1923</v>
      </c>
    </row>
    <row r="5969" spans="1:2" x14ac:dyDescent="0.25">
      <c r="A5969">
        <v>26011290110</v>
      </c>
      <c r="B5969" t="s">
        <v>1924</v>
      </c>
    </row>
    <row r="5970" spans="1:2" x14ac:dyDescent="0.25">
      <c r="A5970">
        <v>26011290120</v>
      </c>
      <c r="B5970" t="s">
        <v>1925</v>
      </c>
    </row>
    <row r="5971" spans="1:2" x14ac:dyDescent="0.25">
      <c r="A5971">
        <v>26011290130</v>
      </c>
      <c r="B5971" t="s">
        <v>1926</v>
      </c>
    </row>
    <row r="5972" spans="1:2" x14ac:dyDescent="0.25">
      <c r="A5972">
        <v>26011290140</v>
      </c>
      <c r="B5972" t="s">
        <v>1927</v>
      </c>
    </row>
    <row r="5973" spans="1:2" x14ac:dyDescent="0.25">
      <c r="A5973">
        <v>26011290190</v>
      </c>
      <c r="B5973" t="s">
        <v>10</v>
      </c>
    </row>
    <row r="5974" spans="1:2" x14ac:dyDescent="0.25">
      <c r="A5974">
        <v>26011290200</v>
      </c>
      <c r="B5974" t="s">
        <v>1928</v>
      </c>
    </row>
    <row r="5975" spans="1:2" x14ac:dyDescent="0.25">
      <c r="A5975">
        <v>26012000</v>
      </c>
      <c r="B5975" t="e">
        <f>- piritas de hierro tostadas (cenizas de piritas)</f>
        <v>#NAME?</v>
      </c>
    </row>
    <row r="5976" spans="1:2" x14ac:dyDescent="0.25">
      <c r="A5976">
        <v>26012000100</v>
      </c>
      <c r="B5976" t="s">
        <v>1930</v>
      </c>
    </row>
    <row r="5977" spans="1:2" x14ac:dyDescent="0.25">
      <c r="A5977">
        <v>26012000200</v>
      </c>
      <c r="B5977" t="s">
        <v>1931</v>
      </c>
    </row>
    <row r="5978" spans="1:2" x14ac:dyDescent="0.25">
      <c r="A5978">
        <v>260200</v>
      </c>
      <c r="B5978" t="s">
        <v>1932</v>
      </c>
    </row>
    <row r="5979" spans="1:2" x14ac:dyDescent="0.25">
      <c r="A5979">
        <v>26020010</v>
      </c>
      <c r="B5979" t="s">
        <v>1933</v>
      </c>
    </row>
    <row r="5980" spans="1:2" x14ac:dyDescent="0.25">
      <c r="A5980">
        <v>260200101</v>
      </c>
      <c r="B5980" t="s">
        <v>1923</v>
      </c>
    </row>
    <row r="5981" spans="1:2" x14ac:dyDescent="0.25">
      <c r="A5981">
        <v>26020010110</v>
      </c>
      <c r="B5981" t="s">
        <v>1934</v>
      </c>
    </row>
    <row r="5982" spans="1:2" x14ac:dyDescent="0.25">
      <c r="A5982">
        <v>26020010120</v>
      </c>
      <c r="B5982" t="s">
        <v>1935</v>
      </c>
    </row>
    <row r="5983" spans="1:2" x14ac:dyDescent="0.25">
      <c r="A5983">
        <v>26020010130</v>
      </c>
      <c r="B5983" t="s">
        <v>1936</v>
      </c>
    </row>
    <row r="5984" spans="1:2" x14ac:dyDescent="0.25">
      <c r="A5984">
        <v>26020010190</v>
      </c>
      <c r="B5984" t="s">
        <v>10</v>
      </c>
    </row>
    <row r="5985" spans="1:2" x14ac:dyDescent="0.25">
      <c r="A5985">
        <v>26020010200</v>
      </c>
      <c r="B5985" t="s">
        <v>1928</v>
      </c>
    </row>
    <row r="5986" spans="1:2" x14ac:dyDescent="0.25">
      <c r="A5986">
        <v>26020090</v>
      </c>
      <c r="B5986" t="s">
        <v>10</v>
      </c>
    </row>
    <row r="5987" spans="1:2" x14ac:dyDescent="0.25">
      <c r="A5987">
        <v>260200901</v>
      </c>
      <c r="B5987" t="s">
        <v>1923</v>
      </c>
    </row>
    <row r="5988" spans="1:2" x14ac:dyDescent="0.25">
      <c r="A5988">
        <v>26020090110</v>
      </c>
      <c r="B5988" t="s">
        <v>1934</v>
      </c>
    </row>
    <row r="5989" spans="1:2" x14ac:dyDescent="0.25">
      <c r="A5989">
        <v>26020090120</v>
      </c>
      <c r="B5989" t="s">
        <v>1935</v>
      </c>
    </row>
    <row r="5990" spans="1:2" x14ac:dyDescent="0.25">
      <c r="A5990">
        <v>26020090130</v>
      </c>
      <c r="B5990" t="s">
        <v>1936</v>
      </c>
    </row>
    <row r="5991" spans="1:2" x14ac:dyDescent="0.25">
      <c r="A5991">
        <v>26020090190</v>
      </c>
      <c r="B5991" t="s">
        <v>10</v>
      </c>
    </row>
    <row r="5992" spans="1:2" x14ac:dyDescent="0.25">
      <c r="A5992">
        <v>26020090200</v>
      </c>
      <c r="B5992" t="s">
        <v>1928</v>
      </c>
    </row>
    <row r="5993" spans="1:2" x14ac:dyDescent="0.25">
      <c r="A5993">
        <v>260300</v>
      </c>
      <c r="B5993" t="s">
        <v>1937</v>
      </c>
    </row>
    <row r="5994" spans="1:2" x14ac:dyDescent="0.25">
      <c r="A5994">
        <v>26030010</v>
      </c>
      <c r="B5994" t="s">
        <v>1938</v>
      </c>
    </row>
    <row r="5995" spans="1:2" x14ac:dyDescent="0.25">
      <c r="A5995">
        <v>26030010100</v>
      </c>
      <c r="B5995" t="s">
        <v>1923</v>
      </c>
    </row>
    <row r="5996" spans="1:2" x14ac:dyDescent="0.25">
      <c r="A5996">
        <v>26030010200</v>
      </c>
      <c r="B5996" t="s">
        <v>1928</v>
      </c>
    </row>
    <row r="5997" spans="1:2" x14ac:dyDescent="0.25">
      <c r="A5997">
        <v>26030090</v>
      </c>
      <c r="B5997" t="s">
        <v>10</v>
      </c>
    </row>
    <row r="5998" spans="1:2" x14ac:dyDescent="0.25">
      <c r="A5998">
        <v>26030090100</v>
      </c>
      <c r="B5998" t="s">
        <v>1923</v>
      </c>
    </row>
    <row r="5999" spans="1:2" x14ac:dyDescent="0.25">
      <c r="A5999">
        <v>26030090200</v>
      </c>
      <c r="B5999" t="s">
        <v>1928</v>
      </c>
    </row>
    <row r="6000" spans="1:2" x14ac:dyDescent="0.25">
      <c r="A6000">
        <v>26040000</v>
      </c>
      <c r="B6000" t="s">
        <v>1939</v>
      </c>
    </row>
    <row r="6001" spans="1:2" x14ac:dyDescent="0.25">
      <c r="A6001">
        <v>26040000100</v>
      </c>
      <c r="B6001" t="s">
        <v>1923</v>
      </c>
    </row>
    <row r="6002" spans="1:2" x14ac:dyDescent="0.25">
      <c r="A6002">
        <v>26040000200</v>
      </c>
      <c r="B6002" t="s">
        <v>1928</v>
      </c>
    </row>
    <row r="6003" spans="1:2" x14ac:dyDescent="0.25">
      <c r="A6003">
        <v>26050000</v>
      </c>
      <c r="B6003" t="s">
        <v>1940</v>
      </c>
    </row>
    <row r="6004" spans="1:2" x14ac:dyDescent="0.25">
      <c r="A6004">
        <v>26050000100</v>
      </c>
      <c r="B6004" t="s">
        <v>1923</v>
      </c>
    </row>
    <row r="6005" spans="1:2" x14ac:dyDescent="0.25">
      <c r="A6005">
        <v>26050000200</v>
      </c>
      <c r="B6005" t="s">
        <v>1928</v>
      </c>
    </row>
    <row r="6006" spans="1:2" x14ac:dyDescent="0.25">
      <c r="A6006">
        <v>260600</v>
      </c>
      <c r="B6006" t="s">
        <v>1941</v>
      </c>
    </row>
    <row r="6007" spans="1:2" x14ac:dyDescent="0.25">
      <c r="A6007">
        <v>2606001</v>
      </c>
      <c r="B6007" t="s">
        <v>1942</v>
      </c>
    </row>
    <row r="6008" spans="1:2" x14ac:dyDescent="0.25">
      <c r="A6008">
        <v>26060011000</v>
      </c>
      <c r="B6008" t="s">
        <v>1943</v>
      </c>
    </row>
    <row r="6009" spans="1:2" x14ac:dyDescent="0.25">
      <c r="A6009">
        <v>26060012000</v>
      </c>
      <c r="B6009" t="s">
        <v>1944</v>
      </c>
    </row>
    <row r="6010" spans="1:2" x14ac:dyDescent="0.25">
      <c r="A6010">
        <v>26060090</v>
      </c>
      <c r="B6010" t="s">
        <v>10</v>
      </c>
    </row>
    <row r="6011" spans="1:2" x14ac:dyDescent="0.25">
      <c r="A6011">
        <v>26060090100</v>
      </c>
      <c r="B6011" t="s">
        <v>1923</v>
      </c>
    </row>
    <row r="6012" spans="1:2" x14ac:dyDescent="0.25">
      <c r="A6012">
        <v>26060090200</v>
      </c>
      <c r="B6012" t="s">
        <v>1928</v>
      </c>
    </row>
    <row r="6013" spans="1:2" x14ac:dyDescent="0.25">
      <c r="A6013">
        <v>26070000</v>
      </c>
      <c r="B6013" t="s">
        <v>1945</v>
      </c>
    </row>
    <row r="6014" spans="1:2" x14ac:dyDescent="0.25">
      <c r="A6014">
        <v>26070000100</v>
      </c>
      <c r="B6014" t="s">
        <v>1923</v>
      </c>
    </row>
    <row r="6015" spans="1:2" x14ac:dyDescent="0.25">
      <c r="A6015">
        <v>26070000200</v>
      </c>
      <c r="B6015" t="s">
        <v>1928</v>
      </c>
    </row>
    <row r="6016" spans="1:2" x14ac:dyDescent="0.25">
      <c r="A6016">
        <v>260800</v>
      </c>
      <c r="B6016" t="s">
        <v>1946</v>
      </c>
    </row>
    <row r="6017" spans="1:2" x14ac:dyDescent="0.25">
      <c r="A6017">
        <v>26080010</v>
      </c>
      <c r="B6017" t="s">
        <v>1938</v>
      </c>
    </row>
    <row r="6018" spans="1:2" x14ac:dyDescent="0.25">
      <c r="A6018">
        <v>26080010100</v>
      </c>
      <c r="B6018" t="s">
        <v>1923</v>
      </c>
    </row>
    <row r="6019" spans="1:2" x14ac:dyDescent="0.25">
      <c r="A6019">
        <v>26080010200</v>
      </c>
      <c r="B6019" t="s">
        <v>1928</v>
      </c>
    </row>
    <row r="6020" spans="1:2" x14ac:dyDescent="0.25">
      <c r="A6020">
        <v>26080090</v>
      </c>
      <c r="B6020" t="s">
        <v>10</v>
      </c>
    </row>
    <row r="6021" spans="1:2" x14ac:dyDescent="0.25">
      <c r="A6021">
        <v>26080090100</v>
      </c>
      <c r="B6021" t="s">
        <v>1923</v>
      </c>
    </row>
    <row r="6022" spans="1:2" x14ac:dyDescent="0.25">
      <c r="A6022">
        <v>26080090200</v>
      </c>
      <c r="B6022" t="s">
        <v>1928</v>
      </c>
    </row>
    <row r="6023" spans="1:2" x14ac:dyDescent="0.25">
      <c r="A6023">
        <v>26090000</v>
      </c>
      <c r="B6023" t="s">
        <v>1947</v>
      </c>
    </row>
    <row r="6024" spans="1:2" x14ac:dyDescent="0.25">
      <c r="A6024">
        <v>26090000100</v>
      </c>
      <c r="B6024" t="s">
        <v>1923</v>
      </c>
    </row>
    <row r="6025" spans="1:2" x14ac:dyDescent="0.25">
      <c r="A6025">
        <v>26090000200</v>
      </c>
      <c r="B6025" t="s">
        <v>1928</v>
      </c>
    </row>
    <row r="6026" spans="1:2" x14ac:dyDescent="0.25">
      <c r="A6026">
        <v>261000</v>
      </c>
      <c r="B6026" t="s">
        <v>1948</v>
      </c>
    </row>
    <row r="6027" spans="1:2" x14ac:dyDescent="0.25">
      <c r="A6027">
        <v>26100010000</v>
      </c>
      <c r="B6027" t="s">
        <v>1949</v>
      </c>
    </row>
    <row r="6028" spans="1:2" x14ac:dyDescent="0.25">
      <c r="A6028">
        <v>26100090</v>
      </c>
      <c r="B6028" t="s">
        <v>10</v>
      </c>
    </row>
    <row r="6029" spans="1:2" x14ac:dyDescent="0.25">
      <c r="A6029">
        <v>26100090100</v>
      </c>
      <c r="B6029" t="s">
        <v>1923</v>
      </c>
    </row>
    <row r="6030" spans="1:2" x14ac:dyDescent="0.25">
      <c r="A6030">
        <v>26100090200</v>
      </c>
      <c r="B6030" t="s">
        <v>1928</v>
      </c>
    </row>
    <row r="6031" spans="1:2" x14ac:dyDescent="0.25">
      <c r="A6031">
        <v>26110000</v>
      </c>
      <c r="B6031" t="s">
        <v>1950</v>
      </c>
    </row>
    <row r="6032" spans="1:2" x14ac:dyDescent="0.25">
      <c r="A6032">
        <v>26110000100</v>
      </c>
      <c r="B6032" t="s">
        <v>1923</v>
      </c>
    </row>
    <row r="6033" spans="1:2" x14ac:dyDescent="0.25">
      <c r="A6033">
        <v>26110000200</v>
      </c>
      <c r="B6033" t="s">
        <v>1928</v>
      </c>
    </row>
    <row r="6034" spans="1:2" x14ac:dyDescent="0.25">
      <c r="A6034">
        <v>2612</v>
      </c>
      <c r="B6034" t="s">
        <v>1951</v>
      </c>
    </row>
    <row r="6035" spans="1:2" x14ac:dyDescent="0.25">
      <c r="A6035">
        <v>26121000</v>
      </c>
      <c r="B6035" t="e">
        <f>- Minerales de uranio y sus concentrados</f>
        <v>#NAME?</v>
      </c>
    </row>
    <row r="6036" spans="1:2" x14ac:dyDescent="0.25">
      <c r="A6036">
        <v>26121000100</v>
      </c>
      <c r="B6036" t="s">
        <v>1923</v>
      </c>
    </row>
    <row r="6037" spans="1:2" x14ac:dyDescent="0.25">
      <c r="A6037">
        <v>26121000200</v>
      </c>
      <c r="B6037" t="s">
        <v>1928</v>
      </c>
    </row>
    <row r="6038" spans="1:2" x14ac:dyDescent="0.25">
      <c r="A6038">
        <v>26122000</v>
      </c>
      <c r="B6038" t="e">
        <f>- Minerales de torio y sus concentrados</f>
        <v>#NAME?</v>
      </c>
    </row>
    <row r="6039" spans="1:2" x14ac:dyDescent="0.25">
      <c r="A6039">
        <v>26122000100</v>
      </c>
      <c r="B6039" t="s">
        <v>1923</v>
      </c>
    </row>
    <row r="6040" spans="1:2" x14ac:dyDescent="0.25">
      <c r="A6040">
        <v>26122000200</v>
      </c>
      <c r="B6040" t="s">
        <v>1928</v>
      </c>
    </row>
    <row r="6041" spans="1:2" x14ac:dyDescent="0.25">
      <c r="A6041">
        <v>2613</v>
      </c>
      <c r="B6041" t="s">
        <v>1952</v>
      </c>
    </row>
    <row r="6042" spans="1:2" x14ac:dyDescent="0.25">
      <c r="A6042">
        <v>261310</v>
      </c>
      <c r="B6042" t="e">
        <f>- tostados</f>
        <v>#NAME?</v>
      </c>
    </row>
    <row r="6043" spans="1:2" x14ac:dyDescent="0.25">
      <c r="A6043">
        <v>26131010000</v>
      </c>
      <c r="B6043" t="s">
        <v>1953</v>
      </c>
    </row>
    <row r="6044" spans="1:2" x14ac:dyDescent="0.25">
      <c r="A6044">
        <v>26131090</v>
      </c>
      <c r="B6044" t="s">
        <v>10</v>
      </c>
    </row>
    <row r="6045" spans="1:2" x14ac:dyDescent="0.25">
      <c r="A6045">
        <v>26131090100</v>
      </c>
      <c r="B6045" t="s">
        <v>1923</v>
      </c>
    </row>
    <row r="6046" spans="1:2" x14ac:dyDescent="0.25">
      <c r="A6046">
        <v>26131090200</v>
      </c>
      <c r="B6046" t="s">
        <v>1928</v>
      </c>
    </row>
    <row r="6047" spans="1:2" x14ac:dyDescent="0.25">
      <c r="A6047">
        <v>261390</v>
      </c>
      <c r="B6047" t="e">
        <f>- Los demas</f>
        <v>#NAME?</v>
      </c>
    </row>
    <row r="6048" spans="1:2" x14ac:dyDescent="0.25">
      <c r="A6048">
        <v>26139010000</v>
      </c>
      <c r="B6048" t="s">
        <v>1953</v>
      </c>
    </row>
    <row r="6049" spans="1:2" x14ac:dyDescent="0.25">
      <c r="A6049">
        <v>26139090</v>
      </c>
      <c r="B6049" t="s">
        <v>10</v>
      </c>
    </row>
    <row r="6050" spans="1:2" x14ac:dyDescent="0.25">
      <c r="A6050">
        <v>26139090100</v>
      </c>
      <c r="B6050" t="s">
        <v>1923</v>
      </c>
    </row>
    <row r="6051" spans="1:2" x14ac:dyDescent="0.25">
      <c r="A6051">
        <v>26139090200</v>
      </c>
      <c r="B6051" t="s">
        <v>1928</v>
      </c>
    </row>
    <row r="6052" spans="1:2" x14ac:dyDescent="0.25">
      <c r="A6052">
        <v>261400</v>
      </c>
      <c r="B6052" t="s">
        <v>1954</v>
      </c>
    </row>
    <row r="6053" spans="1:2" x14ac:dyDescent="0.25">
      <c r="A6053">
        <v>26140010000</v>
      </c>
      <c r="B6053" t="s">
        <v>1955</v>
      </c>
    </row>
    <row r="6054" spans="1:2" x14ac:dyDescent="0.25">
      <c r="A6054">
        <v>26140090</v>
      </c>
      <c r="B6054" t="s">
        <v>10</v>
      </c>
    </row>
    <row r="6055" spans="1:2" x14ac:dyDescent="0.25">
      <c r="A6055">
        <v>26140090100</v>
      </c>
      <c r="B6055" t="s">
        <v>1923</v>
      </c>
    </row>
    <row r="6056" spans="1:2" x14ac:dyDescent="0.25">
      <c r="A6056">
        <v>26140090200</v>
      </c>
      <c r="B6056" t="s">
        <v>1928</v>
      </c>
    </row>
    <row r="6057" spans="1:2" x14ac:dyDescent="0.25">
      <c r="A6057">
        <v>2615</v>
      </c>
      <c r="B6057" t="s">
        <v>1956</v>
      </c>
    </row>
    <row r="6058" spans="1:2" x14ac:dyDescent="0.25">
      <c r="A6058">
        <v>261510</v>
      </c>
      <c r="B6058" t="e">
        <f>- Minerales de circonio y sus concentrados</f>
        <v>#NAME?</v>
      </c>
    </row>
    <row r="6059" spans="1:2" x14ac:dyDescent="0.25">
      <c r="A6059">
        <v>26151010000</v>
      </c>
      <c r="B6059" t="s">
        <v>1957</v>
      </c>
    </row>
    <row r="6060" spans="1:2" x14ac:dyDescent="0.25">
      <c r="A6060">
        <v>26151020000</v>
      </c>
      <c r="B6060" t="s">
        <v>1958</v>
      </c>
    </row>
    <row r="6061" spans="1:2" x14ac:dyDescent="0.25">
      <c r="A6061">
        <v>26151090</v>
      </c>
      <c r="B6061" t="s">
        <v>10</v>
      </c>
    </row>
    <row r="6062" spans="1:2" x14ac:dyDescent="0.25">
      <c r="A6062">
        <v>26151090100</v>
      </c>
      <c r="B6062" t="s">
        <v>1923</v>
      </c>
    </row>
    <row r="6063" spans="1:2" x14ac:dyDescent="0.25">
      <c r="A6063">
        <v>26151090200</v>
      </c>
      <c r="B6063" t="s">
        <v>1928</v>
      </c>
    </row>
    <row r="6064" spans="1:2" x14ac:dyDescent="0.25">
      <c r="A6064">
        <v>26159000</v>
      </c>
      <c r="B6064" t="e">
        <f>- Los demas</f>
        <v>#NAME?</v>
      </c>
    </row>
    <row r="6065" spans="1:2" x14ac:dyDescent="0.25">
      <c r="A6065">
        <v>26159000100</v>
      </c>
      <c r="B6065" t="s">
        <v>1959</v>
      </c>
    </row>
    <row r="6066" spans="1:2" x14ac:dyDescent="0.25">
      <c r="A6066">
        <v>26159000200</v>
      </c>
      <c r="B6066" t="s">
        <v>1960</v>
      </c>
    </row>
    <row r="6067" spans="1:2" x14ac:dyDescent="0.25">
      <c r="A6067">
        <v>26159000300</v>
      </c>
      <c r="B6067" t="s">
        <v>1961</v>
      </c>
    </row>
    <row r="6068" spans="1:2" x14ac:dyDescent="0.25">
      <c r="A6068">
        <v>2616</v>
      </c>
      <c r="B6068" t="s">
        <v>1962</v>
      </c>
    </row>
    <row r="6069" spans="1:2" x14ac:dyDescent="0.25">
      <c r="A6069">
        <v>26161000000</v>
      </c>
      <c r="B6069" t="e">
        <f>-Minerales de plata y sus concentrados</f>
        <v>#NAME?</v>
      </c>
    </row>
    <row r="6070" spans="1:2" x14ac:dyDescent="0.25">
      <c r="A6070">
        <v>26169000</v>
      </c>
      <c r="B6070" t="e">
        <f>- Los demas</f>
        <v>#NAME?</v>
      </c>
    </row>
    <row r="6071" spans="1:2" x14ac:dyDescent="0.25">
      <c r="A6071">
        <v>26169000100</v>
      </c>
      <c r="B6071" t="s">
        <v>1963</v>
      </c>
    </row>
    <row r="6072" spans="1:2" x14ac:dyDescent="0.25">
      <c r="A6072">
        <v>26169000900</v>
      </c>
      <c r="B6072" t="s">
        <v>10</v>
      </c>
    </row>
    <row r="6073" spans="1:2" x14ac:dyDescent="0.25">
      <c r="A6073">
        <v>2617</v>
      </c>
      <c r="B6073" t="s">
        <v>1964</v>
      </c>
    </row>
    <row r="6074" spans="1:2" x14ac:dyDescent="0.25">
      <c r="A6074">
        <v>26171000000</v>
      </c>
      <c r="B6074" t="e">
        <f>-Minerales de antimonio y sus concentrados</f>
        <v>#NAME?</v>
      </c>
    </row>
    <row r="6075" spans="1:2" x14ac:dyDescent="0.25">
      <c r="A6075">
        <v>26179000</v>
      </c>
      <c r="B6075" t="e">
        <f>- Los demas</f>
        <v>#NAME?</v>
      </c>
    </row>
    <row r="6076" spans="1:2" x14ac:dyDescent="0.25">
      <c r="A6076">
        <v>26179000100</v>
      </c>
      <c r="B6076" t="s">
        <v>1965</v>
      </c>
    </row>
    <row r="6077" spans="1:2" x14ac:dyDescent="0.25">
      <c r="A6077">
        <v>26179000200</v>
      </c>
      <c r="B6077" t="s">
        <v>1966</v>
      </c>
    </row>
    <row r="6078" spans="1:2" x14ac:dyDescent="0.25">
      <c r="A6078">
        <v>26179000300</v>
      </c>
      <c r="B6078" t="s">
        <v>1967</v>
      </c>
    </row>
    <row r="6079" spans="1:2" x14ac:dyDescent="0.25">
      <c r="A6079">
        <v>26179000900</v>
      </c>
      <c r="B6079" t="s">
        <v>10</v>
      </c>
    </row>
    <row r="6080" spans="1:2" x14ac:dyDescent="0.25">
      <c r="A6080">
        <v>26180000000</v>
      </c>
      <c r="B6080" t="s">
        <v>1968</v>
      </c>
    </row>
    <row r="6081" spans="1:2" x14ac:dyDescent="0.25">
      <c r="A6081">
        <v>26190000000</v>
      </c>
      <c r="B6081" t="s">
        <v>1969</v>
      </c>
    </row>
    <row r="6082" spans="1:2" x14ac:dyDescent="0.25">
      <c r="A6082">
        <v>2620</v>
      </c>
      <c r="B6082" t="s">
        <v>1970</v>
      </c>
    </row>
    <row r="6083" spans="1:2" x14ac:dyDescent="0.25">
      <c r="A6083">
        <v>26201</v>
      </c>
      <c r="B6083" t="s">
        <v>1971</v>
      </c>
    </row>
    <row r="6084" spans="1:2" x14ac:dyDescent="0.25">
      <c r="A6084">
        <v>26201100000</v>
      </c>
      <c r="B6084" t="e">
        <f>--Matas de galvanizacion</f>
        <v>#NAME?</v>
      </c>
    </row>
    <row r="6085" spans="1:2" x14ac:dyDescent="0.25">
      <c r="A6085">
        <v>26201900000</v>
      </c>
      <c r="B6085" t="e">
        <f>--Los demas</f>
        <v>#NAME?</v>
      </c>
    </row>
    <row r="6086" spans="1:2" x14ac:dyDescent="0.25">
      <c r="A6086">
        <v>26202</v>
      </c>
      <c r="B6086" t="s">
        <v>1972</v>
      </c>
    </row>
    <row r="6087" spans="1:2" x14ac:dyDescent="0.25">
      <c r="A6087">
        <v>26202100000</v>
      </c>
      <c r="B6087" t="e">
        <f>--Lodos de gasolina Con plomo y Lodos de compuestos antidetonantes Con plomo</f>
        <v>#NAME?</v>
      </c>
    </row>
    <row r="6088" spans="1:2" x14ac:dyDescent="0.25">
      <c r="A6088">
        <v>26202900000</v>
      </c>
      <c r="B6088" t="e">
        <f>--Los demas</f>
        <v>#NAME?</v>
      </c>
    </row>
    <row r="6089" spans="1:2" x14ac:dyDescent="0.25">
      <c r="A6089">
        <v>26203000000</v>
      </c>
      <c r="B6089" t="e">
        <f>-que contengan principalmente cobre</f>
        <v>#NAME?</v>
      </c>
    </row>
    <row r="6090" spans="1:2" x14ac:dyDescent="0.25">
      <c r="A6090">
        <v>26204000000</v>
      </c>
      <c r="B6090" t="e">
        <f>-que contengan principalmente aluminio</f>
        <v>#NAME?</v>
      </c>
    </row>
    <row r="6091" spans="1:2" x14ac:dyDescent="0.25">
      <c r="A6091">
        <v>26206000000</v>
      </c>
      <c r="B6091" t="e">
        <f>-que contengan arsenico. mercurio. talio o sus mezclas. de Los tipos utilizados para la extraccion de arsenico o de estos metales o para la elaboracion de sus compuestos quimicos</f>
        <v>#NAME?</v>
      </c>
    </row>
    <row r="6092" spans="1:2" x14ac:dyDescent="0.25">
      <c r="A6092">
        <v>26209</v>
      </c>
      <c r="B6092" t="s">
        <v>28</v>
      </c>
    </row>
    <row r="6093" spans="1:2" x14ac:dyDescent="0.25">
      <c r="A6093">
        <v>26209100000</v>
      </c>
      <c r="B6093" t="e">
        <f>--que contengan antimonio. berilio. cadmio. cromo o sus Mezclas</f>
        <v>#NAME?</v>
      </c>
    </row>
    <row r="6094" spans="1:2" x14ac:dyDescent="0.25">
      <c r="A6094">
        <v>262099</v>
      </c>
      <c r="B6094" t="e">
        <f>- - Los demas</f>
        <v>#NAME?</v>
      </c>
    </row>
    <row r="6095" spans="1:2" x14ac:dyDescent="0.25">
      <c r="A6095">
        <v>26209910000</v>
      </c>
      <c r="B6095" t="s">
        <v>1973</v>
      </c>
    </row>
    <row r="6096" spans="1:2" x14ac:dyDescent="0.25">
      <c r="A6096">
        <v>26209990000</v>
      </c>
      <c r="B6096" t="s">
        <v>10</v>
      </c>
    </row>
    <row r="6097" spans="1:2" x14ac:dyDescent="0.25">
      <c r="A6097">
        <v>2621</v>
      </c>
      <c r="B6097" t="s">
        <v>1974</v>
      </c>
    </row>
    <row r="6098" spans="1:2" x14ac:dyDescent="0.25">
      <c r="A6098">
        <v>26211000000</v>
      </c>
      <c r="B6098" t="e">
        <f>-cenizas y Residuos procedentes de la incineracion de desechos y desperdicios municipales</f>
        <v>#NAME?</v>
      </c>
    </row>
    <row r="6099" spans="1:2" x14ac:dyDescent="0.25">
      <c r="A6099">
        <v>262190</v>
      </c>
      <c r="B6099" t="e">
        <f>- las demas</f>
        <v>#NAME?</v>
      </c>
    </row>
    <row r="6100" spans="1:2" x14ac:dyDescent="0.25">
      <c r="A6100">
        <v>26219010000</v>
      </c>
      <c r="B6100" t="s">
        <v>1975</v>
      </c>
    </row>
    <row r="6101" spans="1:2" x14ac:dyDescent="0.25">
      <c r="A6101">
        <v>26219090000</v>
      </c>
      <c r="B6101" t="s">
        <v>57</v>
      </c>
    </row>
    <row r="6102" spans="1:2" x14ac:dyDescent="0.25">
      <c r="A6102">
        <v>2701</v>
      </c>
      <c r="B6102" t="s">
        <v>1976</v>
      </c>
    </row>
    <row r="6103" spans="1:2" x14ac:dyDescent="0.25">
      <c r="A6103">
        <v>27011</v>
      </c>
      <c r="B6103" t="s">
        <v>1977</v>
      </c>
    </row>
    <row r="6104" spans="1:2" x14ac:dyDescent="0.25">
      <c r="A6104">
        <v>27011100000</v>
      </c>
      <c r="B6104" t="e">
        <f>--Antracitas</f>
        <v>#NAME?</v>
      </c>
    </row>
    <row r="6105" spans="1:2" x14ac:dyDescent="0.25">
      <c r="A6105">
        <v>27011200000</v>
      </c>
      <c r="B6105" t="e">
        <f>--Hulla bituminosa</f>
        <v>#NAME?</v>
      </c>
    </row>
    <row r="6106" spans="1:2" x14ac:dyDescent="0.25">
      <c r="A6106">
        <v>27011900000</v>
      </c>
      <c r="B6106" t="e">
        <f>--las demas hullas</f>
        <v>#NAME?</v>
      </c>
    </row>
    <row r="6107" spans="1:2" x14ac:dyDescent="0.25">
      <c r="A6107">
        <v>27012000000</v>
      </c>
      <c r="B6107" t="e">
        <f>-Briquetas. ovoides y combustibles solidos similares. obtenidos de la Hulla</f>
        <v>#NAME?</v>
      </c>
    </row>
    <row r="6108" spans="1:2" x14ac:dyDescent="0.25">
      <c r="A6108">
        <v>2702</v>
      </c>
      <c r="B6108" t="s">
        <v>1978</v>
      </c>
    </row>
    <row r="6109" spans="1:2" x14ac:dyDescent="0.25">
      <c r="A6109">
        <v>27021000000</v>
      </c>
      <c r="B6109" t="e">
        <f>-Lignitos. incluso pulverizados. pero sin aglomerar</f>
        <v>#NAME?</v>
      </c>
    </row>
    <row r="6110" spans="1:2" x14ac:dyDescent="0.25">
      <c r="A6110">
        <v>27022000000</v>
      </c>
      <c r="B6110" t="e">
        <f>-Lignitos Aglomerados</f>
        <v>#NAME?</v>
      </c>
    </row>
    <row r="6111" spans="1:2" x14ac:dyDescent="0.25">
      <c r="A6111">
        <v>27030000000</v>
      </c>
      <c r="B6111" t="s">
        <v>1979</v>
      </c>
    </row>
    <row r="6112" spans="1:2" x14ac:dyDescent="0.25">
      <c r="A6112">
        <v>270400</v>
      </c>
      <c r="B6112" t="s">
        <v>1980</v>
      </c>
    </row>
    <row r="6113" spans="1:2" x14ac:dyDescent="0.25">
      <c r="A6113">
        <v>2704001</v>
      </c>
      <c r="B6113" t="s">
        <v>1981</v>
      </c>
    </row>
    <row r="6114" spans="1:2" x14ac:dyDescent="0.25">
      <c r="A6114">
        <v>27040011000</v>
      </c>
      <c r="B6114" t="s">
        <v>1982</v>
      </c>
    </row>
    <row r="6115" spans="1:2" x14ac:dyDescent="0.25">
      <c r="A6115">
        <v>27040012000</v>
      </c>
      <c r="B6115" t="s">
        <v>1983</v>
      </c>
    </row>
    <row r="6116" spans="1:2" x14ac:dyDescent="0.25">
      <c r="A6116">
        <v>27040090</v>
      </c>
      <c r="B6116" t="s">
        <v>10</v>
      </c>
    </row>
    <row r="6117" spans="1:2" x14ac:dyDescent="0.25">
      <c r="A6117">
        <v>27040090100</v>
      </c>
      <c r="B6117" t="s">
        <v>1984</v>
      </c>
    </row>
    <row r="6118" spans="1:2" x14ac:dyDescent="0.25">
      <c r="A6118">
        <v>27040090200</v>
      </c>
      <c r="B6118" t="s">
        <v>1985</v>
      </c>
    </row>
    <row r="6119" spans="1:2" x14ac:dyDescent="0.25">
      <c r="A6119">
        <v>27050000000</v>
      </c>
      <c r="B6119" t="s">
        <v>1986</v>
      </c>
    </row>
    <row r="6120" spans="1:2" x14ac:dyDescent="0.25">
      <c r="A6120">
        <v>27060000</v>
      </c>
      <c r="B6120" t="s">
        <v>1987</v>
      </c>
    </row>
    <row r="6121" spans="1:2" x14ac:dyDescent="0.25">
      <c r="A6121">
        <v>27060000100</v>
      </c>
      <c r="B6121" t="s">
        <v>1988</v>
      </c>
    </row>
    <row r="6122" spans="1:2" x14ac:dyDescent="0.25">
      <c r="A6122">
        <v>27060000200</v>
      </c>
      <c r="B6122" t="s">
        <v>1989</v>
      </c>
    </row>
    <row r="6123" spans="1:2" x14ac:dyDescent="0.25">
      <c r="A6123">
        <v>27060000300</v>
      </c>
      <c r="B6123" t="s">
        <v>1990</v>
      </c>
    </row>
    <row r="6124" spans="1:2" x14ac:dyDescent="0.25">
      <c r="A6124">
        <v>27060000400</v>
      </c>
      <c r="B6124" t="s">
        <v>1991</v>
      </c>
    </row>
    <row r="6125" spans="1:2" x14ac:dyDescent="0.25">
      <c r="A6125">
        <v>2707</v>
      </c>
      <c r="B6125" t="s">
        <v>1992</v>
      </c>
    </row>
    <row r="6126" spans="1:2" x14ac:dyDescent="0.25">
      <c r="A6126">
        <v>27071000000</v>
      </c>
      <c r="B6126" t="e">
        <f>-Benzol (benceno)</f>
        <v>#NAME?</v>
      </c>
    </row>
    <row r="6127" spans="1:2" x14ac:dyDescent="0.25">
      <c r="A6127">
        <v>27072000000</v>
      </c>
      <c r="B6127" t="e">
        <f>-Toluol (tolueno)</f>
        <v>#NAME?</v>
      </c>
    </row>
    <row r="6128" spans="1:2" x14ac:dyDescent="0.25">
      <c r="A6128">
        <v>27073000000</v>
      </c>
      <c r="B6128" t="e">
        <f>-Xilol (xilenos)</f>
        <v>#NAME?</v>
      </c>
    </row>
    <row r="6129" spans="1:2" x14ac:dyDescent="0.25">
      <c r="A6129">
        <v>27074000000</v>
      </c>
      <c r="B6129" t="e">
        <f>-Naftaleno</f>
        <v>#NAME?</v>
      </c>
    </row>
    <row r="6130" spans="1:2" x14ac:dyDescent="0.25">
      <c r="A6130">
        <v>270750</v>
      </c>
      <c r="B6130" t="s">
        <v>1993</v>
      </c>
    </row>
    <row r="6131" spans="1:2" x14ac:dyDescent="0.25">
      <c r="A6131">
        <v>27075010000</v>
      </c>
      <c r="B6131" t="s">
        <v>1994</v>
      </c>
    </row>
    <row r="6132" spans="1:2" x14ac:dyDescent="0.25">
      <c r="A6132">
        <v>27075090</v>
      </c>
      <c r="B6132" t="s">
        <v>57</v>
      </c>
    </row>
    <row r="6133" spans="1:2" x14ac:dyDescent="0.25">
      <c r="A6133">
        <v>27075090100</v>
      </c>
      <c r="B6133" t="s">
        <v>1995</v>
      </c>
    </row>
    <row r="6134" spans="1:2" x14ac:dyDescent="0.25">
      <c r="A6134">
        <v>27075090900</v>
      </c>
      <c r="B6134" t="s">
        <v>57</v>
      </c>
    </row>
    <row r="6135" spans="1:2" x14ac:dyDescent="0.25">
      <c r="A6135">
        <v>27079</v>
      </c>
      <c r="B6135" t="s">
        <v>28</v>
      </c>
    </row>
    <row r="6136" spans="1:2" x14ac:dyDescent="0.25">
      <c r="A6136">
        <v>27079100000</v>
      </c>
      <c r="B6136" t="e">
        <f>--Aceites de creosota</f>
        <v>#NAME?</v>
      </c>
    </row>
    <row r="6137" spans="1:2" x14ac:dyDescent="0.25">
      <c r="A6137">
        <v>270799</v>
      </c>
      <c r="B6137" t="e">
        <f>- - Los demas</f>
        <v>#NAME?</v>
      </c>
    </row>
    <row r="6138" spans="1:2" x14ac:dyDescent="0.25">
      <c r="A6138">
        <v>27079910000</v>
      </c>
      <c r="B6138" t="s">
        <v>1996</v>
      </c>
    </row>
    <row r="6139" spans="1:2" x14ac:dyDescent="0.25">
      <c r="A6139">
        <v>27079990</v>
      </c>
      <c r="B6139" t="s">
        <v>10</v>
      </c>
    </row>
    <row r="6140" spans="1:2" x14ac:dyDescent="0.25">
      <c r="A6140">
        <v>27079990100</v>
      </c>
      <c r="B6140" t="s">
        <v>1997</v>
      </c>
    </row>
    <row r="6141" spans="1:2" x14ac:dyDescent="0.25">
      <c r="A6141">
        <v>27079990200</v>
      </c>
      <c r="B6141" t="s">
        <v>1998</v>
      </c>
    </row>
    <row r="6142" spans="1:2" x14ac:dyDescent="0.25">
      <c r="A6142">
        <v>270799909</v>
      </c>
      <c r="B6142" t="s">
        <v>10</v>
      </c>
    </row>
    <row r="6143" spans="1:2" x14ac:dyDescent="0.25">
      <c r="A6143">
        <v>27079990910</v>
      </c>
      <c r="B6143" t="s">
        <v>1999</v>
      </c>
    </row>
    <row r="6144" spans="1:2" x14ac:dyDescent="0.25">
      <c r="A6144">
        <v>27079990990</v>
      </c>
      <c r="B6144" t="s">
        <v>10</v>
      </c>
    </row>
    <row r="6145" spans="1:2" x14ac:dyDescent="0.25">
      <c r="A6145">
        <v>2708</v>
      </c>
      <c r="B6145" t="s">
        <v>2000</v>
      </c>
    </row>
    <row r="6146" spans="1:2" x14ac:dyDescent="0.25">
      <c r="A6146">
        <v>27081000000</v>
      </c>
      <c r="B6146" t="e">
        <f>-Brea</f>
        <v>#NAME?</v>
      </c>
    </row>
    <row r="6147" spans="1:2" x14ac:dyDescent="0.25">
      <c r="A6147">
        <v>27082000000</v>
      </c>
      <c r="B6147" t="e">
        <f>-Coque de Brea</f>
        <v>#NAME?</v>
      </c>
    </row>
    <row r="6148" spans="1:2" x14ac:dyDescent="0.25">
      <c r="A6148">
        <v>270900</v>
      </c>
      <c r="B6148" t="s">
        <v>2001</v>
      </c>
    </row>
    <row r="6149" spans="1:2" x14ac:dyDescent="0.25">
      <c r="A6149">
        <v>27090010</v>
      </c>
      <c r="B6149" t="s">
        <v>2002</v>
      </c>
    </row>
    <row r="6150" spans="1:2" x14ac:dyDescent="0.25">
      <c r="A6150">
        <v>27090010100</v>
      </c>
      <c r="B6150" t="s">
        <v>2003</v>
      </c>
    </row>
    <row r="6151" spans="1:2" x14ac:dyDescent="0.25">
      <c r="A6151">
        <v>27090010900</v>
      </c>
      <c r="B6151" t="s">
        <v>10</v>
      </c>
    </row>
    <row r="6152" spans="1:2" x14ac:dyDescent="0.25">
      <c r="A6152">
        <v>27090090000</v>
      </c>
      <c r="B6152" t="s">
        <v>10</v>
      </c>
    </row>
    <row r="6153" spans="1:2" x14ac:dyDescent="0.25">
      <c r="A6153">
        <v>2710</v>
      </c>
      <c r="B6153" t="s">
        <v>2004</v>
      </c>
    </row>
    <row r="6154" spans="1:2" x14ac:dyDescent="0.25">
      <c r="A6154">
        <v>27101</v>
      </c>
      <c r="B6154" t="s">
        <v>2005</v>
      </c>
    </row>
    <row r="6155" spans="1:2" x14ac:dyDescent="0.25">
      <c r="A6155">
        <v>271012</v>
      </c>
      <c r="B6155" t="e">
        <f>- - Aceites livianos (ligeros)* y Preparaciones</f>
        <v>#NAME?</v>
      </c>
    </row>
    <row r="6156" spans="1:2" x14ac:dyDescent="0.25">
      <c r="A6156">
        <v>27101210000</v>
      </c>
      <c r="B6156" t="s">
        <v>2006</v>
      </c>
    </row>
    <row r="6157" spans="1:2" x14ac:dyDescent="0.25">
      <c r="A6157">
        <v>2710122</v>
      </c>
      <c r="B6157" t="s">
        <v>2007</v>
      </c>
    </row>
    <row r="6158" spans="1:2" x14ac:dyDescent="0.25">
      <c r="A6158">
        <v>27101221000</v>
      </c>
      <c r="B6158" t="s">
        <v>2008</v>
      </c>
    </row>
    <row r="6159" spans="1:2" x14ac:dyDescent="0.25">
      <c r="A6159">
        <v>27101229</v>
      </c>
      <c r="B6159" t="s">
        <v>57</v>
      </c>
    </row>
    <row r="6160" spans="1:2" x14ac:dyDescent="0.25">
      <c r="A6160">
        <v>27101229100</v>
      </c>
      <c r="B6160" t="s">
        <v>2003</v>
      </c>
    </row>
    <row r="6161" spans="1:2" x14ac:dyDescent="0.25">
      <c r="A6161">
        <v>27101229900</v>
      </c>
      <c r="B6161" t="s">
        <v>57</v>
      </c>
    </row>
    <row r="6162" spans="1:2" x14ac:dyDescent="0.25">
      <c r="A6162">
        <v>27101230</v>
      </c>
      <c r="B6162" t="s">
        <v>2009</v>
      </c>
    </row>
    <row r="6163" spans="1:2" x14ac:dyDescent="0.25">
      <c r="A6163">
        <v>27101230100</v>
      </c>
      <c r="B6163" t="s">
        <v>2010</v>
      </c>
    </row>
    <row r="6164" spans="1:2" x14ac:dyDescent="0.25">
      <c r="A6164">
        <v>27101230900</v>
      </c>
      <c r="B6164" t="s">
        <v>10</v>
      </c>
    </row>
    <row r="6165" spans="1:2" x14ac:dyDescent="0.25">
      <c r="A6165">
        <v>2710124</v>
      </c>
      <c r="B6165" t="s">
        <v>2011</v>
      </c>
    </row>
    <row r="6166" spans="1:2" x14ac:dyDescent="0.25">
      <c r="A6166">
        <v>27101241000</v>
      </c>
      <c r="B6166" t="s">
        <v>2012</v>
      </c>
    </row>
    <row r="6167" spans="1:2" x14ac:dyDescent="0.25">
      <c r="A6167">
        <v>27101249</v>
      </c>
      <c r="B6167" t="s">
        <v>57</v>
      </c>
    </row>
    <row r="6168" spans="1:2" x14ac:dyDescent="0.25">
      <c r="A6168">
        <v>27101249100</v>
      </c>
      <c r="B6168" t="s">
        <v>2013</v>
      </c>
    </row>
    <row r="6169" spans="1:2" x14ac:dyDescent="0.25">
      <c r="A6169">
        <v>27101249200</v>
      </c>
      <c r="B6169" t="s">
        <v>2014</v>
      </c>
    </row>
    <row r="6170" spans="1:2" x14ac:dyDescent="0.25">
      <c r="A6170">
        <v>27101249300</v>
      </c>
      <c r="B6170" t="s">
        <v>2015</v>
      </c>
    </row>
    <row r="6171" spans="1:2" x14ac:dyDescent="0.25">
      <c r="A6171">
        <v>271012499</v>
      </c>
      <c r="B6171" t="s">
        <v>57</v>
      </c>
    </row>
    <row r="6172" spans="1:2" x14ac:dyDescent="0.25">
      <c r="A6172">
        <v>27101249910</v>
      </c>
      <c r="B6172" t="s">
        <v>2003</v>
      </c>
    </row>
    <row r="6173" spans="1:2" x14ac:dyDescent="0.25">
      <c r="A6173">
        <v>27101249990</v>
      </c>
      <c r="B6173" t="s">
        <v>10</v>
      </c>
    </row>
    <row r="6174" spans="1:2" x14ac:dyDescent="0.25">
      <c r="A6174">
        <v>2710125</v>
      </c>
      <c r="B6174" t="s">
        <v>2016</v>
      </c>
    </row>
    <row r="6175" spans="1:2" x14ac:dyDescent="0.25">
      <c r="A6175">
        <v>27101251000</v>
      </c>
      <c r="B6175" t="s">
        <v>2017</v>
      </c>
    </row>
    <row r="6176" spans="1:2" x14ac:dyDescent="0.25">
      <c r="A6176">
        <v>27101259</v>
      </c>
      <c r="B6176" t="s">
        <v>57</v>
      </c>
    </row>
    <row r="6177" spans="1:2" x14ac:dyDescent="0.25">
      <c r="A6177">
        <v>271012591</v>
      </c>
      <c r="B6177" t="s">
        <v>2018</v>
      </c>
    </row>
    <row r="6178" spans="1:2" x14ac:dyDescent="0.25">
      <c r="A6178">
        <v>27101259110</v>
      </c>
      <c r="B6178" t="s">
        <v>2019</v>
      </c>
    </row>
    <row r="6179" spans="1:2" x14ac:dyDescent="0.25">
      <c r="A6179">
        <v>2710125912</v>
      </c>
      <c r="B6179" t="s">
        <v>2020</v>
      </c>
    </row>
    <row r="6180" spans="1:2" x14ac:dyDescent="0.25">
      <c r="A6180">
        <v>27101259121</v>
      </c>
      <c r="B6180" t="s">
        <v>2021</v>
      </c>
    </row>
    <row r="6181" spans="1:2" x14ac:dyDescent="0.25">
      <c r="A6181">
        <v>27101259129</v>
      </c>
      <c r="B6181" t="s">
        <v>57</v>
      </c>
    </row>
    <row r="6182" spans="1:2" x14ac:dyDescent="0.25">
      <c r="A6182">
        <v>271012592</v>
      </c>
      <c r="B6182" t="s">
        <v>2022</v>
      </c>
    </row>
    <row r="6183" spans="1:2" x14ac:dyDescent="0.25">
      <c r="A6183">
        <v>27101259210</v>
      </c>
      <c r="B6183" t="s">
        <v>2019</v>
      </c>
    </row>
    <row r="6184" spans="1:2" x14ac:dyDescent="0.25">
      <c r="A6184">
        <v>2710125922</v>
      </c>
      <c r="B6184" t="s">
        <v>2020</v>
      </c>
    </row>
    <row r="6185" spans="1:2" x14ac:dyDescent="0.25">
      <c r="A6185">
        <v>27101259221</v>
      </c>
      <c r="B6185" t="s">
        <v>2021</v>
      </c>
    </row>
    <row r="6186" spans="1:2" x14ac:dyDescent="0.25">
      <c r="A6186">
        <v>27101259229</v>
      </c>
      <c r="B6186" t="s">
        <v>57</v>
      </c>
    </row>
    <row r="6187" spans="1:2" x14ac:dyDescent="0.25">
      <c r="A6187">
        <v>27101260000</v>
      </c>
      <c r="B6187" t="s">
        <v>2023</v>
      </c>
    </row>
    <row r="6188" spans="1:2" x14ac:dyDescent="0.25">
      <c r="A6188">
        <v>27101290</v>
      </c>
      <c r="B6188" t="s">
        <v>10</v>
      </c>
    </row>
    <row r="6189" spans="1:2" x14ac:dyDescent="0.25">
      <c r="A6189">
        <v>271012901</v>
      </c>
      <c r="B6189" t="s">
        <v>2024</v>
      </c>
    </row>
    <row r="6190" spans="1:2" x14ac:dyDescent="0.25">
      <c r="A6190">
        <v>27101290110</v>
      </c>
      <c r="B6190" t="s">
        <v>2010</v>
      </c>
    </row>
    <row r="6191" spans="1:2" x14ac:dyDescent="0.25">
      <c r="A6191">
        <v>27101290190</v>
      </c>
      <c r="B6191" t="s">
        <v>10</v>
      </c>
    </row>
    <row r="6192" spans="1:2" x14ac:dyDescent="0.25">
      <c r="A6192">
        <v>27101290200</v>
      </c>
      <c r="B6192" t="s">
        <v>2025</v>
      </c>
    </row>
    <row r="6193" spans="1:2" x14ac:dyDescent="0.25">
      <c r="A6193">
        <v>271012903</v>
      </c>
      <c r="B6193" t="s">
        <v>2026</v>
      </c>
    </row>
    <row r="6194" spans="1:2" x14ac:dyDescent="0.25">
      <c r="A6194">
        <v>27101290310</v>
      </c>
      <c r="B6194" t="s">
        <v>2003</v>
      </c>
    </row>
    <row r="6195" spans="1:2" x14ac:dyDescent="0.25">
      <c r="A6195">
        <v>27101290390</v>
      </c>
      <c r="B6195" t="s">
        <v>57</v>
      </c>
    </row>
    <row r="6196" spans="1:2" x14ac:dyDescent="0.25">
      <c r="A6196">
        <v>271012904</v>
      </c>
      <c r="B6196" t="s">
        <v>2027</v>
      </c>
    </row>
    <row r="6197" spans="1:2" x14ac:dyDescent="0.25">
      <c r="A6197">
        <v>27101290410</v>
      </c>
      <c r="B6197" t="s">
        <v>2003</v>
      </c>
    </row>
    <row r="6198" spans="1:2" x14ac:dyDescent="0.25">
      <c r="A6198">
        <v>27101290490</v>
      </c>
      <c r="B6198" t="s">
        <v>57</v>
      </c>
    </row>
    <row r="6199" spans="1:2" x14ac:dyDescent="0.25">
      <c r="A6199">
        <v>27101290500</v>
      </c>
      <c r="B6199" t="s">
        <v>2028</v>
      </c>
    </row>
    <row r="6200" spans="1:2" x14ac:dyDescent="0.25">
      <c r="A6200">
        <v>271012909</v>
      </c>
      <c r="B6200" t="s">
        <v>10</v>
      </c>
    </row>
    <row r="6201" spans="1:2" x14ac:dyDescent="0.25">
      <c r="A6201">
        <v>27101290910</v>
      </c>
      <c r="B6201" t="s">
        <v>1999</v>
      </c>
    </row>
    <row r="6202" spans="1:2" x14ac:dyDescent="0.25">
      <c r="A6202">
        <v>27101290990</v>
      </c>
      <c r="B6202" t="s">
        <v>10</v>
      </c>
    </row>
    <row r="6203" spans="1:2" x14ac:dyDescent="0.25">
      <c r="A6203">
        <v>271019</v>
      </c>
      <c r="B6203" t="e">
        <f>- - Los demas</f>
        <v>#NAME?</v>
      </c>
    </row>
    <row r="6204" spans="1:2" x14ac:dyDescent="0.25">
      <c r="A6204">
        <v>2710191</v>
      </c>
      <c r="B6204" t="s">
        <v>2029</v>
      </c>
    </row>
    <row r="6205" spans="1:2" x14ac:dyDescent="0.25">
      <c r="A6205">
        <v>27101911000</v>
      </c>
      <c r="B6205" t="s">
        <v>2017</v>
      </c>
    </row>
    <row r="6206" spans="1:2" x14ac:dyDescent="0.25">
      <c r="A6206">
        <v>27101919</v>
      </c>
      <c r="B6206" t="s">
        <v>10</v>
      </c>
    </row>
    <row r="6207" spans="1:2" x14ac:dyDescent="0.25">
      <c r="A6207">
        <v>27101919100</v>
      </c>
      <c r="B6207" t="s">
        <v>2010</v>
      </c>
    </row>
    <row r="6208" spans="1:2" x14ac:dyDescent="0.25">
      <c r="A6208">
        <v>27101919900</v>
      </c>
      <c r="B6208" t="s">
        <v>10</v>
      </c>
    </row>
    <row r="6209" spans="1:2" x14ac:dyDescent="0.25">
      <c r="A6209">
        <v>2710192</v>
      </c>
      <c r="B6209" t="s">
        <v>2030</v>
      </c>
    </row>
    <row r="6210" spans="1:2" x14ac:dyDescent="0.25">
      <c r="A6210">
        <v>27101921000</v>
      </c>
      <c r="B6210" t="s">
        <v>2031</v>
      </c>
    </row>
    <row r="6211" spans="1:2" x14ac:dyDescent="0.25">
      <c r="A6211">
        <v>27101922000</v>
      </c>
      <c r="B6211" t="s">
        <v>2032</v>
      </c>
    </row>
    <row r="6212" spans="1:2" x14ac:dyDescent="0.25">
      <c r="A6212">
        <v>27101929</v>
      </c>
      <c r="B6212" t="s">
        <v>10</v>
      </c>
    </row>
    <row r="6213" spans="1:2" x14ac:dyDescent="0.25">
      <c r="A6213">
        <v>271019291</v>
      </c>
      <c r="B6213" t="s">
        <v>2033</v>
      </c>
    </row>
    <row r="6214" spans="1:2" x14ac:dyDescent="0.25">
      <c r="A6214">
        <v>27101929110</v>
      </c>
      <c r="B6214" t="s">
        <v>2003</v>
      </c>
    </row>
    <row r="6215" spans="1:2" x14ac:dyDescent="0.25">
      <c r="A6215">
        <v>27101929190</v>
      </c>
      <c r="B6215" t="s">
        <v>10</v>
      </c>
    </row>
    <row r="6216" spans="1:2" x14ac:dyDescent="0.25">
      <c r="A6216">
        <v>27101929900</v>
      </c>
      <c r="B6216" t="s">
        <v>10</v>
      </c>
    </row>
    <row r="6217" spans="1:2" x14ac:dyDescent="0.25">
      <c r="A6217">
        <v>2710193</v>
      </c>
      <c r="B6217" t="s">
        <v>2034</v>
      </c>
    </row>
    <row r="6218" spans="1:2" x14ac:dyDescent="0.25">
      <c r="A6218">
        <v>27101931000</v>
      </c>
      <c r="B6218" t="s">
        <v>2035</v>
      </c>
    </row>
    <row r="6219" spans="1:2" x14ac:dyDescent="0.25">
      <c r="A6219">
        <v>27101932</v>
      </c>
      <c r="B6219" t="s">
        <v>2036</v>
      </c>
    </row>
    <row r="6220" spans="1:2" x14ac:dyDescent="0.25">
      <c r="A6220">
        <v>27101932100</v>
      </c>
      <c r="B6220" t="s">
        <v>2037</v>
      </c>
    </row>
    <row r="6221" spans="1:2" x14ac:dyDescent="0.25">
      <c r="A6221">
        <v>27101932900</v>
      </c>
      <c r="B6221" t="s">
        <v>10</v>
      </c>
    </row>
    <row r="6222" spans="1:2" x14ac:dyDescent="0.25">
      <c r="A6222">
        <v>2710199</v>
      </c>
      <c r="B6222" t="s">
        <v>10</v>
      </c>
    </row>
    <row r="6223" spans="1:2" x14ac:dyDescent="0.25">
      <c r="A6223">
        <v>27101991000</v>
      </c>
      <c r="B6223" t="s">
        <v>2038</v>
      </c>
    </row>
    <row r="6224" spans="1:2" x14ac:dyDescent="0.25">
      <c r="A6224">
        <v>27101992</v>
      </c>
      <c r="B6224" t="s">
        <v>2039</v>
      </c>
    </row>
    <row r="6225" spans="1:2" x14ac:dyDescent="0.25">
      <c r="A6225">
        <v>27101992100</v>
      </c>
      <c r="B6225" t="s">
        <v>2040</v>
      </c>
    </row>
    <row r="6226" spans="1:2" x14ac:dyDescent="0.25">
      <c r="A6226">
        <v>27101992900</v>
      </c>
      <c r="B6226" t="s">
        <v>10</v>
      </c>
    </row>
    <row r="6227" spans="1:2" x14ac:dyDescent="0.25">
      <c r="A6227">
        <v>27101993000</v>
      </c>
      <c r="B6227" t="s">
        <v>2041</v>
      </c>
    </row>
    <row r="6228" spans="1:2" x14ac:dyDescent="0.25">
      <c r="A6228">
        <v>27101994000</v>
      </c>
      <c r="B6228" t="s">
        <v>2042</v>
      </c>
    </row>
    <row r="6229" spans="1:2" x14ac:dyDescent="0.25">
      <c r="A6229">
        <v>27101999</v>
      </c>
      <c r="B6229" t="s">
        <v>10</v>
      </c>
    </row>
    <row r="6230" spans="1:2" x14ac:dyDescent="0.25">
      <c r="A6230">
        <v>27101999100</v>
      </c>
      <c r="B6230" t="s">
        <v>2043</v>
      </c>
    </row>
    <row r="6231" spans="1:2" x14ac:dyDescent="0.25">
      <c r="A6231">
        <v>27101999200</v>
      </c>
      <c r="B6231" t="s">
        <v>2044</v>
      </c>
    </row>
    <row r="6232" spans="1:2" x14ac:dyDescent="0.25">
      <c r="A6232">
        <v>27101999300</v>
      </c>
      <c r="B6232" t="s">
        <v>2025</v>
      </c>
    </row>
    <row r="6233" spans="1:2" x14ac:dyDescent="0.25">
      <c r="A6233">
        <v>27101999500</v>
      </c>
      <c r="B6233" t="s">
        <v>2045</v>
      </c>
    </row>
    <row r="6234" spans="1:2" x14ac:dyDescent="0.25">
      <c r="A6234">
        <v>271019999</v>
      </c>
      <c r="B6234" t="s">
        <v>10</v>
      </c>
    </row>
    <row r="6235" spans="1:2" x14ac:dyDescent="0.25">
      <c r="A6235">
        <v>27101999910</v>
      </c>
      <c r="B6235" t="s">
        <v>1999</v>
      </c>
    </row>
    <row r="6236" spans="1:2" x14ac:dyDescent="0.25">
      <c r="A6236">
        <v>27101999990</v>
      </c>
      <c r="B6236" t="s">
        <v>10</v>
      </c>
    </row>
    <row r="6237" spans="1:2" x14ac:dyDescent="0.25">
      <c r="A6237">
        <v>27102000</v>
      </c>
      <c r="B6237" t="s">
        <v>2046</v>
      </c>
    </row>
    <row r="6238" spans="1:2" x14ac:dyDescent="0.25">
      <c r="A6238">
        <v>271020001</v>
      </c>
      <c r="B6238" t="s">
        <v>2047</v>
      </c>
    </row>
    <row r="6239" spans="1:2" x14ac:dyDescent="0.25">
      <c r="A6239">
        <v>27102000110</v>
      </c>
      <c r="B6239" t="s">
        <v>2048</v>
      </c>
    </row>
    <row r="6240" spans="1:2" x14ac:dyDescent="0.25">
      <c r="A6240">
        <v>27102000120</v>
      </c>
      <c r="B6240" t="s">
        <v>2049</v>
      </c>
    </row>
    <row r="6241" spans="1:2" x14ac:dyDescent="0.25">
      <c r="A6241">
        <v>27102000190</v>
      </c>
      <c r="B6241" t="s">
        <v>57</v>
      </c>
    </row>
    <row r="6242" spans="1:2" x14ac:dyDescent="0.25">
      <c r="A6242">
        <v>27102000900</v>
      </c>
      <c r="B6242" t="s">
        <v>10</v>
      </c>
    </row>
    <row r="6243" spans="1:2" x14ac:dyDescent="0.25">
      <c r="A6243">
        <v>27109</v>
      </c>
      <c r="B6243" t="s">
        <v>2050</v>
      </c>
    </row>
    <row r="6244" spans="1:2" x14ac:dyDescent="0.25">
      <c r="A6244">
        <v>27109100000</v>
      </c>
      <c r="B6244" t="s">
        <v>2051</v>
      </c>
    </row>
    <row r="6245" spans="1:2" x14ac:dyDescent="0.25">
      <c r="A6245">
        <v>27109900</v>
      </c>
      <c r="B6245" t="e">
        <f>- - Los demas</f>
        <v>#NAME?</v>
      </c>
    </row>
    <row r="6246" spans="1:2" x14ac:dyDescent="0.25">
      <c r="A6246">
        <v>27109900100</v>
      </c>
      <c r="B6246" t="s">
        <v>2052</v>
      </c>
    </row>
    <row r="6247" spans="1:2" x14ac:dyDescent="0.25">
      <c r="A6247">
        <v>27109900900</v>
      </c>
      <c r="B6247" t="s">
        <v>10</v>
      </c>
    </row>
    <row r="6248" spans="1:2" x14ac:dyDescent="0.25">
      <c r="A6248">
        <v>2711</v>
      </c>
      <c r="B6248" t="s">
        <v>2053</v>
      </c>
    </row>
    <row r="6249" spans="1:2" x14ac:dyDescent="0.25">
      <c r="A6249">
        <v>27111</v>
      </c>
      <c r="B6249" t="s">
        <v>2054</v>
      </c>
    </row>
    <row r="6250" spans="1:2" x14ac:dyDescent="0.25">
      <c r="A6250">
        <v>27111100000</v>
      </c>
      <c r="B6250" t="e">
        <f>--Gas natural</f>
        <v>#NAME?</v>
      </c>
    </row>
    <row r="6251" spans="1:2" x14ac:dyDescent="0.25">
      <c r="A6251">
        <v>271112</v>
      </c>
      <c r="B6251" t="e">
        <f>- - Propano</f>
        <v>#NAME?</v>
      </c>
    </row>
    <row r="6252" spans="1:2" x14ac:dyDescent="0.25">
      <c r="A6252">
        <v>27111210000</v>
      </c>
      <c r="B6252" t="s">
        <v>1408</v>
      </c>
    </row>
    <row r="6253" spans="1:2" x14ac:dyDescent="0.25">
      <c r="A6253">
        <v>27111290000</v>
      </c>
      <c r="B6253" t="s">
        <v>10</v>
      </c>
    </row>
    <row r="6254" spans="1:2" x14ac:dyDescent="0.25">
      <c r="A6254">
        <v>27111300000</v>
      </c>
      <c r="B6254" t="e">
        <f>--Butanos</f>
        <v>#NAME?</v>
      </c>
    </row>
    <row r="6255" spans="1:2" x14ac:dyDescent="0.25">
      <c r="A6255">
        <v>27111400000</v>
      </c>
      <c r="B6255" t="e">
        <f>--Etileno. propileno. butileno y butadieno</f>
        <v>#NAME?</v>
      </c>
    </row>
    <row r="6256" spans="1:2" x14ac:dyDescent="0.25">
      <c r="A6256">
        <v>271119</v>
      </c>
      <c r="B6256" t="e">
        <f>- - Los demas</f>
        <v>#NAME?</v>
      </c>
    </row>
    <row r="6257" spans="1:2" x14ac:dyDescent="0.25">
      <c r="A6257">
        <v>27111910</v>
      </c>
      <c r="B6257" t="s">
        <v>2055</v>
      </c>
    </row>
    <row r="6258" spans="1:2" x14ac:dyDescent="0.25">
      <c r="A6258">
        <v>27111910100</v>
      </c>
      <c r="B6258" t="s">
        <v>2056</v>
      </c>
    </row>
    <row r="6259" spans="1:2" x14ac:dyDescent="0.25">
      <c r="A6259">
        <v>27111910900</v>
      </c>
      <c r="B6259" t="s">
        <v>10</v>
      </c>
    </row>
    <row r="6260" spans="1:2" x14ac:dyDescent="0.25">
      <c r="A6260">
        <v>27111990000</v>
      </c>
      <c r="B6260" t="s">
        <v>10</v>
      </c>
    </row>
    <row r="6261" spans="1:2" x14ac:dyDescent="0.25">
      <c r="A6261">
        <v>27112</v>
      </c>
      <c r="B6261" t="s">
        <v>2057</v>
      </c>
    </row>
    <row r="6262" spans="1:2" x14ac:dyDescent="0.25">
      <c r="A6262">
        <v>27112100000</v>
      </c>
      <c r="B6262" t="e">
        <f>--Gas natural</f>
        <v>#NAME?</v>
      </c>
    </row>
    <row r="6263" spans="1:2" x14ac:dyDescent="0.25">
      <c r="A6263">
        <v>271129</v>
      </c>
      <c r="B6263" t="e">
        <f>- - Los demas</f>
        <v>#NAME?</v>
      </c>
    </row>
    <row r="6264" spans="1:2" x14ac:dyDescent="0.25">
      <c r="A6264">
        <v>27112910000</v>
      </c>
      <c r="B6264" t="s">
        <v>2058</v>
      </c>
    </row>
    <row r="6265" spans="1:2" x14ac:dyDescent="0.25">
      <c r="A6265">
        <v>27112990000</v>
      </c>
      <c r="B6265" t="s">
        <v>10</v>
      </c>
    </row>
    <row r="6266" spans="1:2" x14ac:dyDescent="0.25">
      <c r="A6266">
        <v>2712</v>
      </c>
      <c r="B6266" t="s">
        <v>2059</v>
      </c>
    </row>
    <row r="6267" spans="1:2" x14ac:dyDescent="0.25">
      <c r="A6267">
        <v>27121000000</v>
      </c>
      <c r="B6267" t="e">
        <f>-Vaselina</f>
        <v>#NAME?</v>
      </c>
    </row>
    <row r="6268" spans="1:2" x14ac:dyDescent="0.25">
      <c r="A6268">
        <v>27122000000</v>
      </c>
      <c r="B6268" t="s">
        <v>2060</v>
      </c>
    </row>
    <row r="6269" spans="1:2" x14ac:dyDescent="0.25">
      <c r="A6269">
        <v>27129000</v>
      </c>
      <c r="B6269" t="e">
        <f>- Los demas</f>
        <v>#NAME?</v>
      </c>
    </row>
    <row r="6270" spans="1:2" x14ac:dyDescent="0.25">
      <c r="A6270">
        <v>27129000100</v>
      </c>
      <c r="B6270" t="s">
        <v>2061</v>
      </c>
    </row>
    <row r="6271" spans="1:2" x14ac:dyDescent="0.25">
      <c r="A6271">
        <v>27129000200</v>
      </c>
      <c r="B6271" t="s">
        <v>2062</v>
      </c>
    </row>
    <row r="6272" spans="1:2" x14ac:dyDescent="0.25">
      <c r="A6272">
        <v>27129000300</v>
      </c>
      <c r="B6272" t="s">
        <v>2063</v>
      </c>
    </row>
    <row r="6273" spans="1:2" x14ac:dyDescent="0.25">
      <c r="A6273">
        <v>271290004</v>
      </c>
      <c r="B6273" t="s">
        <v>2064</v>
      </c>
    </row>
    <row r="6274" spans="1:2" x14ac:dyDescent="0.25">
      <c r="A6274">
        <v>27129000410</v>
      </c>
      <c r="B6274" t="s">
        <v>2065</v>
      </c>
    </row>
    <row r="6275" spans="1:2" x14ac:dyDescent="0.25">
      <c r="A6275">
        <v>27129000490</v>
      </c>
      <c r="B6275" t="s">
        <v>57</v>
      </c>
    </row>
    <row r="6276" spans="1:2" x14ac:dyDescent="0.25">
      <c r="A6276">
        <v>27129000900</v>
      </c>
      <c r="B6276" t="s">
        <v>10</v>
      </c>
    </row>
    <row r="6277" spans="1:2" x14ac:dyDescent="0.25">
      <c r="A6277">
        <v>2713</v>
      </c>
      <c r="B6277" t="s">
        <v>2066</v>
      </c>
    </row>
    <row r="6278" spans="1:2" x14ac:dyDescent="0.25">
      <c r="A6278">
        <v>27131</v>
      </c>
      <c r="B6278" t="s">
        <v>2067</v>
      </c>
    </row>
    <row r="6279" spans="1:2" x14ac:dyDescent="0.25">
      <c r="A6279">
        <v>27131100000</v>
      </c>
      <c r="B6279" t="e">
        <f>--sin calcinar</f>
        <v>#NAME?</v>
      </c>
    </row>
    <row r="6280" spans="1:2" x14ac:dyDescent="0.25">
      <c r="A6280">
        <v>27131200</v>
      </c>
      <c r="B6280" t="e">
        <f>--Calcinado</f>
        <v>#NAME?</v>
      </c>
    </row>
    <row r="6281" spans="1:2" x14ac:dyDescent="0.25">
      <c r="A6281">
        <v>27131200100</v>
      </c>
      <c r="B6281" t="s">
        <v>2068</v>
      </c>
    </row>
    <row r="6282" spans="1:2" x14ac:dyDescent="0.25">
      <c r="A6282">
        <v>27131200900</v>
      </c>
      <c r="B6282" t="s">
        <v>10</v>
      </c>
    </row>
    <row r="6283" spans="1:2" x14ac:dyDescent="0.25">
      <c r="A6283">
        <v>27132000000</v>
      </c>
      <c r="B6283" t="e">
        <f>-Betun de petroleo</f>
        <v>#NAME?</v>
      </c>
    </row>
    <row r="6284" spans="1:2" x14ac:dyDescent="0.25">
      <c r="A6284">
        <v>27139000000</v>
      </c>
      <c r="B6284" t="e">
        <f>-Los demas Residuos de Los Aceites de petroleo o de mineral bituminoso</f>
        <v>#NAME?</v>
      </c>
    </row>
    <row r="6285" spans="1:2" x14ac:dyDescent="0.25">
      <c r="A6285">
        <v>2714</v>
      </c>
      <c r="B6285" t="s">
        <v>2069</v>
      </c>
    </row>
    <row r="6286" spans="1:2" x14ac:dyDescent="0.25">
      <c r="A6286">
        <v>27141000000</v>
      </c>
      <c r="B6286" t="e">
        <f>-Pizarras y Arenas bituminosas</f>
        <v>#NAME?</v>
      </c>
    </row>
    <row r="6287" spans="1:2" x14ac:dyDescent="0.25">
      <c r="A6287">
        <v>27149000</v>
      </c>
      <c r="B6287" t="e">
        <f>- Los demas</f>
        <v>#NAME?</v>
      </c>
    </row>
    <row r="6288" spans="1:2" x14ac:dyDescent="0.25">
      <c r="A6288">
        <v>27149000100</v>
      </c>
      <c r="B6288" t="s">
        <v>2070</v>
      </c>
    </row>
    <row r="6289" spans="1:2" x14ac:dyDescent="0.25">
      <c r="A6289">
        <v>27149000200</v>
      </c>
      <c r="B6289" t="s">
        <v>2071</v>
      </c>
    </row>
    <row r="6290" spans="1:2" x14ac:dyDescent="0.25">
      <c r="A6290">
        <v>27149000900</v>
      </c>
      <c r="B6290" t="s">
        <v>10</v>
      </c>
    </row>
    <row r="6291" spans="1:2" x14ac:dyDescent="0.25">
      <c r="A6291">
        <v>27150000000</v>
      </c>
      <c r="B6291" t="s">
        <v>2072</v>
      </c>
    </row>
    <row r="6292" spans="1:2" x14ac:dyDescent="0.25">
      <c r="A6292">
        <v>27160000000</v>
      </c>
      <c r="B6292" t="s">
        <v>2073</v>
      </c>
    </row>
    <row r="6293" spans="1:2" x14ac:dyDescent="0.25">
      <c r="A6293">
        <v>2801</v>
      </c>
      <c r="B6293" t="s">
        <v>2074</v>
      </c>
    </row>
    <row r="6294" spans="1:2" x14ac:dyDescent="0.25">
      <c r="A6294">
        <v>28011000000</v>
      </c>
      <c r="B6294" t="e">
        <f>-Cloro</f>
        <v>#NAME?</v>
      </c>
    </row>
    <row r="6295" spans="1:2" x14ac:dyDescent="0.25">
      <c r="A6295">
        <v>280120</v>
      </c>
      <c r="B6295" t="e">
        <f>- Yodo</f>
        <v>#NAME?</v>
      </c>
    </row>
    <row r="6296" spans="1:2" x14ac:dyDescent="0.25">
      <c r="A6296">
        <v>28012010000</v>
      </c>
      <c r="B6296" t="s">
        <v>2075</v>
      </c>
    </row>
    <row r="6297" spans="1:2" x14ac:dyDescent="0.25">
      <c r="A6297">
        <v>28012090000</v>
      </c>
      <c r="B6297" t="s">
        <v>10</v>
      </c>
    </row>
    <row r="6298" spans="1:2" x14ac:dyDescent="0.25">
      <c r="A6298">
        <v>28013000</v>
      </c>
      <c r="B6298" t="e">
        <f>- fluor, bromo</f>
        <v>#NAME?</v>
      </c>
    </row>
    <row r="6299" spans="1:2" x14ac:dyDescent="0.25">
      <c r="A6299">
        <v>28013000100</v>
      </c>
      <c r="B6299" t="s">
        <v>2076</v>
      </c>
    </row>
    <row r="6300" spans="1:2" x14ac:dyDescent="0.25">
      <c r="A6300">
        <v>28013000200</v>
      </c>
      <c r="B6300" t="s">
        <v>2077</v>
      </c>
    </row>
    <row r="6301" spans="1:2" x14ac:dyDescent="0.25">
      <c r="A6301">
        <v>28020000</v>
      </c>
      <c r="B6301" t="s">
        <v>2078</v>
      </c>
    </row>
    <row r="6302" spans="1:2" x14ac:dyDescent="0.25">
      <c r="A6302">
        <v>28020000100</v>
      </c>
      <c r="B6302" t="s">
        <v>2079</v>
      </c>
    </row>
    <row r="6303" spans="1:2" x14ac:dyDescent="0.25">
      <c r="A6303">
        <v>28020000200</v>
      </c>
      <c r="B6303" t="s">
        <v>2080</v>
      </c>
    </row>
    <row r="6304" spans="1:2" x14ac:dyDescent="0.25">
      <c r="A6304">
        <v>280300</v>
      </c>
      <c r="B6304" t="s">
        <v>2081</v>
      </c>
    </row>
    <row r="6305" spans="1:2" x14ac:dyDescent="0.25">
      <c r="A6305">
        <v>2803001</v>
      </c>
      <c r="B6305" t="s">
        <v>2082</v>
      </c>
    </row>
    <row r="6306" spans="1:2" x14ac:dyDescent="0.25">
      <c r="A6306">
        <v>28030011000</v>
      </c>
      <c r="B6306" t="s">
        <v>2083</v>
      </c>
    </row>
    <row r="6307" spans="1:2" x14ac:dyDescent="0.25">
      <c r="A6307">
        <v>28030019000</v>
      </c>
      <c r="B6307" t="s">
        <v>10</v>
      </c>
    </row>
    <row r="6308" spans="1:2" x14ac:dyDescent="0.25">
      <c r="A6308">
        <v>28030090000</v>
      </c>
      <c r="B6308" t="s">
        <v>10</v>
      </c>
    </row>
    <row r="6309" spans="1:2" x14ac:dyDescent="0.25">
      <c r="A6309">
        <v>2804</v>
      </c>
      <c r="B6309" t="s">
        <v>2084</v>
      </c>
    </row>
    <row r="6310" spans="1:2" x14ac:dyDescent="0.25">
      <c r="A6310">
        <v>28041000000</v>
      </c>
      <c r="B6310" t="e">
        <f>-Hidrogeno</f>
        <v>#NAME?</v>
      </c>
    </row>
    <row r="6311" spans="1:2" x14ac:dyDescent="0.25">
      <c r="A6311">
        <v>28042</v>
      </c>
      <c r="B6311" t="s">
        <v>2085</v>
      </c>
    </row>
    <row r="6312" spans="1:2" x14ac:dyDescent="0.25">
      <c r="A6312">
        <v>28042100000</v>
      </c>
      <c r="B6312" t="e">
        <f>--Argon</f>
        <v>#NAME?</v>
      </c>
    </row>
    <row r="6313" spans="1:2" x14ac:dyDescent="0.25">
      <c r="A6313">
        <v>280429</v>
      </c>
      <c r="B6313" t="e">
        <f>- - Los demas</f>
        <v>#NAME?</v>
      </c>
    </row>
    <row r="6314" spans="1:2" x14ac:dyDescent="0.25">
      <c r="A6314">
        <v>28042910000</v>
      </c>
      <c r="B6314" t="s">
        <v>2086</v>
      </c>
    </row>
    <row r="6315" spans="1:2" x14ac:dyDescent="0.25">
      <c r="A6315">
        <v>28042990000</v>
      </c>
      <c r="B6315" t="s">
        <v>10</v>
      </c>
    </row>
    <row r="6316" spans="1:2" x14ac:dyDescent="0.25">
      <c r="A6316">
        <v>28043000000</v>
      </c>
      <c r="B6316" t="e">
        <f>-Nitrogeno</f>
        <v>#NAME?</v>
      </c>
    </row>
    <row r="6317" spans="1:2" x14ac:dyDescent="0.25">
      <c r="A6317">
        <v>28044000</v>
      </c>
      <c r="B6317" t="e">
        <f>- Oxigeno</f>
        <v>#NAME?</v>
      </c>
    </row>
    <row r="6318" spans="1:2" x14ac:dyDescent="0.25">
      <c r="A6318">
        <v>28044000100</v>
      </c>
      <c r="B6318" t="s">
        <v>2087</v>
      </c>
    </row>
    <row r="6319" spans="1:2" x14ac:dyDescent="0.25">
      <c r="A6319">
        <v>28044000900</v>
      </c>
      <c r="B6319" t="s">
        <v>10</v>
      </c>
    </row>
    <row r="6320" spans="1:2" x14ac:dyDescent="0.25">
      <c r="A6320">
        <v>28045000</v>
      </c>
      <c r="B6320" t="e">
        <f>- Boro, telurio</f>
        <v>#NAME?</v>
      </c>
    </row>
    <row r="6321" spans="1:2" x14ac:dyDescent="0.25">
      <c r="A6321">
        <v>28045000100</v>
      </c>
      <c r="B6321" t="s">
        <v>2088</v>
      </c>
    </row>
    <row r="6322" spans="1:2" x14ac:dyDescent="0.25">
      <c r="A6322">
        <v>28045000200</v>
      </c>
      <c r="B6322" t="s">
        <v>2089</v>
      </c>
    </row>
    <row r="6323" spans="1:2" x14ac:dyDescent="0.25">
      <c r="A6323">
        <v>28046</v>
      </c>
      <c r="B6323" t="s">
        <v>2090</v>
      </c>
    </row>
    <row r="6324" spans="1:2" x14ac:dyDescent="0.25">
      <c r="A6324">
        <v>28046100000</v>
      </c>
      <c r="B6324" t="s">
        <v>2091</v>
      </c>
    </row>
    <row r="6325" spans="1:2" x14ac:dyDescent="0.25">
      <c r="A6325">
        <v>28046900000</v>
      </c>
      <c r="B6325" t="e">
        <f>--Los demas</f>
        <v>#NAME?</v>
      </c>
    </row>
    <row r="6326" spans="1:2" x14ac:dyDescent="0.25">
      <c r="A6326">
        <v>280470</v>
      </c>
      <c r="B6326" t="e">
        <f>- Fosforo</f>
        <v>#NAME?</v>
      </c>
    </row>
    <row r="6327" spans="1:2" x14ac:dyDescent="0.25">
      <c r="A6327">
        <v>28047010000</v>
      </c>
      <c r="B6327" t="s">
        <v>804</v>
      </c>
    </row>
    <row r="6328" spans="1:2" x14ac:dyDescent="0.25">
      <c r="A6328">
        <v>28047020</v>
      </c>
      <c r="B6328" t="s">
        <v>2092</v>
      </c>
    </row>
    <row r="6329" spans="1:2" x14ac:dyDescent="0.25">
      <c r="A6329">
        <v>28047020100</v>
      </c>
      <c r="B6329" t="s">
        <v>1131</v>
      </c>
    </row>
    <row r="6330" spans="1:2" x14ac:dyDescent="0.25">
      <c r="A6330">
        <v>28047020900</v>
      </c>
      <c r="B6330" t="s">
        <v>10</v>
      </c>
    </row>
    <row r="6331" spans="1:2" x14ac:dyDescent="0.25">
      <c r="A6331">
        <v>28047030000</v>
      </c>
      <c r="B6331" t="s">
        <v>801</v>
      </c>
    </row>
    <row r="6332" spans="1:2" x14ac:dyDescent="0.25">
      <c r="A6332">
        <v>28048000</v>
      </c>
      <c r="B6332" t="e">
        <f>- arsenico</f>
        <v>#NAME?</v>
      </c>
    </row>
    <row r="6333" spans="1:2" x14ac:dyDescent="0.25">
      <c r="A6333">
        <v>28048000100</v>
      </c>
      <c r="B6333" t="s">
        <v>2093</v>
      </c>
    </row>
    <row r="6334" spans="1:2" x14ac:dyDescent="0.25">
      <c r="A6334">
        <v>28048000900</v>
      </c>
      <c r="B6334" t="s">
        <v>10</v>
      </c>
    </row>
    <row r="6335" spans="1:2" x14ac:dyDescent="0.25">
      <c r="A6335">
        <v>28049000000</v>
      </c>
      <c r="B6335" t="e">
        <f>-Selenio</f>
        <v>#NAME?</v>
      </c>
    </row>
    <row r="6336" spans="1:2" x14ac:dyDescent="0.25">
      <c r="A6336">
        <v>2805</v>
      </c>
      <c r="B6336" t="s">
        <v>2094</v>
      </c>
    </row>
    <row r="6337" spans="1:2" x14ac:dyDescent="0.25">
      <c r="A6337">
        <v>28051</v>
      </c>
      <c r="B6337" t="s">
        <v>2095</v>
      </c>
    </row>
    <row r="6338" spans="1:2" x14ac:dyDescent="0.25">
      <c r="A6338">
        <v>28051100000</v>
      </c>
      <c r="B6338" t="e">
        <f>--Sodio</f>
        <v>#NAME?</v>
      </c>
    </row>
    <row r="6339" spans="1:2" x14ac:dyDescent="0.25">
      <c r="A6339">
        <v>28051200000</v>
      </c>
      <c r="B6339" t="e">
        <f>--calcio</f>
        <v>#NAME?</v>
      </c>
    </row>
    <row r="6340" spans="1:2" x14ac:dyDescent="0.25">
      <c r="A6340">
        <v>280519</v>
      </c>
      <c r="B6340" t="e">
        <f>- - Los demas</f>
        <v>#NAME?</v>
      </c>
    </row>
    <row r="6341" spans="1:2" x14ac:dyDescent="0.25">
      <c r="A6341">
        <v>28051910000</v>
      </c>
      <c r="B6341" t="s">
        <v>2096</v>
      </c>
    </row>
    <row r="6342" spans="1:2" x14ac:dyDescent="0.25">
      <c r="A6342">
        <v>28051920000</v>
      </c>
      <c r="B6342" t="s">
        <v>2097</v>
      </c>
    </row>
    <row r="6343" spans="1:2" x14ac:dyDescent="0.25">
      <c r="A6343">
        <v>28051990</v>
      </c>
      <c r="B6343" t="s">
        <v>10</v>
      </c>
    </row>
    <row r="6344" spans="1:2" x14ac:dyDescent="0.25">
      <c r="A6344">
        <v>28051990100</v>
      </c>
      <c r="B6344" t="s">
        <v>2098</v>
      </c>
    </row>
    <row r="6345" spans="1:2" x14ac:dyDescent="0.25">
      <c r="A6345">
        <v>28051990900</v>
      </c>
      <c r="B6345" t="s">
        <v>10</v>
      </c>
    </row>
    <row r="6346" spans="1:2" x14ac:dyDescent="0.25">
      <c r="A6346">
        <v>280530</v>
      </c>
      <c r="B6346" t="e">
        <f>- metales de las Tierras raras. escandio e itrio. incluso mezclados o aleados entre si</f>
        <v>#NAME?</v>
      </c>
    </row>
    <row r="6347" spans="1:2" x14ac:dyDescent="0.25">
      <c r="A6347">
        <v>28053010000</v>
      </c>
      <c r="B6347" t="s">
        <v>2099</v>
      </c>
    </row>
    <row r="6348" spans="1:2" x14ac:dyDescent="0.25">
      <c r="A6348">
        <v>28053090000</v>
      </c>
      <c r="B6348" t="s">
        <v>10</v>
      </c>
    </row>
    <row r="6349" spans="1:2" x14ac:dyDescent="0.25">
      <c r="A6349">
        <v>28054000000</v>
      </c>
      <c r="B6349" t="e">
        <f>-Mercurio</f>
        <v>#NAME?</v>
      </c>
    </row>
    <row r="6350" spans="1:2" x14ac:dyDescent="0.25">
      <c r="A6350">
        <v>2806</v>
      </c>
      <c r="B6350" t="s">
        <v>2100</v>
      </c>
    </row>
    <row r="6351" spans="1:2" x14ac:dyDescent="0.25">
      <c r="A6351">
        <v>280610</v>
      </c>
      <c r="B6351" t="e">
        <f>- Cloruro de Hidrogeno (acido clorhidrico)</f>
        <v>#NAME?</v>
      </c>
    </row>
    <row r="6352" spans="1:2" x14ac:dyDescent="0.25">
      <c r="A6352">
        <v>28061010000</v>
      </c>
      <c r="B6352" t="s">
        <v>2101</v>
      </c>
    </row>
    <row r="6353" spans="1:2" x14ac:dyDescent="0.25">
      <c r="A6353">
        <v>28061020</v>
      </c>
      <c r="B6353" t="s">
        <v>2102</v>
      </c>
    </row>
    <row r="6354" spans="1:2" x14ac:dyDescent="0.25">
      <c r="A6354">
        <v>28061020100</v>
      </c>
      <c r="B6354" t="s">
        <v>2103</v>
      </c>
    </row>
    <row r="6355" spans="1:2" x14ac:dyDescent="0.25">
      <c r="A6355">
        <v>28061020900</v>
      </c>
      <c r="B6355" t="s">
        <v>10</v>
      </c>
    </row>
    <row r="6356" spans="1:2" x14ac:dyDescent="0.25">
      <c r="A6356">
        <v>28062000000</v>
      </c>
      <c r="B6356" t="e">
        <f>-acido clorosulfurico</f>
        <v>#NAME?</v>
      </c>
    </row>
    <row r="6357" spans="1:2" x14ac:dyDescent="0.25">
      <c r="A6357">
        <v>280700</v>
      </c>
      <c r="B6357" t="s">
        <v>2104</v>
      </c>
    </row>
    <row r="6358" spans="1:2" x14ac:dyDescent="0.25">
      <c r="A6358">
        <v>28070010</v>
      </c>
      <c r="B6358" t="s">
        <v>2105</v>
      </c>
    </row>
    <row r="6359" spans="1:2" x14ac:dyDescent="0.25">
      <c r="A6359">
        <v>28070010100</v>
      </c>
      <c r="B6359" t="s">
        <v>1131</v>
      </c>
    </row>
    <row r="6360" spans="1:2" x14ac:dyDescent="0.25">
      <c r="A6360">
        <v>28070010900</v>
      </c>
      <c r="B6360" t="s">
        <v>10</v>
      </c>
    </row>
    <row r="6361" spans="1:2" x14ac:dyDescent="0.25">
      <c r="A6361">
        <v>28070020000</v>
      </c>
      <c r="B6361" t="s">
        <v>2106</v>
      </c>
    </row>
    <row r="6362" spans="1:2" x14ac:dyDescent="0.25">
      <c r="A6362">
        <v>280800</v>
      </c>
      <c r="B6362" t="s">
        <v>2107</v>
      </c>
    </row>
    <row r="6363" spans="1:2" x14ac:dyDescent="0.25">
      <c r="A6363">
        <v>28080010</v>
      </c>
      <c r="B6363" t="s">
        <v>2108</v>
      </c>
    </row>
    <row r="6364" spans="1:2" x14ac:dyDescent="0.25">
      <c r="A6364">
        <v>280800101</v>
      </c>
      <c r="B6364" t="s">
        <v>2109</v>
      </c>
    </row>
    <row r="6365" spans="1:2" x14ac:dyDescent="0.25">
      <c r="A6365">
        <v>28080010110</v>
      </c>
      <c r="B6365" t="s">
        <v>2110</v>
      </c>
    </row>
    <row r="6366" spans="1:2" x14ac:dyDescent="0.25">
      <c r="A6366">
        <v>28080010190</v>
      </c>
      <c r="B6366" t="s">
        <v>10</v>
      </c>
    </row>
    <row r="6367" spans="1:2" x14ac:dyDescent="0.25">
      <c r="A6367">
        <v>28080010900</v>
      </c>
      <c r="B6367" t="s">
        <v>10</v>
      </c>
    </row>
    <row r="6368" spans="1:2" x14ac:dyDescent="0.25">
      <c r="A6368">
        <v>28080020000</v>
      </c>
      <c r="B6368" t="s">
        <v>2111</v>
      </c>
    </row>
    <row r="6369" spans="1:2" x14ac:dyDescent="0.25">
      <c r="A6369">
        <v>2809</v>
      </c>
      <c r="B6369" t="s">
        <v>2112</v>
      </c>
    </row>
    <row r="6370" spans="1:2" x14ac:dyDescent="0.25">
      <c r="A6370">
        <v>28091000000</v>
      </c>
      <c r="B6370" t="e">
        <f>-Pentoxido de difosforo</f>
        <v>#NAME?</v>
      </c>
    </row>
    <row r="6371" spans="1:2" x14ac:dyDescent="0.25">
      <c r="A6371">
        <v>280920</v>
      </c>
      <c r="B6371" t="e">
        <f>- acido fosforico y acidos polifosforicos</f>
        <v>#NAME?</v>
      </c>
    </row>
    <row r="6372" spans="1:2" x14ac:dyDescent="0.25">
      <c r="A6372">
        <v>2809201</v>
      </c>
      <c r="B6372" t="s">
        <v>2113</v>
      </c>
    </row>
    <row r="6373" spans="1:2" x14ac:dyDescent="0.25">
      <c r="A6373">
        <v>28092011000</v>
      </c>
      <c r="B6373" t="s">
        <v>2114</v>
      </c>
    </row>
    <row r="6374" spans="1:2" x14ac:dyDescent="0.25">
      <c r="A6374">
        <v>28092019000</v>
      </c>
      <c r="B6374" t="s">
        <v>10</v>
      </c>
    </row>
    <row r="6375" spans="1:2" x14ac:dyDescent="0.25">
      <c r="A6375">
        <v>28092020000</v>
      </c>
      <c r="B6375" t="s">
        <v>2115</v>
      </c>
    </row>
    <row r="6376" spans="1:2" x14ac:dyDescent="0.25">
      <c r="A6376">
        <v>28092030000</v>
      </c>
      <c r="B6376" t="s">
        <v>2116</v>
      </c>
    </row>
    <row r="6377" spans="1:2" x14ac:dyDescent="0.25">
      <c r="A6377">
        <v>28092090000</v>
      </c>
      <c r="B6377" t="s">
        <v>10</v>
      </c>
    </row>
    <row r="6378" spans="1:2" x14ac:dyDescent="0.25">
      <c r="A6378">
        <v>281000</v>
      </c>
      <c r="B6378" t="s">
        <v>2117</v>
      </c>
    </row>
    <row r="6379" spans="1:2" x14ac:dyDescent="0.25">
      <c r="A6379">
        <v>28100010000</v>
      </c>
      <c r="B6379" t="s">
        <v>2118</v>
      </c>
    </row>
    <row r="6380" spans="1:2" x14ac:dyDescent="0.25">
      <c r="A6380">
        <v>28100090000</v>
      </c>
      <c r="B6380" t="s">
        <v>10</v>
      </c>
    </row>
    <row r="6381" spans="1:2" x14ac:dyDescent="0.25">
      <c r="A6381">
        <v>2811</v>
      </c>
      <c r="B6381" t="s">
        <v>2119</v>
      </c>
    </row>
    <row r="6382" spans="1:2" x14ac:dyDescent="0.25">
      <c r="A6382">
        <v>28111</v>
      </c>
      <c r="B6382" t="s">
        <v>2120</v>
      </c>
    </row>
    <row r="6383" spans="1:2" x14ac:dyDescent="0.25">
      <c r="A6383">
        <v>28111100000</v>
      </c>
      <c r="B6383" t="e">
        <f>--fluoruro de Hidrogeno (acido fluorhidrico)</f>
        <v>#NAME?</v>
      </c>
    </row>
    <row r="6384" spans="1:2" x14ac:dyDescent="0.25">
      <c r="A6384">
        <v>28111200000</v>
      </c>
      <c r="B6384" t="e">
        <f>--Cianuro de Hidrogeno (acido cianhidrico)</f>
        <v>#NAME?</v>
      </c>
    </row>
    <row r="6385" spans="1:2" x14ac:dyDescent="0.25">
      <c r="A6385">
        <v>281119</v>
      </c>
      <c r="B6385" t="e">
        <f>- - Los demas</f>
        <v>#NAME?</v>
      </c>
    </row>
    <row r="6386" spans="1:2" x14ac:dyDescent="0.25">
      <c r="A6386">
        <v>28111910000</v>
      </c>
      <c r="B6386" t="s">
        <v>2121</v>
      </c>
    </row>
    <row r="6387" spans="1:2" x14ac:dyDescent="0.25">
      <c r="A6387">
        <v>28111920000</v>
      </c>
      <c r="B6387" t="s">
        <v>2122</v>
      </c>
    </row>
    <row r="6388" spans="1:2" x14ac:dyDescent="0.25">
      <c r="A6388">
        <v>28111930000</v>
      </c>
      <c r="B6388" t="s">
        <v>2123</v>
      </c>
    </row>
    <row r="6389" spans="1:2" x14ac:dyDescent="0.25">
      <c r="A6389">
        <v>28111940000</v>
      </c>
      <c r="B6389" t="s">
        <v>2124</v>
      </c>
    </row>
    <row r="6390" spans="1:2" x14ac:dyDescent="0.25">
      <c r="A6390">
        <v>28111990</v>
      </c>
      <c r="B6390" t="s">
        <v>10</v>
      </c>
    </row>
    <row r="6391" spans="1:2" x14ac:dyDescent="0.25">
      <c r="A6391">
        <v>28111990100</v>
      </c>
      <c r="B6391" t="s">
        <v>2125</v>
      </c>
    </row>
    <row r="6392" spans="1:2" x14ac:dyDescent="0.25">
      <c r="A6392">
        <v>281119902</v>
      </c>
      <c r="B6392" t="s">
        <v>2126</v>
      </c>
    </row>
    <row r="6393" spans="1:2" x14ac:dyDescent="0.25">
      <c r="A6393">
        <v>28111990210</v>
      </c>
      <c r="B6393" t="s">
        <v>1131</v>
      </c>
    </row>
    <row r="6394" spans="1:2" x14ac:dyDescent="0.25">
      <c r="A6394">
        <v>28111990290</v>
      </c>
      <c r="B6394" t="s">
        <v>10</v>
      </c>
    </row>
    <row r="6395" spans="1:2" x14ac:dyDescent="0.25">
      <c r="A6395">
        <v>28111990900</v>
      </c>
      <c r="B6395" t="s">
        <v>10</v>
      </c>
    </row>
    <row r="6396" spans="1:2" x14ac:dyDescent="0.25">
      <c r="A6396">
        <v>28112</v>
      </c>
      <c r="B6396" t="s">
        <v>2127</v>
      </c>
    </row>
    <row r="6397" spans="1:2" x14ac:dyDescent="0.25">
      <c r="A6397">
        <v>28112100000</v>
      </c>
      <c r="B6397" t="e">
        <f>--Dioxido de carbono</f>
        <v>#NAME?</v>
      </c>
    </row>
    <row r="6398" spans="1:2" x14ac:dyDescent="0.25">
      <c r="A6398">
        <v>281122</v>
      </c>
      <c r="B6398" t="e">
        <f>- - Dioxido de Silicio</f>
        <v>#NAME?</v>
      </c>
    </row>
    <row r="6399" spans="1:2" x14ac:dyDescent="0.25">
      <c r="A6399">
        <v>28112210000</v>
      </c>
      <c r="B6399" t="s">
        <v>2128</v>
      </c>
    </row>
    <row r="6400" spans="1:2" x14ac:dyDescent="0.25">
      <c r="A6400">
        <v>28112220000</v>
      </c>
      <c r="B6400" t="s">
        <v>2129</v>
      </c>
    </row>
    <row r="6401" spans="1:2" x14ac:dyDescent="0.25">
      <c r="A6401">
        <v>28112230000</v>
      </c>
      <c r="B6401" t="s">
        <v>2130</v>
      </c>
    </row>
    <row r="6402" spans="1:2" x14ac:dyDescent="0.25">
      <c r="A6402">
        <v>28112290000</v>
      </c>
      <c r="B6402" t="s">
        <v>10</v>
      </c>
    </row>
    <row r="6403" spans="1:2" x14ac:dyDescent="0.25">
      <c r="A6403">
        <v>281129</v>
      </c>
      <c r="B6403" t="e">
        <f>- - Los demas</f>
        <v>#NAME?</v>
      </c>
    </row>
    <row r="6404" spans="1:2" x14ac:dyDescent="0.25">
      <c r="A6404">
        <v>28112910000</v>
      </c>
      <c r="B6404" t="s">
        <v>2131</v>
      </c>
    </row>
    <row r="6405" spans="1:2" x14ac:dyDescent="0.25">
      <c r="A6405">
        <v>28112990</v>
      </c>
      <c r="B6405" t="s">
        <v>10</v>
      </c>
    </row>
    <row r="6406" spans="1:2" x14ac:dyDescent="0.25">
      <c r="A6406">
        <v>28112990100</v>
      </c>
      <c r="B6406" t="s">
        <v>2132</v>
      </c>
    </row>
    <row r="6407" spans="1:2" x14ac:dyDescent="0.25">
      <c r="A6407">
        <v>28112990200</v>
      </c>
      <c r="B6407" t="s">
        <v>2133</v>
      </c>
    </row>
    <row r="6408" spans="1:2" x14ac:dyDescent="0.25">
      <c r="A6408">
        <v>28112990300</v>
      </c>
      <c r="B6408" t="s">
        <v>2134</v>
      </c>
    </row>
    <row r="6409" spans="1:2" x14ac:dyDescent="0.25">
      <c r="A6409">
        <v>28112990400</v>
      </c>
      <c r="B6409" t="s">
        <v>2135</v>
      </c>
    </row>
    <row r="6410" spans="1:2" x14ac:dyDescent="0.25">
      <c r="A6410">
        <v>28112990500</v>
      </c>
      <c r="B6410" t="s">
        <v>2136</v>
      </c>
    </row>
    <row r="6411" spans="1:2" x14ac:dyDescent="0.25">
      <c r="A6411">
        <v>28112990900</v>
      </c>
      <c r="B6411" t="s">
        <v>10</v>
      </c>
    </row>
    <row r="6412" spans="1:2" x14ac:dyDescent="0.25">
      <c r="A6412">
        <v>2812</v>
      </c>
      <c r="B6412" t="s">
        <v>2137</v>
      </c>
    </row>
    <row r="6413" spans="1:2" x14ac:dyDescent="0.25">
      <c r="A6413">
        <v>28121</v>
      </c>
      <c r="B6413" t="s">
        <v>2138</v>
      </c>
    </row>
    <row r="6414" spans="1:2" x14ac:dyDescent="0.25">
      <c r="A6414">
        <v>28121100000</v>
      </c>
      <c r="B6414" t="e">
        <f>--Dicloruro de carbonilo (fosgeno)</f>
        <v>#NAME?</v>
      </c>
    </row>
    <row r="6415" spans="1:2" x14ac:dyDescent="0.25">
      <c r="A6415">
        <v>28121200000</v>
      </c>
      <c r="B6415" t="e">
        <f>--Oxicloruro de Fosforo</f>
        <v>#NAME?</v>
      </c>
    </row>
    <row r="6416" spans="1:2" x14ac:dyDescent="0.25">
      <c r="A6416">
        <v>28121300000</v>
      </c>
      <c r="B6416" t="e">
        <f>--Tricloruro de Fosforo</f>
        <v>#NAME?</v>
      </c>
    </row>
    <row r="6417" spans="1:2" x14ac:dyDescent="0.25">
      <c r="A6417">
        <v>28121400000</v>
      </c>
      <c r="B6417" t="e">
        <f>--Pentacloruro de Fosforo</f>
        <v>#NAME?</v>
      </c>
    </row>
    <row r="6418" spans="1:2" x14ac:dyDescent="0.25">
      <c r="A6418">
        <v>28121500000</v>
      </c>
      <c r="B6418" t="e">
        <f>--Monocloruro de azufre</f>
        <v>#NAME?</v>
      </c>
    </row>
    <row r="6419" spans="1:2" x14ac:dyDescent="0.25">
      <c r="A6419">
        <v>28121600000</v>
      </c>
      <c r="B6419" t="e">
        <f>--Dicloruro de azufre</f>
        <v>#NAME?</v>
      </c>
    </row>
    <row r="6420" spans="1:2" x14ac:dyDescent="0.25">
      <c r="A6420">
        <v>28121700000</v>
      </c>
      <c r="B6420" t="e">
        <f>--Cloruro de tionilo</f>
        <v>#NAME?</v>
      </c>
    </row>
    <row r="6421" spans="1:2" x14ac:dyDescent="0.25">
      <c r="A6421">
        <v>281219</v>
      </c>
      <c r="B6421" t="e">
        <f>- - Los demas</f>
        <v>#NAME?</v>
      </c>
    </row>
    <row r="6422" spans="1:2" x14ac:dyDescent="0.25">
      <c r="A6422">
        <v>2812191</v>
      </c>
      <c r="B6422" t="s">
        <v>2139</v>
      </c>
    </row>
    <row r="6423" spans="1:2" x14ac:dyDescent="0.25">
      <c r="A6423">
        <v>28121911000</v>
      </c>
      <c r="B6423" t="s">
        <v>2140</v>
      </c>
    </row>
    <row r="6424" spans="1:2" x14ac:dyDescent="0.25">
      <c r="A6424">
        <v>28121919000</v>
      </c>
      <c r="B6424" t="s">
        <v>10</v>
      </c>
    </row>
    <row r="6425" spans="1:2" x14ac:dyDescent="0.25">
      <c r="A6425">
        <v>28121920000</v>
      </c>
      <c r="B6425" t="s">
        <v>2141</v>
      </c>
    </row>
    <row r="6426" spans="1:2" x14ac:dyDescent="0.25">
      <c r="A6426">
        <v>28129000000</v>
      </c>
      <c r="B6426" t="e">
        <f>-Los demas</f>
        <v>#NAME?</v>
      </c>
    </row>
    <row r="6427" spans="1:2" x14ac:dyDescent="0.25">
      <c r="A6427">
        <v>2813</v>
      </c>
      <c r="B6427" t="s">
        <v>2142</v>
      </c>
    </row>
    <row r="6428" spans="1:2" x14ac:dyDescent="0.25">
      <c r="A6428">
        <v>28131000000</v>
      </c>
      <c r="B6428" t="e">
        <f>-Disulfuro de carbono</f>
        <v>#NAME?</v>
      </c>
    </row>
    <row r="6429" spans="1:2" x14ac:dyDescent="0.25">
      <c r="A6429">
        <v>281390</v>
      </c>
      <c r="B6429" t="e">
        <f>- Los demas</f>
        <v>#NAME?</v>
      </c>
    </row>
    <row r="6430" spans="1:2" x14ac:dyDescent="0.25">
      <c r="A6430">
        <v>28139010000</v>
      </c>
      <c r="B6430" t="s">
        <v>2143</v>
      </c>
    </row>
    <row r="6431" spans="1:2" x14ac:dyDescent="0.25">
      <c r="A6431">
        <v>28139090</v>
      </c>
      <c r="B6431" t="s">
        <v>10</v>
      </c>
    </row>
    <row r="6432" spans="1:2" x14ac:dyDescent="0.25">
      <c r="A6432">
        <v>28139090100</v>
      </c>
      <c r="B6432" t="s">
        <v>2144</v>
      </c>
    </row>
    <row r="6433" spans="1:2" x14ac:dyDescent="0.25">
      <c r="A6433">
        <v>28139090200</v>
      </c>
      <c r="B6433" t="s">
        <v>2145</v>
      </c>
    </row>
    <row r="6434" spans="1:2" x14ac:dyDescent="0.25">
      <c r="A6434">
        <v>28139090300</v>
      </c>
      <c r="B6434" t="s">
        <v>2146</v>
      </c>
    </row>
    <row r="6435" spans="1:2" x14ac:dyDescent="0.25">
      <c r="A6435">
        <v>28139090900</v>
      </c>
      <c r="B6435" t="s">
        <v>10</v>
      </c>
    </row>
    <row r="6436" spans="1:2" x14ac:dyDescent="0.25">
      <c r="A6436">
        <v>2814</v>
      </c>
      <c r="B6436" t="s">
        <v>2147</v>
      </c>
    </row>
    <row r="6437" spans="1:2" x14ac:dyDescent="0.25">
      <c r="A6437">
        <v>28141000000</v>
      </c>
      <c r="B6437" t="e">
        <f>-Amoniaco anhidro</f>
        <v>#NAME?</v>
      </c>
    </row>
    <row r="6438" spans="1:2" x14ac:dyDescent="0.25">
      <c r="A6438">
        <v>28142000</v>
      </c>
      <c r="B6438" t="e">
        <f>- Amoniaco En disolucion acuosa</f>
        <v>#NAME?</v>
      </c>
    </row>
    <row r="6439" spans="1:2" x14ac:dyDescent="0.25">
      <c r="A6439">
        <v>28142000100</v>
      </c>
      <c r="B6439" t="s">
        <v>2103</v>
      </c>
    </row>
    <row r="6440" spans="1:2" x14ac:dyDescent="0.25">
      <c r="A6440">
        <v>28142000900</v>
      </c>
      <c r="B6440" t="s">
        <v>10</v>
      </c>
    </row>
    <row r="6441" spans="1:2" x14ac:dyDescent="0.25">
      <c r="A6441">
        <v>2815</v>
      </c>
      <c r="B6441" t="s">
        <v>2148</v>
      </c>
    </row>
    <row r="6442" spans="1:2" x14ac:dyDescent="0.25">
      <c r="A6442">
        <v>28151</v>
      </c>
      <c r="B6442" t="s">
        <v>2149</v>
      </c>
    </row>
    <row r="6443" spans="1:2" x14ac:dyDescent="0.25">
      <c r="A6443">
        <v>28151100000</v>
      </c>
      <c r="B6443" t="e">
        <f>--Solido</f>
        <v>#NAME?</v>
      </c>
    </row>
    <row r="6444" spans="1:2" x14ac:dyDescent="0.25">
      <c r="A6444">
        <v>28151200</v>
      </c>
      <c r="B6444" t="e">
        <f>- - En disolucion acuosa (lejia de sosa o soda caustica)</f>
        <v>#NAME?</v>
      </c>
    </row>
    <row r="6445" spans="1:2" x14ac:dyDescent="0.25">
      <c r="A6445">
        <v>28151200100</v>
      </c>
      <c r="B6445" t="s">
        <v>2150</v>
      </c>
    </row>
    <row r="6446" spans="1:2" x14ac:dyDescent="0.25">
      <c r="A6446">
        <v>28151200900</v>
      </c>
      <c r="B6446" t="s">
        <v>10</v>
      </c>
    </row>
    <row r="6447" spans="1:2" x14ac:dyDescent="0.25">
      <c r="A6447">
        <v>28152000</v>
      </c>
      <c r="B6447" t="e">
        <f>- Hidroxido de potasio (potasa caustica)</f>
        <v>#NAME?</v>
      </c>
    </row>
    <row r="6448" spans="1:2" x14ac:dyDescent="0.25">
      <c r="A6448">
        <v>28152000100</v>
      </c>
      <c r="B6448" t="s">
        <v>1131</v>
      </c>
    </row>
    <row r="6449" spans="1:2" x14ac:dyDescent="0.25">
      <c r="A6449">
        <v>28152000900</v>
      </c>
      <c r="B6449" t="s">
        <v>10</v>
      </c>
    </row>
    <row r="6450" spans="1:2" x14ac:dyDescent="0.25">
      <c r="A6450">
        <v>28153000</v>
      </c>
      <c r="B6450" t="e">
        <f>- Peroxidos de Sodio o de potasio</f>
        <v>#NAME?</v>
      </c>
    </row>
    <row r="6451" spans="1:2" x14ac:dyDescent="0.25">
      <c r="A6451">
        <v>28153000100</v>
      </c>
      <c r="B6451" t="s">
        <v>2151</v>
      </c>
    </row>
    <row r="6452" spans="1:2" x14ac:dyDescent="0.25">
      <c r="A6452">
        <v>28153000200</v>
      </c>
      <c r="B6452" t="s">
        <v>2152</v>
      </c>
    </row>
    <row r="6453" spans="1:2" x14ac:dyDescent="0.25">
      <c r="A6453">
        <v>2816</v>
      </c>
      <c r="B6453" t="s">
        <v>2153</v>
      </c>
    </row>
    <row r="6454" spans="1:2" x14ac:dyDescent="0.25">
      <c r="A6454">
        <v>281610</v>
      </c>
      <c r="B6454" t="e">
        <f>- Hidroxido y peroxido de magnesio</f>
        <v>#NAME?</v>
      </c>
    </row>
    <row r="6455" spans="1:2" x14ac:dyDescent="0.25">
      <c r="A6455">
        <v>28161010000</v>
      </c>
      <c r="B6455" t="s">
        <v>2154</v>
      </c>
    </row>
    <row r="6456" spans="1:2" x14ac:dyDescent="0.25">
      <c r="A6456">
        <v>28161020000</v>
      </c>
      <c r="B6456" t="s">
        <v>2155</v>
      </c>
    </row>
    <row r="6457" spans="1:2" x14ac:dyDescent="0.25">
      <c r="A6457">
        <v>281640</v>
      </c>
      <c r="B6457" t="e">
        <f>- Oxidos. hidroxidos y peroxidos. de estroncio o de bario</f>
        <v>#NAME?</v>
      </c>
    </row>
    <row r="6458" spans="1:2" x14ac:dyDescent="0.25">
      <c r="A6458">
        <v>28164010000</v>
      </c>
      <c r="B6458" t="s">
        <v>2156</v>
      </c>
    </row>
    <row r="6459" spans="1:2" x14ac:dyDescent="0.25">
      <c r="A6459">
        <v>28164090</v>
      </c>
      <c r="B6459" t="s">
        <v>10</v>
      </c>
    </row>
    <row r="6460" spans="1:2" x14ac:dyDescent="0.25">
      <c r="A6460">
        <v>28164090100</v>
      </c>
      <c r="B6460" t="s">
        <v>2157</v>
      </c>
    </row>
    <row r="6461" spans="1:2" x14ac:dyDescent="0.25">
      <c r="A6461">
        <v>28164090200</v>
      </c>
      <c r="B6461" t="s">
        <v>2158</v>
      </c>
    </row>
    <row r="6462" spans="1:2" x14ac:dyDescent="0.25">
      <c r="A6462">
        <v>28164090300</v>
      </c>
      <c r="B6462" t="s">
        <v>2159</v>
      </c>
    </row>
    <row r="6463" spans="1:2" x14ac:dyDescent="0.25">
      <c r="A6463">
        <v>28164090400</v>
      </c>
      <c r="B6463" t="s">
        <v>2160</v>
      </c>
    </row>
    <row r="6464" spans="1:2" x14ac:dyDescent="0.25">
      <c r="A6464">
        <v>28164090500</v>
      </c>
      <c r="B6464" t="s">
        <v>2161</v>
      </c>
    </row>
    <row r="6465" spans="1:2" x14ac:dyDescent="0.25">
      <c r="A6465">
        <v>281700</v>
      </c>
      <c r="B6465" t="s">
        <v>2162</v>
      </c>
    </row>
    <row r="6466" spans="1:2" x14ac:dyDescent="0.25">
      <c r="A6466">
        <v>28170010000</v>
      </c>
      <c r="B6466" t="s">
        <v>2163</v>
      </c>
    </row>
    <row r="6467" spans="1:2" x14ac:dyDescent="0.25">
      <c r="A6467">
        <v>28170020000</v>
      </c>
      <c r="B6467" t="s">
        <v>2164</v>
      </c>
    </row>
    <row r="6468" spans="1:2" x14ac:dyDescent="0.25">
      <c r="A6468">
        <v>2818</v>
      </c>
      <c r="B6468" t="s">
        <v>2165</v>
      </c>
    </row>
    <row r="6469" spans="1:2" x14ac:dyDescent="0.25">
      <c r="A6469">
        <v>281810</v>
      </c>
      <c r="B6469" t="e">
        <f>- corindon artificial. aunque no sea de constitucion quimica definida</f>
        <v>#NAME?</v>
      </c>
    </row>
    <row r="6470" spans="1:2" x14ac:dyDescent="0.25">
      <c r="A6470">
        <v>28181010000</v>
      </c>
      <c r="B6470" t="s">
        <v>2166</v>
      </c>
    </row>
    <row r="6471" spans="1:2" x14ac:dyDescent="0.25">
      <c r="A6471">
        <v>28181090</v>
      </c>
      <c r="B6471" t="s">
        <v>10</v>
      </c>
    </row>
    <row r="6472" spans="1:2" x14ac:dyDescent="0.25">
      <c r="A6472">
        <v>28181090100</v>
      </c>
      <c r="B6472" t="s">
        <v>804</v>
      </c>
    </row>
    <row r="6473" spans="1:2" x14ac:dyDescent="0.25">
      <c r="A6473">
        <v>28181090900</v>
      </c>
      <c r="B6473" t="s">
        <v>10</v>
      </c>
    </row>
    <row r="6474" spans="1:2" x14ac:dyDescent="0.25">
      <c r="A6474">
        <v>281820</v>
      </c>
      <c r="B6474" t="e">
        <f>- Oxido de aluminio. excepto el corindon artificial</f>
        <v>#NAME?</v>
      </c>
    </row>
    <row r="6475" spans="1:2" x14ac:dyDescent="0.25">
      <c r="A6475">
        <v>28182010000</v>
      </c>
      <c r="B6475" t="s">
        <v>2167</v>
      </c>
    </row>
    <row r="6476" spans="1:2" x14ac:dyDescent="0.25">
      <c r="A6476">
        <v>28182090</v>
      </c>
      <c r="B6476" t="s">
        <v>10</v>
      </c>
    </row>
    <row r="6477" spans="1:2" x14ac:dyDescent="0.25">
      <c r="A6477">
        <v>28182090100</v>
      </c>
      <c r="B6477" t="s">
        <v>2168</v>
      </c>
    </row>
    <row r="6478" spans="1:2" x14ac:dyDescent="0.25">
      <c r="A6478">
        <v>28182090900</v>
      </c>
      <c r="B6478" t="s">
        <v>10</v>
      </c>
    </row>
    <row r="6479" spans="1:2" x14ac:dyDescent="0.25">
      <c r="A6479">
        <v>28183000000</v>
      </c>
      <c r="B6479" t="e">
        <f>-Hidroxido de aluminio</f>
        <v>#NAME?</v>
      </c>
    </row>
    <row r="6480" spans="1:2" x14ac:dyDescent="0.25">
      <c r="A6480">
        <v>2819</v>
      </c>
      <c r="B6480" t="s">
        <v>2169</v>
      </c>
    </row>
    <row r="6481" spans="1:2" x14ac:dyDescent="0.25">
      <c r="A6481">
        <v>28191000000</v>
      </c>
      <c r="B6481" t="e">
        <f>-Trioxido de cromo</f>
        <v>#NAME?</v>
      </c>
    </row>
    <row r="6482" spans="1:2" x14ac:dyDescent="0.25">
      <c r="A6482">
        <v>281990</v>
      </c>
      <c r="B6482" t="e">
        <f>- Los demas</f>
        <v>#NAME?</v>
      </c>
    </row>
    <row r="6483" spans="1:2" x14ac:dyDescent="0.25">
      <c r="A6483">
        <v>28199010000</v>
      </c>
      <c r="B6483" t="s">
        <v>2170</v>
      </c>
    </row>
    <row r="6484" spans="1:2" x14ac:dyDescent="0.25">
      <c r="A6484">
        <v>28199020000</v>
      </c>
      <c r="B6484" t="s">
        <v>2171</v>
      </c>
    </row>
    <row r="6485" spans="1:2" x14ac:dyDescent="0.25">
      <c r="A6485">
        <v>2820</v>
      </c>
      <c r="B6485" t="s">
        <v>2172</v>
      </c>
    </row>
    <row r="6486" spans="1:2" x14ac:dyDescent="0.25">
      <c r="A6486">
        <v>28201000000</v>
      </c>
      <c r="B6486" t="e">
        <f>-Dioxido de manganeso</f>
        <v>#NAME?</v>
      </c>
    </row>
    <row r="6487" spans="1:2" x14ac:dyDescent="0.25">
      <c r="A6487">
        <v>282090</v>
      </c>
      <c r="B6487" t="e">
        <f>- Los demas</f>
        <v>#NAME?</v>
      </c>
    </row>
    <row r="6488" spans="1:2" x14ac:dyDescent="0.25">
      <c r="A6488">
        <v>28209010000</v>
      </c>
      <c r="B6488" t="s">
        <v>2173</v>
      </c>
    </row>
    <row r="6489" spans="1:2" x14ac:dyDescent="0.25">
      <c r="A6489">
        <v>28209020000</v>
      </c>
      <c r="B6489" t="s">
        <v>2174</v>
      </c>
    </row>
    <row r="6490" spans="1:2" x14ac:dyDescent="0.25">
      <c r="A6490">
        <v>28209030000</v>
      </c>
      <c r="B6490" t="s">
        <v>2175</v>
      </c>
    </row>
    <row r="6491" spans="1:2" x14ac:dyDescent="0.25">
      <c r="A6491">
        <v>28209040000</v>
      </c>
      <c r="B6491" t="s">
        <v>2176</v>
      </c>
    </row>
    <row r="6492" spans="1:2" x14ac:dyDescent="0.25">
      <c r="A6492">
        <v>2821</v>
      </c>
      <c r="B6492" t="s">
        <v>2177</v>
      </c>
    </row>
    <row r="6493" spans="1:2" x14ac:dyDescent="0.25">
      <c r="A6493">
        <v>282110</v>
      </c>
      <c r="B6493" t="e">
        <f>- Oxidos e hidroxidos de hierro</f>
        <v>#NAME?</v>
      </c>
    </row>
    <row r="6494" spans="1:2" x14ac:dyDescent="0.25">
      <c r="A6494">
        <v>2821101</v>
      </c>
      <c r="B6494" t="s">
        <v>2178</v>
      </c>
    </row>
    <row r="6495" spans="1:2" x14ac:dyDescent="0.25">
      <c r="A6495">
        <v>28211011000</v>
      </c>
      <c r="B6495" t="s">
        <v>2179</v>
      </c>
    </row>
    <row r="6496" spans="1:2" x14ac:dyDescent="0.25">
      <c r="A6496">
        <v>28211019000</v>
      </c>
      <c r="B6496" t="s">
        <v>10</v>
      </c>
    </row>
    <row r="6497" spans="1:2" x14ac:dyDescent="0.25">
      <c r="A6497">
        <v>28211020000</v>
      </c>
      <c r="B6497" t="s">
        <v>2180</v>
      </c>
    </row>
    <row r="6498" spans="1:2" x14ac:dyDescent="0.25">
      <c r="A6498">
        <v>28211030000</v>
      </c>
      <c r="B6498" t="s">
        <v>2181</v>
      </c>
    </row>
    <row r="6499" spans="1:2" x14ac:dyDescent="0.25">
      <c r="A6499">
        <v>28211090000</v>
      </c>
      <c r="B6499" t="s">
        <v>10</v>
      </c>
    </row>
    <row r="6500" spans="1:2" x14ac:dyDescent="0.25">
      <c r="A6500">
        <v>28212000000</v>
      </c>
      <c r="B6500" t="e">
        <f>-Tierras colorantes</f>
        <v>#NAME?</v>
      </c>
    </row>
    <row r="6501" spans="1:2" x14ac:dyDescent="0.25">
      <c r="A6501">
        <v>282200</v>
      </c>
      <c r="B6501" t="s">
        <v>2182</v>
      </c>
    </row>
    <row r="6502" spans="1:2" x14ac:dyDescent="0.25">
      <c r="A6502">
        <v>28220010000</v>
      </c>
      <c r="B6502" t="s">
        <v>2183</v>
      </c>
    </row>
    <row r="6503" spans="1:2" x14ac:dyDescent="0.25">
      <c r="A6503">
        <v>28220090</v>
      </c>
      <c r="B6503" t="s">
        <v>10</v>
      </c>
    </row>
    <row r="6504" spans="1:2" x14ac:dyDescent="0.25">
      <c r="A6504">
        <v>28220090100</v>
      </c>
      <c r="B6504" t="s">
        <v>2184</v>
      </c>
    </row>
    <row r="6505" spans="1:2" x14ac:dyDescent="0.25">
      <c r="A6505">
        <v>28220090200</v>
      </c>
      <c r="B6505" t="s">
        <v>2185</v>
      </c>
    </row>
    <row r="6506" spans="1:2" x14ac:dyDescent="0.25">
      <c r="A6506">
        <v>282300</v>
      </c>
      <c r="B6506" t="s">
        <v>2186</v>
      </c>
    </row>
    <row r="6507" spans="1:2" x14ac:dyDescent="0.25">
      <c r="A6507">
        <v>28230010000</v>
      </c>
      <c r="B6507" t="s">
        <v>2187</v>
      </c>
    </row>
    <row r="6508" spans="1:2" x14ac:dyDescent="0.25">
      <c r="A6508">
        <v>28230090000</v>
      </c>
      <c r="B6508" t="s">
        <v>10</v>
      </c>
    </row>
    <row r="6509" spans="1:2" x14ac:dyDescent="0.25">
      <c r="A6509">
        <v>2824</v>
      </c>
      <c r="B6509" t="s">
        <v>2188</v>
      </c>
    </row>
    <row r="6510" spans="1:2" x14ac:dyDescent="0.25">
      <c r="A6510">
        <v>28241000000</v>
      </c>
      <c r="B6510" t="e">
        <f>-Monoxido de plomo (litargirio. masicote)</f>
        <v>#NAME?</v>
      </c>
    </row>
    <row r="6511" spans="1:2" x14ac:dyDescent="0.25">
      <c r="A6511">
        <v>282490</v>
      </c>
      <c r="B6511" t="e">
        <f>- Los demas</f>
        <v>#NAME?</v>
      </c>
    </row>
    <row r="6512" spans="1:2" x14ac:dyDescent="0.25">
      <c r="A6512">
        <v>28249010000</v>
      </c>
      <c r="B6512" t="s">
        <v>2189</v>
      </c>
    </row>
    <row r="6513" spans="1:2" x14ac:dyDescent="0.25">
      <c r="A6513">
        <v>28249090000</v>
      </c>
      <c r="B6513" t="s">
        <v>10</v>
      </c>
    </row>
    <row r="6514" spans="1:2" x14ac:dyDescent="0.25">
      <c r="A6514">
        <v>2825</v>
      </c>
      <c r="B6514" t="s">
        <v>2190</v>
      </c>
    </row>
    <row r="6515" spans="1:2" x14ac:dyDescent="0.25">
      <c r="A6515">
        <v>282510</v>
      </c>
      <c r="B6515" t="e">
        <f>- Hidrazina e hidroxilamina y sus sales inorganicas</f>
        <v>#NAME?</v>
      </c>
    </row>
    <row r="6516" spans="1:2" x14ac:dyDescent="0.25">
      <c r="A6516">
        <v>28251010</v>
      </c>
      <c r="B6516" t="s">
        <v>2191</v>
      </c>
    </row>
    <row r="6517" spans="1:2" x14ac:dyDescent="0.25">
      <c r="A6517">
        <v>282510101</v>
      </c>
      <c r="B6517" t="s">
        <v>2192</v>
      </c>
    </row>
    <row r="6518" spans="1:2" x14ac:dyDescent="0.25">
      <c r="A6518">
        <v>28251010110</v>
      </c>
      <c r="B6518" t="s">
        <v>2193</v>
      </c>
    </row>
    <row r="6519" spans="1:2" x14ac:dyDescent="0.25">
      <c r="A6519">
        <v>2825101019</v>
      </c>
      <c r="B6519" t="s">
        <v>57</v>
      </c>
    </row>
    <row r="6520" spans="1:2" x14ac:dyDescent="0.25">
      <c r="A6520">
        <v>28251010191</v>
      </c>
      <c r="B6520" t="s">
        <v>2194</v>
      </c>
    </row>
    <row r="6521" spans="1:2" x14ac:dyDescent="0.25">
      <c r="A6521">
        <v>28251010199</v>
      </c>
      <c r="B6521" t="s">
        <v>57</v>
      </c>
    </row>
    <row r="6522" spans="1:2" x14ac:dyDescent="0.25">
      <c r="A6522">
        <v>28251010200</v>
      </c>
      <c r="B6522" t="s">
        <v>2195</v>
      </c>
    </row>
    <row r="6523" spans="1:2" x14ac:dyDescent="0.25">
      <c r="A6523">
        <v>28251020000</v>
      </c>
      <c r="B6523" t="s">
        <v>2196</v>
      </c>
    </row>
    <row r="6524" spans="1:2" x14ac:dyDescent="0.25">
      <c r="A6524">
        <v>282520</v>
      </c>
      <c r="B6524" t="e">
        <f>- Oxido e Hidroxido de litio</f>
        <v>#NAME?</v>
      </c>
    </row>
    <row r="6525" spans="1:2" x14ac:dyDescent="0.25">
      <c r="A6525">
        <v>28252010000</v>
      </c>
      <c r="B6525" t="s">
        <v>2197</v>
      </c>
    </row>
    <row r="6526" spans="1:2" x14ac:dyDescent="0.25">
      <c r="A6526">
        <v>28252020000</v>
      </c>
      <c r="B6526" t="s">
        <v>2154</v>
      </c>
    </row>
    <row r="6527" spans="1:2" x14ac:dyDescent="0.25">
      <c r="A6527">
        <v>282530</v>
      </c>
      <c r="B6527" t="e">
        <f>- Oxidos e hidroxidos de vanadio</f>
        <v>#NAME?</v>
      </c>
    </row>
    <row r="6528" spans="1:2" x14ac:dyDescent="0.25">
      <c r="A6528">
        <v>28253010000</v>
      </c>
      <c r="B6528" t="s">
        <v>2198</v>
      </c>
    </row>
    <row r="6529" spans="1:2" x14ac:dyDescent="0.25">
      <c r="A6529">
        <v>28253090000</v>
      </c>
      <c r="B6529" t="s">
        <v>10</v>
      </c>
    </row>
    <row r="6530" spans="1:2" x14ac:dyDescent="0.25">
      <c r="A6530">
        <v>282540</v>
      </c>
      <c r="B6530" t="e">
        <f>- Oxidos e hidroxidos de niquel</f>
        <v>#NAME?</v>
      </c>
    </row>
    <row r="6531" spans="1:2" x14ac:dyDescent="0.25">
      <c r="A6531">
        <v>28254010000</v>
      </c>
      <c r="B6531" t="s">
        <v>2199</v>
      </c>
    </row>
    <row r="6532" spans="1:2" x14ac:dyDescent="0.25">
      <c r="A6532">
        <v>28254090</v>
      </c>
      <c r="B6532" t="s">
        <v>10</v>
      </c>
    </row>
    <row r="6533" spans="1:2" x14ac:dyDescent="0.25">
      <c r="A6533">
        <v>28254090100</v>
      </c>
      <c r="B6533" t="s">
        <v>2171</v>
      </c>
    </row>
    <row r="6534" spans="1:2" x14ac:dyDescent="0.25">
      <c r="A6534">
        <v>28254090200</v>
      </c>
      <c r="B6534" t="s">
        <v>2200</v>
      </c>
    </row>
    <row r="6535" spans="1:2" x14ac:dyDescent="0.25">
      <c r="A6535">
        <v>282550</v>
      </c>
      <c r="B6535" t="e">
        <f>- Oxidos e hidroxidos de cobre</f>
        <v>#NAME?</v>
      </c>
    </row>
    <row r="6536" spans="1:2" x14ac:dyDescent="0.25">
      <c r="A6536">
        <v>28255010000</v>
      </c>
      <c r="B6536" t="s">
        <v>2201</v>
      </c>
    </row>
    <row r="6537" spans="1:2" x14ac:dyDescent="0.25">
      <c r="A6537">
        <v>28255090</v>
      </c>
      <c r="B6537" t="s">
        <v>10</v>
      </c>
    </row>
    <row r="6538" spans="1:2" x14ac:dyDescent="0.25">
      <c r="A6538">
        <v>28255090100</v>
      </c>
      <c r="B6538" t="s">
        <v>2171</v>
      </c>
    </row>
    <row r="6539" spans="1:2" x14ac:dyDescent="0.25">
      <c r="A6539">
        <v>28255090900</v>
      </c>
      <c r="B6539" t="s">
        <v>10</v>
      </c>
    </row>
    <row r="6540" spans="1:2" x14ac:dyDescent="0.25">
      <c r="A6540">
        <v>282560</v>
      </c>
      <c r="B6540" t="e">
        <f>- Oxidos de germanio y Dioxido de circonio</f>
        <v>#NAME?</v>
      </c>
    </row>
    <row r="6541" spans="1:2" x14ac:dyDescent="0.25">
      <c r="A6541">
        <v>28256010000</v>
      </c>
      <c r="B6541" t="s">
        <v>2202</v>
      </c>
    </row>
    <row r="6542" spans="1:2" x14ac:dyDescent="0.25">
      <c r="A6542">
        <v>28256020000</v>
      </c>
      <c r="B6542" t="s">
        <v>2203</v>
      </c>
    </row>
    <row r="6543" spans="1:2" x14ac:dyDescent="0.25">
      <c r="A6543">
        <v>282570</v>
      </c>
      <c r="B6543" t="e">
        <f>- Oxidos e hidroxidos de molibdeno</f>
        <v>#NAME?</v>
      </c>
    </row>
    <row r="6544" spans="1:2" x14ac:dyDescent="0.25">
      <c r="A6544">
        <v>28257010000</v>
      </c>
      <c r="B6544" t="s">
        <v>2204</v>
      </c>
    </row>
    <row r="6545" spans="1:2" x14ac:dyDescent="0.25">
      <c r="A6545">
        <v>28257090000</v>
      </c>
      <c r="B6545" t="s">
        <v>10</v>
      </c>
    </row>
    <row r="6546" spans="1:2" x14ac:dyDescent="0.25">
      <c r="A6546">
        <v>282580</v>
      </c>
      <c r="B6546" t="e">
        <f>- Oxidos de antimonio</f>
        <v>#NAME?</v>
      </c>
    </row>
    <row r="6547" spans="1:2" x14ac:dyDescent="0.25">
      <c r="A6547">
        <v>28258010000</v>
      </c>
      <c r="B6547" t="s">
        <v>2205</v>
      </c>
    </row>
    <row r="6548" spans="1:2" x14ac:dyDescent="0.25">
      <c r="A6548">
        <v>28258090000</v>
      </c>
      <c r="B6548" t="s">
        <v>10</v>
      </c>
    </row>
    <row r="6549" spans="1:2" x14ac:dyDescent="0.25">
      <c r="A6549">
        <v>282590</v>
      </c>
      <c r="B6549" t="e">
        <f>- Los demas</f>
        <v>#NAME?</v>
      </c>
    </row>
    <row r="6550" spans="1:2" x14ac:dyDescent="0.25">
      <c r="A6550">
        <v>28259010000</v>
      </c>
      <c r="B6550" t="s">
        <v>2206</v>
      </c>
    </row>
    <row r="6551" spans="1:2" x14ac:dyDescent="0.25">
      <c r="A6551">
        <v>28259020000</v>
      </c>
      <c r="B6551" t="s">
        <v>2207</v>
      </c>
    </row>
    <row r="6552" spans="1:2" x14ac:dyDescent="0.25">
      <c r="A6552">
        <v>28259090</v>
      </c>
      <c r="B6552" t="s">
        <v>10</v>
      </c>
    </row>
    <row r="6553" spans="1:2" x14ac:dyDescent="0.25">
      <c r="A6553">
        <v>282590901</v>
      </c>
      <c r="B6553" t="s">
        <v>2208</v>
      </c>
    </row>
    <row r="6554" spans="1:2" x14ac:dyDescent="0.25">
      <c r="A6554">
        <v>28259090110</v>
      </c>
      <c r="B6554" t="s">
        <v>2197</v>
      </c>
    </row>
    <row r="6555" spans="1:2" x14ac:dyDescent="0.25">
      <c r="A6555">
        <v>28259090120</v>
      </c>
      <c r="B6555" t="s">
        <v>2154</v>
      </c>
    </row>
    <row r="6556" spans="1:2" x14ac:dyDescent="0.25">
      <c r="A6556">
        <v>28259090900</v>
      </c>
      <c r="B6556" t="s">
        <v>10</v>
      </c>
    </row>
    <row r="6557" spans="1:2" x14ac:dyDescent="0.25">
      <c r="A6557">
        <v>2826</v>
      </c>
      <c r="B6557" t="s">
        <v>2209</v>
      </c>
    </row>
    <row r="6558" spans="1:2" x14ac:dyDescent="0.25">
      <c r="A6558">
        <v>28261</v>
      </c>
      <c r="B6558" t="s">
        <v>2210</v>
      </c>
    </row>
    <row r="6559" spans="1:2" x14ac:dyDescent="0.25">
      <c r="A6559">
        <v>28261200000</v>
      </c>
      <c r="B6559" t="e">
        <f>--de aluminio</f>
        <v>#NAME?</v>
      </c>
    </row>
    <row r="6560" spans="1:2" x14ac:dyDescent="0.25">
      <c r="A6560">
        <v>282619</v>
      </c>
      <c r="B6560" t="e">
        <f>- - Los demas</f>
        <v>#NAME?</v>
      </c>
    </row>
    <row r="6561" spans="1:2" x14ac:dyDescent="0.25">
      <c r="A6561">
        <v>28261910000</v>
      </c>
      <c r="B6561" t="s">
        <v>2211</v>
      </c>
    </row>
    <row r="6562" spans="1:2" x14ac:dyDescent="0.25">
      <c r="A6562">
        <v>28261920000</v>
      </c>
      <c r="B6562" t="s">
        <v>2212</v>
      </c>
    </row>
    <row r="6563" spans="1:2" x14ac:dyDescent="0.25">
      <c r="A6563">
        <v>28261990</v>
      </c>
      <c r="B6563" t="s">
        <v>10</v>
      </c>
    </row>
    <row r="6564" spans="1:2" x14ac:dyDescent="0.25">
      <c r="A6564">
        <v>282619901</v>
      </c>
      <c r="B6564" t="s">
        <v>2152</v>
      </c>
    </row>
    <row r="6565" spans="1:2" x14ac:dyDescent="0.25">
      <c r="A6565">
        <v>28261990110</v>
      </c>
      <c r="B6565" t="s">
        <v>2213</v>
      </c>
    </row>
    <row r="6566" spans="1:2" x14ac:dyDescent="0.25">
      <c r="A6566">
        <v>28261990120</v>
      </c>
      <c r="B6566" t="s">
        <v>2214</v>
      </c>
    </row>
    <row r="6567" spans="1:2" x14ac:dyDescent="0.25">
      <c r="A6567">
        <v>28261990200</v>
      </c>
      <c r="B6567" t="s">
        <v>2215</v>
      </c>
    </row>
    <row r="6568" spans="1:2" x14ac:dyDescent="0.25">
      <c r="A6568">
        <v>28261990300</v>
      </c>
      <c r="B6568" t="s">
        <v>2216</v>
      </c>
    </row>
    <row r="6569" spans="1:2" x14ac:dyDescent="0.25">
      <c r="A6569">
        <v>28261990900</v>
      </c>
      <c r="B6569" t="s">
        <v>10</v>
      </c>
    </row>
    <row r="6570" spans="1:2" x14ac:dyDescent="0.25">
      <c r="A6570">
        <v>28263000000</v>
      </c>
      <c r="B6570" t="e">
        <f>-Hexafluoroaluminato de Sodio (criolita sintetica)</f>
        <v>#NAME?</v>
      </c>
    </row>
    <row r="6571" spans="1:2" x14ac:dyDescent="0.25">
      <c r="A6571">
        <v>282690</v>
      </c>
      <c r="B6571" t="e">
        <f>- Los demas</f>
        <v>#NAME?</v>
      </c>
    </row>
    <row r="6572" spans="1:2" x14ac:dyDescent="0.25">
      <c r="A6572">
        <v>28269010000</v>
      </c>
      <c r="B6572" t="s">
        <v>2217</v>
      </c>
    </row>
    <row r="6573" spans="1:2" x14ac:dyDescent="0.25">
      <c r="A6573">
        <v>28269020</v>
      </c>
      <c r="B6573" t="s">
        <v>2218</v>
      </c>
    </row>
    <row r="6574" spans="1:2" x14ac:dyDescent="0.25">
      <c r="A6574">
        <v>28269020100</v>
      </c>
      <c r="B6574" t="s">
        <v>2219</v>
      </c>
    </row>
    <row r="6575" spans="1:2" x14ac:dyDescent="0.25">
      <c r="A6575">
        <v>28269020900</v>
      </c>
      <c r="B6575" t="s">
        <v>10</v>
      </c>
    </row>
    <row r="6576" spans="1:2" x14ac:dyDescent="0.25">
      <c r="A6576">
        <v>28269090000</v>
      </c>
      <c r="B6576" t="s">
        <v>10</v>
      </c>
    </row>
    <row r="6577" spans="1:2" x14ac:dyDescent="0.25">
      <c r="A6577">
        <v>2827</v>
      </c>
      <c r="B6577" t="s">
        <v>2220</v>
      </c>
    </row>
    <row r="6578" spans="1:2" x14ac:dyDescent="0.25">
      <c r="A6578">
        <v>28271000000</v>
      </c>
      <c r="B6578" t="e">
        <f>-Cloruro de amonio</f>
        <v>#NAME?</v>
      </c>
    </row>
    <row r="6579" spans="1:2" x14ac:dyDescent="0.25">
      <c r="A6579">
        <v>282720</v>
      </c>
      <c r="B6579" t="e">
        <f>- Cloruro de calcio</f>
        <v>#NAME?</v>
      </c>
    </row>
    <row r="6580" spans="1:2" x14ac:dyDescent="0.25">
      <c r="A6580">
        <v>28272010</v>
      </c>
      <c r="B6580" t="s">
        <v>2221</v>
      </c>
    </row>
    <row r="6581" spans="1:2" x14ac:dyDescent="0.25">
      <c r="A6581">
        <v>28272010100</v>
      </c>
      <c r="B6581" t="s">
        <v>2222</v>
      </c>
    </row>
    <row r="6582" spans="1:2" x14ac:dyDescent="0.25">
      <c r="A6582">
        <v>28272010900</v>
      </c>
      <c r="B6582" t="s">
        <v>10</v>
      </c>
    </row>
    <row r="6583" spans="1:2" x14ac:dyDescent="0.25">
      <c r="A6583">
        <v>28272090</v>
      </c>
      <c r="B6583" t="s">
        <v>10</v>
      </c>
    </row>
    <row r="6584" spans="1:2" x14ac:dyDescent="0.25">
      <c r="A6584">
        <v>28272090100</v>
      </c>
      <c r="B6584" t="s">
        <v>2222</v>
      </c>
    </row>
    <row r="6585" spans="1:2" x14ac:dyDescent="0.25">
      <c r="A6585">
        <v>28272090900</v>
      </c>
      <c r="B6585" t="s">
        <v>10</v>
      </c>
    </row>
    <row r="6586" spans="1:2" x14ac:dyDescent="0.25">
      <c r="A6586">
        <v>28273</v>
      </c>
      <c r="B6586" t="s">
        <v>2223</v>
      </c>
    </row>
    <row r="6587" spans="1:2" x14ac:dyDescent="0.25">
      <c r="A6587">
        <v>282731</v>
      </c>
      <c r="B6587" t="e">
        <f>- - de magnesio</f>
        <v>#NAME?</v>
      </c>
    </row>
    <row r="6588" spans="1:2" x14ac:dyDescent="0.25">
      <c r="A6588">
        <v>28273110000</v>
      </c>
      <c r="B6588" t="s">
        <v>2224</v>
      </c>
    </row>
    <row r="6589" spans="1:2" x14ac:dyDescent="0.25">
      <c r="A6589">
        <v>28273190000</v>
      </c>
      <c r="B6589" t="s">
        <v>10</v>
      </c>
    </row>
    <row r="6590" spans="1:2" x14ac:dyDescent="0.25">
      <c r="A6590">
        <v>28273200000</v>
      </c>
      <c r="B6590" t="e">
        <f>--de aluminio</f>
        <v>#NAME?</v>
      </c>
    </row>
    <row r="6591" spans="1:2" x14ac:dyDescent="0.25">
      <c r="A6591">
        <v>28273500000</v>
      </c>
      <c r="B6591" t="e">
        <f>--de niquel</f>
        <v>#NAME?</v>
      </c>
    </row>
    <row r="6592" spans="1:2" x14ac:dyDescent="0.25">
      <c r="A6592">
        <v>282739</v>
      </c>
      <c r="B6592" t="e">
        <f>- - Los demas</f>
        <v>#NAME?</v>
      </c>
    </row>
    <row r="6593" spans="1:2" x14ac:dyDescent="0.25">
      <c r="A6593">
        <v>28273910000</v>
      </c>
      <c r="B6593" t="s">
        <v>2225</v>
      </c>
    </row>
    <row r="6594" spans="1:2" x14ac:dyDescent="0.25">
      <c r="A6594">
        <v>28273920000</v>
      </c>
      <c r="B6594" t="s">
        <v>2226</v>
      </c>
    </row>
    <row r="6595" spans="1:2" x14ac:dyDescent="0.25">
      <c r="A6595">
        <v>28273940000</v>
      </c>
      <c r="B6595" t="s">
        <v>2227</v>
      </c>
    </row>
    <row r="6596" spans="1:2" x14ac:dyDescent="0.25">
      <c r="A6596">
        <v>28273950000</v>
      </c>
      <c r="B6596" t="s">
        <v>2228</v>
      </c>
    </row>
    <row r="6597" spans="1:2" x14ac:dyDescent="0.25">
      <c r="A6597">
        <v>28273960000</v>
      </c>
      <c r="B6597" t="s">
        <v>2229</v>
      </c>
    </row>
    <row r="6598" spans="1:2" x14ac:dyDescent="0.25">
      <c r="A6598">
        <v>28273970000</v>
      </c>
      <c r="B6598" t="s">
        <v>1967</v>
      </c>
    </row>
    <row r="6599" spans="1:2" x14ac:dyDescent="0.25">
      <c r="A6599">
        <v>2827399</v>
      </c>
      <c r="B6599" t="s">
        <v>10</v>
      </c>
    </row>
    <row r="6600" spans="1:2" x14ac:dyDescent="0.25">
      <c r="A6600">
        <v>28273991000</v>
      </c>
      <c r="B6600" t="s">
        <v>2230</v>
      </c>
    </row>
    <row r="6601" spans="1:2" x14ac:dyDescent="0.25">
      <c r="A6601">
        <v>28273992000</v>
      </c>
      <c r="B6601" t="s">
        <v>2231</v>
      </c>
    </row>
    <row r="6602" spans="1:2" x14ac:dyDescent="0.25">
      <c r="A6602">
        <v>28273993000</v>
      </c>
      <c r="B6602" t="s">
        <v>2232</v>
      </c>
    </row>
    <row r="6603" spans="1:2" x14ac:dyDescent="0.25">
      <c r="A6603">
        <v>28273994000</v>
      </c>
      <c r="B6603" t="s">
        <v>2233</v>
      </c>
    </row>
    <row r="6604" spans="1:2" x14ac:dyDescent="0.25">
      <c r="A6604">
        <v>28273995000</v>
      </c>
      <c r="B6604" t="s">
        <v>2234</v>
      </c>
    </row>
    <row r="6605" spans="1:2" x14ac:dyDescent="0.25">
      <c r="A6605">
        <v>28273996000</v>
      </c>
      <c r="B6605" t="s">
        <v>2235</v>
      </c>
    </row>
    <row r="6606" spans="1:2" x14ac:dyDescent="0.25">
      <c r="A6606">
        <v>28273997000</v>
      </c>
      <c r="B6606" t="s">
        <v>2236</v>
      </c>
    </row>
    <row r="6607" spans="1:2" x14ac:dyDescent="0.25">
      <c r="A6607">
        <v>28273998000</v>
      </c>
      <c r="B6607" t="s">
        <v>2237</v>
      </c>
    </row>
    <row r="6608" spans="1:2" x14ac:dyDescent="0.25">
      <c r="A6608">
        <v>28273999000</v>
      </c>
      <c r="B6608" t="s">
        <v>10</v>
      </c>
    </row>
    <row r="6609" spans="1:2" x14ac:dyDescent="0.25">
      <c r="A6609">
        <v>28274</v>
      </c>
      <c r="B6609" t="s">
        <v>2238</v>
      </c>
    </row>
    <row r="6610" spans="1:2" x14ac:dyDescent="0.25">
      <c r="A6610">
        <v>282741</v>
      </c>
      <c r="B6610" t="e">
        <f>- - de cobre</f>
        <v>#NAME?</v>
      </c>
    </row>
    <row r="6611" spans="1:2" x14ac:dyDescent="0.25">
      <c r="A6611">
        <v>28274110000</v>
      </c>
      <c r="B6611" t="s">
        <v>2141</v>
      </c>
    </row>
    <row r="6612" spans="1:2" x14ac:dyDescent="0.25">
      <c r="A6612">
        <v>28274120000</v>
      </c>
      <c r="B6612" t="s">
        <v>2239</v>
      </c>
    </row>
    <row r="6613" spans="1:2" x14ac:dyDescent="0.25">
      <c r="A6613">
        <v>282749</v>
      </c>
      <c r="B6613" t="e">
        <f>- - Los demas</f>
        <v>#NAME?</v>
      </c>
    </row>
    <row r="6614" spans="1:2" x14ac:dyDescent="0.25">
      <c r="A6614">
        <v>2827491</v>
      </c>
      <c r="B6614" t="s">
        <v>2141</v>
      </c>
    </row>
    <row r="6615" spans="1:2" x14ac:dyDescent="0.25">
      <c r="A6615">
        <v>28274911000</v>
      </c>
      <c r="B6615" t="s">
        <v>1967</v>
      </c>
    </row>
    <row r="6616" spans="1:2" x14ac:dyDescent="0.25">
      <c r="A6616">
        <v>28274912000</v>
      </c>
      <c r="B6616" t="s">
        <v>2227</v>
      </c>
    </row>
    <row r="6617" spans="1:2" x14ac:dyDescent="0.25">
      <c r="A6617">
        <v>28274919000</v>
      </c>
      <c r="B6617" t="s">
        <v>10</v>
      </c>
    </row>
    <row r="6618" spans="1:2" x14ac:dyDescent="0.25">
      <c r="A6618">
        <v>2827492</v>
      </c>
      <c r="B6618" t="s">
        <v>2239</v>
      </c>
    </row>
    <row r="6619" spans="1:2" x14ac:dyDescent="0.25">
      <c r="A6619">
        <v>28274921000</v>
      </c>
      <c r="B6619" t="s">
        <v>2240</v>
      </c>
    </row>
    <row r="6620" spans="1:2" x14ac:dyDescent="0.25">
      <c r="A6620">
        <v>28274929000</v>
      </c>
      <c r="B6620" t="s">
        <v>10</v>
      </c>
    </row>
    <row r="6621" spans="1:2" x14ac:dyDescent="0.25">
      <c r="A6621">
        <v>28275</v>
      </c>
      <c r="B6621" t="s">
        <v>2241</v>
      </c>
    </row>
    <row r="6622" spans="1:2" x14ac:dyDescent="0.25">
      <c r="A6622">
        <v>28275100</v>
      </c>
      <c r="B6622" t="e">
        <f>- - Bromuros de Sodio o potasio</f>
        <v>#NAME?</v>
      </c>
    </row>
    <row r="6623" spans="1:2" x14ac:dyDescent="0.25">
      <c r="A6623">
        <v>28275100100</v>
      </c>
      <c r="B6623" t="s">
        <v>2151</v>
      </c>
    </row>
    <row r="6624" spans="1:2" x14ac:dyDescent="0.25">
      <c r="A6624">
        <v>28275100200</v>
      </c>
      <c r="B6624" t="s">
        <v>2152</v>
      </c>
    </row>
    <row r="6625" spans="1:2" x14ac:dyDescent="0.25">
      <c r="A6625">
        <v>28275900</v>
      </c>
      <c r="B6625" t="e">
        <f>- - Los demas</f>
        <v>#NAME?</v>
      </c>
    </row>
    <row r="6626" spans="1:2" x14ac:dyDescent="0.25">
      <c r="A6626">
        <v>28275900100</v>
      </c>
      <c r="B6626" t="s">
        <v>2242</v>
      </c>
    </row>
    <row r="6627" spans="1:2" x14ac:dyDescent="0.25">
      <c r="A6627">
        <v>28275900200</v>
      </c>
      <c r="B6627" t="s">
        <v>2243</v>
      </c>
    </row>
    <row r="6628" spans="1:2" x14ac:dyDescent="0.25">
      <c r="A6628">
        <v>282760</v>
      </c>
      <c r="B6628" t="e">
        <f>- Yoduros y oxiyoduros</f>
        <v>#NAME?</v>
      </c>
    </row>
    <row r="6629" spans="1:2" x14ac:dyDescent="0.25">
      <c r="A6629">
        <v>2827601</v>
      </c>
      <c r="B6629" t="s">
        <v>2244</v>
      </c>
    </row>
    <row r="6630" spans="1:2" x14ac:dyDescent="0.25">
      <c r="A6630">
        <v>28276011000</v>
      </c>
      <c r="B6630" t="s">
        <v>2151</v>
      </c>
    </row>
    <row r="6631" spans="1:2" x14ac:dyDescent="0.25">
      <c r="A6631">
        <v>28276012000</v>
      </c>
      <c r="B6631" t="s">
        <v>2152</v>
      </c>
    </row>
    <row r="6632" spans="1:2" x14ac:dyDescent="0.25">
      <c r="A6632">
        <v>28276019000</v>
      </c>
      <c r="B6632" t="s">
        <v>10</v>
      </c>
    </row>
    <row r="6633" spans="1:2" x14ac:dyDescent="0.25">
      <c r="A6633">
        <v>2827602</v>
      </c>
      <c r="B6633" t="s">
        <v>2245</v>
      </c>
    </row>
    <row r="6634" spans="1:2" x14ac:dyDescent="0.25">
      <c r="A6634">
        <v>28276021000</v>
      </c>
      <c r="B6634" t="s">
        <v>2152</v>
      </c>
    </row>
    <row r="6635" spans="1:2" x14ac:dyDescent="0.25">
      <c r="A6635">
        <v>28276029</v>
      </c>
      <c r="B6635" t="s">
        <v>10</v>
      </c>
    </row>
    <row r="6636" spans="1:2" x14ac:dyDescent="0.25">
      <c r="A6636">
        <v>28276029100</v>
      </c>
      <c r="B6636" t="s">
        <v>2151</v>
      </c>
    </row>
    <row r="6637" spans="1:2" x14ac:dyDescent="0.25">
      <c r="A6637">
        <v>28276029900</v>
      </c>
      <c r="B6637" t="s">
        <v>10</v>
      </c>
    </row>
    <row r="6638" spans="1:2" x14ac:dyDescent="0.25">
      <c r="A6638">
        <v>2828</v>
      </c>
      <c r="B6638" t="s">
        <v>2246</v>
      </c>
    </row>
    <row r="6639" spans="1:2" x14ac:dyDescent="0.25">
      <c r="A6639">
        <v>28281000000</v>
      </c>
      <c r="B6639" t="e">
        <f>-Hipoclorito de calcio comercial y demas hipocloritos de calcio</f>
        <v>#NAME?</v>
      </c>
    </row>
    <row r="6640" spans="1:2" x14ac:dyDescent="0.25">
      <c r="A6640">
        <v>282890</v>
      </c>
      <c r="B6640" t="e">
        <f>- Los demas</f>
        <v>#NAME?</v>
      </c>
    </row>
    <row r="6641" spans="1:2" x14ac:dyDescent="0.25">
      <c r="A6641">
        <v>2828901</v>
      </c>
      <c r="B6641" t="s">
        <v>2247</v>
      </c>
    </row>
    <row r="6642" spans="1:2" x14ac:dyDescent="0.25">
      <c r="A6642">
        <v>28289011000</v>
      </c>
      <c r="B6642" t="s">
        <v>2151</v>
      </c>
    </row>
    <row r="6643" spans="1:2" x14ac:dyDescent="0.25">
      <c r="A6643">
        <v>28289019000</v>
      </c>
      <c r="B6643" t="s">
        <v>10</v>
      </c>
    </row>
    <row r="6644" spans="1:2" x14ac:dyDescent="0.25">
      <c r="A6644">
        <v>28289020000</v>
      </c>
      <c r="B6644" t="s">
        <v>2248</v>
      </c>
    </row>
    <row r="6645" spans="1:2" x14ac:dyDescent="0.25">
      <c r="A6645">
        <v>28289090000</v>
      </c>
      <c r="B6645" t="s">
        <v>10</v>
      </c>
    </row>
    <row r="6646" spans="1:2" x14ac:dyDescent="0.25">
      <c r="A6646">
        <v>2829</v>
      </c>
      <c r="B6646" t="s">
        <v>2249</v>
      </c>
    </row>
    <row r="6647" spans="1:2" x14ac:dyDescent="0.25">
      <c r="A6647">
        <v>28291</v>
      </c>
      <c r="B6647" t="s">
        <v>2250</v>
      </c>
    </row>
    <row r="6648" spans="1:2" x14ac:dyDescent="0.25">
      <c r="A6648">
        <v>28291100000</v>
      </c>
      <c r="B6648" t="e">
        <f>--de Sodio</f>
        <v>#NAME?</v>
      </c>
    </row>
    <row r="6649" spans="1:2" x14ac:dyDescent="0.25">
      <c r="A6649">
        <v>282919</v>
      </c>
      <c r="B6649" t="e">
        <f>- - Los demas</f>
        <v>#NAME?</v>
      </c>
    </row>
    <row r="6650" spans="1:2" x14ac:dyDescent="0.25">
      <c r="A6650">
        <v>28291910000</v>
      </c>
      <c r="B6650" t="s">
        <v>2251</v>
      </c>
    </row>
    <row r="6651" spans="1:2" x14ac:dyDescent="0.25">
      <c r="A6651">
        <v>28291920000</v>
      </c>
      <c r="B6651" t="s">
        <v>2152</v>
      </c>
    </row>
    <row r="6652" spans="1:2" x14ac:dyDescent="0.25">
      <c r="A6652">
        <v>28291990000</v>
      </c>
      <c r="B6652" t="s">
        <v>10</v>
      </c>
    </row>
    <row r="6653" spans="1:2" x14ac:dyDescent="0.25">
      <c r="A6653">
        <v>282990</v>
      </c>
      <c r="B6653" t="e">
        <f>- Los demas</f>
        <v>#NAME?</v>
      </c>
    </row>
    <row r="6654" spans="1:2" x14ac:dyDescent="0.25">
      <c r="A6654">
        <v>2829901</v>
      </c>
      <c r="B6654" t="s">
        <v>2252</v>
      </c>
    </row>
    <row r="6655" spans="1:2" x14ac:dyDescent="0.25">
      <c r="A6655">
        <v>28299011000</v>
      </c>
      <c r="B6655" t="s">
        <v>2151</v>
      </c>
    </row>
    <row r="6656" spans="1:2" x14ac:dyDescent="0.25">
      <c r="A6656">
        <v>28299012000</v>
      </c>
      <c r="B6656" t="s">
        <v>2152</v>
      </c>
    </row>
    <row r="6657" spans="1:2" x14ac:dyDescent="0.25">
      <c r="A6657">
        <v>28299019000</v>
      </c>
      <c r="B6657" t="s">
        <v>10</v>
      </c>
    </row>
    <row r="6658" spans="1:2" x14ac:dyDescent="0.25">
      <c r="A6658">
        <v>2829902</v>
      </c>
      <c r="B6658" t="s">
        <v>2253</v>
      </c>
    </row>
    <row r="6659" spans="1:2" x14ac:dyDescent="0.25">
      <c r="A6659">
        <v>28299021000</v>
      </c>
      <c r="B6659" t="s">
        <v>2151</v>
      </c>
    </row>
    <row r="6660" spans="1:2" x14ac:dyDescent="0.25">
      <c r="A6660">
        <v>28299022000</v>
      </c>
      <c r="B6660" t="s">
        <v>2152</v>
      </c>
    </row>
    <row r="6661" spans="1:2" x14ac:dyDescent="0.25">
      <c r="A6661">
        <v>28299029000</v>
      </c>
      <c r="B6661" t="s">
        <v>10</v>
      </c>
    </row>
    <row r="6662" spans="1:2" x14ac:dyDescent="0.25">
      <c r="A6662">
        <v>2829903</v>
      </c>
      <c r="B6662" t="s">
        <v>2254</v>
      </c>
    </row>
    <row r="6663" spans="1:2" x14ac:dyDescent="0.25">
      <c r="A6663">
        <v>28299031000</v>
      </c>
      <c r="B6663" t="s">
        <v>2152</v>
      </c>
    </row>
    <row r="6664" spans="1:2" x14ac:dyDescent="0.25">
      <c r="A6664">
        <v>28299032000</v>
      </c>
      <c r="B6664" t="s">
        <v>2251</v>
      </c>
    </row>
    <row r="6665" spans="1:2" x14ac:dyDescent="0.25">
      <c r="A6665">
        <v>28299039000</v>
      </c>
      <c r="B6665" t="s">
        <v>10</v>
      </c>
    </row>
    <row r="6666" spans="1:2" x14ac:dyDescent="0.25">
      <c r="A6666">
        <v>28299040000</v>
      </c>
      <c r="B6666" t="s">
        <v>2255</v>
      </c>
    </row>
    <row r="6667" spans="1:2" x14ac:dyDescent="0.25">
      <c r="A6667">
        <v>28299050000</v>
      </c>
      <c r="B6667" t="s">
        <v>2256</v>
      </c>
    </row>
    <row r="6668" spans="1:2" x14ac:dyDescent="0.25">
      <c r="A6668">
        <v>2830</v>
      </c>
      <c r="B6668" t="s">
        <v>2257</v>
      </c>
    </row>
    <row r="6669" spans="1:2" x14ac:dyDescent="0.25">
      <c r="A6669">
        <v>283010</v>
      </c>
      <c r="B6669" t="e">
        <f>- Sulfuros de Sodio</f>
        <v>#NAME?</v>
      </c>
    </row>
    <row r="6670" spans="1:2" x14ac:dyDescent="0.25">
      <c r="A6670">
        <v>28301010000</v>
      </c>
      <c r="B6670" t="s">
        <v>2258</v>
      </c>
    </row>
    <row r="6671" spans="1:2" x14ac:dyDescent="0.25">
      <c r="A6671">
        <v>28301020000</v>
      </c>
      <c r="B6671" t="s">
        <v>2259</v>
      </c>
    </row>
    <row r="6672" spans="1:2" x14ac:dyDescent="0.25">
      <c r="A6672">
        <v>283090</v>
      </c>
      <c r="B6672" t="e">
        <f>- Los demas</f>
        <v>#NAME?</v>
      </c>
    </row>
    <row r="6673" spans="1:2" x14ac:dyDescent="0.25">
      <c r="A6673">
        <v>2830901</v>
      </c>
      <c r="B6673" t="s">
        <v>1938</v>
      </c>
    </row>
    <row r="6674" spans="1:2" x14ac:dyDescent="0.25">
      <c r="A6674">
        <v>28309011000</v>
      </c>
      <c r="B6674" t="s">
        <v>2260</v>
      </c>
    </row>
    <row r="6675" spans="1:2" x14ac:dyDescent="0.25">
      <c r="A6675">
        <v>28309012000</v>
      </c>
      <c r="B6675" t="s">
        <v>2261</v>
      </c>
    </row>
    <row r="6676" spans="1:2" x14ac:dyDescent="0.25">
      <c r="A6676">
        <v>28309013000</v>
      </c>
      <c r="B6676" t="s">
        <v>2152</v>
      </c>
    </row>
    <row r="6677" spans="1:2" x14ac:dyDescent="0.25">
      <c r="A6677">
        <v>28309014000</v>
      </c>
      <c r="B6677" t="s">
        <v>2262</v>
      </c>
    </row>
    <row r="6678" spans="1:2" x14ac:dyDescent="0.25">
      <c r="A6678">
        <v>28309015000</v>
      </c>
      <c r="B6678" t="s">
        <v>2233</v>
      </c>
    </row>
    <row r="6679" spans="1:2" x14ac:dyDescent="0.25">
      <c r="A6679">
        <v>28309016000</v>
      </c>
      <c r="B6679" t="s">
        <v>2237</v>
      </c>
    </row>
    <row r="6680" spans="1:2" x14ac:dyDescent="0.25">
      <c r="A6680">
        <v>28309019000</v>
      </c>
      <c r="B6680" t="s">
        <v>10</v>
      </c>
    </row>
    <row r="6681" spans="1:2" x14ac:dyDescent="0.25">
      <c r="A6681">
        <v>28309020000</v>
      </c>
      <c r="B6681" t="s">
        <v>2263</v>
      </c>
    </row>
    <row r="6682" spans="1:2" x14ac:dyDescent="0.25">
      <c r="A6682">
        <v>2831</v>
      </c>
      <c r="B6682" t="s">
        <v>2264</v>
      </c>
    </row>
    <row r="6683" spans="1:2" x14ac:dyDescent="0.25">
      <c r="A6683">
        <v>283110</v>
      </c>
      <c r="B6683" t="e">
        <f>- de Sodio</f>
        <v>#NAME?</v>
      </c>
    </row>
    <row r="6684" spans="1:2" x14ac:dyDescent="0.25">
      <c r="A6684">
        <v>2831101</v>
      </c>
      <c r="B6684" t="s">
        <v>2265</v>
      </c>
    </row>
    <row r="6685" spans="1:2" x14ac:dyDescent="0.25">
      <c r="A6685">
        <v>28311011000</v>
      </c>
      <c r="B6685" t="s">
        <v>2266</v>
      </c>
    </row>
    <row r="6686" spans="1:2" x14ac:dyDescent="0.25">
      <c r="A6686">
        <v>28311019000</v>
      </c>
      <c r="B6686" t="s">
        <v>10</v>
      </c>
    </row>
    <row r="6687" spans="1:2" x14ac:dyDescent="0.25">
      <c r="A6687">
        <v>2831102</v>
      </c>
      <c r="B6687" t="s">
        <v>2267</v>
      </c>
    </row>
    <row r="6688" spans="1:2" x14ac:dyDescent="0.25">
      <c r="A6688">
        <v>28311021000</v>
      </c>
      <c r="B6688" t="s">
        <v>2268</v>
      </c>
    </row>
    <row r="6689" spans="1:2" x14ac:dyDescent="0.25">
      <c r="A6689">
        <v>28311029000</v>
      </c>
      <c r="B6689" t="s">
        <v>10</v>
      </c>
    </row>
    <row r="6690" spans="1:2" x14ac:dyDescent="0.25">
      <c r="A6690">
        <v>283190</v>
      </c>
      <c r="B6690" t="e">
        <f>- Los demas</f>
        <v>#NAME?</v>
      </c>
    </row>
    <row r="6691" spans="1:2" x14ac:dyDescent="0.25">
      <c r="A6691">
        <v>28319010000</v>
      </c>
      <c r="B6691" t="s">
        <v>2269</v>
      </c>
    </row>
    <row r="6692" spans="1:2" x14ac:dyDescent="0.25">
      <c r="A6692">
        <v>28319090000</v>
      </c>
      <c r="B6692" t="s">
        <v>10</v>
      </c>
    </row>
    <row r="6693" spans="1:2" x14ac:dyDescent="0.25">
      <c r="A6693">
        <v>2832</v>
      </c>
      <c r="B6693" t="s">
        <v>2270</v>
      </c>
    </row>
    <row r="6694" spans="1:2" x14ac:dyDescent="0.25">
      <c r="A6694">
        <v>283210</v>
      </c>
      <c r="B6694" t="e">
        <f>- Sulfitos de Sodio</f>
        <v>#NAME?</v>
      </c>
    </row>
    <row r="6695" spans="1:2" x14ac:dyDescent="0.25">
      <c r="A6695">
        <v>28321010</v>
      </c>
      <c r="B6695" t="s">
        <v>2258</v>
      </c>
    </row>
    <row r="6696" spans="1:2" x14ac:dyDescent="0.25">
      <c r="A6696">
        <v>28321010100</v>
      </c>
      <c r="B6696" t="s">
        <v>2271</v>
      </c>
    </row>
    <row r="6697" spans="1:2" x14ac:dyDescent="0.25">
      <c r="A6697">
        <v>28321010900</v>
      </c>
      <c r="B6697" t="s">
        <v>10</v>
      </c>
    </row>
    <row r="6698" spans="1:2" x14ac:dyDescent="0.25">
      <c r="A6698">
        <v>28321090000</v>
      </c>
      <c r="B6698" t="s">
        <v>10</v>
      </c>
    </row>
    <row r="6699" spans="1:2" x14ac:dyDescent="0.25">
      <c r="A6699">
        <v>28322000000</v>
      </c>
      <c r="B6699" t="e">
        <f>-Los demas Sulfitos</f>
        <v>#NAME?</v>
      </c>
    </row>
    <row r="6700" spans="1:2" x14ac:dyDescent="0.25">
      <c r="A6700">
        <v>283230</v>
      </c>
      <c r="B6700" t="e">
        <f>- Tiosulfatos</f>
        <v>#NAME?</v>
      </c>
    </row>
    <row r="6701" spans="1:2" x14ac:dyDescent="0.25">
      <c r="A6701">
        <v>28323010000</v>
      </c>
      <c r="B6701" t="s">
        <v>2272</v>
      </c>
    </row>
    <row r="6702" spans="1:2" x14ac:dyDescent="0.25">
      <c r="A6702">
        <v>28323020000</v>
      </c>
      <c r="B6702" t="s">
        <v>2151</v>
      </c>
    </row>
    <row r="6703" spans="1:2" x14ac:dyDescent="0.25">
      <c r="A6703">
        <v>28323090000</v>
      </c>
      <c r="B6703" t="s">
        <v>10</v>
      </c>
    </row>
    <row r="6704" spans="1:2" x14ac:dyDescent="0.25">
      <c r="A6704">
        <v>2833</v>
      </c>
      <c r="B6704" t="s">
        <v>2273</v>
      </c>
    </row>
    <row r="6705" spans="1:2" x14ac:dyDescent="0.25">
      <c r="A6705">
        <v>28331</v>
      </c>
      <c r="B6705" t="s">
        <v>2274</v>
      </c>
    </row>
    <row r="6706" spans="1:2" x14ac:dyDescent="0.25">
      <c r="A6706">
        <v>283311</v>
      </c>
      <c r="B6706" t="e">
        <f>- - Sulfato de disodio</f>
        <v>#NAME?</v>
      </c>
    </row>
    <row r="6707" spans="1:2" x14ac:dyDescent="0.25">
      <c r="A6707">
        <v>28331110</v>
      </c>
      <c r="B6707" t="s">
        <v>2275</v>
      </c>
    </row>
    <row r="6708" spans="1:2" x14ac:dyDescent="0.25">
      <c r="A6708">
        <v>28331110100</v>
      </c>
      <c r="B6708" t="s">
        <v>1131</v>
      </c>
    </row>
    <row r="6709" spans="1:2" x14ac:dyDescent="0.25">
      <c r="A6709">
        <v>28331110900</v>
      </c>
      <c r="B6709" t="s">
        <v>10</v>
      </c>
    </row>
    <row r="6710" spans="1:2" x14ac:dyDescent="0.25">
      <c r="A6710">
        <v>28331190</v>
      </c>
      <c r="B6710" t="s">
        <v>10</v>
      </c>
    </row>
    <row r="6711" spans="1:2" x14ac:dyDescent="0.25">
      <c r="A6711">
        <v>28331190100</v>
      </c>
      <c r="B6711" t="s">
        <v>1131</v>
      </c>
    </row>
    <row r="6712" spans="1:2" x14ac:dyDescent="0.25">
      <c r="A6712">
        <v>28331190900</v>
      </c>
      <c r="B6712" t="s">
        <v>10</v>
      </c>
    </row>
    <row r="6713" spans="1:2" x14ac:dyDescent="0.25">
      <c r="A6713">
        <v>28331900000</v>
      </c>
      <c r="B6713" t="e">
        <f>--Los demas</f>
        <v>#NAME?</v>
      </c>
    </row>
    <row r="6714" spans="1:2" x14ac:dyDescent="0.25">
      <c r="A6714">
        <v>28332</v>
      </c>
      <c r="B6714" t="s">
        <v>2276</v>
      </c>
    </row>
    <row r="6715" spans="1:2" x14ac:dyDescent="0.25">
      <c r="A6715">
        <v>28332100000</v>
      </c>
      <c r="B6715" t="e">
        <f>--de magnesio</f>
        <v>#NAME?</v>
      </c>
    </row>
    <row r="6716" spans="1:2" x14ac:dyDescent="0.25">
      <c r="A6716">
        <v>28332200000</v>
      </c>
      <c r="B6716" t="e">
        <f>--de aluminio</f>
        <v>#NAME?</v>
      </c>
    </row>
    <row r="6717" spans="1:2" x14ac:dyDescent="0.25">
      <c r="A6717">
        <v>28332400000</v>
      </c>
      <c r="B6717" t="e">
        <f>--de niquel</f>
        <v>#NAME?</v>
      </c>
    </row>
    <row r="6718" spans="1:2" x14ac:dyDescent="0.25">
      <c r="A6718">
        <v>283325</v>
      </c>
      <c r="B6718" t="e">
        <f>- - de cobre</f>
        <v>#NAME?</v>
      </c>
    </row>
    <row r="6719" spans="1:2" x14ac:dyDescent="0.25">
      <c r="A6719">
        <v>28332510000</v>
      </c>
      <c r="B6719" t="s">
        <v>2277</v>
      </c>
    </row>
    <row r="6720" spans="1:2" x14ac:dyDescent="0.25">
      <c r="A6720">
        <v>28332520000</v>
      </c>
      <c r="B6720" t="s">
        <v>2278</v>
      </c>
    </row>
    <row r="6721" spans="1:2" x14ac:dyDescent="0.25">
      <c r="A6721">
        <v>283327</v>
      </c>
      <c r="B6721" t="e">
        <f>- - de bario</f>
        <v>#NAME?</v>
      </c>
    </row>
    <row r="6722" spans="1:2" x14ac:dyDescent="0.25">
      <c r="A6722">
        <v>28332710000</v>
      </c>
      <c r="B6722" t="s">
        <v>2279</v>
      </c>
    </row>
    <row r="6723" spans="1:2" x14ac:dyDescent="0.25">
      <c r="A6723">
        <v>28332790000</v>
      </c>
      <c r="B6723" t="s">
        <v>10</v>
      </c>
    </row>
    <row r="6724" spans="1:2" x14ac:dyDescent="0.25">
      <c r="A6724">
        <v>283329</v>
      </c>
      <c r="B6724" t="e">
        <f>- - Los demas</f>
        <v>#NAME?</v>
      </c>
    </row>
    <row r="6725" spans="1:2" x14ac:dyDescent="0.25">
      <c r="A6725">
        <v>28332910000</v>
      </c>
      <c r="B6725" t="s">
        <v>2228</v>
      </c>
    </row>
    <row r="6726" spans="1:2" x14ac:dyDescent="0.25">
      <c r="A6726">
        <v>28332920000</v>
      </c>
      <c r="B6726" t="s">
        <v>2229</v>
      </c>
    </row>
    <row r="6727" spans="1:2" x14ac:dyDescent="0.25">
      <c r="A6727">
        <v>28332930000</v>
      </c>
      <c r="B6727" t="s">
        <v>2233</v>
      </c>
    </row>
    <row r="6728" spans="1:2" x14ac:dyDescent="0.25">
      <c r="A6728">
        <v>28332940</v>
      </c>
      <c r="B6728" t="s">
        <v>2280</v>
      </c>
    </row>
    <row r="6729" spans="1:2" x14ac:dyDescent="0.25">
      <c r="A6729">
        <v>28332940100</v>
      </c>
      <c r="B6729" t="s">
        <v>2281</v>
      </c>
    </row>
    <row r="6730" spans="1:2" x14ac:dyDescent="0.25">
      <c r="A6730">
        <v>28332940200</v>
      </c>
      <c r="B6730" t="s">
        <v>2282</v>
      </c>
    </row>
    <row r="6731" spans="1:2" x14ac:dyDescent="0.25">
      <c r="A6731">
        <v>28332940900</v>
      </c>
      <c r="B6731" t="s">
        <v>10</v>
      </c>
    </row>
    <row r="6732" spans="1:2" x14ac:dyDescent="0.25">
      <c r="A6732">
        <v>28332950000</v>
      </c>
      <c r="B6732" t="s">
        <v>2283</v>
      </c>
    </row>
    <row r="6733" spans="1:2" x14ac:dyDescent="0.25">
      <c r="A6733">
        <v>28332960000</v>
      </c>
      <c r="B6733" t="s">
        <v>2232</v>
      </c>
    </row>
    <row r="6734" spans="1:2" x14ac:dyDescent="0.25">
      <c r="A6734">
        <v>28332970000</v>
      </c>
      <c r="B6734" t="s">
        <v>2237</v>
      </c>
    </row>
    <row r="6735" spans="1:2" x14ac:dyDescent="0.25">
      <c r="A6735">
        <v>28332990</v>
      </c>
      <c r="B6735" t="s">
        <v>10</v>
      </c>
    </row>
    <row r="6736" spans="1:2" x14ac:dyDescent="0.25">
      <c r="A6736">
        <v>28332990100</v>
      </c>
      <c r="B6736" t="s">
        <v>2251</v>
      </c>
    </row>
    <row r="6737" spans="1:2" x14ac:dyDescent="0.25">
      <c r="A6737">
        <v>28332990200</v>
      </c>
      <c r="B6737" t="s">
        <v>2284</v>
      </c>
    </row>
    <row r="6738" spans="1:2" x14ac:dyDescent="0.25">
      <c r="A6738">
        <v>28332990300</v>
      </c>
      <c r="B6738" t="s">
        <v>2285</v>
      </c>
    </row>
    <row r="6739" spans="1:2" x14ac:dyDescent="0.25">
      <c r="A6739">
        <v>28332990900</v>
      </c>
      <c r="B6739" t="s">
        <v>10</v>
      </c>
    </row>
    <row r="6740" spans="1:2" x14ac:dyDescent="0.25">
      <c r="A6740">
        <v>28333000000</v>
      </c>
      <c r="B6740" t="e">
        <f>-Alumbres</f>
        <v>#NAME?</v>
      </c>
    </row>
    <row r="6741" spans="1:2" x14ac:dyDescent="0.25">
      <c r="A6741">
        <v>283340</v>
      </c>
      <c r="B6741" t="e">
        <f>- Peroxosulfatos (persulfatos)</f>
        <v>#NAME?</v>
      </c>
    </row>
    <row r="6742" spans="1:2" x14ac:dyDescent="0.25">
      <c r="A6742">
        <v>28334010000</v>
      </c>
      <c r="B6742" t="s">
        <v>2151</v>
      </c>
    </row>
    <row r="6743" spans="1:2" x14ac:dyDescent="0.25">
      <c r="A6743">
        <v>28334020000</v>
      </c>
      <c r="B6743" t="s">
        <v>2272</v>
      </c>
    </row>
    <row r="6744" spans="1:2" x14ac:dyDescent="0.25">
      <c r="A6744">
        <v>28334090000</v>
      </c>
      <c r="B6744" t="s">
        <v>10</v>
      </c>
    </row>
    <row r="6745" spans="1:2" x14ac:dyDescent="0.25">
      <c r="A6745">
        <v>2834</v>
      </c>
      <c r="B6745" t="s">
        <v>2286</v>
      </c>
    </row>
    <row r="6746" spans="1:2" x14ac:dyDescent="0.25">
      <c r="A6746">
        <v>283410</v>
      </c>
      <c r="B6746" t="e">
        <f>- Nitritos</f>
        <v>#NAME?</v>
      </c>
    </row>
    <row r="6747" spans="1:2" x14ac:dyDescent="0.25">
      <c r="A6747">
        <v>28341010</v>
      </c>
      <c r="B6747" t="s">
        <v>2151</v>
      </c>
    </row>
    <row r="6748" spans="1:2" x14ac:dyDescent="0.25">
      <c r="A6748">
        <v>28341010100</v>
      </c>
      <c r="B6748" t="s">
        <v>2287</v>
      </c>
    </row>
    <row r="6749" spans="1:2" x14ac:dyDescent="0.25">
      <c r="A6749">
        <v>28341010900</v>
      </c>
      <c r="B6749" t="s">
        <v>10</v>
      </c>
    </row>
    <row r="6750" spans="1:2" x14ac:dyDescent="0.25">
      <c r="A6750">
        <v>28341090</v>
      </c>
      <c r="B6750" t="s">
        <v>10</v>
      </c>
    </row>
    <row r="6751" spans="1:2" x14ac:dyDescent="0.25">
      <c r="A6751">
        <v>28341090100</v>
      </c>
      <c r="B6751" t="s">
        <v>2152</v>
      </c>
    </row>
    <row r="6752" spans="1:2" x14ac:dyDescent="0.25">
      <c r="A6752">
        <v>28341090900</v>
      </c>
      <c r="B6752" t="s">
        <v>10</v>
      </c>
    </row>
    <row r="6753" spans="1:2" x14ac:dyDescent="0.25">
      <c r="A6753">
        <v>28342</v>
      </c>
      <c r="B6753" t="s">
        <v>2288</v>
      </c>
    </row>
    <row r="6754" spans="1:2" x14ac:dyDescent="0.25">
      <c r="A6754">
        <v>283421</v>
      </c>
      <c r="B6754" t="e">
        <f>- - de potasio</f>
        <v>#NAME?</v>
      </c>
    </row>
    <row r="6755" spans="1:2" x14ac:dyDescent="0.25">
      <c r="A6755">
        <v>28342110000</v>
      </c>
      <c r="B6755" t="s">
        <v>2289</v>
      </c>
    </row>
    <row r="6756" spans="1:2" x14ac:dyDescent="0.25">
      <c r="A6756">
        <v>28342190000</v>
      </c>
      <c r="B6756" t="s">
        <v>10</v>
      </c>
    </row>
    <row r="6757" spans="1:2" x14ac:dyDescent="0.25">
      <c r="A6757">
        <v>283429</v>
      </c>
      <c r="B6757" t="e">
        <f>- - Los demas</f>
        <v>#NAME?</v>
      </c>
    </row>
    <row r="6758" spans="1:2" x14ac:dyDescent="0.25">
      <c r="A6758">
        <v>28342910000</v>
      </c>
      <c r="B6758" t="s">
        <v>2290</v>
      </c>
    </row>
    <row r="6759" spans="1:2" x14ac:dyDescent="0.25">
      <c r="A6759">
        <v>28342930000</v>
      </c>
      <c r="B6759" t="s">
        <v>2240</v>
      </c>
    </row>
    <row r="6760" spans="1:2" x14ac:dyDescent="0.25">
      <c r="A6760">
        <v>28342940000</v>
      </c>
      <c r="B6760" t="s">
        <v>2229</v>
      </c>
    </row>
    <row r="6761" spans="1:2" x14ac:dyDescent="0.25">
      <c r="A6761">
        <v>28342990</v>
      </c>
      <c r="B6761" t="s">
        <v>10</v>
      </c>
    </row>
    <row r="6762" spans="1:2" x14ac:dyDescent="0.25">
      <c r="A6762">
        <v>28342990100</v>
      </c>
      <c r="B6762" t="s">
        <v>2291</v>
      </c>
    </row>
    <row r="6763" spans="1:2" x14ac:dyDescent="0.25">
      <c r="A6763">
        <v>28342990900</v>
      </c>
      <c r="B6763" t="s">
        <v>10</v>
      </c>
    </row>
    <row r="6764" spans="1:2" x14ac:dyDescent="0.25">
      <c r="A6764">
        <v>2835</v>
      </c>
      <c r="B6764" t="s">
        <v>2292</v>
      </c>
    </row>
    <row r="6765" spans="1:2" x14ac:dyDescent="0.25">
      <c r="A6765">
        <v>283510</v>
      </c>
      <c r="B6765" t="e">
        <f>- Fosfinatos (hipofosfitos) y fosfonatos (fosfitos)</f>
        <v>#NAME?</v>
      </c>
    </row>
    <row r="6766" spans="1:2" x14ac:dyDescent="0.25">
      <c r="A6766">
        <v>2835101</v>
      </c>
      <c r="B6766" t="s">
        <v>2293</v>
      </c>
    </row>
    <row r="6767" spans="1:2" x14ac:dyDescent="0.25">
      <c r="A6767">
        <v>28351011000</v>
      </c>
      <c r="B6767" t="s">
        <v>2151</v>
      </c>
    </row>
    <row r="6768" spans="1:2" x14ac:dyDescent="0.25">
      <c r="A6768">
        <v>28351019000</v>
      </c>
      <c r="B6768" t="s">
        <v>10</v>
      </c>
    </row>
    <row r="6769" spans="1:2" x14ac:dyDescent="0.25">
      <c r="A6769">
        <v>2835102</v>
      </c>
      <c r="B6769" t="s">
        <v>2294</v>
      </c>
    </row>
    <row r="6770" spans="1:2" x14ac:dyDescent="0.25">
      <c r="A6770">
        <v>28351021000</v>
      </c>
      <c r="B6770" t="s">
        <v>2295</v>
      </c>
    </row>
    <row r="6771" spans="1:2" x14ac:dyDescent="0.25">
      <c r="A6771">
        <v>28351029000</v>
      </c>
      <c r="B6771" t="s">
        <v>10</v>
      </c>
    </row>
    <row r="6772" spans="1:2" x14ac:dyDescent="0.25">
      <c r="A6772">
        <v>28352</v>
      </c>
      <c r="B6772" t="s">
        <v>2296</v>
      </c>
    </row>
    <row r="6773" spans="1:2" x14ac:dyDescent="0.25">
      <c r="A6773">
        <v>28352200000</v>
      </c>
      <c r="B6773" t="e">
        <f>--de monosodio o de disodio</f>
        <v>#NAME?</v>
      </c>
    </row>
    <row r="6774" spans="1:2" x14ac:dyDescent="0.25">
      <c r="A6774">
        <v>28352400000</v>
      </c>
      <c r="B6774" t="e">
        <f>--de potasio</f>
        <v>#NAME?</v>
      </c>
    </row>
    <row r="6775" spans="1:2" x14ac:dyDescent="0.25">
      <c r="A6775">
        <v>28352500000</v>
      </c>
      <c r="B6775" t="s">
        <v>2297</v>
      </c>
    </row>
    <row r="6776" spans="1:2" x14ac:dyDescent="0.25">
      <c r="A6776">
        <v>28352600000</v>
      </c>
      <c r="B6776" t="e">
        <f>--Los demas Fosfatos de calcio</f>
        <v>#NAME?</v>
      </c>
    </row>
    <row r="6777" spans="1:2" x14ac:dyDescent="0.25">
      <c r="A6777">
        <v>283529</v>
      </c>
      <c r="B6777" t="e">
        <f>- - Los demas</f>
        <v>#NAME?</v>
      </c>
    </row>
    <row r="6778" spans="1:2" x14ac:dyDescent="0.25">
      <c r="A6778">
        <v>28352910000</v>
      </c>
      <c r="B6778" t="s">
        <v>2235</v>
      </c>
    </row>
    <row r="6779" spans="1:2" x14ac:dyDescent="0.25">
      <c r="A6779">
        <v>28352920000</v>
      </c>
      <c r="B6779" t="s">
        <v>2236</v>
      </c>
    </row>
    <row r="6780" spans="1:2" x14ac:dyDescent="0.25">
      <c r="A6780">
        <v>28352930000</v>
      </c>
      <c r="B6780" t="s">
        <v>2298</v>
      </c>
    </row>
    <row r="6781" spans="1:2" x14ac:dyDescent="0.25">
      <c r="A6781">
        <v>28352940000</v>
      </c>
      <c r="B6781" t="s">
        <v>2232</v>
      </c>
    </row>
    <row r="6782" spans="1:2" x14ac:dyDescent="0.25">
      <c r="A6782">
        <v>28352950000</v>
      </c>
      <c r="B6782" t="s">
        <v>2233</v>
      </c>
    </row>
    <row r="6783" spans="1:2" x14ac:dyDescent="0.25">
      <c r="A6783">
        <v>28352960000</v>
      </c>
      <c r="B6783" t="s">
        <v>2234</v>
      </c>
    </row>
    <row r="6784" spans="1:2" x14ac:dyDescent="0.25">
      <c r="A6784">
        <v>28352970000</v>
      </c>
      <c r="B6784" t="s">
        <v>2299</v>
      </c>
    </row>
    <row r="6785" spans="1:2" x14ac:dyDescent="0.25">
      <c r="A6785">
        <v>28352980000</v>
      </c>
      <c r="B6785" t="s">
        <v>2300</v>
      </c>
    </row>
    <row r="6786" spans="1:2" x14ac:dyDescent="0.25">
      <c r="A6786">
        <v>28352990000</v>
      </c>
      <c r="B6786" t="s">
        <v>10</v>
      </c>
    </row>
    <row r="6787" spans="1:2" x14ac:dyDescent="0.25">
      <c r="A6787">
        <v>28353</v>
      </c>
      <c r="B6787" t="s">
        <v>2301</v>
      </c>
    </row>
    <row r="6788" spans="1:2" x14ac:dyDescent="0.25">
      <c r="A6788">
        <v>283531</v>
      </c>
      <c r="B6788" t="e">
        <f>- - Trifosfato de Sodio (tripolifosfato de Sodio)</f>
        <v>#NAME?</v>
      </c>
    </row>
    <row r="6789" spans="1:2" x14ac:dyDescent="0.25">
      <c r="A6789">
        <v>28353110000</v>
      </c>
      <c r="B6789" t="s">
        <v>2302</v>
      </c>
    </row>
    <row r="6790" spans="1:2" x14ac:dyDescent="0.25">
      <c r="A6790">
        <v>28353190000</v>
      </c>
      <c r="B6790" t="s">
        <v>10</v>
      </c>
    </row>
    <row r="6791" spans="1:2" x14ac:dyDescent="0.25">
      <c r="A6791">
        <v>283539</v>
      </c>
      <c r="B6791" t="e">
        <f>- - Los demas</f>
        <v>#NAME?</v>
      </c>
    </row>
    <row r="6792" spans="1:2" x14ac:dyDescent="0.25">
      <c r="A6792">
        <v>28353910000</v>
      </c>
      <c r="B6792" t="s">
        <v>2303</v>
      </c>
    </row>
    <row r="6793" spans="1:2" x14ac:dyDescent="0.25">
      <c r="A6793">
        <v>28353920000</v>
      </c>
      <c r="B6793" t="s">
        <v>2304</v>
      </c>
    </row>
    <row r="6794" spans="1:2" x14ac:dyDescent="0.25">
      <c r="A6794">
        <v>28353930000</v>
      </c>
      <c r="B6794" t="s">
        <v>2305</v>
      </c>
    </row>
    <row r="6795" spans="1:2" x14ac:dyDescent="0.25">
      <c r="A6795">
        <v>28353990000</v>
      </c>
      <c r="B6795" t="s">
        <v>10</v>
      </c>
    </row>
    <row r="6796" spans="1:2" x14ac:dyDescent="0.25">
      <c r="A6796">
        <v>2836</v>
      </c>
      <c r="B6796" t="s">
        <v>2306</v>
      </c>
    </row>
    <row r="6797" spans="1:2" x14ac:dyDescent="0.25">
      <c r="A6797">
        <v>283620</v>
      </c>
      <c r="B6797" t="e">
        <f>- Carbonato de disodio</f>
        <v>#NAME?</v>
      </c>
    </row>
    <row r="6798" spans="1:2" x14ac:dyDescent="0.25">
      <c r="A6798">
        <v>28362010</v>
      </c>
      <c r="B6798" t="s">
        <v>2275</v>
      </c>
    </row>
    <row r="6799" spans="1:2" x14ac:dyDescent="0.25">
      <c r="A6799">
        <v>28362010100</v>
      </c>
      <c r="B6799" t="s">
        <v>2307</v>
      </c>
    </row>
    <row r="6800" spans="1:2" x14ac:dyDescent="0.25">
      <c r="A6800">
        <v>28362010200</v>
      </c>
      <c r="B6800" t="s">
        <v>2308</v>
      </c>
    </row>
    <row r="6801" spans="1:2" x14ac:dyDescent="0.25">
      <c r="A6801">
        <v>283620109</v>
      </c>
      <c r="B6801" t="s">
        <v>10</v>
      </c>
    </row>
    <row r="6802" spans="1:2" x14ac:dyDescent="0.25">
      <c r="A6802">
        <v>28362010910</v>
      </c>
      <c r="B6802" t="s">
        <v>1131</v>
      </c>
    </row>
    <row r="6803" spans="1:2" x14ac:dyDescent="0.25">
      <c r="A6803">
        <v>28362010990</v>
      </c>
      <c r="B6803" t="s">
        <v>10</v>
      </c>
    </row>
    <row r="6804" spans="1:2" x14ac:dyDescent="0.25">
      <c r="A6804">
        <v>28362090</v>
      </c>
      <c r="B6804" t="s">
        <v>10</v>
      </c>
    </row>
    <row r="6805" spans="1:2" x14ac:dyDescent="0.25">
      <c r="A6805">
        <v>28362090100</v>
      </c>
      <c r="B6805" t="s">
        <v>2307</v>
      </c>
    </row>
    <row r="6806" spans="1:2" x14ac:dyDescent="0.25">
      <c r="A6806">
        <v>28362090200</v>
      </c>
      <c r="B6806" t="s">
        <v>2308</v>
      </c>
    </row>
    <row r="6807" spans="1:2" x14ac:dyDescent="0.25">
      <c r="A6807">
        <v>283620909</v>
      </c>
      <c r="B6807" t="s">
        <v>10</v>
      </c>
    </row>
    <row r="6808" spans="1:2" x14ac:dyDescent="0.25">
      <c r="A6808">
        <v>28362090910</v>
      </c>
      <c r="B6808" t="s">
        <v>1131</v>
      </c>
    </row>
    <row r="6809" spans="1:2" x14ac:dyDescent="0.25">
      <c r="A6809">
        <v>28362090990</v>
      </c>
      <c r="B6809" t="s">
        <v>10</v>
      </c>
    </row>
    <row r="6810" spans="1:2" x14ac:dyDescent="0.25">
      <c r="A6810">
        <v>28363000000</v>
      </c>
      <c r="B6810" t="e">
        <f>-Hidrogenocarbonato (bicarbonato) de Sodio</f>
        <v>#NAME?</v>
      </c>
    </row>
    <row r="6811" spans="1:2" x14ac:dyDescent="0.25">
      <c r="A6811">
        <v>28364000</v>
      </c>
      <c r="B6811" t="e">
        <f>- Carbonatos de potasio</f>
        <v>#NAME?</v>
      </c>
    </row>
    <row r="6812" spans="1:2" x14ac:dyDescent="0.25">
      <c r="A6812">
        <v>283640001</v>
      </c>
      <c r="B6812" t="s">
        <v>2309</v>
      </c>
    </row>
    <row r="6813" spans="1:2" x14ac:dyDescent="0.25">
      <c r="A6813">
        <v>28364000110</v>
      </c>
      <c r="B6813" t="s">
        <v>1131</v>
      </c>
    </row>
    <row r="6814" spans="1:2" x14ac:dyDescent="0.25">
      <c r="A6814">
        <v>28364000190</v>
      </c>
      <c r="B6814" t="s">
        <v>10</v>
      </c>
    </row>
    <row r="6815" spans="1:2" x14ac:dyDescent="0.25">
      <c r="A6815">
        <v>28364000900</v>
      </c>
      <c r="B6815" t="s">
        <v>10</v>
      </c>
    </row>
    <row r="6816" spans="1:2" x14ac:dyDescent="0.25">
      <c r="A6816">
        <v>28365000000</v>
      </c>
      <c r="B6816" t="e">
        <f>-Carbonato de calcio</f>
        <v>#NAME?</v>
      </c>
    </row>
    <row r="6817" spans="1:2" x14ac:dyDescent="0.25">
      <c r="A6817">
        <v>283660</v>
      </c>
      <c r="B6817" t="e">
        <f>- Carbonato de bario</f>
        <v>#NAME?</v>
      </c>
    </row>
    <row r="6818" spans="1:2" x14ac:dyDescent="0.25">
      <c r="A6818">
        <v>28366010000</v>
      </c>
      <c r="B6818" t="s">
        <v>2310</v>
      </c>
    </row>
    <row r="6819" spans="1:2" x14ac:dyDescent="0.25">
      <c r="A6819">
        <v>28366090000</v>
      </c>
      <c r="B6819" t="s">
        <v>10</v>
      </c>
    </row>
    <row r="6820" spans="1:2" x14ac:dyDescent="0.25">
      <c r="A6820">
        <v>28369</v>
      </c>
      <c r="B6820" t="s">
        <v>28</v>
      </c>
    </row>
    <row r="6821" spans="1:2" x14ac:dyDescent="0.25">
      <c r="A6821">
        <v>28369100000</v>
      </c>
      <c r="B6821" t="e">
        <f>--Carbonatos de litio</f>
        <v>#NAME?</v>
      </c>
    </row>
    <row r="6822" spans="1:2" x14ac:dyDescent="0.25">
      <c r="A6822">
        <v>28369200000</v>
      </c>
      <c r="B6822" t="e">
        <f>--Carbonato de estroncio</f>
        <v>#NAME?</v>
      </c>
    </row>
    <row r="6823" spans="1:2" x14ac:dyDescent="0.25">
      <c r="A6823">
        <v>283699</v>
      </c>
      <c r="B6823" t="e">
        <f>- - Los demas</f>
        <v>#NAME?</v>
      </c>
    </row>
    <row r="6824" spans="1:2" x14ac:dyDescent="0.25">
      <c r="A6824">
        <v>2836991</v>
      </c>
      <c r="B6824" t="s">
        <v>2311</v>
      </c>
    </row>
    <row r="6825" spans="1:2" x14ac:dyDescent="0.25">
      <c r="A6825">
        <v>28369911000</v>
      </c>
      <c r="B6825" t="s">
        <v>2312</v>
      </c>
    </row>
    <row r="6826" spans="1:2" x14ac:dyDescent="0.25">
      <c r="A6826">
        <v>28369912000</v>
      </c>
      <c r="B6826" t="s">
        <v>2227</v>
      </c>
    </row>
    <row r="6827" spans="1:2" x14ac:dyDescent="0.25">
      <c r="A6827">
        <v>28369913</v>
      </c>
      <c r="B6827" t="s">
        <v>2313</v>
      </c>
    </row>
    <row r="6828" spans="1:2" x14ac:dyDescent="0.25">
      <c r="A6828">
        <v>28369913100</v>
      </c>
      <c r="B6828" t="s">
        <v>2314</v>
      </c>
    </row>
    <row r="6829" spans="1:2" x14ac:dyDescent="0.25">
      <c r="A6829">
        <v>28369913200</v>
      </c>
      <c r="B6829" t="s">
        <v>2315</v>
      </c>
    </row>
    <row r="6830" spans="1:2" x14ac:dyDescent="0.25">
      <c r="A6830">
        <v>28369913900</v>
      </c>
      <c r="B6830" t="s">
        <v>10</v>
      </c>
    </row>
    <row r="6831" spans="1:2" x14ac:dyDescent="0.25">
      <c r="A6831">
        <v>28369919000</v>
      </c>
      <c r="B6831" t="s">
        <v>10</v>
      </c>
    </row>
    <row r="6832" spans="1:2" x14ac:dyDescent="0.25">
      <c r="A6832">
        <v>28369920000</v>
      </c>
      <c r="B6832" t="s">
        <v>2316</v>
      </c>
    </row>
    <row r="6833" spans="1:2" x14ac:dyDescent="0.25">
      <c r="A6833">
        <v>2837</v>
      </c>
      <c r="B6833" t="s">
        <v>2317</v>
      </c>
    </row>
    <row r="6834" spans="1:2" x14ac:dyDescent="0.25">
      <c r="A6834">
        <v>28371</v>
      </c>
      <c r="B6834" t="s">
        <v>2318</v>
      </c>
    </row>
    <row r="6835" spans="1:2" x14ac:dyDescent="0.25">
      <c r="A6835">
        <v>28371100</v>
      </c>
      <c r="B6835" t="e">
        <f>- - de Sodio</f>
        <v>#NAME?</v>
      </c>
    </row>
    <row r="6836" spans="1:2" x14ac:dyDescent="0.25">
      <c r="A6836">
        <v>28371100100</v>
      </c>
      <c r="B6836" t="s">
        <v>2319</v>
      </c>
    </row>
    <row r="6837" spans="1:2" x14ac:dyDescent="0.25">
      <c r="A6837">
        <v>28371100900</v>
      </c>
      <c r="B6837" t="s">
        <v>10</v>
      </c>
    </row>
    <row r="6838" spans="1:2" x14ac:dyDescent="0.25">
      <c r="A6838">
        <v>283719</v>
      </c>
      <c r="B6838" t="e">
        <f>- - Los demas</f>
        <v>#NAME?</v>
      </c>
    </row>
    <row r="6839" spans="1:2" x14ac:dyDescent="0.25">
      <c r="A6839">
        <v>2837191</v>
      </c>
      <c r="B6839" t="s">
        <v>2320</v>
      </c>
    </row>
    <row r="6840" spans="1:2" x14ac:dyDescent="0.25">
      <c r="A6840">
        <v>28371911000</v>
      </c>
      <c r="B6840" t="s">
        <v>2152</v>
      </c>
    </row>
    <row r="6841" spans="1:2" x14ac:dyDescent="0.25">
      <c r="A6841">
        <v>28371912000</v>
      </c>
      <c r="B6841" t="s">
        <v>2237</v>
      </c>
    </row>
    <row r="6842" spans="1:2" x14ac:dyDescent="0.25">
      <c r="A6842">
        <v>28371914000</v>
      </c>
      <c r="B6842" t="s">
        <v>2321</v>
      </c>
    </row>
    <row r="6843" spans="1:2" x14ac:dyDescent="0.25">
      <c r="A6843">
        <v>28371915000</v>
      </c>
      <c r="B6843" t="s">
        <v>2322</v>
      </c>
    </row>
    <row r="6844" spans="1:2" x14ac:dyDescent="0.25">
      <c r="A6844">
        <v>28371919</v>
      </c>
      <c r="B6844" t="s">
        <v>10</v>
      </c>
    </row>
    <row r="6845" spans="1:2" x14ac:dyDescent="0.25">
      <c r="A6845">
        <v>28371919100</v>
      </c>
      <c r="B6845" t="s">
        <v>2323</v>
      </c>
    </row>
    <row r="6846" spans="1:2" x14ac:dyDescent="0.25">
      <c r="A6846">
        <v>28371919900</v>
      </c>
      <c r="B6846" t="s">
        <v>10</v>
      </c>
    </row>
    <row r="6847" spans="1:2" x14ac:dyDescent="0.25">
      <c r="A6847">
        <v>28371920000</v>
      </c>
      <c r="B6847" t="s">
        <v>2324</v>
      </c>
    </row>
    <row r="6848" spans="1:2" x14ac:dyDescent="0.25">
      <c r="A6848">
        <v>283720</v>
      </c>
      <c r="B6848" t="e">
        <f>- Cianuros complejos</f>
        <v>#NAME?</v>
      </c>
    </row>
    <row r="6849" spans="1:2" x14ac:dyDescent="0.25">
      <c r="A6849">
        <v>2837201</v>
      </c>
      <c r="B6849" t="s">
        <v>2325</v>
      </c>
    </row>
    <row r="6850" spans="1:2" x14ac:dyDescent="0.25">
      <c r="A6850">
        <v>28372011000</v>
      </c>
      <c r="B6850" t="s">
        <v>2151</v>
      </c>
    </row>
    <row r="6851" spans="1:2" x14ac:dyDescent="0.25">
      <c r="A6851">
        <v>28372012000</v>
      </c>
      <c r="B6851" t="s">
        <v>2326</v>
      </c>
    </row>
    <row r="6852" spans="1:2" x14ac:dyDescent="0.25">
      <c r="A6852">
        <v>28372019000</v>
      </c>
      <c r="B6852" t="s">
        <v>10</v>
      </c>
    </row>
    <row r="6853" spans="1:2" x14ac:dyDescent="0.25">
      <c r="A6853">
        <v>2837202</v>
      </c>
      <c r="B6853" t="s">
        <v>2327</v>
      </c>
    </row>
    <row r="6854" spans="1:2" x14ac:dyDescent="0.25">
      <c r="A6854">
        <v>28372021000</v>
      </c>
      <c r="B6854" t="s">
        <v>2152</v>
      </c>
    </row>
    <row r="6855" spans="1:2" x14ac:dyDescent="0.25">
      <c r="A6855">
        <v>28372022000</v>
      </c>
      <c r="B6855" t="s">
        <v>2328</v>
      </c>
    </row>
    <row r="6856" spans="1:2" x14ac:dyDescent="0.25">
      <c r="A6856">
        <v>28372023000</v>
      </c>
      <c r="B6856" t="s">
        <v>2329</v>
      </c>
    </row>
    <row r="6857" spans="1:2" x14ac:dyDescent="0.25">
      <c r="A6857">
        <v>28372029000</v>
      </c>
      <c r="B6857" t="s">
        <v>10</v>
      </c>
    </row>
    <row r="6858" spans="1:2" x14ac:dyDescent="0.25">
      <c r="A6858">
        <v>28372090000</v>
      </c>
      <c r="B6858" t="s">
        <v>10</v>
      </c>
    </row>
    <row r="6859" spans="1:2" x14ac:dyDescent="0.25">
      <c r="A6859">
        <v>2839</v>
      </c>
      <c r="B6859" t="s">
        <v>2330</v>
      </c>
    </row>
    <row r="6860" spans="1:2" x14ac:dyDescent="0.25">
      <c r="A6860">
        <v>28391</v>
      </c>
      <c r="B6860" t="s">
        <v>2331</v>
      </c>
    </row>
    <row r="6861" spans="1:2" x14ac:dyDescent="0.25">
      <c r="A6861">
        <v>28391100000</v>
      </c>
      <c r="B6861" t="e">
        <f>--Metasilicatos</f>
        <v>#NAME?</v>
      </c>
    </row>
    <row r="6862" spans="1:2" x14ac:dyDescent="0.25">
      <c r="A6862">
        <v>28391900000</v>
      </c>
      <c r="B6862" t="e">
        <f>--Los demas</f>
        <v>#NAME?</v>
      </c>
    </row>
    <row r="6863" spans="1:2" x14ac:dyDescent="0.25">
      <c r="A6863">
        <v>283990</v>
      </c>
      <c r="B6863" t="e">
        <f>- Los demas</f>
        <v>#NAME?</v>
      </c>
    </row>
    <row r="6864" spans="1:2" x14ac:dyDescent="0.25">
      <c r="A6864">
        <v>28399010000</v>
      </c>
      <c r="B6864" t="s">
        <v>2332</v>
      </c>
    </row>
    <row r="6865" spans="1:2" x14ac:dyDescent="0.25">
      <c r="A6865">
        <v>28399020000</v>
      </c>
      <c r="B6865" t="s">
        <v>2240</v>
      </c>
    </row>
    <row r="6866" spans="1:2" x14ac:dyDescent="0.25">
      <c r="A6866">
        <v>28399030000</v>
      </c>
      <c r="B6866" t="s">
        <v>2227</v>
      </c>
    </row>
    <row r="6867" spans="1:2" x14ac:dyDescent="0.25">
      <c r="A6867">
        <v>28399040000</v>
      </c>
      <c r="B6867" t="s">
        <v>2262</v>
      </c>
    </row>
    <row r="6868" spans="1:2" x14ac:dyDescent="0.25">
      <c r="A6868">
        <v>28399050000</v>
      </c>
      <c r="B6868" t="s">
        <v>2152</v>
      </c>
    </row>
    <row r="6869" spans="1:2" x14ac:dyDescent="0.25">
      <c r="A6869">
        <v>28399090000</v>
      </c>
      <c r="B6869" t="s">
        <v>10</v>
      </c>
    </row>
    <row r="6870" spans="1:2" x14ac:dyDescent="0.25">
      <c r="A6870">
        <v>2840</v>
      </c>
      <c r="B6870" t="s">
        <v>2333</v>
      </c>
    </row>
    <row r="6871" spans="1:2" x14ac:dyDescent="0.25">
      <c r="A6871">
        <v>28401</v>
      </c>
      <c r="B6871" t="s">
        <v>2334</v>
      </c>
    </row>
    <row r="6872" spans="1:2" x14ac:dyDescent="0.25">
      <c r="A6872">
        <v>28401100000</v>
      </c>
      <c r="B6872" t="e">
        <f>--anhidro</f>
        <v>#NAME?</v>
      </c>
    </row>
    <row r="6873" spans="1:2" x14ac:dyDescent="0.25">
      <c r="A6873">
        <v>28401900000</v>
      </c>
      <c r="B6873" t="e">
        <f>--Los demas</f>
        <v>#NAME?</v>
      </c>
    </row>
    <row r="6874" spans="1:2" x14ac:dyDescent="0.25">
      <c r="A6874">
        <v>28402000</v>
      </c>
      <c r="B6874" t="e">
        <f>- Los demas boratos</f>
        <v>#NAME?</v>
      </c>
    </row>
    <row r="6875" spans="1:2" x14ac:dyDescent="0.25">
      <c r="A6875">
        <v>284020001</v>
      </c>
      <c r="B6875" t="s">
        <v>2335</v>
      </c>
    </row>
    <row r="6876" spans="1:2" x14ac:dyDescent="0.25">
      <c r="A6876">
        <v>28402000110</v>
      </c>
      <c r="B6876" t="s">
        <v>2336</v>
      </c>
    </row>
    <row r="6877" spans="1:2" x14ac:dyDescent="0.25">
      <c r="A6877">
        <v>28402000120</v>
      </c>
      <c r="B6877" t="s">
        <v>2337</v>
      </c>
    </row>
    <row r="6878" spans="1:2" x14ac:dyDescent="0.25">
      <c r="A6878">
        <v>28402000900</v>
      </c>
      <c r="B6878" t="s">
        <v>10</v>
      </c>
    </row>
    <row r="6879" spans="1:2" x14ac:dyDescent="0.25">
      <c r="A6879">
        <v>28403000</v>
      </c>
      <c r="B6879" t="e">
        <f>- Peroxoboratos (perboratos)</f>
        <v>#NAME?</v>
      </c>
    </row>
    <row r="6880" spans="1:2" x14ac:dyDescent="0.25">
      <c r="A6880">
        <v>28403000100</v>
      </c>
      <c r="B6880" t="s">
        <v>2151</v>
      </c>
    </row>
    <row r="6881" spans="1:2" x14ac:dyDescent="0.25">
      <c r="A6881">
        <v>28403000200</v>
      </c>
      <c r="B6881" t="s">
        <v>2332</v>
      </c>
    </row>
    <row r="6882" spans="1:2" x14ac:dyDescent="0.25">
      <c r="A6882">
        <v>28403000300</v>
      </c>
      <c r="B6882" t="s">
        <v>2152</v>
      </c>
    </row>
    <row r="6883" spans="1:2" x14ac:dyDescent="0.25">
      <c r="A6883">
        <v>28403000900</v>
      </c>
      <c r="B6883" t="s">
        <v>10</v>
      </c>
    </row>
    <row r="6884" spans="1:2" x14ac:dyDescent="0.25">
      <c r="A6884">
        <v>2841</v>
      </c>
      <c r="B6884" t="s">
        <v>2338</v>
      </c>
    </row>
    <row r="6885" spans="1:2" x14ac:dyDescent="0.25">
      <c r="A6885">
        <v>28413000000</v>
      </c>
      <c r="B6885" t="e">
        <f>-Dicromato de Sodio</f>
        <v>#NAME?</v>
      </c>
    </row>
    <row r="6886" spans="1:2" x14ac:dyDescent="0.25">
      <c r="A6886">
        <v>284150</v>
      </c>
      <c r="B6886" t="e">
        <f>- Los demas cromatos y dicromatos, peroxocromatos</f>
        <v>#NAME?</v>
      </c>
    </row>
    <row r="6887" spans="1:2" x14ac:dyDescent="0.25">
      <c r="A6887">
        <v>2841501</v>
      </c>
      <c r="B6887" t="s">
        <v>2339</v>
      </c>
    </row>
    <row r="6888" spans="1:2" x14ac:dyDescent="0.25">
      <c r="A6888">
        <v>28415011000</v>
      </c>
      <c r="B6888" t="s">
        <v>2340</v>
      </c>
    </row>
    <row r="6889" spans="1:2" x14ac:dyDescent="0.25">
      <c r="A6889">
        <v>28415012000</v>
      </c>
      <c r="B6889" t="s">
        <v>2341</v>
      </c>
    </row>
    <row r="6890" spans="1:2" x14ac:dyDescent="0.25">
      <c r="A6890">
        <v>28415013000</v>
      </c>
      <c r="B6890" t="s">
        <v>2342</v>
      </c>
    </row>
    <row r="6891" spans="1:2" x14ac:dyDescent="0.25">
      <c r="A6891">
        <v>28415014000</v>
      </c>
      <c r="B6891" t="s">
        <v>2343</v>
      </c>
    </row>
    <row r="6892" spans="1:2" x14ac:dyDescent="0.25">
      <c r="A6892">
        <v>28415015000</v>
      </c>
      <c r="B6892" t="s">
        <v>2344</v>
      </c>
    </row>
    <row r="6893" spans="1:2" x14ac:dyDescent="0.25">
      <c r="A6893">
        <v>28415016000</v>
      </c>
      <c r="B6893" t="s">
        <v>2345</v>
      </c>
    </row>
    <row r="6894" spans="1:2" x14ac:dyDescent="0.25">
      <c r="A6894">
        <v>28415019000</v>
      </c>
      <c r="B6894" t="s">
        <v>10</v>
      </c>
    </row>
    <row r="6895" spans="1:2" x14ac:dyDescent="0.25">
      <c r="A6895">
        <v>28415020000</v>
      </c>
      <c r="B6895" t="s">
        <v>2346</v>
      </c>
    </row>
    <row r="6896" spans="1:2" x14ac:dyDescent="0.25">
      <c r="A6896">
        <v>28416</v>
      </c>
      <c r="B6896" t="s">
        <v>2347</v>
      </c>
    </row>
    <row r="6897" spans="1:2" x14ac:dyDescent="0.25">
      <c r="A6897">
        <v>28416100</v>
      </c>
      <c r="B6897" t="e">
        <f>- - Permanganato de potasio</f>
        <v>#NAME?</v>
      </c>
    </row>
    <row r="6898" spans="1:2" x14ac:dyDescent="0.25">
      <c r="A6898">
        <v>28416100100</v>
      </c>
      <c r="B6898" t="s">
        <v>1131</v>
      </c>
    </row>
    <row r="6899" spans="1:2" x14ac:dyDescent="0.25">
      <c r="A6899">
        <v>28416100900</v>
      </c>
      <c r="B6899" t="s">
        <v>10</v>
      </c>
    </row>
    <row r="6900" spans="1:2" x14ac:dyDescent="0.25">
      <c r="A6900">
        <v>284169</v>
      </c>
      <c r="B6900" t="e">
        <f>- - Los demas</f>
        <v>#NAME?</v>
      </c>
    </row>
    <row r="6901" spans="1:2" x14ac:dyDescent="0.25">
      <c r="A6901">
        <v>28416910000</v>
      </c>
      <c r="B6901" t="s">
        <v>2348</v>
      </c>
    </row>
    <row r="6902" spans="1:2" x14ac:dyDescent="0.25">
      <c r="A6902">
        <v>28416920000</v>
      </c>
      <c r="B6902" t="s">
        <v>2349</v>
      </c>
    </row>
    <row r="6903" spans="1:2" x14ac:dyDescent="0.25">
      <c r="A6903">
        <v>28416930000</v>
      </c>
      <c r="B6903" t="s">
        <v>2350</v>
      </c>
    </row>
    <row r="6904" spans="1:2" x14ac:dyDescent="0.25">
      <c r="A6904">
        <v>284170</v>
      </c>
      <c r="B6904" t="e">
        <f>- Molibdatos</f>
        <v>#NAME?</v>
      </c>
    </row>
    <row r="6905" spans="1:2" x14ac:dyDescent="0.25">
      <c r="A6905">
        <v>28417010000</v>
      </c>
      <c r="B6905" t="s">
        <v>2272</v>
      </c>
    </row>
    <row r="6906" spans="1:2" x14ac:dyDescent="0.25">
      <c r="A6906">
        <v>28417020000</v>
      </c>
      <c r="B6906" t="s">
        <v>2151</v>
      </c>
    </row>
    <row r="6907" spans="1:2" x14ac:dyDescent="0.25">
      <c r="A6907">
        <v>28417090000</v>
      </c>
      <c r="B6907" t="s">
        <v>10</v>
      </c>
    </row>
    <row r="6908" spans="1:2" x14ac:dyDescent="0.25">
      <c r="A6908">
        <v>284180</v>
      </c>
      <c r="B6908" t="e">
        <f>- Volframatos (tungstatos)</f>
        <v>#NAME?</v>
      </c>
    </row>
    <row r="6909" spans="1:2" x14ac:dyDescent="0.25">
      <c r="A6909">
        <v>28418010000</v>
      </c>
      <c r="B6909" t="s">
        <v>2272</v>
      </c>
    </row>
    <row r="6910" spans="1:2" x14ac:dyDescent="0.25">
      <c r="A6910">
        <v>28418020000</v>
      </c>
      <c r="B6910" t="s">
        <v>2262</v>
      </c>
    </row>
    <row r="6911" spans="1:2" x14ac:dyDescent="0.25">
      <c r="A6911">
        <v>28418090000</v>
      </c>
      <c r="B6911" t="s">
        <v>10</v>
      </c>
    </row>
    <row r="6912" spans="1:2" x14ac:dyDescent="0.25">
      <c r="A6912">
        <v>284190</v>
      </c>
      <c r="B6912" t="e">
        <f>- Los demas</f>
        <v>#NAME?</v>
      </c>
    </row>
    <row r="6913" spans="1:2" x14ac:dyDescent="0.25">
      <c r="A6913">
        <v>2841901</v>
      </c>
      <c r="B6913" t="s">
        <v>2351</v>
      </c>
    </row>
    <row r="6914" spans="1:2" x14ac:dyDescent="0.25">
      <c r="A6914">
        <v>28419011000</v>
      </c>
      <c r="B6914" t="s">
        <v>2262</v>
      </c>
    </row>
    <row r="6915" spans="1:2" x14ac:dyDescent="0.25">
      <c r="A6915">
        <v>28419012000</v>
      </c>
      <c r="B6915" t="s">
        <v>2352</v>
      </c>
    </row>
    <row r="6916" spans="1:2" x14ac:dyDescent="0.25">
      <c r="A6916">
        <v>28419013000</v>
      </c>
      <c r="B6916" t="s">
        <v>2353</v>
      </c>
    </row>
    <row r="6917" spans="1:2" x14ac:dyDescent="0.25">
      <c r="A6917">
        <v>28419014000</v>
      </c>
      <c r="B6917" t="s">
        <v>2332</v>
      </c>
    </row>
    <row r="6918" spans="1:2" x14ac:dyDescent="0.25">
      <c r="A6918">
        <v>28419015000</v>
      </c>
      <c r="B6918" t="s">
        <v>2354</v>
      </c>
    </row>
    <row r="6919" spans="1:2" x14ac:dyDescent="0.25">
      <c r="A6919">
        <v>28419019000</v>
      </c>
      <c r="B6919" t="s">
        <v>10</v>
      </c>
    </row>
    <row r="6920" spans="1:2" x14ac:dyDescent="0.25">
      <c r="A6920">
        <v>2841902</v>
      </c>
      <c r="B6920" t="s">
        <v>2355</v>
      </c>
    </row>
    <row r="6921" spans="1:2" x14ac:dyDescent="0.25">
      <c r="A6921">
        <v>28419021000</v>
      </c>
      <c r="B6921" t="s">
        <v>2356</v>
      </c>
    </row>
    <row r="6922" spans="1:2" x14ac:dyDescent="0.25">
      <c r="A6922">
        <v>28419022000</v>
      </c>
      <c r="B6922" t="s">
        <v>2357</v>
      </c>
    </row>
    <row r="6923" spans="1:2" x14ac:dyDescent="0.25">
      <c r="A6923">
        <v>28419029000</v>
      </c>
      <c r="B6923" t="s">
        <v>10</v>
      </c>
    </row>
    <row r="6924" spans="1:2" x14ac:dyDescent="0.25">
      <c r="A6924">
        <v>28419030000</v>
      </c>
      <c r="B6924" t="s">
        <v>2358</v>
      </c>
    </row>
    <row r="6925" spans="1:2" x14ac:dyDescent="0.25">
      <c r="A6925">
        <v>2841904</v>
      </c>
      <c r="B6925" t="s">
        <v>2359</v>
      </c>
    </row>
    <row r="6926" spans="1:2" x14ac:dyDescent="0.25">
      <c r="A6926">
        <v>28419041000</v>
      </c>
      <c r="B6926" t="s">
        <v>2261</v>
      </c>
    </row>
    <row r="6927" spans="1:2" x14ac:dyDescent="0.25">
      <c r="A6927">
        <v>28419042000</v>
      </c>
      <c r="B6927" t="s">
        <v>1967</v>
      </c>
    </row>
    <row r="6928" spans="1:2" x14ac:dyDescent="0.25">
      <c r="A6928">
        <v>28419043000</v>
      </c>
      <c r="B6928" t="s">
        <v>2251</v>
      </c>
    </row>
    <row r="6929" spans="1:2" x14ac:dyDescent="0.25">
      <c r="A6929">
        <v>28419049000</v>
      </c>
      <c r="B6929" t="s">
        <v>10</v>
      </c>
    </row>
    <row r="6930" spans="1:2" x14ac:dyDescent="0.25">
      <c r="A6930">
        <v>28419050000</v>
      </c>
      <c r="B6930" t="s">
        <v>2360</v>
      </c>
    </row>
    <row r="6931" spans="1:2" x14ac:dyDescent="0.25">
      <c r="A6931">
        <v>28419060000</v>
      </c>
      <c r="B6931" t="s">
        <v>2361</v>
      </c>
    </row>
    <row r="6932" spans="1:2" x14ac:dyDescent="0.25">
      <c r="A6932">
        <v>28419070000</v>
      </c>
      <c r="B6932" t="s">
        <v>2362</v>
      </c>
    </row>
    <row r="6933" spans="1:2" x14ac:dyDescent="0.25">
      <c r="A6933">
        <v>2841908</v>
      </c>
      <c r="B6933" t="s">
        <v>2363</v>
      </c>
    </row>
    <row r="6934" spans="1:2" x14ac:dyDescent="0.25">
      <c r="A6934">
        <v>28419081000</v>
      </c>
      <c r="B6934" t="s">
        <v>2151</v>
      </c>
    </row>
    <row r="6935" spans="1:2" x14ac:dyDescent="0.25">
      <c r="A6935">
        <v>28419082000</v>
      </c>
      <c r="B6935" t="s">
        <v>2332</v>
      </c>
    </row>
    <row r="6936" spans="1:2" x14ac:dyDescent="0.25">
      <c r="A6936">
        <v>28419083000</v>
      </c>
      <c r="B6936" t="s">
        <v>1967</v>
      </c>
    </row>
    <row r="6937" spans="1:2" x14ac:dyDescent="0.25">
      <c r="A6937">
        <v>28419089000</v>
      </c>
      <c r="B6937" t="s">
        <v>10</v>
      </c>
    </row>
    <row r="6938" spans="1:2" x14ac:dyDescent="0.25">
      <c r="A6938">
        <v>28419090000</v>
      </c>
      <c r="B6938" t="s">
        <v>10</v>
      </c>
    </row>
    <row r="6939" spans="1:2" x14ac:dyDescent="0.25">
      <c r="A6939">
        <v>2842</v>
      </c>
      <c r="B6939" t="s">
        <v>2364</v>
      </c>
    </row>
    <row r="6940" spans="1:2" x14ac:dyDescent="0.25">
      <c r="A6940">
        <v>284210</v>
      </c>
      <c r="B6940" t="e">
        <f>- Silicatos dobles o complejos. incluidos Los aluminosilicatos aunque no sean de constitucion quimica definida</f>
        <v>#NAME?</v>
      </c>
    </row>
    <row r="6941" spans="1:2" x14ac:dyDescent="0.25">
      <c r="A6941">
        <v>28421010000</v>
      </c>
      <c r="B6941" t="s">
        <v>2365</v>
      </c>
    </row>
    <row r="6942" spans="1:2" x14ac:dyDescent="0.25">
      <c r="A6942">
        <v>28421090000</v>
      </c>
      <c r="B6942" t="s">
        <v>10</v>
      </c>
    </row>
    <row r="6943" spans="1:2" x14ac:dyDescent="0.25">
      <c r="A6943">
        <v>28429000</v>
      </c>
      <c r="B6943" t="e">
        <f>- las demas</f>
        <v>#NAME?</v>
      </c>
    </row>
    <row r="6944" spans="1:2" x14ac:dyDescent="0.25">
      <c r="A6944">
        <v>284290001</v>
      </c>
      <c r="B6944" t="s">
        <v>2366</v>
      </c>
    </row>
    <row r="6945" spans="1:2" x14ac:dyDescent="0.25">
      <c r="A6945">
        <v>2842900011</v>
      </c>
      <c r="B6945" t="s">
        <v>2367</v>
      </c>
    </row>
    <row r="6946" spans="1:2" x14ac:dyDescent="0.25">
      <c r="A6946">
        <v>28429000111</v>
      </c>
      <c r="B6946" t="s">
        <v>2368</v>
      </c>
    </row>
    <row r="6947" spans="1:2" x14ac:dyDescent="0.25">
      <c r="A6947">
        <v>28429000112</v>
      </c>
      <c r="B6947" t="s">
        <v>2151</v>
      </c>
    </row>
    <row r="6948" spans="1:2" x14ac:dyDescent="0.25">
      <c r="A6948">
        <v>28429000113</v>
      </c>
      <c r="B6948" t="s">
        <v>2251</v>
      </c>
    </row>
    <row r="6949" spans="1:2" x14ac:dyDescent="0.25">
      <c r="A6949">
        <v>28429000114</v>
      </c>
      <c r="B6949" t="s">
        <v>2298</v>
      </c>
    </row>
    <row r="6950" spans="1:2" x14ac:dyDescent="0.25">
      <c r="A6950">
        <v>28429000119</v>
      </c>
      <c r="B6950" t="s">
        <v>10</v>
      </c>
    </row>
    <row r="6951" spans="1:2" x14ac:dyDescent="0.25">
      <c r="A6951">
        <v>2842900012</v>
      </c>
      <c r="B6951" t="s">
        <v>2369</v>
      </c>
    </row>
    <row r="6952" spans="1:2" x14ac:dyDescent="0.25">
      <c r="A6952">
        <v>28429000121</v>
      </c>
      <c r="B6952" t="s">
        <v>2262</v>
      </c>
    </row>
    <row r="6953" spans="1:2" x14ac:dyDescent="0.25">
      <c r="A6953">
        <v>28429000122</v>
      </c>
      <c r="B6953" t="s">
        <v>2151</v>
      </c>
    </row>
    <row r="6954" spans="1:2" x14ac:dyDescent="0.25">
      <c r="A6954">
        <v>28429000123</v>
      </c>
      <c r="B6954" t="s">
        <v>2251</v>
      </c>
    </row>
    <row r="6955" spans="1:2" x14ac:dyDescent="0.25">
      <c r="A6955">
        <v>28429000124</v>
      </c>
      <c r="B6955" t="s">
        <v>2298</v>
      </c>
    </row>
    <row r="6956" spans="1:2" x14ac:dyDescent="0.25">
      <c r="A6956">
        <v>28429000129</v>
      </c>
      <c r="B6956" t="s">
        <v>10</v>
      </c>
    </row>
    <row r="6957" spans="1:2" x14ac:dyDescent="0.25">
      <c r="A6957">
        <v>28429000200</v>
      </c>
      <c r="B6957" t="s">
        <v>2370</v>
      </c>
    </row>
    <row r="6958" spans="1:2" x14ac:dyDescent="0.25">
      <c r="A6958">
        <v>28429000300</v>
      </c>
      <c r="B6958" t="s">
        <v>2371</v>
      </c>
    </row>
    <row r="6959" spans="1:2" x14ac:dyDescent="0.25">
      <c r="A6959">
        <v>28429000400</v>
      </c>
      <c r="B6959" t="s">
        <v>2372</v>
      </c>
    </row>
    <row r="6960" spans="1:2" x14ac:dyDescent="0.25">
      <c r="A6960">
        <v>28429000500</v>
      </c>
      <c r="B6960" t="s">
        <v>2373</v>
      </c>
    </row>
    <row r="6961" spans="1:2" x14ac:dyDescent="0.25">
      <c r="A6961">
        <v>28429000900</v>
      </c>
      <c r="B6961" t="s">
        <v>10</v>
      </c>
    </row>
    <row r="6962" spans="1:2" x14ac:dyDescent="0.25">
      <c r="A6962">
        <v>2843</v>
      </c>
      <c r="B6962" t="s">
        <v>2374</v>
      </c>
    </row>
    <row r="6963" spans="1:2" x14ac:dyDescent="0.25">
      <c r="A6963">
        <v>28431000</v>
      </c>
      <c r="B6963" t="e">
        <f>-Metal precioso En estado coloidal</f>
        <v>#NAME?</v>
      </c>
    </row>
    <row r="6964" spans="1:2" x14ac:dyDescent="0.25">
      <c r="A6964">
        <v>28431000100</v>
      </c>
      <c r="B6964" t="s">
        <v>2375</v>
      </c>
    </row>
    <row r="6965" spans="1:2" x14ac:dyDescent="0.25">
      <c r="A6965">
        <v>28431000900</v>
      </c>
      <c r="B6965" t="s">
        <v>10</v>
      </c>
    </row>
    <row r="6966" spans="1:2" x14ac:dyDescent="0.25">
      <c r="A6966">
        <v>28432</v>
      </c>
      <c r="B6966" t="s">
        <v>2376</v>
      </c>
    </row>
    <row r="6967" spans="1:2" x14ac:dyDescent="0.25">
      <c r="A6967">
        <v>28432100000</v>
      </c>
      <c r="B6967" t="e">
        <f>--Nitrato de plata</f>
        <v>#NAME?</v>
      </c>
    </row>
    <row r="6968" spans="1:2" x14ac:dyDescent="0.25">
      <c r="A6968">
        <v>284329</v>
      </c>
      <c r="B6968" t="e">
        <f>- - Los demas</f>
        <v>#NAME?</v>
      </c>
    </row>
    <row r="6969" spans="1:2" x14ac:dyDescent="0.25">
      <c r="A6969">
        <v>28432910000</v>
      </c>
      <c r="B6969" t="s">
        <v>2377</v>
      </c>
    </row>
    <row r="6970" spans="1:2" x14ac:dyDescent="0.25">
      <c r="A6970">
        <v>28432990</v>
      </c>
      <c r="B6970" t="s">
        <v>10</v>
      </c>
    </row>
    <row r="6971" spans="1:2" x14ac:dyDescent="0.25">
      <c r="A6971">
        <v>28432990100</v>
      </c>
      <c r="B6971" t="s">
        <v>2378</v>
      </c>
    </row>
    <row r="6972" spans="1:2" x14ac:dyDescent="0.25">
      <c r="A6972">
        <v>28432990200</v>
      </c>
      <c r="B6972" t="s">
        <v>2379</v>
      </c>
    </row>
    <row r="6973" spans="1:2" x14ac:dyDescent="0.25">
      <c r="A6973">
        <v>28432990900</v>
      </c>
      <c r="B6973" t="s">
        <v>10</v>
      </c>
    </row>
    <row r="6974" spans="1:2" x14ac:dyDescent="0.25">
      <c r="A6974">
        <v>284330</v>
      </c>
      <c r="B6974" t="e">
        <f>- compuestos de oro</f>
        <v>#NAME?</v>
      </c>
    </row>
    <row r="6975" spans="1:2" x14ac:dyDescent="0.25">
      <c r="A6975">
        <v>28433010000</v>
      </c>
      <c r="B6975" t="s">
        <v>2380</v>
      </c>
    </row>
    <row r="6976" spans="1:2" x14ac:dyDescent="0.25">
      <c r="A6976">
        <v>28433090000</v>
      </c>
      <c r="B6976" t="s">
        <v>10</v>
      </c>
    </row>
    <row r="6977" spans="1:2" x14ac:dyDescent="0.25">
      <c r="A6977">
        <v>284390</v>
      </c>
      <c r="B6977" t="e">
        <f>- Los demas compuestos, amalgamas</f>
        <v>#NAME?</v>
      </c>
    </row>
    <row r="6978" spans="1:2" x14ac:dyDescent="0.25">
      <c r="A6978">
        <v>2843901</v>
      </c>
      <c r="B6978" t="s">
        <v>2381</v>
      </c>
    </row>
    <row r="6979" spans="1:2" x14ac:dyDescent="0.25">
      <c r="A6979">
        <v>28439011000</v>
      </c>
      <c r="B6979" t="s">
        <v>2382</v>
      </c>
    </row>
    <row r="6980" spans="1:2" x14ac:dyDescent="0.25">
      <c r="A6980">
        <v>28439019000</v>
      </c>
      <c r="B6980" t="s">
        <v>10</v>
      </c>
    </row>
    <row r="6981" spans="1:2" x14ac:dyDescent="0.25">
      <c r="A6981">
        <v>28439020000</v>
      </c>
      <c r="B6981" t="s">
        <v>2383</v>
      </c>
    </row>
    <row r="6982" spans="1:2" x14ac:dyDescent="0.25">
      <c r="A6982">
        <v>28439030000</v>
      </c>
      <c r="B6982" t="s">
        <v>2384</v>
      </c>
    </row>
    <row r="6983" spans="1:2" x14ac:dyDescent="0.25">
      <c r="A6983">
        <v>28439090</v>
      </c>
      <c r="B6983" t="s">
        <v>10</v>
      </c>
    </row>
    <row r="6984" spans="1:2" x14ac:dyDescent="0.25">
      <c r="A6984">
        <v>28439090100</v>
      </c>
      <c r="B6984" t="s">
        <v>2385</v>
      </c>
    </row>
    <row r="6985" spans="1:2" x14ac:dyDescent="0.25">
      <c r="A6985">
        <v>28439090900</v>
      </c>
      <c r="B6985" t="s">
        <v>10</v>
      </c>
    </row>
    <row r="6986" spans="1:2" x14ac:dyDescent="0.25">
      <c r="A6986">
        <v>2844</v>
      </c>
      <c r="B6986" t="s">
        <v>2386</v>
      </c>
    </row>
    <row r="6987" spans="1:2" x14ac:dyDescent="0.25">
      <c r="A6987">
        <v>28441000</v>
      </c>
      <c r="B6987" t="s">
        <v>2387</v>
      </c>
    </row>
    <row r="6988" spans="1:2" x14ac:dyDescent="0.25">
      <c r="A6988">
        <v>28441000100</v>
      </c>
      <c r="B6988" t="s">
        <v>2388</v>
      </c>
    </row>
    <row r="6989" spans="1:2" x14ac:dyDescent="0.25">
      <c r="A6989">
        <v>28441000200</v>
      </c>
      <c r="B6989" t="s">
        <v>2389</v>
      </c>
    </row>
    <row r="6990" spans="1:2" x14ac:dyDescent="0.25">
      <c r="A6990">
        <v>28441000300</v>
      </c>
      <c r="B6990" t="s">
        <v>2390</v>
      </c>
    </row>
    <row r="6991" spans="1:2" x14ac:dyDescent="0.25">
      <c r="A6991">
        <v>28441000900</v>
      </c>
      <c r="B6991" t="s">
        <v>10</v>
      </c>
    </row>
    <row r="6992" spans="1:2" x14ac:dyDescent="0.25">
      <c r="A6992">
        <v>28442000</v>
      </c>
      <c r="B6992" t="s">
        <v>2391</v>
      </c>
    </row>
    <row r="6993" spans="1:2" x14ac:dyDescent="0.25">
      <c r="A6993">
        <v>28442000100</v>
      </c>
      <c r="B6993" t="s">
        <v>2388</v>
      </c>
    </row>
    <row r="6994" spans="1:2" x14ac:dyDescent="0.25">
      <c r="A6994">
        <v>28442000200</v>
      </c>
      <c r="B6994" t="s">
        <v>2389</v>
      </c>
    </row>
    <row r="6995" spans="1:2" x14ac:dyDescent="0.25">
      <c r="A6995">
        <v>28442000300</v>
      </c>
      <c r="B6995" t="s">
        <v>2390</v>
      </c>
    </row>
    <row r="6996" spans="1:2" x14ac:dyDescent="0.25">
      <c r="A6996">
        <v>28442000900</v>
      </c>
      <c r="B6996" t="s">
        <v>10</v>
      </c>
    </row>
    <row r="6997" spans="1:2" x14ac:dyDescent="0.25">
      <c r="A6997">
        <v>28443000</v>
      </c>
      <c r="B6997" t="s">
        <v>2392</v>
      </c>
    </row>
    <row r="6998" spans="1:2" x14ac:dyDescent="0.25">
      <c r="A6998">
        <v>28443000100</v>
      </c>
      <c r="B6998" t="s">
        <v>2388</v>
      </c>
    </row>
    <row r="6999" spans="1:2" x14ac:dyDescent="0.25">
      <c r="A6999">
        <v>28443000200</v>
      </c>
      <c r="B6999" t="s">
        <v>2389</v>
      </c>
    </row>
    <row r="7000" spans="1:2" x14ac:dyDescent="0.25">
      <c r="A7000">
        <v>28443000300</v>
      </c>
      <c r="B7000" t="s">
        <v>2390</v>
      </c>
    </row>
    <row r="7001" spans="1:2" x14ac:dyDescent="0.25">
      <c r="A7001">
        <v>28443000900</v>
      </c>
      <c r="B7001" t="s">
        <v>10</v>
      </c>
    </row>
    <row r="7002" spans="1:2" x14ac:dyDescent="0.25">
      <c r="A7002">
        <v>284440</v>
      </c>
      <c r="B7002" t="s">
        <v>2393</v>
      </c>
    </row>
    <row r="7003" spans="1:2" x14ac:dyDescent="0.25">
      <c r="A7003">
        <v>28444010</v>
      </c>
      <c r="B7003" t="s">
        <v>2394</v>
      </c>
    </row>
    <row r="7004" spans="1:2" x14ac:dyDescent="0.25">
      <c r="A7004">
        <v>28444010100</v>
      </c>
      <c r="B7004" t="s">
        <v>2388</v>
      </c>
    </row>
    <row r="7005" spans="1:2" x14ac:dyDescent="0.25">
      <c r="A7005">
        <v>28444010200</v>
      </c>
      <c r="B7005" t="s">
        <v>2389</v>
      </c>
    </row>
    <row r="7006" spans="1:2" x14ac:dyDescent="0.25">
      <c r="A7006">
        <v>28444010300</v>
      </c>
      <c r="B7006" t="s">
        <v>2390</v>
      </c>
    </row>
    <row r="7007" spans="1:2" x14ac:dyDescent="0.25">
      <c r="A7007">
        <v>28444010900</v>
      </c>
      <c r="B7007" t="s">
        <v>10</v>
      </c>
    </row>
    <row r="7008" spans="1:2" x14ac:dyDescent="0.25">
      <c r="A7008">
        <v>28444020</v>
      </c>
      <c r="B7008" t="s">
        <v>2395</v>
      </c>
    </row>
    <row r="7009" spans="1:2" x14ac:dyDescent="0.25">
      <c r="A7009">
        <v>28444020100</v>
      </c>
      <c r="B7009" t="s">
        <v>2388</v>
      </c>
    </row>
    <row r="7010" spans="1:2" x14ac:dyDescent="0.25">
      <c r="A7010">
        <v>28444020200</v>
      </c>
      <c r="B7010" t="s">
        <v>2389</v>
      </c>
    </row>
    <row r="7011" spans="1:2" x14ac:dyDescent="0.25">
      <c r="A7011">
        <v>28444020300</v>
      </c>
      <c r="B7011" t="s">
        <v>2390</v>
      </c>
    </row>
    <row r="7012" spans="1:2" x14ac:dyDescent="0.25">
      <c r="A7012">
        <v>28444020900</v>
      </c>
      <c r="B7012" t="s">
        <v>10</v>
      </c>
    </row>
    <row r="7013" spans="1:2" x14ac:dyDescent="0.25">
      <c r="A7013">
        <v>28444030</v>
      </c>
      <c r="B7013" t="s">
        <v>2396</v>
      </c>
    </row>
    <row r="7014" spans="1:2" x14ac:dyDescent="0.25">
      <c r="A7014">
        <v>284440301</v>
      </c>
      <c r="B7014" t="s">
        <v>2397</v>
      </c>
    </row>
    <row r="7015" spans="1:2" x14ac:dyDescent="0.25">
      <c r="A7015">
        <v>28444030110</v>
      </c>
      <c r="B7015" t="s">
        <v>2388</v>
      </c>
    </row>
    <row r="7016" spans="1:2" x14ac:dyDescent="0.25">
      <c r="A7016">
        <v>28444030120</v>
      </c>
      <c r="B7016" t="s">
        <v>2389</v>
      </c>
    </row>
    <row r="7017" spans="1:2" x14ac:dyDescent="0.25">
      <c r="A7017">
        <v>28444030130</v>
      </c>
      <c r="B7017" t="s">
        <v>2390</v>
      </c>
    </row>
    <row r="7018" spans="1:2" x14ac:dyDescent="0.25">
      <c r="A7018">
        <v>28444030190</v>
      </c>
      <c r="B7018" t="s">
        <v>10</v>
      </c>
    </row>
    <row r="7019" spans="1:2" x14ac:dyDescent="0.25">
      <c r="A7019">
        <v>284440309</v>
      </c>
      <c r="B7019" t="s">
        <v>10</v>
      </c>
    </row>
    <row r="7020" spans="1:2" x14ac:dyDescent="0.25">
      <c r="A7020">
        <v>28444030910</v>
      </c>
      <c r="B7020" t="s">
        <v>2388</v>
      </c>
    </row>
    <row r="7021" spans="1:2" x14ac:dyDescent="0.25">
      <c r="A7021">
        <v>28444030920</v>
      </c>
      <c r="B7021" t="s">
        <v>2389</v>
      </c>
    </row>
    <row r="7022" spans="1:2" x14ac:dyDescent="0.25">
      <c r="A7022">
        <v>28444030930</v>
      </c>
      <c r="B7022" t="s">
        <v>2390</v>
      </c>
    </row>
    <row r="7023" spans="1:2" x14ac:dyDescent="0.25">
      <c r="A7023">
        <v>28444030990</v>
      </c>
      <c r="B7023" t="s">
        <v>10</v>
      </c>
    </row>
    <row r="7024" spans="1:2" x14ac:dyDescent="0.25">
      <c r="A7024">
        <v>28444090</v>
      </c>
      <c r="B7024" t="s">
        <v>10</v>
      </c>
    </row>
    <row r="7025" spans="1:2" x14ac:dyDescent="0.25">
      <c r="A7025">
        <v>284440901</v>
      </c>
      <c r="B7025" t="s">
        <v>2398</v>
      </c>
    </row>
    <row r="7026" spans="1:2" x14ac:dyDescent="0.25">
      <c r="A7026">
        <v>2844409011</v>
      </c>
      <c r="B7026" t="s">
        <v>2399</v>
      </c>
    </row>
    <row r="7027" spans="1:2" x14ac:dyDescent="0.25">
      <c r="A7027">
        <v>28444090111</v>
      </c>
      <c r="B7027" t="s">
        <v>2388</v>
      </c>
    </row>
    <row r="7028" spans="1:2" x14ac:dyDescent="0.25">
      <c r="A7028">
        <v>28444090112</v>
      </c>
      <c r="B7028" t="s">
        <v>2389</v>
      </c>
    </row>
    <row r="7029" spans="1:2" x14ac:dyDescent="0.25">
      <c r="A7029">
        <v>28444090119</v>
      </c>
      <c r="B7029" t="s">
        <v>10</v>
      </c>
    </row>
    <row r="7030" spans="1:2" x14ac:dyDescent="0.25">
      <c r="A7030">
        <v>2844409019</v>
      </c>
      <c r="B7030" t="s">
        <v>10</v>
      </c>
    </row>
    <row r="7031" spans="1:2" x14ac:dyDescent="0.25">
      <c r="A7031">
        <v>28444090191</v>
      </c>
      <c r="B7031" t="s">
        <v>2388</v>
      </c>
    </row>
    <row r="7032" spans="1:2" x14ac:dyDescent="0.25">
      <c r="A7032">
        <v>28444090192</v>
      </c>
      <c r="B7032" t="s">
        <v>2389</v>
      </c>
    </row>
    <row r="7033" spans="1:2" x14ac:dyDescent="0.25">
      <c r="A7033">
        <v>28444090199</v>
      </c>
      <c r="B7033" t="s">
        <v>10</v>
      </c>
    </row>
    <row r="7034" spans="1:2" x14ac:dyDescent="0.25">
      <c r="A7034">
        <v>284440902</v>
      </c>
      <c r="B7034" t="s">
        <v>2400</v>
      </c>
    </row>
    <row r="7035" spans="1:2" x14ac:dyDescent="0.25">
      <c r="A7035">
        <v>28444090210</v>
      </c>
      <c r="B7035" t="s">
        <v>2388</v>
      </c>
    </row>
    <row r="7036" spans="1:2" x14ac:dyDescent="0.25">
      <c r="A7036">
        <v>28444090220</v>
      </c>
      <c r="B7036" t="s">
        <v>2389</v>
      </c>
    </row>
    <row r="7037" spans="1:2" x14ac:dyDescent="0.25">
      <c r="A7037">
        <v>28444090290</v>
      </c>
      <c r="B7037" t="s">
        <v>10</v>
      </c>
    </row>
    <row r="7038" spans="1:2" x14ac:dyDescent="0.25">
      <c r="A7038">
        <v>284440903</v>
      </c>
      <c r="B7038" t="s">
        <v>2401</v>
      </c>
    </row>
    <row r="7039" spans="1:2" x14ac:dyDescent="0.25">
      <c r="A7039">
        <v>2844409031</v>
      </c>
      <c r="B7039" t="s">
        <v>2402</v>
      </c>
    </row>
    <row r="7040" spans="1:2" x14ac:dyDescent="0.25">
      <c r="A7040">
        <v>28444090311</v>
      </c>
      <c r="B7040" t="s">
        <v>2388</v>
      </c>
    </row>
    <row r="7041" spans="1:2" x14ac:dyDescent="0.25">
      <c r="A7041">
        <v>28444090312</v>
      </c>
      <c r="B7041" t="s">
        <v>2389</v>
      </c>
    </row>
    <row r="7042" spans="1:2" x14ac:dyDescent="0.25">
      <c r="A7042">
        <v>28444090313</v>
      </c>
      <c r="B7042" t="s">
        <v>2390</v>
      </c>
    </row>
    <row r="7043" spans="1:2" x14ac:dyDescent="0.25">
      <c r="A7043">
        <v>28444090319</v>
      </c>
      <c r="B7043" t="s">
        <v>10</v>
      </c>
    </row>
    <row r="7044" spans="1:2" x14ac:dyDescent="0.25">
      <c r="A7044">
        <v>2844409032</v>
      </c>
      <c r="B7044" t="s">
        <v>2403</v>
      </c>
    </row>
    <row r="7045" spans="1:2" x14ac:dyDescent="0.25">
      <c r="A7045">
        <v>28444090321</v>
      </c>
      <c r="B7045" t="s">
        <v>2388</v>
      </c>
    </row>
    <row r="7046" spans="1:2" x14ac:dyDescent="0.25">
      <c r="A7046">
        <v>28444090322</v>
      </c>
      <c r="B7046" t="s">
        <v>2389</v>
      </c>
    </row>
    <row r="7047" spans="1:2" x14ac:dyDescent="0.25">
      <c r="A7047">
        <v>28444090323</v>
      </c>
      <c r="B7047" t="s">
        <v>2390</v>
      </c>
    </row>
    <row r="7048" spans="1:2" x14ac:dyDescent="0.25">
      <c r="A7048">
        <v>28444090329</v>
      </c>
      <c r="B7048" t="s">
        <v>10</v>
      </c>
    </row>
    <row r="7049" spans="1:2" x14ac:dyDescent="0.25">
      <c r="A7049">
        <v>2844409039</v>
      </c>
      <c r="B7049" t="s">
        <v>10</v>
      </c>
    </row>
    <row r="7050" spans="1:2" x14ac:dyDescent="0.25">
      <c r="A7050">
        <v>28444090391</v>
      </c>
      <c r="B7050" t="s">
        <v>2404</v>
      </c>
    </row>
    <row r="7051" spans="1:2" x14ac:dyDescent="0.25">
      <c r="A7051">
        <v>28444090392</v>
      </c>
      <c r="B7051" t="s">
        <v>2389</v>
      </c>
    </row>
    <row r="7052" spans="1:2" x14ac:dyDescent="0.25">
      <c r="A7052">
        <v>28444090393</v>
      </c>
      <c r="B7052" t="s">
        <v>2390</v>
      </c>
    </row>
    <row r="7053" spans="1:2" x14ac:dyDescent="0.25">
      <c r="A7053">
        <v>28444090399</v>
      </c>
      <c r="B7053" t="s">
        <v>10</v>
      </c>
    </row>
    <row r="7054" spans="1:2" x14ac:dyDescent="0.25">
      <c r="A7054">
        <v>284440904</v>
      </c>
      <c r="B7054" t="s">
        <v>2405</v>
      </c>
    </row>
    <row r="7055" spans="1:2" x14ac:dyDescent="0.25">
      <c r="A7055">
        <v>28444090410</v>
      </c>
      <c r="B7055" t="s">
        <v>2388</v>
      </c>
    </row>
    <row r="7056" spans="1:2" x14ac:dyDescent="0.25">
      <c r="A7056">
        <v>28444090420</v>
      </c>
      <c r="B7056" t="s">
        <v>2389</v>
      </c>
    </row>
    <row r="7057" spans="1:2" x14ac:dyDescent="0.25">
      <c r="A7057">
        <v>28444090430</v>
      </c>
      <c r="B7057" t="s">
        <v>2390</v>
      </c>
    </row>
    <row r="7058" spans="1:2" x14ac:dyDescent="0.25">
      <c r="A7058">
        <v>28444090490</v>
      </c>
      <c r="B7058" t="s">
        <v>10</v>
      </c>
    </row>
    <row r="7059" spans="1:2" x14ac:dyDescent="0.25">
      <c r="A7059">
        <v>284440905</v>
      </c>
      <c r="B7059" t="s">
        <v>2406</v>
      </c>
    </row>
    <row r="7060" spans="1:2" x14ac:dyDescent="0.25">
      <c r="A7060">
        <v>28444090510</v>
      </c>
      <c r="B7060" t="s">
        <v>2388</v>
      </c>
    </row>
    <row r="7061" spans="1:2" x14ac:dyDescent="0.25">
      <c r="A7061">
        <v>28444090520</v>
      </c>
      <c r="B7061" t="s">
        <v>2389</v>
      </c>
    </row>
    <row r="7062" spans="1:2" x14ac:dyDescent="0.25">
      <c r="A7062">
        <v>28444090530</v>
      </c>
      <c r="B7062" t="s">
        <v>2390</v>
      </c>
    </row>
    <row r="7063" spans="1:2" x14ac:dyDescent="0.25">
      <c r="A7063">
        <v>28444090590</v>
      </c>
      <c r="B7063" t="s">
        <v>10</v>
      </c>
    </row>
    <row r="7064" spans="1:2" x14ac:dyDescent="0.25">
      <c r="A7064">
        <v>284440909</v>
      </c>
      <c r="B7064" t="s">
        <v>10</v>
      </c>
    </row>
    <row r="7065" spans="1:2" x14ac:dyDescent="0.25">
      <c r="A7065">
        <v>28444090940</v>
      </c>
      <c r="B7065" t="s">
        <v>2388</v>
      </c>
    </row>
    <row r="7066" spans="1:2" x14ac:dyDescent="0.25">
      <c r="A7066">
        <v>28444090950</v>
      </c>
      <c r="B7066" t="s">
        <v>2389</v>
      </c>
    </row>
    <row r="7067" spans="1:2" x14ac:dyDescent="0.25">
      <c r="A7067">
        <v>28444090960</v>
      </c>
      <c r="B7067" t="s">
        <v>2390</v>
      </c>
    </row>
    <row r="7068" spans="1:2" x14ac:dyDescent="0.25">
      <c r="A7068">
        <v>28444090990</v>
      </c>
      <c r="B7068" t="s">
        <v>10</v>
      </c>
    </row>
    <row r="7069" spans="1:2" x14ac:dyDescent="0.25">
      <c r="A7069">
        <v>28445000</v>
      </c>
      <c r="B7069" t="e">
        <f>- elementos combustibles (cartuchos) agotados (irradiados) de reactores nucleares</f>
        <v>#NAME?</v>
      </c>
    </row>
    <row r="7070" spans="1:2" x14ac:dyDescent="0.25">
      <c r="A7070">
        <v>28445000100</v>
      </c>
      <c r="B7070" t="s">
        <v>2388</v>
      </c>
    </row>
    <row r="7071" spans="1:2" x14ac:dyDescent="0.25">
      <c r="A7071">
        <v>28445000200</v>
      </c>
      <c r="B7071" t="s">
        <v>2389</v>
      </c>
    </row>
    <row r="7072" spans="1:2" x14ac:dyDescent="0.25">
      <c r="A7072">
        <v>28445000300</v>
      </c>
      <c r="B7072" t="s">
        <v>2390</v>
      </c>
    </row>
    <row r="7073" spans="1:2" x14ac:dyDescent="0.25">
      <c r="A7073">
        <v>28445000900</v>
      </c>
      <c r="B7073" t="s">
        <v>10</v>
      </c>
    </row>
    <row r="7074" spans="1:2" x14ac:dyDescent="0.25">
      <c r="A7074">
        <v>2845</v>
      </c>
      <c r="B7074" t="s">
        <v>2407</v>
      </c>
    </row>
    <row r="7075" spans="1:2" x14ac:dyDescent="0.25">
      <c r="A7075">
        <v>28451000000</v>
      </c>
      <c r="B7075" t="e">
        <f>-agua pesada (Oxido de deuterio)</f>
        <v>#NAME?</v>
      </c>
    </row>
    <row r="7076" spans="1:2" x14ac:dyDescent="0.25">
      <c r="A7076">
        <v>28459000000</v>
      </c>
      <c r="B7076" t="e">
        <f>-Los demas</f>
        <v>#NAME?</v>
      </c>
    </row>
    <row r="7077" spans="1:2" x14ac:dyDescent="0.25">
      <c r="A7077">
        <v>2846</v>
      </c>
      <c r="B7077" t="s">
        <v>2408</v>
      </c>
    </row>
    <row r="7078" spans="1:2" x14ac:dyDescent="0.25">
      <c r="A7078">
        <v>284610</v>
      </c>
      <c r="B7078" t="e">
        <f>- compuestos de cerio</f>
        <v>#NAME?</v>
      </c>
    </row>
    <row r="7079" spans="1:2" x14ac:dyDescent="0.25">
      <c r="A7079">
        <v>28461010000</v>
      </c>
      <c r="B7079" t="s">
        <v>2409</v>
      </c>
    </row>
    <row r="7080" spans="1:2" x14ac:dyDescent="0.25">
      <c r="A7080">
        <v>28461090000</v>
      </c>
      <c r="B7080" t="s">
        <v>10</v>
      </c>
    </row>
    <row r="7081" spans="1:2" x14ac:dyDescent="0.25">
      <c r="A7081">
        <v>284690</v>
      </c>
      <c r="B7081" t="e">
        <f>- Los demas</f>
        <v>#NAME?</v>
      </c>
    </row>
    <row r="7082" spans="1:2" x14ac:dyDescent="0.25">
      <c r="A7082">
        <v>28469010000</v>
      </c>
      <c r="B7082" t="s">
        <v>2410</v>
      </c>
    </row>
    <row r="7083" spans="1:2" x14ac:dyDescent="0.25">
      <c r="A7083">
        <v>28469020000</v>
      </c>
      <c r="B7083" t="s">
        <v>2411</v>
      </c>
    </row>
    <row r="7084" spans="1:2" x14ac:dyDescent="0.25">
      <c r="A7084">
        <v>28469030000</v>
      </c>
      <c r="B7084" t="s">
        <v>2412</v>
      </c>
    </row>
    <row r="7085" spans="1:2" x14ac:dyDescent="0.25">
      <c r="A7085">
        <v>28469090</v>
      </c>
      <c r="B7085" t="s">
        <v>10</v>
      </c>
    </row>
    <row r="7086" spans="1:2" x14ac:dyDescent="0.25">
      <c r="A7086">
        <v>284690901</v>
      </c>
      <c r="B7086" t="s">
        <v>2413</v>
      </c>
    </row>
    <row r="7087" spans="1:2" x14ac:dyDescent="0.25">
      <c r="A7087">
        <v>28469090110</v>
      </c>
      <c r="B7087" t="s">
        <v>2414</v>
      </c>
    </row>
    <row r="7088" spans="1:2" x14ac:dyDescent="0.25">
      <c r="A7088">
        <v>28469090120</v>
      </c>
      <c r="B7088" t="s">
        <v>2415</v>
      </c>
    </row>
    <row r="7089" spans="1:2" x14ac:dyDescent="0.25">
      <c r="A7089">
        <v>28469090190</v>
      </c>
      <c r="B7089" t="s">
        <v>10</v>
      </c>
    </row>
    <row r="7090" spans="1:2" x14ac:dyDescent="0.25">
      <c r="A7090">
        <v>28469090900</v>
      </c>
      <c r="B7090" t="s">
        <v>10</v>
      </c>
    </row>
    <row r="7091" spans="1:2" x14ac:dyDescent="0.25">
      <c r="A7091">
        <v>28470000000</v>
      </c>
      <c r="B7091" t="s">
        <v>2416</v>
      </c>
    </row>
    <row r="7092" spans="1:2" x14ac:dyDescent="0.25">
      <c r="A7092">
        <v>2849</v>
      </c>
      <c r="B7092" t="s">
        <v>2417</v>
      </c>
    </row>
    <row r="7093" spans="1:2" x14ac:dyDescent="0.25">
      <c r="A7093">
        <v>28491000000</v>
      </c>
      <c r="B7093" t="e">
        <f>-de calcio</f>
        <v>#NAME?</v>
      </c>
    </row>
    <row r="7094" spans="1:2" x14ac:dyDescent="0.25">
      <c r="A7094">
        <v>28492000000</v>
      </c>
      <c r="B7094" t="e">
        <f>-de Silicio</f>
        <v>#NAME?</v>
      </c>
    </row>
    <row r="7095" spans="1:2" x14ac:dyDescent="0.25">
      <c r="A7095">
        <v>284990</v>
      </c>
      <c r="B7095" t="e">
        <f>- Los demas</f>
        <v>#NAME?</v>
      </c>
    </row>
    <row r="7096" spans="1:2" x14ac:dyDescent="0.25">
      <c r="A7096">
        <v>28499010000</v>
      </c>
      <c r="B7096" t="s">
        <v>2418</v>
      </c>
    </row>
    <row r="7097" spans="1:2" x14ac:dyDescent="0.25">
      <c r="A7097">
        <v>28499020000</v>
      </c>
      <c r="B7097" t="s">
        <v>1960</v>
      </c>
    </row>
    <row r="7098" spans="1:2" x14ac:dyDescent="0.25">
      <c r="A7098">
        <v>28499030000</v>
      </c>
      <c r="B7098" t="s">
        <v>2419</v>
      </c>
    </row>
    <row r="7099" spans="1:2" x14ac:dyDescent="0.25">
      <c r="A7099">
        <v>28499090000</v>
      </c>
      <c r="B7099" t="s">
        <v>10</v>
      </c>
    </row>
    <row r="7100" spans="1:2" x14ac:dyDescent="0.25">
      <c r="A7100">
        <v>285000</v>
      </c>
      <c r="B7100" t="s">
        <v>2420</v>
      </c>
    </row>
    <row r="7101" spans="1:2" x14ac:dyDescent="0.25">
      <c r="A7101">
        <v>28500010000</v>
      </c>
      <c r="B7101" t="s">
        <v>2421</v>
      </c>
    </row>
    <row r="7102" spans="1:2" x14ac:dyDescent="0.25">
      <c r="A7102">
        <v>28500020000</v>
      </c>
      <c r="B7102" t="s">
        <v>2422</v>
      </c>
    </row>
    <row r="7103" spans="1:2" x14ac:dyDescent="0.25">
      <c r="A7103">
        <v>28500090</v>
      </c>
      <c r="B7103" t="s">
        <v>10</v>
      </c>
    </row>
    <row r="7104" spans="1:2" x14ac:dyDescent="0.25">
      <c r="A7104">
        <v>28500090100</v>
      </c>
      <c r="B7104" t="s">
        <v>2423</v>
      </c>
    </row>
    <row r="7105" spans="1:2" x14ac:dyDescent="0.25">
      <c r="A7105">
        <v>28500090900</v>
      </c>
      <c r="B7105" t="s">
        <v>10</v>
      </c>
    </row>
    <row r="7106" spans="1:2" x14ac:dyDescent="0.25">
      <c r="A7106">
        <v>2852</v>
      </c>
      <c r="B7106" t="s">
        <v>2424</v>
      </c>
    </row>
    <row r="7107" spans="1:2" x14ac:dyDescent="0.25">
      <c r="A7107">
        <v>285210</v>
      </c>
      <c r="B7107" t="e">
        <f>- de constitucion quimica definida</f>
        <v>#NAME?</v>
      </c>
    </row>
    <row r="7108" spans="1:2" x14ac:dyDescent="0.25">
      <c r="A7108">
        <v>2852101</v>
      </c>
      <c r="B7108" t="s">
        <v>2425</v>
      </c>
    </row>
    <row r="7109" spans="1:2" x14ac:dyDescent="0.25">
      <c r="A7109">
        <v>28521011000</v>
      </c>
      <c r="B7109" t="s">
        <v>2170</v>
      </c>
    </row>
    <row r="7110" spans="1:2" x14ac:dyDescent="0.25">
      <c r="A7110">
        <v>28521012000</v>
      </c>
      <c r="B7110" t="s">
        <v>2426</v>
      </c>
    </row>
    <row r="7111" spans="1:2" x14ac:dyDescent="0.25">
      <c r="A7111">
        <v>28521013000</v>
      </c>
      <c r="B7111" t="s">
        <v>2427</v>
      </c>
    </row>
    <row r="7112" spans="1:2" x14ac:dyDescent="0.25">
      <c r="A7112">
        <v>28521014000</v>
      </c>
      <c r="B7112" t="s">
        <v>2428</v>
      </c>
    </row>
    <row r="7113" spans="1:2" x14ac:dyDescent="0.25">
      <c r="A7113">
        <v>28521019</v>
      </c>
      <c r="B7113" t="s">
        <v>10</v>
      </c>
    </row>
    <row r="7114" spans="1:2" x14ac:dyDescent="0.25">
      <c r="A7114">
        <v>285210191</v>
      </c>
      <c r="B7114" t="s">
        <v>2429</v>
      </c>
    </row>
    <row r="7115" spans="1:2" x14ac:dyDescent="0.25">
      <c r="A7115">
        <v>28521019110</v>
      </c>
      <c r="B7115" t="s">
        <v>2430</v>
      </c>
    </row>
    <row r="7116" spans="1:2" x14ac:dyDescent="0.25">
      <c r="A7116">
        <v>28521019190</v>
      </c>
      <c r="B7116" t="s">
        <v>10</v>
      </c>
    </row>
    <row r="7117" spans="1:2" x14ac:dyDescent="0.25">
      <c r="A7117">
        <v>285210192</v>
      </c>
      <c r="B7117" t="s">
        <v>2431</v>
      </c>
    </row>
    <row r="7118" spans="1:2" x14ac:dyDescent="0.25">
      <c r="A7118">
        <v>28521019210</v>
      </c>
      <c r="B7118" t="s">
        <v>2432</v>
      </c>
    </row>
    <row r="7119" spans="1:2" x14ac:dyDescent="0.25">
      <c r="A7119">
        <v>28521019220</v>
      </c>
      <c r="B7119" t="s">
        <v>2433</v>
      </c>
    </row>
    <row r="7120" spans="1:2" x14ac:dyDescent="0.25">
      <c r="A7120">
        <v>28521019230</v>
      </c>
      <c r="B7120" t="s">
        <v>2434</v>
      </c>
    </row>
    <row r="7121" spans="1:2" x14ac:dyDescent="0.25">
      <c r="A7121">
        <v>28521019900</v>
      </c>
      <c r="B7121" t="s">
        <v>10</v>
      </c>
    </row>
    <row r="7122" spans="1:2" x14ac:dyDescent="0.25">
      <c r="A7122">
        <v>2852102</v>
      </c>
      <c r="B7122" t="s">
        <v>2435</v>
      </c>
    </row>
    <row r="7123" spans="1:2" x14ac:dyDescent="0.25">
      <c r="A7123">
        <v>28521021000</v>
      </c>
      <c r="B7123" t="s">
        <v>2436</v>
      </c>
    </row>
    <row r="7124" spans="1:2" x14ac:dyDescent="0.25">
      <c r="A7124">
        <v>28521022000</v>
      </c>
      <c r="B7124" t="s">
        <v>2437</v>
      </c>
    </row>
    <row r="7125" spans="1:2" x14ac:dyDescent="0.25">
      <c r="A7125">
        <v>28521023000</v>
      </c>
      <c r="B7125" t="s">
        <v>2438</v>
      </c>
    </row>
    <row r="7126" spans="1:2" x14ac:dyDescent="0.25">
      <c r="A7126">
        <v>28521024000</v>
      </c>
      <c r="B7126" t="s">
        <v>2439</v>
      </c>
    </row>
    <row r="7127" spans="1:2" x14ac:dyDescent="0.25">
      <c r="A7127">
        <v>28521025000</v>
      </c>
      <c r="B7127" t="s">
        <v>2440</v>
      </c>
    </row>
    <row r="7128" spans="1:2" x14ac:dyDescent="0.25">
      <c r="A7128">
        <v>28521029</v>
      </c>
      <c r="B7128" t="s">
        <v>10</v>
      </c>
    </row>
    <row r="7129" spans="1:2" x14ac:dyDescent="0.25">
      <c r="A7129">
        <v>285210291</v>
      </c>
      <c r="B7129" t="s">
        <v>2441</v>
      </c>
    </row>
    <row r="7130" spans="1:2" x14ac:dyDescent="0.25">
      <c r="A7130">
        <v>28521029110</v>
      </c>
      <c r="B7130" t="s">
        <v>2442</v>
      </c>
    </row>
    <row r="7131" spans="1:2" x14ac:dyDescent="0.25">
      <c r="A7131">
        <v>28521029190</v>
      </c>
      <c r="B7131" t="s">
        <v>10</v>
      </c>
    </row>
    <row r="7132" spans="1:2" x14ac:dyDescent="0.25">
      <c r="A7132">
        <v>285210292</v>
      </c>
      <c r="B7132" t="s">
        <v>2429</v>
      </c>
    </row>
    <row r="7133" spans="1:2" x14ac:dyDescent="0.25">
      <c r="A7133">
        <v>28521029210</v>
      </c>
      <c r="B7133" t="s">
        <v>2430</v>
      </c>
    </row>
    <row r="7134" spans="1:2" x14ac:dyDescent="0.25">
      <c r="A7134">
        <v>28521029290</v>
      </c>
      <c r="B7134" t="s">
        <v>10</v>
      </c>
    </row>
    <row r="7135" spans="1:2" x14ac:dyDescent="0.25">
      <c r="A7135">
        <v>28521029900</v>
      </c>
      <c r="B7135" t="s">
        <v>10</v>
      </c>
    </row>
    <row r="7136" spans="1:2" x14ac:dyDescent="0.25">
      <c r="A7136">
        <v>28529000000</v>
      </c>
      <c r="B7136" t="e">
        <f>-Los demas</f>
        <v>#NAME?</v>
      </c>
    </row>
    <row r="7137" spans="1:2" x14ac:dyDescent="0.25">
      <c r="A7137">
        <v>2853</v>
      </c>
      <c r="B7137" t="s">
        <v>2443</v>
      </c>
    </row>
    <row r="7138" spans="1:2" x14ac:dyDescent="0.25">
      <c r="A7138">
        <v>28531000000</v>
      </c>
      <c r="B7138" t="s">
        <v>2444</v>
      </c>
    </row>
    <row r="7139" spans="1:2" x14ac:dyDescent="0.25">
      <c r="A7139">
        <v>285390</v>
      </c>
      <c r="B7139" t="e">
        <f>- Los demas</f>
        <v>#NAME?</v>
      </c>
    </row>
    <row r="7140" spans="1:2" x14ac:dyDescent="0.25">
      <c r="A7140">
        <v>2853901</v>
      </c>
      <c r="B7140" t="s">
        <v>2445</v>
      </c>
    </row>
    <row r="7141" spans="1:2" x14ac:dyDescent="0.25">
      <c r="A7141">
        <v>28539011000</v>
      </c>
      <c r="B7141" t="s">
        <v>2240</v>
      </c>
    </row>
    <row r="7142" spans="1:2" x14ac:dyDescent="0.25">
      <c r="A7142">
        <v>28539012000</v>
      </c>
      <c r="B7142" t="s">
        <v>2332</v>
      </c>
    </row>
    <row r="7143" spans="1:2" x14ac:dyDescent="0.25">
      <c r="A7143">
        <v>28539013000</v>
      </c>
      <c r="B7143" t="s">
        <v>2446</v>
      </c>
    </row>
    <row r="7144" spans="1:2" x14ac:dyDescent="0.25">
      <c r="A7144">
        <v>28539019</v>
      </c>
      <c r="B7144" t="s">
        <v>10</v>
      </c>
    </row>
    <row r="7145" spans="1:2" x14ac:dyDescent="0.25">
      <c r="A7145">
        <v>285390191</v>
      </c>
      <c r="B7145" t="s">
        <v>2447</v>
      </c>
    </row>
    <row r="7146" spans="1:2" x14ac:dyDescent="0.25">
      <c r="A7146">
        <v>28539019110</v>
      </c>
      <c r="B7146" t="s">
        <v>2448</v>
      </c>
    </row>
    <row r="7147" spans="1:2" x14ac:dyDescent="0.25">
      <c r="A7147">
        <v>28539019190</v>
      </c>
      <c r="B7147" t="s">
        <v>10</v>
      </c>
    </row>
    <row r="7148" spans="1:2" x14ac:dyDescent="0.25">
      <c r="A7148">
        <v>28539019900</v>
      </c>
      <c r="B7148" t="s">
        <v>10</v>
      </c>
    </row>
    <row r="7149" spans="1:2" x14ac:dyDescent="0.25">
      <c r="A7149">
        <v>28539020</v>
      </c>
      <c r="B7149" t="s">
        <v>2449</v>
      </c>
    </row>
    <row r="7150" spans="1:2" x14ac:dyDescent="0.25">
      <c r="A7150">
        <v>285390201</v>
      </c>
      <c r="B7150" t="s">
        <v>2450</v>
      </c>
    </row>
    <row r="7151" spans="1:2" x14ac:dyDescent="0.25">
      <c r="A7151">
        <v>28539020110</v>
      </c>
      <c r="B7151" t="s">
        <v>2451</v>
      </c>
    </row>
    <row r="7152" spans="1:2" x14ac:dyDescent="0.25">
      <c r="A7152">
        <v>28539020190</v>
      </c>
      <c r="B7152" t="s">
        <v>10</v>
      </c>
    </row>
    <row r="7153" spans="1:2" x14ac:dyDescent="0.25">
      <c r="A7153">
        <v>28539020900</v>
      </c>
      <c r="B7153" t="s">
        <v>10</v>
      </c>
    </row>
    <row r="7154" spans="1:2" x14ac:dyDescent="0.25">
      <c r="A7154">
        <v>28539030</v>
      </c>
      <c r="B7154" t="s">
        <v>2452</v>
      </c>
    </row>
    <row r="7155" spans="1:2" x14ac:dyDescent="0.25">
      <c r="A7155">
        <v>28539030100</v>
      </c>
      <c r="B7155" t="s">
        <v>2453</v>
      </c>
    </row>
    <row r="7156" spans="1:2" x14ac:dyDescent="0.25">
      <c r="A7156">
        <v>28539030900</v>
      </c>
      <c r="B7156" t="s">
        <v>10</v>
      </c>
    </row>
    <row r="7157" spans="1:2" x14ac:dyDescent="0.25">
      <c r="A7157">
        <v>28539090</v>
      </c>
      <c r="B7157" t="s">
        <v>10</v>
      </c>
    </row>
    <row r="7158" spans="1:2" x14ac:dyDescent="0.25">
      <c r="A7158">
        <v>28539090100</v>
      </c>
      <c r="B7158" t="s">
        <v>2385</v>
      </c>
    </row>
    <row r="7159" spans="1:2" x14ac:dyDescent="0.25">
      <c r="A7159">
        <v>28539090900</v>
      </c>
      <c r="B7159" t="s">
        <v>10</v>
      </c>
    </row>
    <row r="7160" spans="1:2" x14ac:dyDescent="0.25">
      <c r="A7160">
        <v>2901</v>
      </c>
      <c r="B7160" t="s">
        <v>2454</v>
      </c>
    </row>
    <row r="7161" spans="1:2" x14ac:dyDescent="0.25">
      <c r="A7161">
        <v>29011000</v>
      </c>
      <c r="B7161" t="e">
        <f>- Saturados</f>
        <v>#NAME?</v>
      </c>
    </row>
    <row r="7162" spans="1:2" x14ac:dyDescent="0.25">
      <c r="A7162">
        <v>29011000100</v>
      </c>
      <c r="B7162" t="s">
        <v>2455</v>
      </c>
    </row>
    <row r="7163" spans="1:2" x14ac:dyDescent="0.25">
      <c r="A7163">
        <v>290110002</v>
      </c>
      <c r="B7163" t="s">
        <v>2456</v>
      </c>
    </row>
    <row r="7164" spans="1:2" x14ac:dyDescent="0.25">
      <c r="A7164">
        <v>2901100021</v>
      </c>
      <c r="B7164" t="s">
        <v>2003</v>
      </c>
    </row>
    <row r="7165" spans="1:2" x14ac:dyDescent="0.25">
      <c r="A7165">
        <v>29011000211</v>
      </c>
      <c r="B7165" t="s">
        <v>1131</v>
      </c>
    </row>
    <row r="7166" spans="1:2" x14ac:dyDescent="0.25">
      <c r="A7166">
        <v>29011000219</v>
      </c>
      <c r="B7166" t="s">
        <v>10</v>
      </c>
    </row>
    <row r="7167" spans="1:2" x14ac:dyDescent="0.25">
      <c r="A7167">
        <v>2901100029</v>
      </c>
      <c r="B7167" t="s">
        <v>10</v>
      </c>
    </row>
    <row r="7168" spans="1:2" x14ac:dyDescent="0.25">
      <c r="A7168">
        <v>29011000291</v>
      </c>
      <c r="B7168" t="s">
        <v>1131</v>
      </c>
    </row>
    <row r="7169" spans="1:2" x14ac:dyDescent="0.25">
      <c r="A7169">
        <v>29011000299</v>
      </c>
      <c r="B7169" t="s">
        <v>10</v>
      </c>
    </row>
    <row r="7170" spans="1:2" x14ac:dyDescent="0.25">
      <c r="A7170">
        <v>290110003</v>
      </c>
      <c r="B7170" t="s">
        <v>2457</v>
      </c>
    </row>
    <row r="7171" spans="1:2" x14ac:dyDescent="0.25">
      <c r="A7171">
        <v>29011000310</v>
      </c>
      <c r="B7171" t="s">
        <v>2458</v>
      </c>
    </row>
    <row r="7172" spans="1:2" x14ac:dyDescent="0.25">
      <c r="A7172">
        <v>29011000320</v>
      </c>
      <c r="B7172" t="s">
        <v>2459</v>
      </c>
    </row>
    <row r="7173" spans="1:2" x14ac:dyDescent="0.25">
      <c r="A7173">
        <v>29011000330</v>
      </c>
      <c r="B7173" t="s">
        <v>2460</v>
      </c>
    </row>
    <row r="7174" spans="1:2" x14ac:dyDescent="0.25">
      <c r="A7174">
        <v>29011000340</v>
      </c>
      <c r="B7174" t="s">
        <v>2461</v>
      </c>
    </row>
    <row r="7175" spans="1:2" x14ac:dyDescent="0.25">
      <c r="A7175">
        <v>2901100035</v>
      </c>
      <c r="B7175" t="s">
        <v>2462</v>
      </c>
    </row>
    <row r="7176" spans="1:2" x14ac:dyDescent="0.25">
      <c r="A7176">
        <v>29011000351</v>
      </c>
      <c r="B7176" t="s">
        <v>2463</v>
      </c>
    </row>
    <row r="7177" spans="1:2" x14ac:dyDescent="0.25">
      <c r="A7177">
        <v>29011000352</v>
      </c>
      <c r="B7177" t="s">
        <v>2464</v>
      </c>
    </row>
    <row r="7178" spans="1:2" x14ac:dyDescent="0.25">
      <c r="A7178">
        <v>29011000400</v>
      </c>
      <c r="B7178" t="s">
        <v>2465</v>
      </c>
    </row>
    <row r="7179" spans="1:2" x14ac:dyDescent="0.25">
      <c r="A7179">
        <v>29011000500</v>
      </c>
      <c r="B7179" t="s">
        <v>2466</v>
      </c>
    </row>
    <row r="7180" spans="1:2" x14ac:dyDescent="0.25">
      <c r="A7180">
        <v>290110009</v>
      </c>
      <c r="B7180" t="s">
        <v>10</v>
      </c>
    </row>
    <row r="7181" spans="1:2" x14ac:dyDescent="0.25">
      <c r="A7181">
        <v>29011000910</v>
      </c>
      <c r="B7181" t="s">
        <v>2003</v>
      </c>
    </row>
    <row r="7182" spans="1:2" x14ac:dyDescent="0.25">
      <c r="A7182">
        <v>29011000990</v>
      </c>
      <c r="B7182" t="s">
        <v>10</v>
      </c>
    </row>
    <row r="7183" spans="1:2" x14ac:dyDescent="0.25">
      <c r="A7183">
        <v>29012</v>
      </c>
      <c r="B7183" t="s">
        <v>2467</v>
      </c>
    </row>
    <row r="7184" spans="1:2" x14ac:dyDescent="0.25">
      <c r="A7184">
        <v>29012100000</v>
      </c>
      <c r="B7184" t="e">
        <f>--Etileno</f>
        <v>#NAME?</v>
      </c>
    </row>
    <row r="7185" spans="1:2" x14ac:dyDescent="0.25">
      <c r="A7185">
        <v>29012200000</v>
      </c>
      <c r="B7185" t="e">
        <f>--Propeno (propileno)</f>
        <v>#NAME?</v>
      </c>
    </row>
    <row r="7186" spans="1:2" x14ac:dyDescent="0.25">
      <c r="A7186">
        <v>29012300000</v>
      </c>
      <c r="B7186" t="e">
        <f>--Buteno (butileno) y sus isomeros</f>
        <v>#NAME?</v>
      </c>
    </row>
    <row r="7187" spans="1:2" x14ac:dyDescent="0.25">
      <c r="A7187">
        <v>290124</v>
      </c>
      <c r="B7187" t="s">
        <v>2468</v>
      </c>
    </row>
    <row r="7188" spans="1:2" x14ac:dyDescent="0.25">
      <c r="A7188">
        <v>29012410000</v>
      </c>
      <c r="B7188" t="s">
        <v>2469</v>
      </c>
    </row>
    <row r="7189" spans="1:2" x14ac:dyDescent="0.25">
      <c r="A7189">
        <v>29012420</v>
      </c>
      <c r="B7189" t="s">
        <v>2470</v>
      </c>
    </row>
    <row r="7190" spans="1:2" x14ac:dyDescent="0.25">
      <c r="A7190">
        <v>29012420100</v>
      </c>
      <c r="B7190" t="s">
        <v>2003</v>
      </c>
    </row>
    <row r="7191" spans="1:2" x14ac:dyDescent="0.25">
      <c r="A7191">
        <v>29012420900</v>
      </c>
      <c r="B7191" t="s">
        <v>10</v>
      </c>
    </row>
    <row r="7192" spans="1:2" x14ac:dyDescent="0.25">
      <c r="A7192">
        <v>29012900</v>
      </c>
      <c r="B7192" t="e">
        <f>- - Los demas</f>
        <v>#NAME?</v>
      </c>
    </row>
    <row r="7193" spans="1:2" x14ac:dyDescent="0.25">
      <c r="A7193">
        <v>29012900100</v>
      </c>
      <c r="B7193" t="s">
        <v>2471</v>
      </c>
    </row>
    <row r="7194" spans="1:2" x14ac:dyDescent="0.25">
      <c r="A7194">
        <v>29012900200</v>
      </c>
      <c r="B7194" t="s">
        <v>2472</v>
      </c>
    </row>
    <row r="7195" spans="1:2" x14ac:dyDescent="0.25">
      <c r="A7195">
        <v>29012900300</v>
      </c>
      <c r="B7195" t="s">
        <v>2473</v>
      </c>
    </row>
    <row r="7196" spans="1:2" x14ac:dyDescent="0.25">
      <c r="A7196">
        <v>29012900400</v>
      </c>
      <c r="B7196" t="s">
        <v>2474</v>
      </c>
    </row>
    <row r="7197" spans="1:2" x14ac:dyDescent="0.25">
      <c r="A7197">
        <v>290129005</v>
      </c>
      <c r="B7197" t="s">
        <v>2475</v>
      </c>
    </row>
    <row r="7198" spans="1:2" x14ac:dyDescent="0.25">
      <c r="A7198">
        <v>29012900510</v>
      </c>
      <c r="B7198" t="s">
        <v>2476</v>
      </c>
    </row>
    <row r="7199" spans="1:2" x14ac:dyDescent="0.25">
      <c r="A7199">
        <v>29012900590</v>
      </c>
      <c r="B7199" t="s">
        <v>10</v>
      </c>
    </row>
    <row r="7200" spans="1:2" x14ac:dyDescent="0.25">
      <c r="A7200">
        <v>290129006</v>
      </c>
      <c r="B7200" t="s">
        <v>2477</v>
      </c>
    </row>
    <row r="7201" spans="1:2" x14ac:dyDescent="0.25">
      <c r="A7201">
        <v>29012900610</v>
      </c>
      <c r="B7201" t="s">
        <v>2478</v>
      </c>
    </row>
    <row r="7202" spans="1:2" x14ac:dyDescent="0.25">
      <c r="A7202">
        <v>29012900620</v>
      </c>
      <c r="B7202" t="s">
        <v>2479</v>
      </c>
    </row>
    <row r="7203" spans="1:2" x14ac:dyDescent="0.25">
      <c r="A7203">
        <v>29012900630</v>
      </c>
      <c r="B7203" t="s">
        <v>2480</v>
      </c>
    </row>
    <row r="7204" spans="1:2" x14ac:dyDescent="0.25">
      <c r="A7204">
        <v>29012900640</v>
      </c>
      <c r="B7204" t="s">
        <v>2481</v>
      </c>
    </row>
    <row r="7205" spans="1:2" x14ac:dyDescent="0.25">
      <c r="A7205">
        <v>29012900650</v>
      </c>
      <c r="B7205" t="s">
        <v>2482</v>
      </c>
    </row>
    <row r="7206" spans="1:2" x14ac:dyDescent="0.25">
      <c r="A7206">
        <v>29012900700</v>
      </c>
      <c r="B7206" t="s">
        <v>2483</v>
      </c>
    </row>
    <row r="7207" spans="1:2" x14ac:dyDescent="0.25">
      <c r="A7207">
        <v>290129009</v>
      </c>
      <c r="B7207" t="s">
        <v>10</v>
      </c>
    </row>
    <row r="7208" spans="1:2" x14ac:dyDescent="0.25">
      <c r="A7208">
        <v>29012900910</v>
      </c>
      <c r="B7208" t="s">
        <v>2003</v>
      </c>
    </row>
    <row r="7209" spans="1:2" x14ac:dyDescent="0.25">
      <c r="A7209">
        <v>29012900990</v>
      </c>
      <c r="B7209" t="s">
        <v>10</v>
      </c>
    </row>
    <row r="7210" spans="1:2" x14ac:dyDescent="0.25">
      <c r="A7210">
        <v>2902</v>
      </c>
      <c r="B7210" t="s">
        <v>2484</v>
      </c>
    </row>
    <row r="7211" spans="1:2" x14ac:dyDescent="0.25">
      <c r="A7211">
        <v>29021</v>
      </c>
      <c r="B7211" t="s">
        <v>2485</v>
      </c>
    </row>
    <row r="7212" spans="1:2" x14ac:dyDescent="0.25">
      <c r="A7212">
        <v>29021100</v>
      </c>
      <c r="B7212" t="e">
        <f>- - Ciclohexano</f>
        <v>#NAME?</v>
      </c>
    </row>
    <row r="7213" spans="1:2" x14ac:dyDescent="0.25">
      <c r="A7213">
        <v>29021100100</v>
      </c>
      <c r="B7213" t="s">
        <v>2003</v>
      </c>
    </row>
    <row r="7214" spans="1:2" x14ac:dyDescent="0.25">
      <c r="A7214">
        <v>29021100900</v>
      </c>
      <c r="B7214" t="s">
        <v>10</v>
      </c>
    </row>
    <row r="7215" spans="1:2" x14ac:dyDescent="0.25">
      <c r="A7215">
        <v>290219</v>
      </c>
      <c r="B7215" t="e">
        <f>- - Los demas</f>
        <v>#NAME?</v>
      </c>
    </row>
    <row r="7216" spans="1:2" x14ac:dyDescent="0.25">
      <c r="A7216">
        <v>29021910000</v>
      </c>
      <c r="B7216" t="s">
        <v>2486</v>
      </c>
    </row>
    <row r="7217" spans="1:2" x14ac:dyDescent="0.25">
      <c r="A7217">
        <v>29021990</v>
      </c>
      <c r="B7217" t="s">
        <v>10</v>
      </c>
    </row>
    <row r="7218" spans="1:2" x14ac:dyDescent="0.25">
      <c r="A7218">
        <v>290219901</v>
      </c>
      <c r="B7218" t="s">
        <v>2487</v>
      </c>
    </row>
    <row r="7219" spans="1:2" x14ac:dyDescent="0.25">
      <c r="A7219">
        <v>29021990110</v>
      </c>
      <c r="B7219" t="s">
        <v>2003</v>
      </c>
    </row>
    <row r="7220" spans="1:2" x14ac:dyDescent="0.25">
      <c r="A7220">
        <v>29021990190</v>
      </c>
      <c r="B7220" t="s">
        <v>10</v>
      </c>
    </row>
    <row r="7221" spans="1:2" x14ac:dyDescent="0.25">
      <c r="A7221">
        <v>29021990200</v>
      </c>
      <c r="B7221" t="s">
        <v>2488</v>
      </c>
    </row>
    <row r="7222" spans="1:2" x14ac:dyDescent="0.25">
      <c r="A7222">
        <v>29022000</v>
      </c>
      <c r="B7222" t="e">
        <f>- benceno</f>
        <v>#NAME?</v>
      </c>
    </row>
    <row r="7223" spans="1:2" x14ac:dyDescent="0.25">
      <c r="A7223">
        <v>290220001</v>
      </c>
      <c r="B7223" t="s">
        <v>2003</v>
      </c>
    </row>
    <row r="7224" spans="1:2" x14ac:dyDescent="0.25">
      <c r="A7224">
        <v>29022000110</v>
      </c>
      <c r="B7224" t="s">
        <v>1131</v>
      </c>
    </row>
    <row r="7225" spans="1:2" x14ac:dyDescent="0.25">
      <c r="A7225">
        <v>29022000190</v>
      </c>
      <c r="B7225" t="s">
        <v>10</v>
      </c>
    </row>
    <row r="7226" spans="1:2" x14ac:dyDescent="0.25">
      <c r="A7226">
        <v>290220009</v>
      </c>
      <c r="B7226" t="s">
        <v>10</v>
      </c>
    </row>
    <row r="7227" spans="1:2" x14ac:dyDescent="0.25">
      <c r="A7227">
        <v>29022000910</v>
      </c>
      <c r="B7227" t="s">
        <v>1131</v>
      </c>
    </row>
    <row r="7228" spans="1:2" x14ac:dyDescent="0.25">
      <c r="A7228">
        <v>29022000990</v>
      </c>
      <c r="B7228" t="s">
        <v>10</v>
      </c>
    </row>
    <row r="7229" spans="1:2" x14ac:dyDescent="0.25">
      <c r="A7229">
        <v>29023000</v>
      </c>
      <c r="B7229" t="e">
        <f>- tolueno</f>
        <v>#NAME?</v>
      </c>
    </row>
    <row r="7230" spans="1:2" x14ac:dyDescent="0.25">
      <c r="A7230">
        <v>290230001</v>
      </c>
      <c r="B7230" t="s">
        <v>2003</v>
      </c>
    </row>
    <row r="7231" spans="1:2" x14ac:dyDescent="0.25">
      <c r="A7231">
        <v>29023000110</v>
      </c>
      <c r="B7231" t="s">
        <v>1131</v>
      </c>
    </row>
    <row r="7232" spans="1:2" x14ac:dyDescent="0.25">
      <c r="A7232">
        <v>29023000190</v>
      </c>
      <c r="B7232" t="s">
        <v>10</v>
      </c>
    </row>
    <row r="7233" spans="1:2" x14ac:dyDescent="0.25">
      <c r="A7233">
        <v>290230009</v>
      </c>
      <c r="B7233" t="s">
        <v>10</v>
      </c>
    </row>
    <row r="7234" spans="1:2" x14ac:dyDescent="0.25">
      <c r="A7234">
        <v>29023000910</v>
      </c>
      <c r="B7234" t="s">
        <v>1131</v>
      </c>
    </row>
    <row r="7235" spans="1:2" x14ac:dyDescent="0.25">
      <c r="A7235">
        <v>29023000990</v>
      </c>
      <c r="B7235" t="s">
        <v>10</v>
      </c>
    </row>
    <row r="7236" spans="1:2" x14ac:dyDescent="0.25">
      <c r="A7236">
        <v>29024</v>
      </c>
      <c r="B7236" t="s">
        <v>2489</v>
      </c>
    </row>
    <row r="7237" spans="1:2" x14ac:dyDescent="0.25">
      <c r="A7237">
        <v>29024100</v>
      </c>
      <c r="B7237" t="e">
        <f>- - o-Xileno</f>
        <v>#NAME?</v>
      </c>
    </row>
    <row r="7238" spans="1:2" x14ac:dyDescent="0.25">
      <c r="A7238">
        <v>290241001</v>
      </c>
      <c r="B7238" t="s">
        <v>2003</v>
      </c>
    </row>
    <row r="7239" spans="1:2" x14ac:dyDescent="0.25">
      <c r="A7239">
        <v>29024100110</v>
      </c>
      <c r="B7239" t="s">
        <v>1131</v>
      </c>
    </row>
    <row r="7240" spans="1:2" x14ac:dyDescent="0.25">
      <c r="A7240">
        <v>29024100190</v>
      </c>
      <c r="B7240" t="s">
        <v>10</v>
      </c>
    </row>
    <row r="7241" spans="1:2" x14ac:dyDescent="0.25">
      <c r="A7241">
        <v>290241009</v>
      </c>
      <c r="B7241" t="s">
        <v>10</v>
      </c>
    </row>
    <row r="7242" spans="1:2" x14ac:dyDescent="0.25">
      <c r="A7242">
        <v>29024100910</v>
      </c>
      <c r="B7242" t="s">
        <v>1131</v>
      </c>
    </row>
    <row r="7243" spans="1:2" x14ac:dyDescent="0.25">
      <c r="A7243">
        <v>29024100990</v>
      </c>
      <c r="B7243" t="s">
        <v>10</v>
      </c>
    </row>
    <row r="7244" spans="1:2" x14ac:dyDescent="0.25">
      <c r="A7244">
        <v>29024200</v>
      </c>
      <c r="B7244" t="e">
        <f>- - m-Xileno</f>
        <v>#NAME?</v>
      </c>
    </row>
    <row r="7245" spans="1:2" x14ac:dyDescent="0.25">
      <c r="A7245">
        <v>290242001</v>
      </c>
      <c r="B7245" t="s">
        <v>2003</v>
      </c>
    </row>
    <row r="7246" spans="1:2" x14ac:dyDescent="0.25">
      <c r="A7246">
        <v>29024200110</v>
      </c>
      <c r="B7246" t="s">
        <v>1131</v>
      </c>
    </row>
    <row r="7247" spans="1:2" x14ac:dyDescent="0.25">
      <c r="A7247">
        <v>29024200190</v>
      </c>
      <c r="B7247" t="s">
        <v>10</v>
      </c>
    </row>
    <row r="7248" spans="1:2" x14ac:dyDescent="0.25">
      <c r="A7248">
        <v>290242009</v>
      </c>
      <c r="B7248" t="s">
        <v>10</v>
      </c>
    </row>
    <row r="7249" spans="1:2" x14ac:dyDescent="0.25">
      <c r="A7249">
        <v>29024200910</v>
      </c>
      <c r="B7249" t="s">
        <v>1131</v>
      </c>
    </row>
    <row r="7250" spans="1:2" x14ac:dyDescent="0.25">
      <c r="A7250">
        <v>29024200990</v>
      </c>
      <c r="B7250" t="s">
        <v>10</v>
      </c>
    </row>
    <row r="7251" spans="1:2" x14ac:dyDescent="0.25">
      <c r="A7251">
        <v>29024300</v>
      </c>
      <c r="B7251" t="e">
        <f>- - p-Xileno</f>
        <v>#NAME?</v>
      </c>
    </row>
    <row r="7252" spans="1:2" x14ac:dyDescent="0.25">
      <c r="A7252">
        <v>290243001</v>
      </c>
      <c r="B7252" t="s">
        <v>2003</v>
      </c>
    </row>
    <row r="7253" spans="1:2" x14ac:dyDescent="0.25">
      <c r="A7253">
        <v>29024300110</v>
      </c>
      <c r="B7253" t="s">
        <v>2490</v>
      </c>
    </row>
    <row r="7254" spans="1:2" x14ac:dyDescent="0.25">
      <c r="A7254">
        <v>29024300190</v>
      </c>
      <c r="B7254" t="s">
        <v>10</v>
      </c>
    </row>
    <row r="7255" spans="1:2" x14ac:dyDescent="0.25">
      <c r="A7255">
        <v>290243009</v>
      </c>
      <c r="B7255" t="s">
        <v>10</v>
      </c>
    </row>
    <row r="7256" spans="1:2" x14ac:dyDescent="0.25">
      <c r="A7256">
        <v>29024300910</v>
      </c>
      <c r="B7256" t="s">
        <v>1131</v>
      </c>
    </row>
    <row r="7257" spans="1:2" x14ac:dyDescent="0.25">
      <c r="A7257">
        <v>29024300990</v>
      </c>
      <c r="B7257" t="s">
        <v>10</v>
      </c>
    </row>
    <row r="7258" spans="1:2" x14ac:dyDescent="0.25">
      <c r="A7258">
        <v>29024400</v>
      </c>
      <c r="B7258" t="e">
        <f>- - Mezclas de isomeros del Xileno</f>
        <v>#NAME?</v>
      </c>
    </row>
    <row r="7259" spans="1:2" x14ac:dyDescent="0.25">
      <c r="A7259">
        <v>290244001</v>
      </c>
      <c r="B7259" t="s">
        <v>2003</v>
      </c>
    </row>
    <row r="7260" spans="1:2" x14ac:dyDescent="0.25">
      <c r="A7260">
        <v>29024400110</v>
      </c>
      <c r="B7260" t="s">
        <v>1131</v>
      </c>
    </row>
    <row r="7261" spans="1:2" x14ac:dyDescent="0.25">
      <c r="A7261">
        <v>29024400190</v>
      </c>
      <c r="B7261" t="s">
        <v>57</v>
      </c>
    </row>
    <row r="7262" spans="1:2" x14ac:dyDescent="0.25">
      <c r="A7262">
        <v>290244009</v>
      </c>
      <c r="B7262" t="s">
        <v>10</v>
      </c>
    </row>
    <row r="7263" spans="1:2" x14ac:dyDescent="0.25">
      <c r="A7263">
        <v>29024400910</v>
      </c>
      <c r="B7263" t="s">
        <v>1131</v>
      </c>
    </row>
    <row r="7264" spans="1:2" x14ac:dyDescent="0.25">
      <c r="A7264">
        <v>29024400990</v>
      </c>
      <c r="B7264" t="s">
        <v>57</v>
      </c>
    </row>
    <row r="7265" spans="1:2" x14ac:dyDescent="0.25">
      <c r="A7265">
        <v>29025000</v>
      </c>
      <c r="B7265" t="e">
        <f>- Estireno</f>
        <v>#NAME?</v>
      </c>
    </row>
    <row r="7266" spans="1:2" x14ac:dyDescent="0.25">
      <c r="A7266">
        <v>29025000100</v>
      </c>
      <c r="B7266" t="s">
        <v>2003</v>
      </c>
    </row>
    <row r="7267" spans="1:2" x14ac:dyDescent="0.25">
      <c r="A7267">
        <v>29025000900</v>
      </c>
      <c r="B7267" t="s">
        <v>10</v>
      </c>
    </row>
    <row r="7268" spans="1:2" x14ac:dyDescent="0.25">
      <c r="A7268">
        <v>29026000</v>
      </c>
      <c r="B7268" t="e">
        <f>- Etilbenceno</f>
        <v>#NAME?</v>
      </c>
    </row>
    <row r="7269" spans="1:2" x14ac:dyDescent="0.25">
      <c r="A7269">
        <v>29026000100</v>
      </c>
      <c r="B7269" t="s">
        <v>2003</v>
      </c>
    </row>
    <row r="7270" spans="1:2" x14ac:dyDescent="0.25">
      <c r="A7270">
        <v>29026000900</v>
      </c>
      <c r="B7270" t="s">
        <v>10</v>
      </c>
    </row>
    <row r="7271" spans="1:2" x14ac:dyDescent="0.25">
      <c r="A7271">
        <v>29027000</v>
      </c>
      <c r="B7271" t="e">
        <f>- Cumeno</f>
        <v>#NAME?</v>
      </c>
    </row>
    <row r="7272" spans="1:2" x14ac:dyDescent="0.25">
      <c r="A7272">
        <v>29027000100</v>
      </c>
      <c r="B7272" t="s">
        <v>2003</v>
      </c>
    </row>
    <row r="7273" spans="1:2" x14ac:dyDescent="0.25">
      <c r="A7273">
        <v>29027000900</v>
      </c>
      <c r="B7273" t="s">
        <v>10</v>
      </c>
    </row>
    <row r="7274" spans="1:2" x14ac:dyDescent="0.25">
      <c r="A7274">
        <v>290290</v>
      </c>
      <c r="B7274" t="e">
        <f>- Los demas</f>
        <v>#NAME?</v>
      </c>
    </row>
    <row r="7275" spans="1:2" x14ac:dyDescent="0.25">
      <c r="A7275">
        <v>29029010000</v>
      </c>
      <c r="B7275" t="s">
        <v>2491</v>
      </c>
    </row>
    <row r="7276" spans="1:2" x14ac:dyDescent="0.25">
      <c r="A7276">
        <v>29029020000</v>
      </c>
      <c r="B7276" t="s">
        <v>2492</v>
      </c>
    </row>
    <row r="7277" spans="1:2" x14ac:dyDescent="0.25">
      <c r="A7277">
        <v>29029030000</v>
      </c>
      <c r="B7277" t="s">
        <v>2493</v>
      </c>
    </row>
    <row r="7278" spans="1:2" x14ac:dyDescent="0.25">
      <c r="A7278">
        <v>29029040</v>
      </c>
      <c r="B7278" t="s">
        <v>2494</v>
      </c>
    </row>
    <row r="7279" spans="1:2" x14ac:dyDescent="0.25">
      <c r="A7279">
        <v>29029040100</v>
      </c>
      <c r="B7279" t="s">
        <v>2003</v>
      </c>
    </row>
    <row r="7280" spans="1:2" x14ac:dyDescent="0.25">
      <c r="A7280">
        <v>29029040900</v>
      </c>
      <c r="B7280" t="s">
        <v>10</v>
      </c>
    </row>
    <row r="7281" spans="1:2" x14ac:dyDescent="0.25">
      <c r="A7281">
        <v>29029090</v>
      </c>
      <c r="B7281" t="s">
        <v>10</v>
      </c>
    </row>
    <row r="7282" spans="1:2" x14ac:dyDescent="0.25">
      <c r="A7282">
        <v>290290902</v>
      </c>
      <c r="B7282" t="s">
        <v>2495</v>
      </c>
    </row>
    <row r="7283" spans="1:2" x14ac:dyDescent="0.25">
      <c r="A7283">
        <v>29029090210</v>
      </c>
      <c r="B7283" t="s">
        <v>2496</v>
      </c>
    </row>
    <row r="7284" spans="1:2" x14ac:dyDescent="0.25">
      <c r="A7284">
        <v>2902909022</v>
      </c>
      <c r="B7284" t="s">
        <v>2497</v>
      </c>
    </row>
    <row r="7285" spans="1:2" x14ac:dyDescent="0.25">
      <c r="A7285">
        <v>29029090221</v>
      </c>
      <c r="B7285" t="s">
        <v>2498</v>
      </c>
    </row>
    <row r="7286" spans="1:2" x14ac:dyDescent="0.25">
      <c r="A7286">
        <v>29029090222</v>
      </c>
      <c r="B7286" t="s">
        <v>2499</v>
      </c>
    </row>
    <row r="7287" spans="1:2" x14ac:dyDescent="0.25">
      <c r="A7287">
        <v>29029090300</v>
      </c>
      <c r="B7287" t="s">
        <v>2500</v>
      </c>
    </row>
    <row r="7288" spans="1:2" x14ac:dyDescent="0.25">
      <c r="A7288">
        <v>290290909</v>
      </c>
      <c r="B7288" t="s">
        <v>10</v>
      </c>
    </row>
    <row r="7289" spans="1:2" x14ac:dyDescent="0.25">
      <c r="A7289">
        <v>29029090910</v>
      </c>
      <c r="B7289" t="s">
        <v>2003</v>
      </c>
    </row>
    <row r="7290" spans="1:2" x14ac:dyDescent="0.25">
      <c r="A7290">
        <v>29029090990</v>
      </c>
      <c r="B7290" t="s">
        <v>10</v>
      </c>
    </row>
    <row r="7291" spans="1:2" x14ac:dyDescent="0.25">
      <c r="A7291">
        <v>2903</v>
      </c>
      <c r="B7291" t="s">
        <v>2501</v>
      </c>
    </row>
    <row r="7292" spans="1:2" x14ac:dyDescent="0.25">
      <c r="A7292">
        <v>29031</v>
      </c>
      <c r="B7292" t="s">
        <v>2502</v>
      </c>
    </row>
    <row r="7293" spans="1:2" x14ac:dyDescent="0.25">
      <c r="A7293">
        <v>290311</v>
      </c>
      <c r="B7293" t="e">
        <f>- - Clorometano (Cloruro de metilo) y cloroetano (Cloruro de etilo)</f>
        <v>#NAME?</v>
      </c>
    </row>
    <row r="7294" spans="1:2" x14ac:dyDescent="0.25">
      <c r="A7294">
        <v>29031110000</v>
      </c>
      <c r="B7294" t="s">
        <v>2503</v>
      </c>
    </row>
    <row r="7295" spans="1:2" x14ac:dyDescent="0.25">
      <c r="A7295">
        <v>29031120000</v>
      </c>
      <c r="B7295" t="s">
        <v>2504</v>
      </c>
    </row>
    <row r="7296" spans="1:2" x14ac:dyDescent="0.25">
      <c r="A7296">
        <v>29031200</v>
      </c>
      <c r="B7296" t="e">
        <f>- - Diclorometano (Cloruro de metileno)</f>
        <v>#NAME?</v>
      </c>
    </row>
    <row r="7297" spans="1:2" x14ac:dyDescent="0.25">
      <c r="A7297">
        <v>29031200100</v>
      </c>
      <c r="B7297" t="s">
        <v>1131</v>
      </c>
    </row>
    <row r="7298" spans="1:2" x14ac:dyDescent="0.25">
      <c r="A7298">
        <v>29031200900</v>
      </c>
      <c r="B7298" t="s">
        <v>10</v>
      </c>
    </row>
    <row r="7299" spans="1:2" x14ac:dyDescent="0.25">
      <c r="A7299">
        <v>29031300</v>
      </c>
      <c r="B7299" t="e">
        <f>- - Cloroformo (triclorometano)</f>
        <v>#NAME?</v>
      </c>
    </row>
    <row r="7300" spans="1:2" x14ac:dyDescent="0.25">
      <c r="A7300">
        <v>29031300100</v>
      </c>
      <c r="B7300" t="s">
        <v>1131</v>
      </c>
    </row>
    <row r="7301" spans="1:2" x14ac:dyDescent="0.25">
      <c r="A7301">
        <v>29031300900</v>
      </c>
      <c r="B7301" t="s">
        <v>10</v>
      </c>
    </row>
    <row r="7302" spans="1:2" x14ac:dyDescent="0.25">
      <c r="A7302">
        <v>29031400000</v>
      </c>
      <c r="B7302" t="e">
        <f>--Tetracloruro de carbono</f>
        <v>#NAME?</v>
      </c>
    </row>
    <row r="7303" spans="1:2" x14ac:dyDescent="0.25">
      <c r="A7303">
        <v>29031500000</v>
      </c>
      <c r="B7303" t="s">
        <v>2505</v>
      </c>
    </row>
    <row r="7304" spans="1:2" x14ac:dyDescent="0.25">
      <c r="A7304">
        <v>290319</v>
      </c>
      <c r="B7304" t="e">
        <f>- - Los demas</f>
        <v>#NAME?</v>
      </c>
    </row>
    <row r="7305" spans="1:2" x14ac:dyDescent="0.25">
      <c r="A7305">
        <v>29031910000</v>
      </c>
      <c r="B7305" t="s">
        <v>2506</v>
      </c>
    </row>
    <row r="7306" spans="1:2" x14ac:dyDescent="0.25">
      <c r="A7306">
        <v>29031920000</v>
      </c>
      <c r="B7306" t="s">
        <v>2507</v>
      </c>
    </row>
    <row r="7307" spans="1:2" x14ac:dyDescent="0.25">
      <c r="A7307">
        <v>29031990000</v>
      </c>
      <c r="B7307" t="s">
        <v>10</v>
      </c>
    </row>
    <row r="7308" spans="1:2" x14ac:dyDescent="0.25">
      <c r="A7308">
        <v>29032</v>
      </c>
      <c r="B7308" t="s">
        <v>2508</v>
      </c>
    </row>
    <row r="7309" spans="1:2" x14ac:dyDescent="0.25">
      <c r="A7309">
        <v>29032100000</v>
      </c>
      <c r="B7309" t="e">
        <f>--Cloruro de vinilo (cloroetileno)</f>
        <v>#NAME?</v>
      </c>
    </row>
    <row r="7310" spans="1:2" x14ac:dyDescent="0.25">
      <c r="A7310">
        <v>29032200000</v>
      </c>
      <c r="B7310" t="e">
        <f>--Tricloroetileno</f>
        <v>#NAME?</v>
      </c>
    </row>
    <row r="7311" spans="1:2" x14ac:dyDescent="0.25">
      <c r="A7311">
        <v>29032300000</v>
      </c>
      <c r="B7311" t="e">
        <f>--Tetracloroetileno (percloroetileno)</f>
        <v>#NAME?</v>
      </c>
    </row>
    <row r="7312" spans="1:2" x14ac:dyDescent="0.25">
      <c r="A7312">
        <v>29032900000</v>
      </c>
      <c r="B7312" t="e">
        <f>--Los demas</f>
        <v>#NAME?</v>
      </c>
    </row>
    <row r="7313" spans="1:2" x14ac:dyDescent="0.25">
      <c r="A7313">
        <v>29033</v>
      </c>
      <c r="B7313" t="s">
        <v>2509</v>
      </c>
    </row>
    <row r="7314" spans="1:2" x14ac:dyDescent="0.25">
      <c r="A7314">
        <v>29033100000</v>
      </c>
      <c r="B7314" t="s">
        <v>2510</v>
      </c>
    </row>
    <row r="7315" spans="1:2" x14ac:dyDescent="0.25">
      <c r="A7315">
        <v>290339</v>
      </c>
      <c r="B7315" t="e">
        <f>- - Los demas</f>
        <v>#NAME?</v>
      </c>
    </row>
    <row r="7316" spans="1:2" x14ac:dyDescent="0.25">
      <c r="A7316">
        <v>2903391</v>
      </c>
      <c r="B7316" t="s">
        <v>2511</v>
      </c>
    </row>
    <row r="7317" spans="1:2" x14ac:dyDescent="0.25">
      <c r="A7317">
        <v>29033911000</v>
      </c>
      <c r="B7317" t="s">
        <v>2512</v>
      </c>
    </row>
    <row r="7318" spans="1:2" x14ac:dyDescent="0.25">
      <c r="A7318">
        <v>29033912000</v>
      </c>
      <c r="B7318" t="s">
        <v>2513</v>
      </c>
    </row>
    <row r="7319" spans="1:2" x14ac:dyDescent="0.25">
      <c r="A7319">
        <v>29033919</v>
      </c>
      <c r="B7319" t="s">
        <v>10</v>
      </c>
    </row>
    <row r="7320" spans="1:2" x14ac:dyDescent="0.25">
      <c r="A7320">
        <v>29033919100</v>
      </c>
      <c r="B7320" t="s">
        <v>2514</v>
      </c>
    </row>
    <row r="7321" spans="1:2" x14ac:dyDescent="0.25">
      <c r="A7321">
        <v>29033919900</v>
      </c>
      <c r="B7321" t="s">
        <v>57</v>
      </c>
    </row>
    <row r="7322" spans="1:2" x14ac:dyDescent="0.25">
      <c r="A7322">
        <v>2903392</v>
      </c>
      <c r="B7322" t="s">
        <v>2515</v>
      </c>
    </row>
    <row r="7323" spans="1:2" x14ac:dyDescent="0.25">
      <c r="A7323">
        <v>29033921000</v>
      </c>
      <c r="B7323" t="s">
        <v>2516</v>
      </c>
    </row>
    <row r="7324" spans="1:2" x14ac:dyDescent="0.25">
      <c r="A7324">
        <v>29033929000</v>
      </c>
      <c r="B7324" t="s">
        <v>10</v>
      </c>
    </row>
    <row r="7325" spans="1:2" x14ac:dyDescent="0.25">
      <c r="A7325">
        <v>2903393</v>
      </c>
      <c r="B7325" t="s">
        <v>2517</v>
      </c>
    </row>
    <row r="7326" spans="1:2" x14ac:dyDescent="0.25">
      <c r="A7326">
        <v>29033931000</v>
      </c>
      <c r="B7326" t="s">
        <v>2518</v>
      </c>
    </row>
    <row r="7327" spans="1:2" x14ac:dyDescent="0.25">
      <c r="A7327">
        <v>29033932000</v>
      </c>
      <c r="B7327" t="s">
        <v>2519</v>
      </c>
    </row>
    <row r="7328" spans="1:2" x14ac:dyDescent="0.25">
      <c r="A7328">
        <v>29033939000</v>
      </c>
      <c r="B7328" t="s">
        <v>10</v>
      </c>
    </row>
    <row r="7329" spans="1:2" x14ac:dyDescent="0.25">
      <c r="A7329">
        <v>29037</v>
      </c>
      <c r="B7329" t="s">
        <v>2520</v>
      </c>
    </row>
    <row r="7330" spans="1:2" x14ac:dyDescent="0.25">
      <c r="A7330">
        <v>29037100000</v>
      </c>
      <c r="B7330" t="e">
        <f>--Clorodifluorometano</f>
        <v>#NAME?</v>
      </c>
    </row>
    <row r="7331" spans="1:2" x14ac:dyDescent="0.25">
      <c r="A7331">
        <v>29037200</v>
      </c>
      <c r="B7331" t="e">
        <f>- - Diclorotrifluoroetanos</f>
        <v>#NAME?</v>
      </c>
    </row>
    <row r="7332" spans="1:2" x14ac:dyDescent="0.25">
      <c r="A7332">
        <v>29037200100</v>
      </c>
      <c r="B7332" t="s">
        <v>2521</v>
      </c>
    </row>
    <row r="7333" spans="1:2" x14ac:dyDescent="0.25">
      <c r="A7333">
        <v>29037200900</v>
      </c>
      <c r="B7333" t="s">
        <v>10</v>
      </c>
    </row>
    <row r="7334" spans="1:2" x14ac:dyDescent="0.25">
      <c r="A7334">
        <v>29037300</v>
      </c>
      <c r="B7334" t="e">
        <f>- - Diclorofluoroetanos</f>
        <v>#NAME?</v>
      </c>
    </row>
    <row r="7335" spans="1:2" x14ac:dyDescent="0.25">
      <c r="A7335">
        <v>29037300100</v>
      </c>
      <c r="B7335" t="s">
        <v>2522</v>
      </c>
    </row>
    <row r="7336" spans="1:2" x14ac:dyDescent="0.25">
      <c r="A7336">
        <v>29037300900</v>
      </c>
      <c r="B7336" t="s">
        <v>10</v>
      </c>
    </row>
    <row r="7337" spans="1:2" x14ac:dyDescent="0.25">
      <c r="A7337">
        <v>29037400</v>
      </c>
      <c r="B7337" t="e">
        <f>- - Clorodifluoroetanos</f>
        <v>#NAME?</v>
      </c>
    </row>
    <row r="7338" spans="1:2" x14ac:dyDescent="0.25">
      <c r="A7338">
        <v>29037400100</v>
      </c>
      <c r="B7338" t="s">
        <v>2523</v>
      </c>
    </row>
    <row r="7339" spans="1:2" x14ac:dyDescent="0.25">
      <c r="A7339">
        <v>29037400900</v>
      </c>
      <c r="B7339" t="s">
        <v>10</v>
      </c>
    </row>
    <row r="7340" spans="1:2" x14ac:dyDescent="0.25">
      <c r="A7340">
        <v>29037500</v>
      </c>
      <c r="B7340" t="e">
        <f>- - Dicloropentafluoropropanos</f>
        <v>#NAME?</v>
      </c>
    </row>
    <row r="7341" spans="1:2" x14ac:dyDescent="0.25">
      <c r="A7341">
        <v>29037500100</v>
      </c>
      <c r="B7341" t="s">
        <v>2524</v>
      </c>
    </row>
    <row r="7342" spans="1:2" x14ac:dyDescent="0.25">
      <c r="A7342">
        <v>29037500200</v>
      </c>
      <c r="B7342" t="s">
        <v>2525</v>
      </c>
    </row>
    <row r="7343" spans="1:2" x14ac:dyDescent="0.25">
      <c r="A7343">
        <v>29037500900</v>
      </c>
      <c r="B7343" t="s">
        <v>10</v>
      </c>
    </row>
    <row r="7344" spans="1:2" x14ac:dyDescent="0.25">
      <c r="A7344">
        <v>29037600</v>
      </c>
      <c r="B7344" t="e">
        <f>- - Bromoclorodifluorometano. bromotrifluorometano y dibromotetrafluoroetanos</f>
        <v>#NAME?</v>
      </c>
    </row>
    <row r="7345" spans="1:2" x14ac:dyDescent="0.25">
      <c r="A7345">
        <v>29037600100</v>
      </c>
      <c r="B7345" t="s">
        <v>2526</v>
      </c>
    </row>
    <row r="7346" spans="1:2" x14ac:dyDescent="0.25">
      <c r="A7346">
        <v>29037600200</v>
      </c>
      <c r="B7346" t="s">
        <v>2527</v>
      </c>
    </row>
    <row r="7347" spans="1:2" x14ac:dyDescent="0.25">
      <c r="A7347">
        <v>29037600300</v>
      </c>
      <c r="B7347" t="s">
        <v>2528</v>
      </c>
    </row>
    <row r="7348" spans="1:2" x14ac:dyDescent="0.25">
      <c r="A7348">
        <v>290377</v>
      </c>
      <c r="B7348" t="e">
        <f>- - Los demas. perhalogenados solamente Con fluor y Cloro</f>
        <v>#NAME?</v>
      </c>
    </row>
    <row r="7349" spans="1:2" x14ac:dyDescent="0.25">
      <c r="A7349">
        <v>2903771</v>
      </c>
      <c r="B7349" t="s">
        <v>2529</v>
      </c>
    </row>
    <row r="7350" spans="1:2" x14ac:dyDescent="0.25">
      <c r="A7350">
        <v>29037711000</v>
      </c>
      <c r="B7350" t="s">
        <v>2530</v>
      </c>
    </row>
    <row r="7351" spans="1:2" x14ac:dyDescent="0.25">
      <c r="A7351">
        <v>29037712000</v>
      </c>
      <c r="B7351" t="s">
        <v>2531</v>
      </c>
    </row>
    <row r="7352" spans="1:2" x14ac:dyDescent="0.25">
      <c r="A7352">
        <v>29037713000</v>
      </c>
      <c r="B7352" t="s">
        <v>2532</v>
      </c>
    </row>
    <row r="7353" spans="1:2" x14ac:dyDescent="0.25">
      <c r="A7353">
        <v>2903772</v>
      </c>
      <c r="B7353" t="s">
        <v>2533</v>
      </c>
    </row>
    <row r="7354" spans="1:2" x14ac:dyDescent="0.25">
      <c r="A7354">
        <v>29037721000</v>
      </c>
      <c r="B7354" t="s">
        <v>2534</v>
      </c>
    </row>
    <row r="7355" spans="1:2" x14ac:dyDescent="0.25">
      <c r="A7355">
        <v>29037722</v>
      </c>
      <c r="B7355" t="s">
        <v>2535</v>
      </c>
    </row>
    <row r="7356" spans="1:2" x14ac:dyDescent="0.25">
      <c r="A7356">
        <v>29037722100</v>
      </c>
      <c r="B7356" t="s">
        <v>2536</v>
      </c>
    </row>
    <row r="7357" spans="1:2" x14ac:dyDescent="0.25">
      <c r="A7357">
        <v>29037722200</v>
      </c>
      <c r="B7357" t="s">
        <v>2537</v>
      </c>
    </row>
    <row r="7358" spans="1:2" x14ac:dyDescent="0.25">
      <c r="A7358">
        <v>29037723000</v>
      </c>
      <c r="B7358" t="s">
        <v>2538</v>
      </c>
    </row>
    <row r="7359" spans="1:2" x14ac:dyDescent="0.25">
      <c r="A7359">
        <v>29037724000</v>
      </c>
      <c r="B7359" t="s">
        <v>2539</v>
      </c>
    </row>
    <row r="7360" spans="1:2" x14ac:dyDescent="0.25">
      <c r="A7360">
        <v>2903773</v>
      </c>
      <c r="B7360" t="s">
        <v>2540</v>
      </c>
    </row>
    <row r="7361" spans="1:2" x14ac:dyDescent="0.25">
      <c r="A7361">
        <v>29037731000</v>
      </c>
      <c r="B7361" t="s">
        <v>2541</v>
      </c>
    </row>
    <row r="7362" spans="1:2" x14ac:dyDescent="0.25">
      <c r="A7362">
        <v>29037732000</v>
      </c>
      <c r="B7362" t="s">
        <v>2542</v>
      </c>
    </row>
    <row r="7363" spans="1:2" x14ac:dyDescent="0.25">
      <c r="A7363">
        <v>29037733000</v>
      </c>
      <c r="B7363" t="s">
        <v>2543</v>
      </c>
    </row>
    <row r="7364" spans="1:2" x14ac:dyDescent="0.25">
      <c r="A7364">
        <v>29037734000</v>
      </c>
      <c r="B7364" t="s">
        <v>2544</v>
      </c>
    </row>
    <row r="7365" spans="1:2" x14ac:dyDescent="0.25">
      <c r="A7365">
        <v>29037735000</v>
      </c>
      <c r="B7365" t="s">
        <v>2545</v>
      </c>
    </row>
    <row r="7366" spans="1:2" x14ac:dyDescent="0.25">
      <c r="A7366">
        <v>29037736000</v>
      </c>
      <c r="B7366" t="s">
        <v>2546</v>
      </c>
    </row>
    <row r="7367" spans="1:2" x14ac:dyDescent="0.25">
      <c r="A7367">
        <v>29037737000</v>
      </c>
      <c r="B7367" t="s">
        <v>2547</v>
      </c>
    </row>
    <row r="7368" spans="1:2" x14ac:dyDescent="0.25">
      <c r="A7368">
        <v>29037790000</v>
      </c>
      <c r="B7368" t="s">
        <v>10</v>
      </c>
    </row>
    <row r="7369" spans="1:2" x14ac:dyDescent="0.25">
      <c r="A7369">
        <v>29037800000</v>
      </c>
      <c r="B7369" t="e">
        <f>--Los demas derivados perhalogenados</f>
        <v>#NAME?</v>
      </c>
    </row>
    <row r="7370" spans="1:2" x14ac:dyDescent="0.25">
      <c r="A7370">
        <v>290379</v>
      </c>
      <c r="B7370" t="e">
        <f>- - Los demas</f>
        <v>#NAME?</v>
      </c>
    </row>
    <row r="7371" spans="1:2" x14ac:dyDescent="0.25">
      <c r="A7371">
        <v>2903791</v>
      </c>
      <c r="B7371" t="s">
        <v>2548</v>
      </c>
    </row>
    <row r="7372" spans="1:2" x14ac:dyDescent="0.25">
      <c r="A7372">
        <v>29037911000</v>
      </c>
      <c r="B7372" t="s">
        <v>2549</v>
      </c>
    </row>
    <row r="7373" spans="1:2" x14ac:dyDescent="0.25">
      <c r="A7373">
        <v>29037912</v>
      </c>
      <c r="B7373" t="s">
        <v>2550</v>
      </c>
    </row>
    <row r="7374" spans="1:2" x14ac:dyDescent="0.25">
      <c r="A7374">
        <v>29037912100</v>
      </c>
      <c r="B7374" t="s">
        <v>2551</v>
      </c>
    </row>
    <row r="7375" spans="1:2" x14ac:dyDescent="0.25">
      <c r="A7375">
        <v>29037912900</v>
      </c>
      <c r="B7375" t="s">
        <v>10</v>
      </c>
    </row>
    <row r="7376" spans="1:2" x14ac:dyDescent="0.25">
      <c r="A7376">
        <v>29037919</v>
      </c>
      <c r="B7376" t="s">
        <v>10</v>
      </c>
    </row>
    <row r="7377" spans="1:2" x14ac:dyDescent="0.25">
      <c r="A7377">
        <v>290379191</v>
      </c>
      <c r="B7377" t="s">
        <v>2552</v>
      </c>
    </row>
    <row r="7378" spans="1:2" x14ac:dyDescent="0.25">
      <c r="A7378">
        <v>29037919110</v>
      </c>
      <c r="B7378" t="s">
        <v>2553</v>
      </c>
    </row>
    <row r="7379" spans="1:2" x14ac:dyDescent="0.25">
      <c r="A7379">
        <v>29037919120</v>
      </c>
      <c r="B7379" t="s">
        <v>2554</v>
      </c>
    </row>
    <row r="7380" spans="1:2" x14ac:dyDescent="0.25">
      <c r="A7380">
        <v>290379192</v>
      </c>
      <c r="B7380" t="s">
        <v>2555</v>
      </c>
    </row>
    <row r="7381" spans="1:2" x14ac:dyDescent="0.25">
      <c r="A7381">
        <v>29037919210</v>
      </c>
      <c r="B7381" t="s">
        <v>2556</v>
      </c>
    </row>
    <row r="7382" spans="1:2" x14ac:dyDescent="0.25">
      <c r="A7382">
        <v>29037919220</v>
      </c>
      <c r="B7382" t="s">
        <v>2557</v>
      </c>
    </row>
    <row r="7383" spans="1:2" x14ac:dyDescent="0.25">
      <c r="A7383">
        <v>29037919230</v>
      </c>
      <c r="B7383" t="s">
        <v>2558</v>
      </c>
    </row>
    <row r="7384" spans="1:2" x14ac:dyDescent="0.25">
      <c r="A7384">
        <v>29037919240</v>
      </c>
      <c r="B7384" t="s">
        <v>2559</v>
      </c>
    </row>
    <row r="7385" spans="1:2" x14ac:dyDescent="0.25">
      <c r="A7385">
        <v>29037919250</v>
      </c>
      <c r="B7385" t="s">
        <v>2560</v>
      </c>
    </row>
    <row r="7386" spans="1:2" x14ac:dyDescent="0.25">
      <c r="A7386">
        <v>290379193</v>
      </c>
      <c r="B7386" t="s">
        <v>2561</v>
      </c>
    </row>
    <row r="7387" spans="1:2" x14ac:dyDescent="0.25">
      <c r="A7387">
        <v>2903791931</v>
      </c>
      <c r="B7387" t="s">
        <v>2562</v>
      </c>
    </row>
    <row r="7388" spans="1:2" x14ac:dyDescent="0.25">
      <c r="A7388">
        <v>29037919311</v>
      </c>
      <c r="B7388" t="s">
        <v>2563</v>
      </c>
    </row>
    <row r="7389" spans="1:2" x14ac:dyDescent="0.25">
      <c r="A7389">
        <v>29037919312</v>
      </c>
      <c r="B7389" t="s">
        <v>2564</v>
      </c>
    </row>
    <row r="7390" spans="1:2" x14ac:dyDescent="0.25">
      <c r="A7390">
        <v>29037919313</v>
      </c>
      <c r="B7390" t="s">
        <v>2565</v>
      </c>
    </row>
    <row r="7391" spans="1:2" x14ac:dyDescent="0.25">
      <c r="A7391">
        <v>29037919314</v>
      </c>
      <c r="B7391" t="s">
        <v>2566</v>
      </c>
    </row>
    <row r="7392" spans="1:2" x14ac:dyDescent="0.25">
      <c r="A7392">
        <v>29037919315</v>
      </c>
      <c r="B7392" t="s">
        <v>2567</v>
      </c>
    </row>
    <row r="7393" spans="1:2" x14ac:dyDescent="0.25">
      <c r="A7393">
        <v>29037919316</v>
      </c>
      <c r="B7393" t="s">
        <v>2568</v>
      </c>
    </row>
    <row r="7394" spans="1:2" x14ac:dyDescent="0.25">
      <c r="A7394">
        <v>2903791932</v>
      </c>
      <c r="B7394" t="s">
        <v>2569</v>
      </c>
    </row>
    <row r="7395" spans="1:2" x14ac:dyDescent="0.25">
      <c r="A7395">
        <v>29037919321</v>
      </c>
      <c r="B7395" t="s">
        <v>2570</v>
      </c>
    </row>
    <row r="7396" spans="1:2" x14ac:dyDescent="0.25">
      <c r="A7396">
        <v>29037919322</v>
      </c>
      <c r="B7396" t="s">
        <v>2571</v>
      </c>
    </row>
    <row r="7397" spans="1:2" x14ac:dyDescent="0.25">
      <c r="A7397">
        <v>29037919323</v>
      </c>
      <c r="B7397" t="s">
        <v>2572</v>
      </c>
    </row>
    <row r="7398" spans="1:2" x14ac:dyDescent="0.25">
      <c r="A7398">
        <v>29037919324</v>
      </c>
      <c r="B7398" t="s">
        <v>2573</v>
      </c>
    </row>
    <row r="7399" spans="1:2" x14ac:dyDescent="0.25">
      <c r="A7399">
        <v>2903791933</v>
      </c>
      <c r="B7399" t="s">
        <v>2574</v>
      </c>
    </row>
    <row r="7400" spans="1:2" x14ac:dyDescent="0.25">
      <c r="A7400">
        <v>29037919331</v>
      </c>
      <c r="B7400" t="s">
        <v>2575</v>
      </c>
    </row>
    <row r="7401" spans="1:2" x14ac:dyDescent="0.25">
      <c r="A7401">
        <v>29037919332</v>
      </c>
      <c r="B7401" t="s">
        <v>2576</v>
      </c>
    </row>
    <row r="7402" spans="1:2" x14ac:dyDescent="0.25">
      <c r="A7402">
        <v>29037919333</v>
      </c>
      <c r="B7402" t="s">
        <v>2577</v>
      </c>
    </row>
    <row r="7403" spans="1:2" x14ac:dyDescent="0.25">
      <c r="A7403">
        <v>29037919334</v>
      </c>
      <c r="B7403" t="s">
        <v>2578</v>
      </c>
    </row>
    <row r="7404" spans="1:2" x14ac:dyDescent="0.25">
      <c r="A7404">
        <v>2903791934</v>
      </c>
      <c r="B7404" t="s">
        <v>2579</v>
      </c>
    </row>
    <row r="7405" spans="1:2" x14ac:dyDescent="0.25">
      <c r="A7405">
        <v>29037919341</v>
      </c>
      <c r="B7405" t="s">
        <v>2580</v>
      </c>
    </row>
    <row r="7406" spans="1:2" x14ac:dyDescent="0.25">
      <c r="A7406">
        <v>29037919342</v>
      </c>
      <c r="B7406" t="s">
        <v>2581</v>
      </c>
    </row>
    <row r="7407" spans="1:2" x14ac:dyDescent="0.25">
      <c r="A7407">
        <v>29037919343</v>
      </c>
      <c r="B7407" t="s">
        <v>2582</v>
      </c>
    </row>
    <row r="7408" spans="1:2" x14ac:dyDescent="0.25">
      <c r="A7408">
        <v>2903791939</v>
      </c>
      <c r="B7408" t="s">
        <v>10</v>
      </c>
    </row>
    <row r="7409" spans="1:2" x14ac:dyDescent="0.25">
      <c r="A7409">
        <v>29037919391</v>
      </c>
      <c r="B7409" t="s">
        <v>2583</v>
      </c>
    </row>
    <row r="7410" spans="1:2" x14ac:dyDescent="0.25">
      <c r="A7410">
        <v>29037919392</v>
      </c>
      <c r="B7410" t="s">
        <v>2584</v>
      </c>
    </row>
    <row r="7411" spans="1:2" x14ac:dyDescent="0.25">
      <c r="A7411">
        <v>29037919393</v>
      </c>
      <c r="B7411" t="s">
        <v>2585</v>
      </c>
    </row>
    <row r="7412" spans="1:2" x14ac:dyDescent="0.25">
      <c r="A7412">
        <v>29037920</v>
      </c>
      <c r="B7412" t="s">
        <v>2586</v>
      </c>
    </row>
    <row r="7413" spans="1:2" x14ac:dyDescent="0.25">
      <c r="A7413">
        <v>290379201</v>
      </c>
      <c r="B7413" t="s">
        <v>2552</v>
      </c>
    </row>
    <row r="7414" spans="1:2" x14ac:dyDescent="0.25">
      <c r="A7414">
        <v>29037920110</v>
      </c>
      <c r="B7414" t="s">
        <v>2587</v>
      </c>
    </row>
    <row r="7415" spans="1:2" x14ac:dyDescent="0.25">
      <c r="A7415">
        <v>29037920120</v>
      </c>
      <c r="B7415" t="s">
        <v>2588</v>
      </c>
    </row>
    <row r="7416" spans="1:2" x14ac:dyDescent="0.25">
      <c r="A7416">
        <v>29037920130</v>
      </c>
      <c r="B7416" t="s">
        <v>2589</v>
      </c>
    </row>
    <row r="7417" spans="1:2" x14ac:dyDescent="0.25">
      <c r="A7417">
        <v>290379202</v>
      </c>
      <c r="B7417" t="s">
        <v>2555</v>
      </c>
    </row>
    <row r="7418" spans="1:2" x14ac:dyDescent="0.25">
      <c r="A7418">
        <v>2903792021</v>
      </c>
      <c r="B7418" t="s">
        <v>2590</v>
      </c>
    </row>
    <row r="7419" spans="1:2" x14ac:dyDescent="0.25">
      <c r="A7419">
        <v>29037920211</v>
      </c>
      <c r="B7419" t="s">
        <v>2591</v>
      </c>
    </row>
    <row r="7420" spans="1:2" x14ac:dyDescent="0.25">
      <c r="A7420">
        <v>29037920212</v>
      </c>
      <c r="B7420" t="s">
        <v>2592</v>
      </c>
    </row>
    <row r="7421" spans="1:2" x14ac:dyDescent="0.25">
      <c r="A7421">
        <v>29037920213</v>
      </c>
      <c r="B7421" t="s">
        <v>2593</v>
      </c>
    </row>
    <row r="7422" spans="1:2" x14ac:dyDescent="0.25">
      <c r="A7422">
        <v>29037920214</v>
      </c>
      <c r="B7422" t="s">
        <v>2594</v>
      </c>
    </row>
    <row r="7423" spans="1:2" x14ac:dyDescent="0.25">
      <c r="A7423">
        <v>2903792029</v>
      </c>
      <c r="B7423" t="s">
        <v>10</v>
      </c>
    </row>
    <row r="7424" spans="1:2" x14ac:dyDescent="0.25">
      <c r="A7424">
        <v>29037920291</v>
      </c>
      <c r="B7424" t="s">
        <v>2595</v>
      </c>
    </row>
    <row r="7425" spans="1:2" x14ac:dyDescent="0.25">
      <c r="A7425">
        <v>29037920292</v>
      </c>
      <c r="B7425" t="s">
        <v>2596</v>
      </c>
    </row>
    <row r="7426" spans="1:2" x14ac:dyDescent="0.25">
      <c r="A7426">
        <v>29037920293</v>
      </c>
      <c r="B7426" t="s">
        <v>2597</v>
      </c>
    </row>
    <row r="7427" spans="1:2" x14ac:dyDescent="0.25">
      <c r="A7427">
        <v>29037920294</v>
      </c>
      <c r="B7427" t="s">
        <v>2598</v>
      </c>
    </row>
    <row r="7428" spans="1:2" x14ac:dyDescent="0.25">
      <c r="A7428">
        <v>29037920295</v>
      </c>
      <c r="B7428" t="s">
        <v>2599</v>
      </c>
    </row>
    <row r="7429" spans="1:2" x14ac:dyDescent="0.25">
      <c r="A7429">
        <v>29037920296</v>
      </c>
      <c r="B7429" t="s">
        <v>2600</v>
      </c>
    </row>
    <row r="7430" spans="1:2" x14ac:dyDescent="0.25">
      <c r="A7430">
        <v>290379203</v>
      </c>
      <c r="B7430" t="s">
        <v>2561</v>
      </c>
    </row>
    <row r="7431" spans="1:2" x14ac:dyDescent="0.25">
      <c r="A7431">
        <v>2903792031</v>
      </c>
      <c r="B7431" t="s">
        <v>2590</v>
      </c>
    </row>
    <row r="7432" spans="1:2" x14ac:dyDescent="0.25">
      <c r="A7432">
        <v>29037920311</v>
      </c>
      <c r="B7432" t="s">
        <v>2601</v>
      </c>
    </row>
    <row r="7433" spans="1:2" x14ac:dyDescent="0.25">
      <c r="A7433">
        <v>29037920312</v>
      </c>
      <c r="B7433" t="s">
        <v>2602</v>
      </c>
    </row>
    <row r="7434" spans="1:2" x14ac:dyDescent="0.25">
      <c r="A7434">
        <v>29037920313</v>
      </c>
      <c r="B7434" t="s">
        <v>2603</v>
      </c>
    </row>
    <row r="7435" spans="1:2" x14ac:dyDescent="0.25">
      <c r="A7435">
        <v>29037920314</v>
      </c>
      <c r="B7435" t="s">
        <v>2604</v>
      </c>
    </row>
    <row r="7436" spans="1:2" x14ac:dyDescent="0.25">
      <c r="A7436">
        <v>29037920315</v>
      </c>
      <c r="B7436" t="s">
        <v>2605</v>
      </c>
    </row>
    <row r="7437" spans="1:2" x14ac:dyDescent="0.25">
      <c r="A7437">
        <v>29037920316</v>
      </c>
      <c r="B7437" t="s">
        <v>2606</v>
      </c>
    </row>
    <row r="7438" spans="1:2" x14ac:dyDescent="0.25">
      <c r="A7438">
        <v>2903792032</v>
      </c>
      <c r="B7438" t="s">
        <v>2607</v>
      </c>
    </row>
    <row r="7439" spans="1:2" x14ac:dyDescent="0.25">
      <c r="A7439">
        <v>29037920321</v>
      </c>
      <c r="B7439" t="s">
        <v>2608</v>
      </c>
    </row>
    <row r="7440" spans="1:2" x14ac:dyDescent="0.25">
      <c r="A7440">
        <v>29037920322</v>
      </c>
      <c r="B7440" t="s">
        <v>2609</v>
      </c>
    </row>
    <row r="7441" spans="1:2" x14ac:dyDescent="0.25">
      <c r="A7441">
        <v>29037920323</v>
      </c>
      <c r="B7441" t="s">
        <v>2610</v>
      </c>
    </row>
    <row r="7442" spans="1:2" x14ac:dyDescent="0.25">
      <c r="A7442">
        <v>29037920324</v>
      </c>
      <c r="B7442" t="s">
        <v>2611</v>
      </c>
    </row>
    <row r="7443" spans="1:2" x14ac:dyDescent="0.25">
      <c r="A7443">
        <v>29037920325</v>
      </c>
      <c r="B7443" t="s">
        <v>2612</v>
      </c>
    </row>
    <row r="7444" spans="1:2" x14ac:dyDescent="0.25">
      <c r="A7444">
        <v>2903792033</v>
      </c>
      <c r="B7444" t="s">
        <v>2613</v>
      </c>
    </row>
    <row r="7445" spans="1:2" x14ac:dyDescent="0.25">
      <c r="A7445">
        <v>29037920331</v>
      </c>
      <c r="B7445" t="s">
        <v>2614</v>
      </c>
    </row>
    <row r="7446" spans="1:2" x14ac:dyDescent="0.25">
      <c r="A7446">
        <v>29037920332</v>
      </c>
      <c r="B7446" t="s">
        <v>2615</v>
      </c>
    </row>
    <row r="7447" spans="1:2" x14ac:dyDescent="0.25">
      <c r="A7447">
        <v>29037920333</v>
      </c>
      <c r="B7447" t="s">
        <v>2616</v>
      </c>
    </row>
    <row r="7448" spans="1:2" x14ac:dyDescent="0.25">
      <c r="A7448">
        <v>29037920334</v>
      </c>
      <c r="B7448" t="s">
        <v>2617</v>
      </c>
    </row>
    <row r="7449" spans="1:2" x14ac:dyDescent="0.25">
      <c r="A7449">
        <v>2903792034</v>
      </c>
      <c r="B7449" t="s">
        <v>2618</v>
      </c>
    </row>
    <row r="7450" spans="1:2" x14ac:dyDescent="0.25">
      <c r="A7450">
        <v>29037920341</v>
      </c>
      <c r="B7450" t="s">
        <v>2619</v>
      </c>
    </row>
    <row r="7451" spans="1:2" x14ac:dyDescent="0.25">
      <c r="A7451">
        <v>29037920342</v>
      </c>
      <c r="B7451" t="s">
        <v>2620</v>
      </c>
    </row>
    <row r="7452" spans="1:2" x14ac:dyDescent="0.25">
      <c r="A7452">
        <v>29037920343</v>
      </c>
      <c r="B7452" t="s">
        <v>2621</v>
      </c>
    </row>
    <row r="7453" spans="1:2" x14ac:dyDescent="0.25">
      <c r="A7453">
        <v>2903792039</v>
      </c>
      <c r="B7453" t="s">
        <v>10</v>
      </c>
    </row>
    <row r="7454" spans="1:2" x14ac:dyDescent="0.25">
      <c r="A7454">
        <v>29037920391</v>
      </c>
      <c r="B7454" t="s">
        <v>2622</v>
      </c>
    </row>
    <row r="7455" spans="1:2" x14ac:dyDescent="0.25">
      <c r="A7455">
        <v>29037920392</v>
      </c>
      <c r="B7455" t="s">
        <v>2623</v>
      </c>
    </row>
    <row r="7456" spans="1:2" x14ac:dyDescent="0.25">
      <c r="A7456">
        <v>29037920393</v>
      </c>
      <c r="B7456" t="s">
        <v>2624</v>
      </c>
    </row>
    <row r="7457" spans="1:2" x14ac:dyDescent="0.25">
      <c r="A7457">
        <v>2903793</v>
      </c>
      <c r="B7457" t="s">
        <v>2625</v>
      </c>
    </row>
    <row r="7458" spans="1:2" x14ac:dyDescent="0.25">
      <c r="A7458">
        <v>29037931000</v>
      </c>
      <c r="B7458" t="s">
        <v>2626</v>
      </c>
    </row>
    <row r="7459" spans="1:2" x14ac:dyDescent="0.25">
      <c r="A7459">
        <v>29037939000</v>
      </c>
      <c r="B7459" t="s">
        <v>10</v>
      </c>
    </row>
    <row r="7460" spans="1:2" x14ac:dyDescent="0.25">
      <c r="A7460">
        <v>29037990</v>
      </c>
      <c r="B7460" t="s">
        <v>10</v>
      </c>
    </row>
    <row r="7461" spans="1:2" x14ac:dyDescent="0.25">
      <c r="A7461">
        <v>29037990100</v>
      </c>
      <c r="B7461" t="s">
        <v>2627</v>
      </c>
    </row>
    <row r="7462" spans="1:2" x14ac:dyDescent="0.25">
      <c r="A7462">
        <v>29037990200</v>
      </c>
      <c r="B7462" t="s">
        <v>2628</v>
      </c>
    </row>
    <row r="7463" spans="1:2" x14ac:dyDescent="0.25">
      <c r="A7463">
        <v>29037990900</v>
      </c>
      <c r="B7463" t="s">
        <v>10</v>
      </c>
    </row>
    <row r="7464" spans="1:2" x14ac:dyDescent="0.25">
      <c r="A7464">
        <v>29038</v>
      </c>
      <c r="B7464" t="s">
        <v>2629</v>
      </c>
    </row>
    <row r="7465" spans="1:2" x14ac:dyDescent="0.25">
      <c r="A7465">
        <v>290381</v>
      </c>
      <c r="B7465" t="s">
        <v>2630</v>
      </c>
    </row>
    <row r="7466" spans="1:2" x14ac:dyDescent="0.25">
      <c r="A7466">
        <v>29038110</v>
      </c>
      <c r="B7466" t="s">
        <v>2631</v>
      </c>
    </row>
    <row r="7467" spans="1:2" x14ac:dyDescent="0.25">
      <c r="A7467">
        <v>29038110100</v>
      </c>
      <c r="B7467" t="s">
        <v>2093</v>
      </c>
    </row>
    <row r="7468" spans="1:2" x14ac:dyDescent="0.25">
      <c r="A7468">
        <v>29038110200</v>
      </c>
      <c r="B7468" t="s">
        <v>2632</v>
      </c>
    </row>
    <row r="7469" spans="1:2" x14ac:dyDescent="0.25">
      <c r="A7469">
        <v>29038110900</v>
      </c>
      <c r="B7469" t="s">
        <v>10</v>
      </c>
    </row>
    <row r="7470" spans="1:2" x14ac:dyDescent="0.25">
      <c r="A7470">
        <v>29038190</v>
      </c>
      <c r="B7470" t="s">
        <v>10</v>
      </c>
    </row>
    <row r="7471" spans="1:2" x14ac:dyDescent="0.25">
      <c r="A7471">
        <v>29038190100</v>
      </c>
      <c r="B7471" t="s">
        <v>2633</v>
      </c>
    </row>
    <row r="7472" spans="1:2" x14ac:dyDescent="0.25">
      <c r="A7472">
        <v>29038190900</v>
      </c>
      <c r="B7472" t="s">
        <v>10</v>
      </c>
    </row>
    <row r="7473" spans="1:2" x14ac:dyDescent="0.25">
      <c r="A7473">
        <v>290382</v>
      </c>
      <c r="B7473" t="s">
        <v>2634</v>
      </c>
    </row>
    <row r="7474" spans="1:2" x14ac:dyDescent="0.25">
      <c r="A7474">
        <v>29038210000</v>
      </c>
      <c r="B7474" t="s">
        <v>2635</v>
      </c>
    </row>
    <row r="7475" spans="1:2" x14ac:dyDescent="0.25">
      <c r="A7475">
        <v>29038220000</v>
      </c>
      <c r="B7475" t="s">
        <v>2636</v>
      </c>
    </row>
    <row r="7476" spans="1:2" x14ac:dyDescent="0.25">
      <c r="A7476">
        <v>29038230000</v>
      </c>
      <c r="B7476" t="s">
        <v>2637</v>
      </c>
    </row>
    <row r="7477" spans="1:2" x14ac:dyDescent="0.25">
      <c r="A7477">
        <v>29038300000</v>
      </c>
      <c r="B7477" t="e">
        <f>--Mirex (ISO)</f>
        <v>#NAME?</v>
      </c>
    </row>
    <row r="7478" spans="1:2" x14ac:dyDescent="0.25">
      <c r="A7478">
        <v>29038900</v>
      </c>
      <c r="B7478" t="e">
        <f>- - Los demas</f>
        <v>#NAME?</v>
      </c>
    </row>
    <row r="7479" spans="1:2" x14ac:dyDescent="0.25">
      <c r="A7479">
        <v>29038900100</v>
      </c>
      <c r="B7479" t="s">
        <v>2638</v>
      </c>
    </row>
    <row r="7480" spans="1:2" x14ac:dyDescent="0.25">
      <c r="A7480">
        <v>29038900900</v>
      </c>
      <c r="B7480" t="s">
        <v>10</v>
      </c>
    </row>
    <row r="7481" spans="1:2" x14ac:dyDescent="0.25">
      <c r="A7481">
        <v>29039</v>
      </c>
      <c r="B7481" t="s">
        <v>2639</v>
      </c>
    </row>
    <row r="7482" spans="1:2" x14ac:dyDescent="0.25">
      <c r="A7482">
        <v>290391</v>
      </c>
      <c r="B7482" t="e">
        <f>- - Clorobenceno. o-diclorobenceno y p-diclorobenceno</f>
        <v>#NAME?</v>
      </c>
    </row>
    <row r="7483" spans="1:2" x14ac:dyDescent="0.25">
      <c r="A7483">
        <v>29039110000</v>
      </c>
      <c r="B7483" t="s">
        <v>2640</v>
      </c>
    </row>
    <row r="7484" spans="1:2" x14ac:dyDescent="0.25">
      <c r="A7484">
        <v>29039120000</v>
      </c>
      <c r="B7484" t="s">
        <v>2641</v>
      </c>
    </row>
    <row r="7485" spans="1:2" x14ac:dyDescent="0.25">
      <c r="A7485">
        <v>29039130000</v>
      </c>
      <c r="B7485" t="s">
        <v>2642</v>
      </c>
    </row>
    <row r="7486" spans="1:2" x14ac:dyDescent="0.25">
      <c r="A7486">
        <v>290392</v>
      </c>
      <c r="B7486" t="s">
        <v>2643</v>
      </c>
    </row>
    <row r="7487" spans="1:2" x14ac:dyDescent="0.25">
      <c r="A7487">
        <v>29039210000</v>
      </c>
      <c r="B7487" t="s">
        <v>2644</v>
      </c>
    </row>
    <row r="7488" spans="1:2" x14ac:dyDescent="0.25">
      <c r="A7488">
        <v>29039220000</v>
      </c>
      <c r="B7488" t="s">
        <v>2645</v>
      </c>
    </row>
    <row r="7489" spans="1:2" x14ac:dyDescent="0.25">
      <c r="A7489">
        <v>29039300000</v>
      </c>
      <c r="B7489" t="e">
        <f>--Pentaclorobenceno (ISO)</f>
        <v>#NAME?</v>
      </c>
    </row>
    <row r="7490" spans="1:2" x14ac:dyDescent="0.25">
      <c r="A7490">
        <v>29039400000</v>
      </c>
      <c r="B7490" t="e">
        <f>--Hexabromobifenilos</f>
        <v>#NAME?</v>
      </c>
    </row>
    <row r="7491" spans="1:2" x14ac:dyDescent="0.25">
      <c r="A7491">
        <v>290399</v>
      </c>
      <c r="B7491" t="e">
        <f>- - Los demas</f>
        <v>#NAME?</v>
      </c>
    </row>
    <row r="7492" spans="1:2" x14ac:dyDescent="0.25">
      <c r="A7492">
        <v>2903991</v>
      </c>
      <c r="B7492" t="s">
        <v>2646</v>
      </c>
    </row>
    <row r="7493" spans="1:2" x14ac:dyDescent="0.25">
      <c r="A7493">
        <v>29039911000</v>
      </c>
      <c r="B7493" t="s">
        <v>2647</v>
      </c>
    </row>
    <row r="7494" spans="1:2" x14ac:dyDescent="0.25">
      <c r="A7494">
        <v>29039912000</v>
      </c>
      <c r="B7494" t="s">
        <v>2648</v>
      </c>
    </row>
    <row r="7495" spans="1:2" x14ac:dyDescent="0.25">
      <c r="A7495">
        <v>29039913000</v>
      </c>
      <c r="B7495" t="s">
        <v>2649</v>
      </c>
    </row>
    <row r="7496" spans="1:2" x14ac:dyDescent="0.25">
      <c r="A7496">
        <v>29039914000</v>
      </c>
      <c r="B7496" t="s">
        <v>2650</v>
      </c>
    </row>
    <row r="7497" spans="1:2" x14ac:dyDescent="0.25">
      <c r="A7497">
        <v>29039915000</v>
      </c>
      <c r="B7497" t="s">
        <v>2651</v>
      </c>
    </row>
    <row r="7498" spans="1:2" x14ac:dyDescent="0.25">
      <c r="A7498">
        <v>29039916000</v>
      </c>
      <c r="B7498" t="s">
        <v>2652</v>
      </c>
    </row>
    <row r="7499" spans="1:2" x14ac:dyDescent="0.25">
      <c r="A7499">
        <v>29039917000</v>
      </c>
      <c r="B7499" t="s">
        <v>2653</v>
      </c>
    </row>
    <row r="7500" spans="1:2" x14ac:dyDescent="0.25">
      <c r="A7500">
        <v>29039918000</v>
      </c>
      <c r="B7500" t="s">
        <v>2654</v>
      </c>
    </row>
    <row r="7501" spans="1:2" x14ac:dyDescent="0.25">
      <c r="A7501">
        <v>29039919</v>
      </c>
      <c r="B7501" t="s">
        <v>10</v>
      </c>
    </row>
    <row r="7502" spans="1:2" x14ac:dyDescent="0.25">
      <c r="A7502">
        <v>29039919100</v>
      </c>
      <c r="B7502" t="s">
        <v>2655</v>
      </c>
    </row>
    <row r="7503" spans="1:2" x14ac:dyDescent="0.25">
      <c r="A7503">
        <v>29039919900</v>
      </c>
      <c r="B7503" t="s">
        <v>10</v>
      </c>
    </row>
    <row r="7504" spans="1:2" x14ac:dyDescent="0.25">
      <c r="A7504">
        <v>2903992</v>
      </c>
      <c r="B7504" t="s">
        <v>2656</v>
      </c>
    </row>
    <row r="7505" spans="1:2" x14ac:dyDescent="0.25">
      <c r="A7505">
        <v>29039921000</v>
      </c>
      <c r="B7505" t="s">
        <v>2657</v>
      </c>
    </row>
    <row r="7506" spans="1:2" x14ac:dyDescent="0.25">
      <c r="A7506">
        <v>29039922000</v>
      </c>
      <c r="B7506" t="s">
        <v>2658</v>
      </c>
    </row>
    <row r="7507" spans="1:2" x14ac:dyDescent="0.25">
      <c r="A7507">
        <v>29039923000</v>
      </c>
      <c r="B7507" t="s">
        <v>2659</v>
      </c>
    </row>
    <row r="7508" spans="1:2" x14ac:dyDescent="0.25">
      <c r="A7508">
        <v>29039924000</v>
      </c>
      <c r="B7508" t="s">
        <v>2660</v>
      </c>
    </row>
    <row r="7509" spans="1:2" x14ac:dyDescent="0.25">
      <c r="A7509">
        <v>29039929</v>
      </c>
      <c r="B7509" t="s">
        <v>10</v>
      </c>
    </row>
    <row r="7510" spans="1:2" x14ac:dyDescent="0.25">
      <c r="A7510">
        <v>29039929100</v>
      </c>
      <c r="B7510" t="s">
        <v>2661</v>
      </c>
    </row>
    <row r="7511" spans="1:2" x14ac:dyDescent="0.25">
      <c r="A7511">
        <v>29039929900</v>
      </c>
      <c r="B7511" t="s">
        <v>10</v>
      </c>
    </row>
    <row r="7512" spans="1:2" x14ac:dyDescent="0.25">
      <c r="A7512">
        <v>2903993</v>
      </c>
      <c r="B7512" t="s">
        <v>2662</v>
      </c>
    </row>
    <row r="7513" spans="1:2" x14ac:dyDescent="0.25">
      <c r="A7513">
        <v>29039931000</v>
      </c>
      <c r="B7513" t="s">
        <v>2663</v>
      </c>
    </row>
    <row r="7514" spans="1:2" x14ac:dyDescent="0.25">
      <c r="A7514">
        <v>29039939000</v>
      </c>
      <c r="B7514" t="s">
        <v>10</v>
      </c>
    </row>
    <row r="7515" spans="1:2" x14ac:dyDescent="0.25">
      <c r="A7515">
        <v>29039990000</v>
      </c>
      <c r="B7515" t="s">
        <v>10</v>
      </c>
    </row>
    <row r="7516" spans="1:2" x14ac:dyDescent="0.25">
      <c r="A7516">
        <v>2904</v>
      </c>
      <c r="B7516" t="s">
        <v>2664</v>
      </c>
    </row>
    <row r="7517" spans="1:2" x14ac:dyDescent="0.25">
      <c r="A7517">
        <v>290410</v>
      </c>
      <c r="B7517" t="e">
        <f>- derivados solamente sulfonados. sus sales y sus esteres etilicos</f>
        <v>#NAME?</v>
      </c>
    </row>
    <row r="7518" spans="1:2" x14ac:dyDescent="0.25">
      <c r="A7518">
        <v>2904101</v>
      </c>
      <c r="B7518" t="s">
        <v>2665</v>
      </c>
    </row>
    <row r="7519" spans="1:2" x14ac:dyDescent="0.25">
      <c r="A7519">
        <v>29041011000</v>
      </c>
      <c r="B7519" t="s">
        <v>2666</v>
      </c>
    </row>
    <row r="7520" spans="1:2" x14ac:dyDescent="0.25">
      <c r="A7520">
        <v>29041012000</v>
      </c>
      <c r="B7520" t="s">
        <v>2667</v>
      </c>
    </row>
    <row r="7521" spans="1:2" x14ac:dyDescent="0.25">
      <c r="A7521">
        <v>29041013000</v>
      </c>
      <c r="B7521" t="s">
        <v>2668</v>
      </c>
    </row>
    <row r="7522" spans="1:2" x14ac:dyDescent="0.25">
      <c r="A7522">
        <v>29041019000</v>
      </c>
      <c r="B7522" t="s">
        <v>10</v>
      </c>
    </row>
    <row r="7523" spans="1:2" x14ac:dyDescent="0.25">
      <c r="A7523">
        <v>29041020000</v>
      </c>
      <c r="B7523" t="s">
        <v>2669</v>
      </c>
    </row>
    <row r="7524" spans="1:2" x14ac:dyDescent="0.25">
      <c r="A7524">
        <v>29041030000</v>
      </c>
      <c r="B7524" t="s">
        <v>2670</v>
      </c>
    </row>
    <row r="7525" spans="1:2" x14ac:dyDescent="0.25">
      <c r="A7525">
        <v>29041040000</v>
      </c>
      <c r="B7525" t="s">
        <v>2671</v>
      </c>
    </row>
    <row r="7526" spans="1:2" x14ac:dyDescent="0.25">
      <c r="A7526">
        <v>2904105</v>
      </c>
      <c r="B7526" t="s">
        <v>2672</v>
      </c>
    </row>
    <row r="7527" spans="1:2" x14ac:dyDescent="0.25">
      <c r="A7527">
        <v>29041051000</v>
      </c>
      <c r="B7527" t="s">
        <v>2673</v>
      </c>
    </row>
    <row r="7528" spans="1:2" x14ac:dyDescent="0.25">
      <c r="A7528">
        <v>29041052000</v>
      </c>
      <c r="B7528" t="s">
        <v>2674</v>
      </c>
    </row>
    <row r="7529" spans="1:2" x14ac:dyDescent="0.25">
      <c r="A7529">
        <v>29041053000</v>
      </c>
      <c r="B7529" t="s">
        <v>2675</v>
      </c>
    </row>
    <row r="7530" spans="1:2" x14ac:dyDescent="0.25">
      <c r="A7530">
        <v>29041059000</v>
      </c>
      <c r="B7530" t="s">
        <v>10</v>
      </c>
    </row>
    <row r="7531" spans="1:2" x14ac:dyDescent="0.25">
      <c r="A7531">
        <v>29041060000</v>
      </c>
      <c r="B7531" t="s">
        <v>2676</v>
      </c>
    </row>
    <row r="7532" spans="1:2" x14ac:dyDescent="0.25">
      <c r="A7532">
        <v>29041090000</v>
      </c>
      <c r="B7532" t="s">
        <v>10</v>
      </c>
    </row>
    <row r="7533" spans="1:2" x14ac:dyDescent="0.25">
      <c r="A7533">
        <v>290420</v>
      </c>
      <c r="B7533" t="e">
        <f>- derivados solamente nitrados o solamente nitrosados</f>
        <v>#NAME?</v>
      </c>
    </row>
    <row r="7534" spans="1:2" x14ac:dyDescent="0.25">
      <c r="A7534">
        <v>29042010000</v>
      </c>
      <c r="B7534" t="s">
        <v>2677</v>
      </c>
    </row>
    <row r="7535" spans="1:2" x14ac:dyDescent="0.25">
      <c r="A7535">
        <v>29042020000</v>
      </c>
      <c r="B7535" t="s">
        <v>2678</v>
      </c>
    </row>
    <row r="7536" spans="1:2" x14ac:dyDescent="0.25">
      <c r="A7536">
        <v>29042030000</v>
      </c>
      <c r="B7536" t="s">
        <v>2679</v>
      </c>
    </row>
    <row r="7537" spans="1:2" x14ac:dyDescent="0.25">
      <c r="A7537">
        <v>2904204</v>
      </c>
      <c r="B7537" t="s">
        <v>2680</v>
      </c>
    </row>
    <row r="7538" spans="1:2" x14ac:dyDescent="0.25">
      <c r="A7538">
        <v>29042041000</v>
      </c>
      <c r="B7538" t="s">
        <v>2681</v>
      </c>
    </row>
    <row r="7539" spans="1:2" x14ac:dyDescent="0.25">
      <c r="A7539">
        <v>29042049000</v>
      </c>
      <c r="B7539" t="s">
        <v>10</v>
      </c>
    </row>
    <row r="7540" spans="1:2" x14ac:dyDescent="0.25">
      <c r="A7540">
        <v>2904205</v>
      </c>
      <c r="B7540" t="s">
        <v>2682</v>
      </c>
    </row>
    <row r="7541" spans="1:2" x14ac:dyDescent="0.25">
      <c r="A7541">
        <v>29042051000</v>
      </c>
      <c r="B7541" t="s">
        <v>2683</v>
      </c>
    </row>
    <row r="7542" spans="1:2" x14ac:dyDescent="0.25">
      <c r="A7542">
        <v>29042052000</v>
      </c>
      <c r="B7542" t="s">
        <v>2684</v>
      </c>
    </row>
    <row r="7543" spans="1:2" x14ac:dyDescent="0.25">
      <c r="A7543">
        <v>29042059</v>
      </c>
      <c r="B7543" t="s">
        <v>10</v>
      </c>
    </row>
    <row r="7544" spans="1:2" x14ac:dyDescent="0.25">
      <c r="A7544">
        <v>29042059100</v>
      </c>
      <c r="B7544" t="s">
        <v>2685</v>
      </c>
    </row>
    <row r="7545" spans="1:2" x14ac:dyDescent="0.25">
      <c r="A7545">
        <v>29042059900</v>
      </c>
      <c r="B7545" t="s">
        <v>10</v>
      </c>
    </row>
    <row r="7546" spans="1:2" x14ac:dyDescent="0.25">
      <c r="A7546">
        <v>29042060000</v>
      </c>
      <c r="B7546" t="s">
        <v>2686</v>
      </c>
    </row>
    <row r="7547" spans="1:2" x14ac:dyDescent="0.25">
      <c r="A7547">
        <v>29042070</v>
      </c>
      <c r="B7547" t="s">
        <v>2687</v>
      </c>
    </row>
    <row r="7548" spans="1:2" x14ac:dyDescent="0.25">
      <c r="A7548">
        <v>29042070100</v>
      </c>
      <c r="B7548" t="s">
        <v>2688</v>
      </c>
    </row>
    <row r="7549" spans="1:2" x14ac:dyDescent="0.25">
      <c r="A7549">
        <v>290420702</v>
      </c>
      <c r="B7549" t="s">
        <v>2689</v>
      </c>
    </row>
    <row r="7550" spans="1:2" x14ac:dyDescent="0.25">
      <c r="A7550">
        <v>29042070210</v>
      </c>
      <c r="B7550" t="s">
        <v>1131</v>
      </c>
    </row>
    <row r="7551" spans="1:2" x14ac:dyDescent="0.25">
      <c r="A7551">
        <v>29042070290</v>
      </c>
      <c r="B7551" t="s">
        <v>10</v>
      </c>
    </row>
    <row r="7552" spans="1:2" x14ac:dyDescent="0.25">
      <c r="A7552">
        <v>290420703</v>
      </c>
      <c r="B7552" t="s">
        <v>2690</v>
      </c>
    </row>
    <row r="7553" spans="1:2" x14ac:dyDescent="0.25">
      <c r="A7553">
        <v>29042070310</v>
      </c>
      <c r="B7553" t="s">
        <v>1131</v>
      </c>
    </row>
    <row r="7554" spans="1:2" x14ac:dyDescent="0.25">
      <c r="A7554">
        <v>29042070390</v>
      </c>
      <c r="B7554" t="s">
        <v>10</v>
      </c>
    </row>
    <row r="7555" spans="1:2" x14ac:dyDescent="0.25">
      <c r="A7555">
        <v>29042070900</v>
      </c>
      <c r="B7555" t="s">
        <v>10</v>
      </c>
    </row>
    <row r="7556" spans="1:2" x14ac:dyDescent="0.25">
      <c r="A7556">
        <v>29042090</v>
      </c>
      <c r="B7556" t="s">
        <v>10</v>
      </c>
    </row>
    <row r="7557" spans="1:2" x14ac:dyDescent="0.25">
      <c r="A7557">
        <v>29042090100</v>
      </c>
      <c r="B7557" t="s">
        <v>2691</v>
      </c>
    </row>
    <row r="7558" spans="1:2" x14ac:dyDescent="0.25">
      <c r="A7558">
        <v>29042090900</v>
      </c>
      <c r="B7558" t="s">
        <v>10</v>
      </c>
    </row>
    <row r="7559" spans="1:2" x14ac:dyDescent="0.25">
      <c r="A7559">
        <v>29043</v>
      </c>
      <c r="B7559" t="s">
        <v>2692</v>
      </c>
    </row>
    <row r="7560" spans="1:2" x14ac:dyDescent="0.25">
      <c r="A7560">
        <v>29043100000</v>
      </c>
      <c r="B7560" t="e">
        <f>--acido perfluorooctano sulfonico</f>
        <v>#NAME?</v>
      </c>
    </row>
    <row r="7561" spans="1:2" x14ac:dyDescent="0.25">
      <c r="A7561">
        <v>29043200000</v>
      </c>
      <c r="B7561" t="e">
        <f>--perfluorooctano sulfonato de amonio</f>
        <v>#NAME?</v>
      </c>
    </row>
    <row r="7562" spans="1:2" x14ac:dyDescent="0.25">
      <c r="A7562">
        <v>29043300000</v>
      </c>
      <c r="B7562" t="e">
        <f>--perfluorooctano sulfonato de litio</f>
        <v>#NAME?</v>
      </c>
    </row>
    <row r="7563" spans="1:2" x14ac:dyDescent="0.25">
      <c r="A7563">
        <v>29043400000</v>
      </c>
      <c r="B7563" t="e">
        <f>--perfluorooctano sulfonato de potasio</f>
        <v>#NAME?</v>
      </c>
    </row>
    <row r="7564" spans="1:2" x14ac:dyDescent="0.25">
      <c r="A7564">
        <v>29043500000</v>
      </c>
      <c r="B7564" t="e">
        <f>--las demas sales del acido perfluorooctano sulfonico</f>
        <v>#NAME?</v>
      </c>
    </row>
    <row r="7565" spans="1:2" x14ac:dyDescent="0.25">
      <c r="A7565">
        <v>29043600000</v>
      </c>
      <c r="B7565" t="e">
        <f>--fluoruro de perfluorooctano sulfonilo</f>
        <v>#NAME?</v>
      </c>
    </row>
    <row r="7566" spans="1:2" x14ac:dyDescent="0.25">
      <c r="A7566">
        <v>29049</v>
      </c>
      <c r="B7566" t="s">
        <v>28</v>
      </c>
    </row>
    <row r="7567" spans="1:2" x14ac:dyDescent="0.25">
      <c r="A7567">
        <v>29049100000</v>
      </c>
      <c r="B7567" t="e">
        <f>--Tricloronitrometano (cloropicrina)</f>
        <v>#NAME?</v>
      </c>
    </row>
    <row r="7568" spans="1:2" x14ac:dyDescent="0.25">
      <c r="A7568">
        <v>290499</v>
      </c>
      <c r="B7568" t="e">
        <f>- - Los demas</f>
        <v>#NAME?</v>
      </c>
    </row>
    <row r="7569" spans="1:2" x14ac:dyDescent="0.25">
      <c r="A7569">
        <v>2904991</v>
      </c>
      <c r="B7569" t="s">
        <v>2693</v>
      </c>
    </row>
    <row r="7570" spans="1:2" x14ac:dyDescent="0.25">
      <c r="A7570">
        <v>29049911000</v>
      </c>
      <c r="B7570" t="s">
        <v>2694</v>
      </c>
    </row>
    <row r="7571" spans="1:2" x14ac:dyDescent="0.25">
      <c r="A7571">
        <v>29049912000</v>
      </c>
      <c r="B7571" t="s">
        <v>2695</v>
      </c>
    </row>
    <row r="7572" spans="1:2" x14ac:dyDescent="0.25">
      <c r="A7572">
        <v>29049913000</v>
      </c>
      <c r="B7572" t="s">
        <v>2696</v>
      </c>
    </row>
    <row r="7573" spans="1:2" x14ac:dyDescent="0.25">
      <c r="A7573">
        <v>29049914000</v>
      </c>
      <c r="B7573" t="s">
        <v>2697</v>
      </c>
    </row>
    <row r="7574" spans="1:2" x14ac:dyDescent="0.25">
      <c r="A7574">
        <v>29049915000</v>
      </c>
      <c r="B7574" t="s">
        <v>2698</v>
      </c>
    </row>
    <row r="7575" spans="1:2" x14ac:dyDescent="0.25">
      <c r="A7575">
        <v>29049916000</v>
      </c>
      <c r="B7575" t="s">
        <v>2699</v>
      </c>
    </row>
    <row r="7576" spans="1:2" x14ac:dyDescent="0.25">
      <c r="A7576">
        <v>29049919</v>
      </c>
      <c r="B7576" t="s">
        <v>10</v>
      </c>
    </row>
    <row r="7577" spans="1:2" x14ac:dyDescent="0.25">
      <c r="A7577">
        <v>290499191</v>
      </c>
      <c r="B7577" t="s">
        <v>2638</v>
      </c>
    </row>
    <row r="7578" spans="1:2" x14ac:dyDescent="0.25">
      <c r="A7578">
        <v>29049919110</v>
      </c>
      <c r="B7578" t="s">
        <v>2700</v>
      </c>
    </row>
    <row r="7579" spans="1:2" x14ac:dyDescent="0.25">
      <c r="A7579">
        <v>29049919190</v>
      </c>
      <c r="B7579" t="s">
        <v>10</v>
      </c>
    </row>
    <row r="7580" spans="1:2" x14ac:dyDescent="0.25">
      <c r="A7580">
        <v>29049919900</v>
      </c>
      <c r="B7580" t="s">
        <v>10</v>
      </c>
    </row>
    <row r="7581" spans="1:2" x14ac:dyDescent="0.25">
      <c r="A7581">
        <v>2904992</v>
      </c>
      <c r="B7581" t="s">
        <v>2701</v>
      </c>
    </row>
    <row r="7582" spans="1:2" x14ac:dyDescent="0.25">
      <c r="A7582">
        <v>29049921000</v>
      </c>
      <c r="B7582" t="s">
        <v>2702</v>
      </c>
    </row>
    <row r="7583" spans="1:2" x14ac:dyDescent="0.25">
      <c r="A7583">
        <v>29049929000</v>
      </c>
      <c r="B7583" t="s">
        <v>10</v>
      </c>
    </row>
    <row r="7584" spans="1:2" x14ac:dyDescent="0.25">
      <c r="A7584">
        <v>29049930000</v>
      </c>
      <c r="B7584" t="s">
        <v>2703</v>
      </c>
    </row>
    <row r="7585" spans="1:2" x14ac:dyDescent="0.25">
      <c r="A7585">
        <v>29049940000</v>
      </c>
      <c r="B7585" t="s">
        <v>2704</v>
      </c>
    </row>
    <row r="7586" spans="1:2" x14ac:dyDescent="0.25">
      <c r="A7586">
        <v>29049990</v>
      </c>
      <c r="B7586" t="s">
        <v>10</v>
      </c>
    </row>
    <row r="7587" spans="1:2" x14ac:dyDescent="0.25">
      <c r="A7587">
        <v>290499901</v>
      </c>
      <c r="B7587" t="s">
        <v>2705</v>
      </c>
    </row>
    <row r="7588" spans="1:2" x14ac:dyDescent="0.25">
      <c r="A7588">
        <v>29049990110</v>
      </c>
      <c r="B7588" t="s">
        <v>2706</v>
      </c>
    </row>
    <row r="7589" spans="1:2" x14ac:dyDescent="0.25">
      <c r="A7589">
        <v>29049990190</v>
      </c>
      <c r="B7589" t="s">
        <v>10</v>
      </c>
    </row>
    <row r="7590" spans="1:2" x14ac:dyDescent="0.25">
      <c r="A7590">
        <v>29049990900</v>
      </c>
      <c r="B7590" t="s">
        <v>10</v>
      </c>
    </row>
    <row r="7591" spans="1:2" x14ac:dyDescent="0.25">
      <c r="A7591">
        <v>2905</v>
      </c>
      <c r="B7591" t="s">
        <v>2707</v>
      </c>
    </row>
    <row r="7592" spans="1:2" x14ac:dyDescent="0.25">
      <c r="A7592">
        <v>29051</v>
      </c>
      <c r="B7592" t="s">
        <v>2708</v>
      </c>
    </row>
    <row r="7593" spans="1:2" x14ac:dyDescent="0.25">
      <c r="A7593">
        <v>29051100000</v>
      </c>
      <c r="B7593" t="e">
        <f>--Metanol (alcohol metilico)</f>
        <v>#NAME?</v>
      </c>
    </row>
    <row r="7594" spans="1:2" x14ac:dyDescent="0.25">
      <c r="A7594">
        <v>290512</v>
      </c>
      <c r="B7594" t="e">
        <f>- - Propan-1-ol (alcohol propilico) y Propan-2-ol (alcohol isopropilico)</f>
        <v>#NAME?</v>
      </c>
    </row>
    <row r="7595" spans="1:2" x14ac:dyDescent="0.25">
      <c r="A7595">
        <v>29051210000</v>
      </c>
      <c r="B7595" t="s">
        <v>2709</v>
      </c>
    </row>
    <row r="7596" spans="1:2" x14ac:dyDescent="0.25">
      <c r="A7596">
        <v>29051220000</v>
      </c>
      <c r="B7596" t="s">
        <v>2710</v>
      </c>
    </row>
    <row r="7597" spans="1:2" x14ac:dyDescent="0.25">
      <c r="A7597">
        <v>29051300</v>
      </c>
      <c r="B7597" t="s">
        <v>2711</v>
      </c>
    </row>
    <row r="7598" spans="1:2" x14ac:dyDescent="0.25">
      <c r="A7598">
        <v>29051300100</v>
      </c>
      <c r="B7598" t="s">
        <v>2287</v>
      </c>
    </row>
    <row r="7599" spans="1:2" x14ac:dyDescent="0.25">
      <c r="A7599">
        <v>29051300900</v>
      </c>
      <c r="B7599" t="s">
        <v>10</v>
      </c>
    </row>
    <row r="7600" spans="1:2" x14ac:dyDescent="0.25">
      <c r="A7600">
        <v>290514</v>
      </c>
      <c r="B7600" t="e">
        <f>- - Los demas butanoles</f>
        <v>#NAME?</v>
      </c>
    </row>
    <row r="7601" spans="1:2" x14ac:dyDescent="0.25">
      <c r="A7601">
        <v>29051410000</v>
      </c>
      <c r="B7601" t="s">
        <v>2712</v>
      </c>
    </row>
    <row r="7602" spans="1:2" x14ac:dyDescent="0.25">
      <c r="A7602">
        <v>29051420000</v>
      </c>
      <c r="B7602" t="s">
        <v>2713</v>
      </c>
    </row>
    <row r="7603" spans="1:2" x14ac:dyDescent="0.25">
      <c r="A7603">
        <v>29051430000</v>
      </c>
      <c r="B7603" t="s">
        <v>2714</v>
      </c>
    </row>
    <row r="7604" spans="1:2" x14ac:dyDescent="0.25">
      <c r="A7604">
        <v>29051600000</v>
      </c>
      <c r="B7604" t="e">
        <f>--Octanol (alcohol octilico) y sus isomeros</f>
        <v>#NAME?</v>
      </c>
    </row>
    <row r="7605" spans="1:2" x14ac:dyDescent="0.25">
      <c r="A7605">
        <v>290517</v>
      </c>
      <c r="B7605" t="s">
        <v>2715</v>
      </c>
    </row>
    <row r="7606" spans="1:2" x14ac:dyDescent="0.25">
      <c r="A7606">
        <v>29051710000</v>
      </c>
      <c r="B7606" t="s">
        <v>2716</v>
      </c>
    </row>
    <row r="7607" spans="1:2" x14ac:dyDescent="0.25">
      <c r="A7607">
        <v>29051720000</v>
      </c>
      <c r="B7607" t="s">
        <v>2717</v>
      </c>
    </row>
    <row r="7608" spans="1:2" x14ac:dyDescent="0.25">
      <c r="A7608">
        <v>29051730000</v>
      </c>
      <c r="B7608" t="s">
        <v>2718</v>
      </c>
    </row>
    <row r="7609" spans="1:2" x14ac:dyDescent="0.25">
      <c r="A7609">
        <v>290519</v>
      </c>
      <c r="B7609" t="e">
        <f>- - Los demas</f>
        <v>#NAME?</v>
      </c>
    </row>
    <row r="7610" spans="1:2" x14ac:dyDescent="0.25">
      <c r="A7610">
        <v>2905191</v>
      </c>
      <c r="B7610" t="s">
        <v>2719</v>
      </c>
    </row>
    <row r="7611" spans="1:2" x14ac:dyDescent="0.25">
      <c r="A7611">
        <v>29051911000</v>
      </c>
      <c r="B7611" t="s">
        <v>2720</v>
      </c>
    </row>
    <row r="7612" spans="1:2" x14ac:dyDescent="0.25">
      <c r="A7612">
        <v>29051912000</v>
      </c>
      <c r="B7612" t="s">
        <v>2721</v>
      </c>
    </row>
    <row r="7613" spans="1:2" x14ac:dyDescent="0.25">
      <c r="A7613">
        <v>29051919000</v>
      </c>
      <c r="B7613" t="s">
        <v>10</v>
      </c>
    </row>
    <row r="7614" spans="1:2" x14ac:dyDescent="0.25">
      <c r="A7614">
        <v>2905192</v>
      </c>
      <c r="B7614" t="s">
        <v>2722</v>
      </c>
    </row>
    <row r="7615" spans="1:2" x14ac:dyDescent="0.25">
      <c r="A7615">
        <v>29051921000</v>
      </c>
      <c r="B7615" t="s">
        <v>2723</v>
      </c>
    </row>
    <row r="7616" spans="1:2" x14ac:dyDescent="0.25">
      <c r="A7616">
        <v>29051922000</v>
      </c>
      <c r="B7616" t="s">
        <v>2724</v>
      </c>
    </row>
    <row r="7617" spans="1:2" x14ac:dyDescent="0.25">
      <c r="A7617">
        <v>29051923000</v>
      </c>
      <c r="B7617" t="s">
        <v>2725</v>
      </c>
    </row>
    <row r="7618" spans="1:2" x14ac:dyDescent="0.25">
      <c r="A7618">
        <v>29051929000</v>
      </c>
      <c r="B7618" t="s">
        <v>10</v>
      </c>
    </row>
    <row r="7619" spans="1:2" x14ac:dyDescent="0.25">
      <c r="A7619">
        <v>2905199</v>
      </c>
      <c r="B7619" t="s">
        <v>10</v>
      </c>
    </row>
    <row r="7620" spans="1:2" x14ac:dyDescent="0.25">
      <c r="A7620">
        <v>29051991000</v>
      </c>
      <c r="B7620" t="s">
        <v>2726</v>
      </c>
    </row>
    <row r="7621" spans="1:2" x14ac:dyDescent="0.25">
      <c r="A7621">
        <v>29051992000</v>
      </c>
      <c r="B7621" t="s">
        <v>2727</v>
      </c>
    </row>
    <row r="7622" spans="1:2" x14ac:dyDescent="0.25">
      <c r="A7622">
        <v>29051993000</v>
      </c>
      <c r="B7622" t="s">
        <v>2728</v>
      </c>
    </row>
    <row r="7623" spans="1:2" x14ac:dyDescent="0.25">
      <c r="A7623">
        <v>29051994000</v>
      </c>
      <c r="B7623" t="s">
        <v>2729</v>
      </c>
    </row>
    <row r="7624" spans="1:2" x14ac:dyDescent="0.25">
      <c r="A7624">
        <v>29051995000</v>
      </c>
      <c r="B7624" t="s">
        <v>2730</v>
      </c>
    </row>
    <row r="7625" spans="1:2" x14ac:dyDescent="0.25">
      <c r="A7625">
        <v>29051996000</v>
      </c>
      <c r="B7625" t="s">
        <v>2731</v>
      </c>
    </row>
    <row r="7626" spans="1:2" x14ac:dyDescent="0.25">
      <c r="A7626">
        <v>29051999</v>
      </c>
      <c r="B7626" t="s">
        <v>10</v>
      </c>
    </row>
    <row r="7627" spans="1:2" x14ac:dyDescent="0.25">
      <c r="A7627">
        <v>29051999200</v>
      </c>
      <c r="B7627" t="s">
        <v>2732</v>
      </c>
    </row>
    <row r="7628" spans="1:2" x14ac:dyDescent="0.25">
      <c r="A7628">
        <v>29051999300</v>
      </c>
      <c r="B7628" t="s">
        <v>2733</v>
      </c>
    </row>
    <row r="7629" spans="1:2" x14ac:dyDescent="0.25">
      <c r="A7629">
        <v>29051999900</v>
      </c>
      <c r="B7629" t="s">
        <v>10</v>
      </c>
    </row>
    <row r="7630" spans="1:2" x14ac:dyDescent="0.25">
      <c r="A7630">
        <v>29052</v>
      </c>
      <c r="B7630" t="s">
        <v>2734</v>
      </c>
    </row>
    <row r="7631" spans="1:2" x14ac:dyDescent="0.25">
      <c r="A7631">
        <v>290522</v>
      </c>
      <c r="B7631" t="e">
        <f>- - Alcoholes terpenicos aciclicos</f>
        <v>#NAME?</v>
      </c>
    </row>
    <row r="7632" spans="1:2" x14ac:dyDescent="0.25">
      <c r="A7632">
        <v>29052210000</v>
      </c>
      <c r="B7632" t="s">
        <v>2735</v>
      </c>
    </row>
    <row r="7633" spans="1:2" x14ac:dyDescent="0.25">
      <c r="A7633">
        <v>29052220000</v>
      </c>
      <c r="B7633" t="s">
        <v>2736</v>
      </c>
    </row>
    <row r="7634" spans="1:2" x14ac:dyDescent="0.25">
      <c r="A7634">
        <v>29052230000</v>
      </c>
      <c r="B7634" t="s">
        <v>2737</v>
      </c>
    </row>
    <row r="7635" spans="1:2" x14ac:dyDescent="0.25">
      <c r="A7635">
        <v>29052290000</v>
      </c>
      <c r="B7635" t="s">
        <v>10</v>
      </c>
    </row>
    <row r="7636" spans="1:2" x14ac:dyDescent="0.25">
      <c r="A7636">
        <v>290529</v>
      </c>
      <c r="B7636" t="e">
        <f>- - Los demas</f>
        <v>#NAME?</v>
      </c>
    </row>
    <row r="7637" spans="1:2" x14ac:dyDescent="0.25">
      <c r="A7637">
        <v>29052910000</v>
      </c>
      <c r="B7637" t="s">
        <v>2738</v>
      </c>
    </row>
    <row r="7638" spans="1:2" x14ac:dyDescent="0.25">
      <c r="A7638">
        <v>29052990</v>
      </c>
      <c r="B7638" t="s">
        <v>10</v>
      </c>
    </row>
    <row r="7639" spans="1:2" x14ac:dyDescent="0.25">
      <c r="A7639">
        <v>290529901</v>
      </c>
      <c r="B7639" t="s">
        <v>2450</v>
      </c>
    </row>
    <row r="7640" spans="1:2" x14ac:dyDescent="0.25">
      <c r="A7640">
        <v>29052990110</v>
      </c>
      <c r="B7640" t="s">
        <v>2739</v>
      </c>
    </row>
    <row r="7641" spans="1:2" x14ac:dyDescent="0.25">
      <c r="A7641">
        <v>29052990190</v>
      </c>
      <c r="B7641" t="s">
        <v>10</v>
      </c>
    </row>
    <row r="7642" spans="1:2" x14ac:dyDescent="0.25">
      <c r="A7642">
        <v>29052990200</v>
      </c>
      <c r="B7642" t="s">
        <v>2740</v>
      </c>
    </row>
    <row r="7643" spans="1:2" x14ac:dyDescent="0.25">
      <c r="A7643">
        <v>29052990900</v>
      </c>
      <c r="B7643" t="s">
        <v>10</v>
      </c>
    </row>
    <row r="7644" spans="1:2" x14ac:dyDescent="0.25">
      <c r="A7644">
        <v>29053</v>
      </c>
      <c r="B7644" t="s">
        <v>2741</v>
      </c>
    </row>
    <row r="7645" spans="1:2" x14ac:dyDescent="0.25">
      <c r="A7645">
        <v>29053100000</v>
      </c>
      <c r="B7645" t="e">
        <f>--Etilenglicol (etanodiol)</f>
        <v>#NAME?</v>
      </c>
    </row>
    <row r="7646" spans="1:2" x14ac:dyDescent="0.25">
      <c r="A7646">
        <v>29053200000</v>
      </c>
      <c r="B7646" t="s">
        <v>2742</v>
      </c>
    </row>
    <row r="7647" spans="1:2" x14ac:dyDescent="0.25">
      <c r="A7647">
        <v>290539</v>
      </c>
      <c r="B7647" t="e">
        <f>- - Los demas</f>
        <v>#NAME?</v>
      </c>
    </row>
    <row r="7648" spans="1:2" x14ac:dyDescent="0.25">
      <c r="A7648">
        <v>29053910000</v>
      </c>
      <c r="B7648" t="s">
        <v>2743</v>
      </c>
    </row>
    <row r="7649" spans="1:2" x14ac:dyDescent="0.25">
      <c r="A7649">
        <v>29053920000</v>
      </c>
      <c r="B7649" t="s">
        <v>2744</v>
      </c>
    </row>
    <row r="7650" spans="1:2" x14ac:dyDescent="0.25">
      <c r="A7650">
        <v>29053930000</v>
      </c>
      <c r="B7650" t="s">
        <v>2745</v>
      </c>
    </row>
    <row r="7651" spans="1:2" x14ac:dyDescent="0.25">
      <c r="A7651">
        <v>29053990</v>
      </c>
      <c r="B7651" t="s">
        <v>10</v>
      </c>
    </row>
    <row r="7652" spans="1:2" x14ac:dyDescent="0.25">
      <c r="A7652">
        <v>29053990100</v>
      </c>
      <c r="B7652" t="s">
        <v>2746</v>
      </c>
    </row>
    <row r="7653" spans="1:2" x14ac:dyDescent="0.25">
      <c r="A7653">
        <v>29053990900</v>
      </c>
      <c r="B7653" t="s">
        <v>10</v>
      </c>
    </row>
    <row r="7654" spans="1:2" x14ac:dyDescent="0.25">
      <c r="A7654">
        <v>29054</v>
      </c>
      <c r="B7654" t="s">
        <v>2747</v>
      </c>
    </row>
    <row r="7655" spans="1:2" x14ac:dyDescent="0.25">
      <c r="A7655">
        <v>29054100000</v>
      </c>
      <c r="B7655" t="s">
        <v>2748</v>
      </c>
    </row>
    <row r="7656" spans="1:2" x14ac:dyDescent="0.25">
      <c r="A7656">
        <v>29054200000</v>
      </c>
      <c r="B7656" t="e">
        <f>--Pentaeritritol (pentaeritrita)</f>
        <v>#NAME?</v>
      </c>
    </row>
    <row r="7657" spans="1:2" x14ac:dyDescent="0.25">
      <c r="A7657">
        <v>29054300000</v>
      </c>
      <c r="B7657" t="e">
        <f>--Manitol</f>
        <v>#NAME?</v>
      </c>
    </row>
    <row r="7658" spans="1:2" x14ac:dyDescent="0.25">
      <c r="A7658">
        <v>29054400000</v>
      </c>
      <c r="B7658" t="e">
        <f>--D-glucitol (sorbitol)</f>
        <v>#NAME?</v>
      </c>
    </row>
    <row r="7659" spans="1:2" x14ac:dyDescent="0.25">
      <c r="A7659">
        <v>29054500000</v>
      </c>
      <c r="B7659" t="e">
        <f>--Glicerol</f>
        <v>#NAME?</v>
      </c>
    </row>
    <row r="7660" spans="1:2" x14ac:dyDescent="0.25">
      <c r="A7660">
        <v>29054900</v>
      </c>
      <c r="B7660" t="e">
        <f>- - Los demas</f>
        <v>#NAME?</v>
      </c>
    </row>
    <row r="7661" spans="1:2" x14ac:dyDescent="0.25">
      <c r="A7661">
        <v>29054900100</v>
      </c>
      <c r="B7661" t="s">
        <v>2749</v>
      </c>
    </row>
    <row r="7662" spans="1:2" x14ac:dyDescent="0.25">
      <c r="A7662">
        <v>29054900900</v>
      </c>
      <c r="B7662" t="s">
        <v>10</v>
      </c>
    </row>
    <row r="7663" spans="1:2" x14ac:dyDescent="0.25">
      <c r="A7663">
        <v>29055</v>
      </c>
      <c r="B7663" t="s">
        <v>2750</v>
      </c>
    </row>
    <row r="7664" spans="1:2" x14ac:dyDescent="0.25">
      <c r="A7664">
        <v>29055100000</v>
      </c>
      <c r="B7664" t="e">
        <f>--Etclorvinol (DCI)</f>
        <v>#NAME?</v>
      </c>
    </row>
    <row r="7665" spans="1:2" x14ac:dyDescent="0.25">
      <c r="A7665">
        <v>290559</v>
      </c>
      <c r="B7665" t="e">
        <f>- - Los demas</f>
        <v>#NAME?</v>
      </c>
    </row>
    <row r="7666" spans="1:2" x14ac:dyDescent="0.25">
      <c r="A7666">
        <v>29055910000</v>
      </c>
      <c r="B7666" t="s">
        <v>2751</v>
      </c>
    </row>
    <row r="7667" spans="1:2" x14ac:dyDescent="0.25">
      <c r="A7667">
        <v>29055990</v>
      </c>
      <c r="B7667" t="s">
        <v>10</v>
      </c>
    </row>
    <row r="7668" spans="1:2" x14ac:dyDescent="0.25">
      <c r="A7668">
        <v>29055990100</v>
      </c>
      <c r="B7668" t="s">
        <v>2740</v>
      </c>
    </row>
    <row r="7669" spans="1:2" x14ac:dyDescent="0.25">
      <c r="A7669">
        <v>29055990200</v>
      </c>
      <c r="B7669" t="s">
        <v>2752</v>
      </c>
    </row>
    <row r="7670" spans="1:2" x14ac:dyDescent="0.25">
      <c r="A7670">
        <v>29055990900</v>
      </c>
      <c r="B7670" t="s">
        <v>57</v>
      </c>
    </row>
    <row r="7671" spans="1:2" x14ac:dyDescent="0.25">
      <c r="A7671">
        <v>2906</v>
      </c>
      <c r="B7671" t="s">
        <v>2753</v>
      </c>
    </row>
    <row r="7672" spans="1:2" x14ac:dyDescent="0.25">
      <c r="A7672">
        <v>29061</v>
      </c>
      <c r="B7672" t="s">
        <v>2485</v>
      </c>
    </row>
    <row r="7673" spans="1:2" x14ac:dyDescent="0.25">
      <c r="A7673">
        <v>29061100000</v>
      </c>
      <c r="B7673" t="e">
        <f>--Mentol</f>
        <v>#NAME?</v>
      </c>
    </row>
    <row r="7674" spans="1:2" x14ac:dyDescent="0.25">
      <c r="A7674">
        <v>29061200000</v>
      </c>
      <c r="B7674" t="e">
        <f>--Ciclohexanol. metilciclohexanoles y dimetilciclohexanoles</f>
        <v>#NAME?</v>
      </c>
    </row>
    <row r="7675" spans="1:2" x14ac:dyDescent="0.25">
      <c r="A7675">
        <v>29061300000</v>
      </c>
      <c r="B7675" t="e">
        <f>--Esteroles e inositoles</f>
        <v>#NAME?</v>
      </c>
    </row>
    <row r="7676" spans="1:2" x14ac:dyDescent="0.25">
      <c r="A7676">
        <v>290619</v>
      </c>
      <c r="B7676" t="e">
        <f>- - Los demas</f>
        <v>#NAME?</v>
      </c>
    </row>
    <row r="7677" spans="1:2" x14ac:dyDescent="0.25">
      <c r="A7677">
        <v>29061910000</v>
      </c>
      <c r="B7677" t="s">
        <v>2754</v>
      </c>
    </row>
    <row r="7678" spans="1:2" x14ac:dyDescent="0.25">
      <c r="A7678">
        <v>29061920000</v>
      </c>
      <c r="B7678" t="s">
        <v>2755</v>
      </c>
    </row>
    <row r="7679" spans="1:2" x14ac:dyDescent="0.25">
      <c r="A7679">
        <v>29061930000</v>
      </c>
      <c r="B7679" t="s">
        <v>2756</v>
      </c>
    </row>
    <row r="7680" spans="1:2" x14ac:dyDescent="0.25">
      <c r="A7680">
        <v>29061940000</v>
      </c>
      <c r="B7680" t="s">
        <v>2757</v>
      </c>
    </row>
    <row r="7681" spans="1:2" x14ac:dyDescent="0.25">
      <c r="A7681">
        <v>29061950000</v>
      </c>
      <c r="B7681" t="s">
        <v>2758</v>
      </c>
    </row>
    <row r="7682" spans="1:2" x14ac:dyDescent="0.25">
      <c r="A7682">
        <v>29061990</v>
      </c>
      <c r="B7682" t="s">
        <v>10</v>
      </c>
    </row>
    <row r="7683" spans="1:2" x14ac:dyDescent="0.25">
      <c r="A7683">
        <v>29061990100</v>
      </c>
      <c r="B7683" t="s">
        <v>2759</v>
      </c>
    </row>
    <row r="7684" spans="1:2" x14ac:dyDescent="0.25">
      <c r="A7684">
        <v>29061990900</v>
      </c>
      <c r="B7684" t="s">
        <v>10</v>
      </c>
    </row>
    <row r="7685" spans="1:2" x14ac:dyDescent="0.25">
      <c r="A7685">
        <v>29062</v>
      </c>
      <c r="B7685" t="s">
        <v>2760</v>
      </c>
    </row>
    <row r="7686" spans="1:2" x14ac:dyDescent="0.25">
      <c r="A7686">
        <v>29062100000</v>
      </c>
      <c r="B7686" t="e">
        <f>--alcohol bencilico</f>
        <v>#NAME?</v>
      </c>
    </row>
    <row r="7687" spans="1:2" x14ac:dyDescent="0.25">
      <c r="A7687">
        <v>290629</v>
      </c>
      <c r="B7687" t="e">
        <f>- - Los demas</f>
        <v>#NAME?</v>
      </c>
    </row>
    <row r="7688" spans="1:2" x14ac:dyDescent="0.25">
      <c r="A7688">
        <v>29062910000</v>
      </c>
      <c r="B7688" t="s">
        <v>2761</v>
      </c>
    </row>
    <row r="7689" spans="1:2" x14ac:dyDescent="0.25">
      <c r="A7689">
        <v>29062920000</v>
      </c>
      <c r="B7689" t="s">
        <v>2762</v>
      </c>
    </row>
    <row r="7690" spans="1:2" x14ac:dyDescent="0.25">
      <c r="A7690">
        <v>29062990</v>
      </c>
      <c r="B7690" t="s">
        <v>10</v>
      </c>
    </row>
    <row r="7691" spans="1:2" x14ac:dyDescent="0.25">
      <c r="A7691">
        <v>29062990100</v>
      </c>
      <c r="B7691" t="s">
        <v>2740</v>
      </c>
    </row>
    <row r="7692" spans="1:2" x14ac:dyDescent="0.25">
      <c r="A7692">
        <v>29062990200</v>
      </c>
      <c r="B7692" t="s">
        <v>2763</v>
      </c>
    </row>
    <row r="7693" spans="1:2" x14ac:dyDescent="0.25">
      <c r="A7693">
        <v>29062990900</v>
      </c>
      <c r="B7693" t="s">
        <v>10</v>
      </c>
    </row>
    <row r="7694" spans="1:2" x14ac:dyDescent="0.25">
      <c r="A7694">
        <v>2907</v>
      </c>
      <c r="B7694" t="s">
        <v>2764</v>
      </c>
    </row>
    <row r="7695" spans="1:2" x14ac:dyDescent="0.25">
      <c r="A7695">
        <v>29071</v>
      </c>
      <c r="B7695" t="s">
        <v>2765</v>
      </c>
    </row>
    <row r="7696" spans="1:2" x14ac:dyDescent="0.25">
      <c r="A7696">
        <v>29071100</v>
      </c>
      <c r="B7696" t="e">
        <f>- - Fenol (hidroxibenceno) y sus sales</f>
        <v>#NAME?</v>
      </c>
    </row>
    <row r="7697" spans="1:2" x14ac:dyDescent="0.25">
      <c r="A7697">
        <v>29071100100</v>
      </c>
      <c r="B7697" t="s">
        <v>2766</v>
      </c>
    </row>
    <row r="7698" spans="1:2" x14ac:dyDescent="0.25">
      <c r="A7698">
        <v>290711002</v>
      </c>
      <c r="B7698" t="s">
        <v>2195</v>
      </c>
    </row>
    <row r="7699" spans="1:2" x14ac:dyDescent="0.25">
      <c r="A7699">
        <v>29071100210</v>
      </c>
      <c r="B7699" t="s">
        <v>2151</v>
      </c>
    </row>
    <row r="7700" spans="1:2" x14ac:dyDescent="0.25">
      <c r="A7700">
        <v>29071100290</v>
      </c>
      <c r="B7700" t="s">
        <v>10</v>
      </c>
    </row>
    <row r="7701" spans="1:2" x14ac:dyDescent="0.25">
      <c r="A7701">
        <v>29071200000</v>
      </c>
      <c r="B7701" t="e">
        <f>--Cresoles y sus sales</f>
        <v>#NAME?</v>
      </c>
    </row>
    <row r="7702" spans="1:2" x14ac:dyDescent="0.25">
      <c r="A7702">
        <v>29071300000</v>
      </c>
      <c r="B7702" t="e">
        <f>--Octilfenol. nonilfenol y sus isomeros, sales de estos Productos</f>
        <v>#NAME?</v>
      </c>
    </row>
    <row r="7703" spans="1:2" x14ac:dyDescent="0.25">
      <c r="A7703">
        <v>290715</v>
      </c>
      <c r="B7703" t="e">
        <f>- - Naftoles y sus sales</f>
        <v>#NAME?</v>
      </c>
    </row>
    <row r="7704" spans="1:2" x14ac:dyDescent="0.25">
      <c r="A7704">
        <v>29071510000</v>
      </c>
      <c r="B7704" t="s">
        <v>2767</v>
      </c>
    </row>
    <row r="7705" spans="1:2" x14ac:dyDescent="0.25">
      <c r="A7705">
        <v>29071590000</v>
      </c>
      <c r="B7705" t="s">
        <v>10</v>
      </c>
    </row>
    <row r="7706" spans="1:2" x14ac:dyDescent="0.25">
      <c r="A7706">
        <v>290719</v>
      </c>
      <c r="B7706" t="e">
        <f>- - Los demas</f>
        <v>#NAME?</v>
      </c>
    </row>
    <row r="7707" spans="1:2" x14ac:dyDescent="0.25">
      <c r="A7707">
        <v>29071910000</v>
      </c>
      <c r="B7707" t="s">
        <v>2768</v>
      </c>
    </row>
    <row r="7708" spans="1:2" x14ac:dyDescent="0.25">
      <c r="A7708">
        <v>29071920000</v>
      </c>
      <c r="B7708" t="s">
        <v>2769</v>
      </c>
    </row>
    <row r="7709" spans="1:2" x14ac:dyDescent="0.25">
      <c r="A7709">
        <v>29071930000</v>
      </c>
      <c r="B7709" t="s">
        <v>2770</v>
      </c>
    </row>
    <row r="7710" spans="1:2" x14ac:dyDescent="0.25">
      <c r="A7710">
        <v>29071940000</v>
      </c>
      <c r="B7710" t="s">
        <v>2771</v>
      </c>
    </row>
    <row r="7711" spans="1:2" x14ac:dyDescent="0.25">
      <c r="A7711">
        <v>29071990000</v>
      </c>
      <c r="B7711" t="s">
        <v>10</v>
      </c>
    </row>
    <row r="7712" spans="1:2" x14ac:dyDescent="0.25">
      <c r="A7712">
        <v>29072</v>
      </c>
      <c r="B7712" t="s">
        <v>2772</v>
      </c>
    </row>
    <row r="7713" spans="1:2" x14ac:dyDescent="0.25">
      <c r="A7713">
        <v>29072100000</v>
      </c>
      <c r="B7713" t="e">
        <f>--Resorcinol y sus sales</f>
        <v>#NAME?</v>
      </c>
    </row>
    <row r="7714" spans="1:2" x14ac:dyDescent="0.25">
      <c r="A7714">
        <v>29072200000</v>
      </c>
      <c r="B7714" t="e">
        <f>--Hidroquinona y sus sales</f>
        <v>#NAME?</v>
      </c>
    </row>
    <row r="7715" spans="1:2" x14ac:dyDescent="0.25">
      <c r="A7715">
        <v>29072300000</v>
      </c>
      <c r="B7715" t="s">
        <v>2773</v>
      </c>
    </row>
    <row r="7716" spans="1:2" x14ac:dyDescent="0.25">
      <c r="A7716">
        <v>29072900</v>
      </c>
      <c r="B7716" t="e">
        <f>- - Los demas</f>
        <v>#NAME?</v>
      </c>
    </row>
    <row r="7717" spans="1:2" x14ac:dyDescent="0.25">
      <c r="A7717">
        <v>290729001</v>
      </c>
      <c r="B7717" t="s">
        <v>2774</v>
      </c>
    </row>
    <row r="7718" spans="1:2" x14ac:dyDescent="0.25">
      <c r="A7718">
        <v>29072900110</v>
      </c>
      <c r="B7718" t="s">
        <v>2775</v>
      </c>
    </row>
    <row r="7719" spans="1:2" x14ac:dyDescent="0.25">
      <c r="A7719">
        <v>29072900190</v>
      </c>
      <c r="B7719" t="s">
        <v>2776</v>
      </c>
    </row>
    <row r="7720" spans="1:2" x14ac:dyDescent="0.25">
      <c r="A7720">
        <v>290729002</v>
      </c>
      <c r="B7720" t="s">
        <v>2777</v>
      </c>
    </row>
    <row r="7721" spans="1:2" x14ac:dyDescent="0.25">
      <c r="A7721">
        <v>29072900210</v>
      </c>
      <c r="B7721" t="s">
        <v>2778</v>
      </c>
    </row>
    <row r="7722" spans="1:2" x14ac:dyDescent="0.25">
      <c r="A7722">
        <v>29072900290</v>
      </c>
      <c r="B7722" t="s">
        <v>10</v>
      </c>
    </row>
    <row r="7723" spans="1:2" x14ac:dyDescent="0.25">
      <c r="A7723">
        <v>29072900900</v>
      </c>
      <c r="B7723" t="s">
        <v>10</v>
      </c>
    </row>
    <row r="7724" spans="1:2" x14ac:dyDescent="0.25">
      <c r="A7724">
        <v>2908</v>
      </c>
      <c r="B7724" t="s">
        <v>2779</v>
      </c>
    </row>
    <row r="7725" spans="1:2" x14ac:dyDescent="0.25">
      <c r="A7725">
        <v>29081</v>
      </c>
      <c r="B7725" t="s">
        <v>2780</v>
      </c>
    </row>
    <row r="7726" spans="1:2" x14ac:dyDescent="0.25">
      <c r="A7726">
        <v>29081100000</v>
      </c>
      <c r="B7726" t="e">
        <f>--Pentaclorofenol (ISO)</f>
        <v>#NAME?</v>
      </c>
    </row>
    <row r="7727" spans="1:2" x14ac:dyDescent="0.25">
      <c r="A7727">
        <v>290819</v>
      </c>
      <c r="B7727" t="e">
        <f>- - Los demas</f>
        <v>#NAME?</v>
      </c>
    </row>
    <row r="7728" spans="1:2" x14ac:dyDescent="0.25">
      <c r="A7728">
        <v>2908191</v>
      </c>
      <c r="B7728" t="s">
        <v>2781</v>
      </c>
    </row>
    <row r="7729" spans="1:2" x14ac:dyDescent="0.25">
      <c r="A7729">
        <v>29081911000</v>
      </c>
      <c r="B7729" t="s">
        <v>2782</v>
      </c>
    </row>
    <row r="7730" spans="1:2" x14ac:dyDescent="0.25">
      <c r="A7730">
        <v>29081912</v>
      </c>
      <c r="B7730" t="s">
        <v>2783</v>
      </c>
    </row>
    <row r="7731" spans="1:2" x14ac:dyDescent="0.25">
      <c r="A7731">
        <v>29081912100</v>
      </c>
      <c r="B7731" t="s">
        <v>2784</v>
      </c>
    </row>
    <row r="7732" spans="1:2" x14ac:dyDescent="0.25">
      <c r="A7732">
        <v>29081912200</v>
      </c>
      <c r="B7732" t="s">
        <v>2195</v>
      </c>
    </row>
    <row r="7733" spans="1:2" x14ac:dyDescent="0.25">
      <c r="A7733">
        <v>29081913000</v>
      </c>
      <c r="B7733" t="s">
        <v>2785</v>
      </c>
    </row>
    <row r="7734" spans="1:2" x14ac:dyDescent="0.25">
      <c r="A7734">
        <v>29081914</v>
      </c>
      <c r="B7734" t="s">
        <v>2786</v>
      </c>
    </row>
    <row r="7735" spans="1:2" x14ac:dyDescent="0.25">
      <c r="A7735">
        <v>29081914100</v>
      </c>
      <c r="B7735" t="s">
        <v>2787</v>
      </c>
    </row>
    <row r="7736" spans="1:2" x14ac:dyDescent="0.25">
      <c r="A7736">
        <v>29081914200</v>
      </c>
      <c r="B7736" t="s">
        <v>2195</v>
      </c>
    </row>
    <row r="7737" spans="1:2" x14ac:dyDescent="0.25">
      <c r="A7737">
        <v>29081915</v>
      </c>
      <c r="B7737" t="s">
        <v>2788</v>
      </c>
    </row>
    <row r="7738" spans="1:2" x14ac:dyDescent="0.25">
      <c r="A7738">
        <v>29081915100</v>
      </c>
      <c r="B7738" t="s">
        <v>2789</v>
      </c>
    </row>
    <row r="7739" spans="1:2" x14ac:dyDescent="0.25">
      <c r="A7739">
        <v>29081915200</v>
      </c>
      <c r="B7739" t="s">
        <v>2195</v>
      </c>
    </row>
    <row r="7740" spans="1:2" x14ac:dyDescent="0.25">
      <c r="A7740">
        <v>29081919</v>
      </c>
      <c r="B7740" t="s">
        <v>10</v>
      </c>
    </row>
    <row r="7741" spans="1:2" x14ac:dyDescent="0.25">
      <c r="A7741">
        <v>29081919100</v>
      </c>
      <c r="B7741" t="s">
        <v>2790</v>
      </c>
    </row>
    <row r="7742" spans="1:2" x14ac:dyDescent="0.25">
      <c r="A7742">
        <v>29081919200</v>
      </c>
      <c r="B7742" t="s">
        <v>2791</v>
      </c>
    </row>
    <row r="7743" spans="1:2" x14ac:dyDescent="0.25">
      <c r="A7743">
        <v>29081919900</v>
      </c>
      <c r="B7743" t="s">
        <v>10</v>
      </c>
    </row>
    <row r="7744" spans="1:2" x14ac:dyDescent="0.25">
      <c r="A7744">
        <v>2908192</v>
      </c>
      <c r="B7744" t="s">
        <v>2792</v>
      </c>
    </row>
    <row r="7745" spans="1:2" x14ac:dyDescent="0.25">
      <c r="A7745">
        <v>29081921000</v>
      </c>
      <c r="B7745" t="s">
        <v>2793</v>
      </c>
    </row>
    <row r="7746" spans="1:2" x14ac:dyDescent="0.25">
      <c r="A7746">
        <v>29081929</v>
      </c>
      <c r="B7746" t="s">
        <v>10</v>
      </c>
    </row>
    <row r="7747" spans="1:2" x14ac:dyDescent="0.25">
      <c r="A7747">
        <v>29081929100</v>
      </c>
      <c r="B7747" t="s">
        <v>2791</v>
      </c>
    </row>
    <row r="7748" spans="1:2" x14ac:dyDescent="0.25">
      <c r="A7748">
        <v>29081929900</v>
      </c>
      <c r="B7748" t="s">
        <v>10</v>
      </c>
    </row>
    <row r="7749" spans="1:2" x14ac:dyDescent="0.25">
      <c r="A7749">
        <v>29081990</v>
      </c>
      <c r="B7749" t="s">
        <v>10</v>
      </c>
    </row>
    <row r="7750" spans="1:2" x14ac:dyDescent="0.25">
      <c r="A7750">
        <v>29081990100</v>
      </c>
      <c r="B7750" t="s">
        <v>2791</v>
      </c>
    </row>
    <row r="7751" spans="1:2" x14ac:dyDescent="0.25">
      <c r="A7751">
        <v>29081990900</v>
      </c>
      <c r="B7751" t="s">
        <v>10</v>
      </c>
    </row>
    <row r="7752" spans="1:2" x14ac:dyDescent="0.25">
      <c r="A7752">
        <v>29089</v>
      </c>
      <c r="B7752" t="s">
        <v>28</v>
      </c>
    </row>
    <row r="7753" spans="1:2" x14ac:dyDescent="0.25">
      <c r="A7753">
        <v>29089100000</v>
      </c>
      <c r="B7753" t="e">
        <f>--Dinoseb (ISO) y sus sales</f>
        <v>#NAME?</v>
      </c>
    </row>
    <row r="7754" spans="1:2" x14ac:dyDescent="0.25">
      <c r="A7754">
        <v>29089200000</v>
      </c>
      <c r="B7754" t="s">
        <v>2794</v>
      </c>
    </row>
    <row r="7755" spans="1:2" x14ac:dyDescent="0.25">
      <c r="A7755">
        <v>290899</v>
      </c>
      <c r="B7755" t="e">
        <f>- - Los demas</f>
        <v>#NAME?</v>
      </c>
    </row>
    <row r="7756" spans="1:2" x14ac:dyDescent="0.25">
      <c r="A7756">
        <v>2908991</v>
      </c>
      <c r="B7756" t="s">
        <v>2795</v>
      </c>
    </row>
    <row r="7757" spans="1:2" x14ac:dyDescent="0.25">
      <c r="A7757">
        <v>29089912000</v>
      </c>
      <c r="B7757" t="s">
        <v>2796</v>
      </c>
    </row>
    <row r="7758" spans="1:2" x14ac:dyDescent="0.25">
      <c r="A7758">
        <v>29089913000</v>
      </c>
      <c r="B7758" t="s">
        <v>2797</v>
      </c>
    </row>
    <row r="7759" spans="1:2" x14ac:dyDescent="0.25">
      <c r="A7759">
        <v>29089919</v>
      </c>
      <c r="B7759" t="s">
        <v>10</v>
      </c>
    </row>
    <row r="7760" spans="1:2" x14ac:dyDescent="0.25">
      <c r="A7760">
        <v>290899191</v>
      </c>
      <c r="B7760" t="s">
        <v>2798</v>
      </c>
    </row>
    <row r="7761" spans="1:2" x14ac:dyDescent="0.25">
      <c r="A7761">
        <v>29089919110</v>
      </c>
      <c r="B7761" t="s">
        <v>2799</v>
      </c>
    </row>
    <row r="7762" spans="1:2" x14ac:dyDescent="0.25">
      <c r="A7762">
        <v>29089919120</v>
      </c>
      <c r="B7762" t="s">
        <v>2800</v>
      </c>
    </row>
    <row r="7763" spans="1:2" x14ac:dyDescent="0.25">
      <c r="A7763">
        <v>29089919130</v>
      </c>
      <c r="B7763" t="s">
        <v>2801</v>
      </c>
    </row>
    <row r="7764" spans="1:2" x14ac:dyDescent="0.25">
      <c r="A7764">
        <v>29089919140</v>
      </c>
      <c r="B7764" t="s">
        <v>2802</v>
      </c>
    </row>
    <row r="7765" spans="1:2" x14ac:dyDescent="0.25">
      <c r="A7765">
        <v>29089919150</v>
      </c>
      <c r="B7765" t="s">
        <v>2803</v>
      </c>
    </row>
    <row r="7766" spans="1:2" x14ac:dyDescent="0.25">
      <c r="A7766">
        <v>29089919160</v>
      </c>
      <c r="B7766" t="s">
        <v>2804</v>
      </c>
    </row>
    <row r="7767" spans="1:2" x14ac:dyDescent="0.25">
      <c r="A7767">
        <v>29089919900</v>
      </c>
      <c r="B7767" t="s">
        <v>10</v>
      </c>
    </row>
    <row r="7768" spans="1:2" x14ac:dyDescent="0.25">
      <c r="A7768">
        <v>2908992</v>
      </c>
      <c r="B7768" t="s">
        <v>2693</v>
      </c>
    </row>
    <row r="7769" spans="1:2" x14ac:dyDescent="0.25">
      <c r="A7769">
        <v>29089921000</v>
      </c>
      <c r="B7769" t="s">
        <v>2805</v>
      </c>
    </row>
    <row r="7770" spans="1:2" x14ac:dyDescent="0.25">
      <c r="A7770">
        <v>29089929</v>
      </c>
      <c r="B7770" t="s">
        <v>10</v>
      </c>
    </row>
    <row r="7771" spans="1:2" x14ac:dyDescent="0.25">
      <c r="A7771">
        <v>29089929100</v>
      </c>
      <c r="B7771" t="s">
        <v>2806</v>
      </c>
    </row>
    <row r="7772" spans="1:2" x14ac:dyDescent="0.25">
      <c r="A7772">
        <v>29089929900</v>
      </c>
      <c r="B7772" t="s">
        <v>10</v>
      </c>
    </row>
    <row r="7773" spans="1:2" x14ac:dyDescent="0.25">
      <c r="A7773">
        <v>29089930000</v>
      </c>
      <c r="B7773" t="s">
        <v>2807</v>
      </c>
    </row>
    <row r="7774" spans="1:2" x14ac:dyDescent="0.25">
      <c r="A7774">
        <v>29089990000</v>
      </c>
      <c r="B7774" t="s">
        <v>10</v>
      </c>
    </row>
    <row r="7775" spans="1:2" x14ac:dyDescent="0.25">
      <c r="A7775">
        <v>2909</v>
      </c>
      <c r="B7775" t="s">
        <v>2808</v>
      </c>
    </row>
    <row r="7776" spans="1:2" x14ac:dyDescent="0.25">
      <c r="A7776">
        <v>29091</v>
      </c>
      <c r="B7776" t="s">
        <v>2809</v>
      </c>
    </row>
    <row r="7777" spans="1:2" x14ac:dyDescent="0.25">
      <c r="A7777">
        <v>29091100</v>
      </c>
      <c r="B7777" t="e">
        <f>- - Eter dietilico (Oxido de dietilo)</f>
        <v>#NAME?</v>
      </c>
    </row>
    <row r="7778" spans="1:2" x14ac:dyDescent="0.25">
      <c r="A7778">
        <v>29091100100</v>
      </c>
      <c r="B7778" t="s">
        <v>1131</v>
      </c>
    </row>
    <row r="7779" spans="1:2" x14ac:dyDescent="0.25">
      <c r="A7779">
        <v>29091100900</v>
      </c>
      <c r="B7779" t="s">
        <v>10</v>
      </c>
    </row>
    <row r="7780" spans="1:2" x14ac:dyDescent="0.25">
      <c r="A7780">
        <v>290919</v>
      </c>
      <c r="B7780" t="e">
        <f>- - Los demas</f>
        <v>#NAME?</v>
      </c>
    </row>
    <row r="7781" spans="1:2" x14ac:dyDescent="0.25">
      <c r="A7781">
        <v>29091910</v>
      </c>
      <c r="B7781" t="s">
        <v>2810</v>
      </c>
    </row>
    <row r="7782" spans="1:2" x14ac:dyDescent="0.25">
      <c r="A7782">
        <v>29091910100</v>
      </c>
      <c r="B7782" t="s">
        <v>2811</v>
      </c>
    </row>
    <row r="7783" spans="1:2" x14ac:dyDescent="0.25">
      <c r="A7783">
        <v>29091910900</v>
      </c>
      <c r="B7783" t="s">
        <v>10</v>
      </c>
    </row>
    <row r="7784" spans="1:2" x14ac:dyDescent="0.25">
      <c r="A7784">
        <v>29091920000</v>
      </c>
      <c r="B7784" t="s">
        <v>2812</v>
      </c>
    </row>
    <row r="7785" spans="1:2" x14ac:dyDescent="0.25">
      <c r="A7785">
        <v>29091990</v>
      </c>
      <c r="B7785" t="s">
        <v>10</v>
      </c>
    </row>
    <row r="7786" spans="1:2" x14ac:dyDescent="0.25">
      <c r="A7786">
        <v>29091990100</v>
      </c>
      <c r="B7786" t="s">
        <v>2813</v>
      </c>
    </row>
    <row r="7787" spans="1:2" x14ac:dyDescent="0.25">
      <c r="A7787">
        <v>29091990200</v>
      </c>
      <c r="B7787" t="s">
        <v>2814</v>
      </c>
    </row>
    <row r="7788" spans="1:2" x14ac:dyDescent="0.25">
      <c r="A7788">
        <v>29091990300</v>
      </c>
      <c r="B7788" t="s">
        <v>2815</v>
      </c>
    </row>
    <row r="7789" spans="1:2" x14ac:dyDescent="0.25">
      <c r="A7789">
        <v>29091990400</v>
      </c>
      <c r="B7789" t="s">
        <v>2816</v>
      </c>
    </row>
    <row r="7790" spans="1:2" x14ac:dyDescent="0.25">
      <c r="A7790">
        <v>290919905</v>
      </c>
      <c r="B7790" t="s">
        <v>2817</v>
      </c>
    </row>
    <row r="7791" spans="1:2" x14ac:dyDescent="0.25">
      <c r="A7791">
        <v>29091990510</v>
      </c>
      <c r="B7791" t="s">
        <v>2811</v>
      </c>
    </row>
    <row r="7792" spans="1:2" x14ac:dyDescent="0.25">
      <c r="A7792">
        <v>29091990590</v>
      </c>
      <c r="B7792" t="s">
        <v>10</v>
      </c>
    </row>
    <row r="7793" spans="1:2" x14ac:dyDescent="0.25">
      <c r="A7793">
        <v>29091990900</v>
      </c>
      <c r="B7793" t="s">
        <v>10</v>
      </c>
    </row>
    <row r="7794" spans="1:2" x14ac:dyDescent="0.25">
      <c r="A7794">
        <v>29092000000</v>
      </c>
      <c r="B7794" t="e">
        <f>-Eteres Ciclanicos. ciclenicos. cicloterpenicos. y sus derivados halogenados. sulfonados. nitrados o nitrosados</f>
        <v>#NAME?</v>
      </c>
    </row>
    <row r="7795" spans="1:2" x14ac:dyDescent="0.25">
      <c r="A7795">
        <v>290930</v>
      </c>
      <c r="B7795" t="e">
        <f>- Ã‰teres aromaticos y sus derivados halogenados. sulfonados. nitrados o nitrosados</f>
        <v>#NAME?</v>
      </c>
    </row>
    <row r="7796" spans="1:2" x14ac:dyDescent="0.25">
      <c r="A7796">
        <v>2909301</v>
      </c>
      <c r="B7796" t="s">
        <v>2818</v>
      </c>
    </row>
    <row r="7797" spans="1:2" x14ac:dyDescent="0.25">
      <c r="A7797">
        <v>29093011000</v>
      </c>
      <c r="B7797" t="s">
        <v>2819</v>
      </c>
    </row>
    <row r="7798" spans="1:2" x14ac:dyDescent="0.25">
      <c r="A7798">
        <v>29093012000</v>
      </c>
      <c r="B7798" t="s">
        <v>2820</v>
      </c>
    </row>
    <row r="7799" spans="1:2" x14ac:dyDescent="0.25">
      <c r="A7799">
        <v>29093013000</v>
      </c>
      <c r="B7799" t="s">
        <v>2821</v>
      </c>
    </row>
    <row r="7800" spans="1:2" x14ac:dyDescent="0.25">
      <c r="A7800">
        <v>29093014000</v>
      </c>
      <c r="B7800" t="s">
        <v>2822</v>
      </c>
    </row>
    <row r="7801" spans="1:2" x14ac:dyDescent="0.25">
      <c r="A7801">
        <v>29093019</v>
      </c>
      <c r="B7801" t="s">
        <v>10</v>
      </c>
    </row>
    <row r="7802" spans="1:2" x14ac:dyDescent="0.25">
      <c r="A7802">
        <v>29093019100</v>
      </c>
      <c r="B7802" t="s">
        <v>2823</v>
      </c>
    </row>
    <row r="7803" spans="1:2" x14ac:dyDescent="0.25">
      <c r="A7803">
        <v>29093019900</v>
      </c>
      <c r="B7803" t="s">
        <v>10</v>
      </c>
    </row>
    <row r="7804" spans="1:2" x14ac:dyDescent="0.25">
      <c r="A7804">
        <v>2909302</v>
      </c>
      <c r="B7804" t="s">
        <v>2824</v>
      </c>
    </row>
    <row r="7805" spans="1:2" x14ac:dyDescent="0.25">
      <c r="A7805">
        <v>29093021000</v>
      </c>
      <c r="B7805" t="s">
        <v>2825</v>
      </c>
    </row>
    <row r="7806" spans="1:2" x14ac:dyDescent="0.25">
      <c r="A7806">
        <v>29093029</v>
      </c>
      <c r="B7806" t="s">
        <v>10</v>
      </c>
    </row>
    <row r="7807" spans="1:2" x14ac:dyDescent="0.25">
      <c r="A7807">
        <v>29093029100</v>
      </c>
      <c r="B7807" t="s">
        <v>2826</v>
      </c>
    </row>
    <row r="7808" spans="1:2" x14ac:dyDescent="0.25">
      <c r="A7808">
        <v>29093029900</v>
      </c>
      <c r="B7808" t="s">
        <v>10</v>
      </c>
    </row>
    <row r="7809" spans="1:2" x14ac:dyDescent="0.25">
      <c r="A7809">
        <v>29094</v>
      </c>
      <c r="B7809" t="s">
        <v>2827</v>
      </c>
    </row>
    <row r="7810" spans="1:2" x14ac:dyDescent="0.25">
      <c r="A7810">
        <v>29094100000</v>
      </c>
      <c r="B7810" t="s">
        <v>2828</v>
      </c>
    </row>
    <row r="7811" spans="1:2" x14ac:dyDescent="0.25">
      <c r="A7811">
        <v>290943</v>
      </c>
      <c r="B7811" t="e">
        <f>- - Eteres monobutilicos del Etilenglicol o del dietilenglicol</f>
        <v>#NAME?</v>
      </c>
    </row>
    <row r="7812" spans="1:2" x14ac:dyDescent="0.25">
      <c r="A7812">
        <v>29094310000</v>
      </c>
      <c r="B7812" t="s">
        <v>2829</v>
      </c>
    </row>
    <row r="7813" spans="1:2" x14ac:dyDescent="0.25">
      <c r="A7813">
        <v>29094320000</v>
      </c>
      <c r="B7813" t="s">
        <v>2830</v>
      </c>
    </row>
    <row r="7814" spans="1:2" x14ac:dyDescent="0.25">
      <c r="A7814">
        <v>290944</v>
      </c>
      <c r="B7814" t="e">
        <f>- - Los demas Eteres monoalquilicos del Etilenglicol o del dietilenglicol</f>
        <v>#NAME?</v>
      </c>
    </row>
    <row r="7815" spans="1:2" x14ac:dyDescent="0.25">
      <c r="A7815">
        <v>2909441</v>
      </c>
      <c r="B7815" t="s">
        <v>2829</v>
      </c>
    </row>
    <row r="7816" spans="1:2" x14ac:dyDescent="0.25">
      <c r="A7816">
        <v>29094411000</v>
      </c>
      <c r="B7816" t="s">
        <v>2831</v>
      </c>
    </row>
    <row r="7817" spans="1:2" x14ac:dyDescent="0.25">
      <c r="A7817">
        <v>29094412000</v>
      </c>
      <c r="B7817" t="s">
        <v>2832</v>
      </c>
    </row>
    <row r="7818" spans="1:2" x14ac:dyDescent="0.25">
      <c r="A7818">
        <v>29094413000</v>
      </c>
      <c r="B7818" t="s">
        <v>2833</v>
      </c>
    </row>
    <row r="7819" spans="1:2" x14ac:dyDescent="0.25">
      <c r="A7819">
        <v>29094419000</v>
      </c>
      <c r="B7819" t="s">
        <v>10</v>
      </c>
    </row>
    <row r="7820" spans="1:2" x14ac:dyDescent="0.25">
      <c r="A7820">
        <v>2909442</v>
      </c>
      <c r="B7820" t="s">
        <v>2830</v>
      </c>
    </row>
    <row r="7821" spans="1:2" x14ac:dyDescent="0.25">
      <c r="A7821">
        <v>29094421000</v>
      </c>
      <c r="B7821" t="s">
        <v>2831</v>
      </c>
    </row>
    <row r="7822" spans="1:2" x14ac:dyDescent="0.25">
      <c r="A7822">
        <v>29094429000</v>
      </c>
      <c r="B7822" t="s">
        <v>10</v>
      </c>
    </row>
    <row r="7823" spans="1:2" x14ac:dyDescent="0.25">
      <c r="A7823">
        <v>290949</v>
      </c>
      <c r="B7823" t="e">
        <f>- - Los demas</f>
        <v>#NAME?</v>
      </c>
    </row>
    <row r="7824" spans="1:2" x14ac:dyDescent="0.25">
      <c r="A7824">
        <v>29094910000</v>
      </c>
      <c r="B7824" t="s">
        <v>2834</v>
      </c>
    </row>
    <row r="7825" spans="1:2" x14ac:dyDescent="0.25">
      <c r="A7825">
        <v>2909492</v>
      </c>
      <c r="B7825" t="s">
        <v>2835</v>
      </c>
    </row>
    <row r="7826" spans="1:2" x14ac:dyDescent="0.25">
      <c r="A7826">
        <v>29094921000</v>
      </c>
      <c r="B7826" t="s">
        <v>2836</v>
      </c>
    </row>
    <row r="7827" spans="1:2" x14ac:dyDescent="0.25">
      <c r="A7827">
        <v>29094922000</v>
      </c>
      <c r="B7827" t="s">
        <v>2837</v>
      </c>
    </row>
    <row r="7828" spans="1:2" x14ac:dyDescent="0.25">
      <c r="A7828">
        <v>29094923000</v>
      </c>
      <c r="B7828" t="s">
        <v>2838</v>
      </c>
    </row>
    <row r="7829" spans="1:2" x14ac:dyDescent="0.25">
      <c r="A7829">
        <v>29094924000</v>
      </c>
      <c r="B7829" t="s">
        <v>2839</v>
      </c>
    </row>
    <row r="7830" spans="1:2" x14ac:dyDescent="0.25">
      <c r="A7830">
        <v>29094929000</v>
      </c>
      <c r="B7830" t="s">
        <v>10</v>
      </c>
    </row>
    <row r="7831" spans="1:2" x14ac:dyDescent="0.25">
      <c r="A7831">
        <v>2909493</v>
      </c>
      <c r="B7831" t="s">
        <v>2840</v>
      </c>
    </row>
    <row r="7832" spans="1:2" x14ac:dyDescent="0.25">
      <c r="A7832">
        <v>29094931000</v>
      </c>
      <c r="B7832" t="s">
        <v>2841</v>
      </c>
    </row>
    <row r="7833" spans="1:2" x14ac:dyDescent="0.25">
      <c r="A7833">
        <v>29094932</v>
      </c>
      <c r="B7833" t="s">
        <v>2842</v>
      </c>
    </row>
    <row r="7834" spans="1:2" x14ac:dyDescent="0.25">
      <c r="A7834">
        <v>290949321</v>
      </c>
      <c r="B7834" t="s">
        <v>2843</v>
      </c>
    </row>
    <row r="7835" spans="1:2" x14ac:dyDescent="0.25">
      <c r="A7835">
        <v>29094932110</v>
      </c>
      <c r="B7835" t="s">
        <v>2844</v>
      </c>
    </row>
    <row r="7836" spans="1:2" x14ac:dyDescent="0.25">
      <c r="A7836">
        <v>29094932190</v>
      </c>
      <c r="B7836" t="s">
        <v>10</v>
      </c>
    </row>
    <row r="7837" spans="1:2" x14ac:dyDescent="0.25">
      <c r="A7837">
        <v>29094932200</v>
      </c>
      <c r="B7837" t="s">
        <v>2845</v>
      </c>
    </row>
    <row r="7838" spans="1:2" x14ac:dyDescent="0.25">
      <c r="A7838">
        <v>29094932300</v>
      </c>
      <c r="B7838" t="s">
        <v>2846</v>
      </c>
    </row>
    <row r="7839" spans="1:2" x14ac:dyDescent="0.25">
      <c r="A7839">
        <v>29094939000</v>
      </c>
      <c r="B7839" t="s">
        <v>10</v>
      </c>
    </row>
    <row r="7840" spans="1:2" x14ac:dyDescent="0.25">
      <c r="A7840">
        <v>2909494</v>
      </c>
      <c r="B7840" t="s">
        <v>2847</v>
      </c>
    </row>
    <row r="7841" spans="1:2" x14ac:dyDescent="0.25">
      <c r="A7841">
        <v>29094941000</v>
      </c>
      <c r="B7841" t="s">
        <v>2848</v>
      </c>
    </row>
    <row r="7842" spans="1:2" x14ac:dyDescent="0.25">
      <c r="A7842">
        <v>29094949000</v>
      </c>
      <c r="B7842" t="s">
        <v>10</v>
      </c>
    </row>
    <row r="7843" spans="1:2" x14ac:dyDescent="0.25">
      <c r="A7843">
        <v>29094950000</v>
      </c>
      <c r="B7843" t="s">
        <v>2849</v>
      </c>
    </row>
    <row r="7844" spans="1:2" x14ac:dyDescent="0.25">
      <c r="A7844">
        <v>29094990</v>
      </c>
      <c r="B7844" t="s">
        <v>10</v>
      </c>
    </row>
    <row r="7845" spans="1:2" x14ac:dyDescent="0.25">
      <c r="A7845">
        <v>29094990100</v>
      </c>
      <c r="B7845" t="s">
        <v>2740</v>
      </c>
    </row>
    <row r="7846" spans="1:2" x14ac:dyDescent="0.25">
      <c r="A7846">
        <v>29094990900</v>
      </c>
      <c r="B7846" t="s">
        <v>10</v>
      </c>
    </row>
    <row r="7847" spans="1:2" x14ac:dyDescent="0.25">
      <c r="A7847">
        <v>290950</v>
      </c>
      <c r="B7847" t="e">
        <f>- Ã‰teres-fenoles. Eteres-Alcoholes-fenoles. y sus derivados halogenados. sulfonados. nitrados o nitrosados</f>
        <v>#NAME?</v>
      </c>
    </row>
    <row r="7848" spans="1:2" x14ac:dyDescent="0.25">
      <c r="A7848">
        <v>2909501</v>
      </c>
      <c r="B7848" t="s">
        <v>2850</v>
      </c>
    </row>
    <row r="7849" spans="1:2" x14ac:dyDescent="0.25">
      <c r="A7849">
        <v>29095011000</v>
      </c>
      <c r="B7849" t="s">
        <v>2851</v>
      </c>
    </row>
    <row r="7850" spans="1:2" x14ac:dyDescent="0.25">
      <c r="A7850">
        <v>29095012000</v>
      </c>
      <c r="B7850" t="s">
        <v>2852</v>
      </c>
    </row>
    <row r="7851" spans="1:2" x14ac:dyDescent="0.25">
      <c r="A7851">
        <v>29095013000</v>
      </c>
      <c r="B7851" t="s">
        <v>2853</v>
      </c>
    </row>
    <row r="7852" spans="1:2" x14ac:dyDescent="0.25">
      <c r="A7852">
        <v>29095019</v>
      </c>
      <c r="B7852" t="s">
        <v>10</v>
      </c>
    </row>
    <row r="7853" spans="1:2" x14ac:dyDescent="0.25">
      <c r="A7853">
        <v>29095019100</v>
      </c>
      <c r="B7853" t="s">
        <v>2854</v>
      </c>
    </row>
    <row r="7854" spans="1:2" x14ac:dyDescent="0.25">
      <c r="A7854">
        <v>29095019200</v>
      </c>
      <c r="B7854" t="s">
        <v>2824</v>
      </c>
    </row>
    <row r="7855" spans="1:2" x14ac:dyDescent="0.25">
      <c r="A7855">
        <v>29095019900</v>
      </c>
      <c r="B7855" t="s">
        <v>10</v>
      </c>
    </row>
    <row r="7856" spans="1:2" x14ac:dyDescent="0.25">
      <c r="A7856">
        <v>29095090</v>
      </c>
      <c r="B7856" t="s">
        <v>10</v>
      </c>
    </row>
    <row r="7857" spans="1:2" x14ac:dyDescent="0.25">
      <c r="A7857">
        <v>29095090100</v>
      </c>
      <c r="B7857" t="s">
        <v>2824</v>
      </c>
    </row>
    <row r="7858" spans="1:2" x14ac:dyDescent="0.25">
      <c r="A7858">
        <v>29095090200</v>
      </c>
      <c r="B7858" t="s">
        <v>2791</v>
      </c>
    </row>
    <row r="7859" spans="1:2" x14ac:dyDescent="0.25">
      <c r="A7859">
        <v>29095090900</v>
      </c>
      <c r="B7859" t="s">
        <v>10</v>
      </c>
    </row>
    <row r="7860" spans="1:2" x14ac:dyDescent="0.25">
      <c r="A7860">
        <v>290960</v>
      </c>
      <c r="B7860" t="e">
        <f>- Peroxidos de alcoholes. Peroxidos de eteres. Peroxidos de cetonas. y sus derivados halogenados. sulfonados. nitrados o nitrosados</f>
        <v>#NAME?</v>
      </c>
    </row>
    <row r="7861" spans="1:2" x14ac:dyDescent="0.25">
      <c r="A7861">
        <v>2909601</v>
      </c>
      <c r="B7861" t="s">
        <v>2855</v>
      </c>
    </row>
    <row r="7862" spans="1:2" x14ac:dyDescent="0.25">
      <c r="A7862">
        <v>29096011000</v>
      </c>
      <c r="B7862" t="s">
        <v>2856</v>
      </c>
    </row>
    <row r="7863" spans="1:2" x14ac:dyDescent="0.25">
      <c r="A7863">
        <v>29096012000</v>
      </c>
      <c r="B7863" t="s">
        <v>2857</v>
      </c>
    </row>
    <row r="7864" spans="1:2" x14ac:dyDescent="0.25">
      <c r="A7864">
        <v>29096013000</v>
      </c>
      <c r="B7864" t="s">
        <v>2858</v>
      </c>
    </row>
    <row r="7865" spans="1:2" x14ac:dyDescent="0.25">
      <c r="A7865">
        <v>29096019000</v>
      </c>
      <c r="B7865" t="s">
        <v>10</v>
      </c>
    </row>
    <row r="7866" spans="1:2" x14ac:dyDescent="0.25">
      <c r="A7866">
        <v>29096020000</v>
      </c>
      <c r="B7866" t="s">
        <v>2859</v>
      </c>
    </row>
    <row r="7867" spans="1:2" x14ac:dyDescent="0.25">
      <c r="A7867">
        <v>2910</v>
      </c>
      <c r="B7867" t="s">
        <v>2860</v>
      </c>
    </row>
    <row r="7868" spans="1:2" x14ac:dyDescent="0.25">
      <c r="A7868">
        <v>29101000000</v>
      </c>
      <c r="B7868" t="e">
        <f>-Oxirano (Oxido de Etileno)</f>
        <v>#NAME?</v>
      </c>
    </row>
    <row r="7869" spans="1:2" x14ac:dyDescent="0.25">
      <c r="A7869">
        <v>29102000000</v>
      </c>
      <c r="B7869" t="e">
        <f>-Metiloxirano (Oxido de propileno)</f>
        <v>#NAME?</v>
      </c>
    </row>
    <row r="7870" spans="1:2" x14ac:dyDescent="0.25">
      <c r="A7870">
        <v>29103000000</v>
      </c>
      <c r="B7870" t="s">
        <v>2861</v>
      </c>
    </row>
    <row r="7871" spans="1:2" x14ac:dyDescent="0.25">
      <c r="A7871">
        <v>29104000000</v>
      </c>
      <c r="B7871" t="e">
        <f>-Dieldrina (ISO. DCI)</f>
        <v>#NAME?</v>
      </c>
    </row>
    <row r="7872" spans="1:2" x14ac:dyDescent="0.25">
      <c r="A7872">
        <v>29105000000</v>
      </c>
      <c r="B7872" t="e">
        <f>-Endrina (ISO)</f>
        <v>#NAME?</v>
      </c>
    </row>
    <row r="7873" spans="1:2" x14ac:dyDescent="0.25">
      <c r="A7873">
        <v>291090</v>
      </c>
      <c r="B7873" t="e">
        <f>- Los demas</f>
        <v>#NAME?</v>
      </c>
    </row>
    <row r="7874" spans="1:2" x14ac:dyDescent="0.25">
      <c r="A7874">
        <v>29109010000</v>
      </c>
      <c r="B7874" t="s">
        <v>2862</v>
      </c>
    </row>
    <row r="7875" spans="1:2" x14ac:dyDescent="0.25">
      <c r="A7875">
        <v>29109090000</v>
      </c>
      <c r="B7875" t="s">
        <v>10</v>
      </c>
    </row>
    <row r="7876" spans="1:2" x14ac:dyDescent="0.25">
      <c r="A7876">
        <v>291100</v>
      </c>
      <c r="B7876" t="s">
        <v>2863</v>
      </c>
    </row>
    <row r="7877" spans="1:2" x14ac:dyDescent="0.25">
      <c r="A7877">
        <v>29110010000</v>
      </c>
      <c r="B7877" t="s">
        <v>2864</v>
      </c>
    </row>
    <row r="7878" spans="1:2" x14ac:dyDescent="0.25">
      <c r="A7878">
        <v>29110090</v>
      </c>
      <c r="B7878" t="s">
        <v>10</v>
      </c>
    </row>
    <row r="7879" spans="1:2" x14ac:dyDescent="0.25">
      <c r="A7879">
        <v>29110090100</v>
      </c>
      <c r="B7879" t="s">
        <v>2865</v>
      </c>
    </row>
    <row r="7880" spans="1:2" x14ac:dyDescent="0.25">
      <c r="A7880">
        <v>29110090900</v>
      </c>
      <c r="B7880" t="s">
        <v>10</v>
      </c>
    </row>
    <row r="7881" spans="1:2" x14ac:dyDescent="0.25">
      <c r="A7881">
        <v>2912</v>
      </c>
      <c r="B7881" t="s">
        <v>2866</v>
      </c>
    </row>
    <row r="7882" spans="1:2" x14ac:dyDescent="0.25">
      <c r="A7882">
        <v>29121</v>
      </c>
      <c r="B7882" t="s">
        <v>2867</v>
      </c>
    </row>
    <row r="7883" spans="1:2" x14ac:dyDescent="0.25">
      <c r="A7883">
        <v>29121100000</v>
      </c>
      <c r="B7883" t="e">
        <f>--Metanal (formaldehido)</f>
        <v>#NAME?</v>
      </c>
    </row>
    <row r="7884" spans="1:2" x14ac:dyDescent="0.25">
      <c r="A7884">
        <v>29121200000</v>
      </c>
      <c r="B7884" t="e">
        <f>--Etanal (acetaldehido)</f>
        <v>#NAME?</v>
      </c>
    </row>
    <row r="7885" spans="1:2" x14ac:dyDescent="0.25">
      <c r="A7885">
        <v>291219</v>
      </c>
      <c r="B7885" t="e">
        <f>- - Los demas</f>
        <v>#NAME?</v>
      </c>
    </row>
    <row r="7886" spans="1:2" x14ac:dyDescent="0.25">
      <c r="A7886">
        <v>2912191</v>
      </c>
      <c r="B7886" t="s">
        <v>2868</v>
      </c>
    </row>
    <row r="7887" spans="1:2" x14ac:dyDescent="0.25">
      <c r="A7887">
        <v>29121911000</v>
      </c>
      <c r="B7887" t="s">
        <v>2869</v>
      </c>
    </row>
    <row r="7888" spans="1:2" x14ac:dyDescent="0.25">
      <c r="A7888">
        <v>29121912000</v>
      </c>
      <c r="B7888" t="s">
        <v>2870</v>
      </c>
    </row>
    <row r="7889" spans="1:2" x14ac:dyDescent="0.25">
      <c r="A7889">
        <v>29121919000</v>
      </c>
      <c r="B7889" t="s">
        <v>10</v>
      </c>
    </row>
    <row r="7890" spans="1:2" x14ac:dyDescent="0.25">
      <c r="A7890">
        <v>2912192</v>
      </c>
      <c r="B7890" t="s">
        <v>2871</v>
      </c>
    </row>
    <row r="7891" spans="1:2" x14ac:dyDescent="0.25">
      <c r="A7891">
        <v>29121921000</v>
      </c>
      <c r="B7891" t="s">
        <v>2872</v>
      </c>
    </row>
    <row r="7892" spans="1:2" x14ac:dyDescent="0.25">
      <c r="A7892">
        <v>29121922000</v>
      </c>
      <c r="B7892" t="s">
        <v>2873</v>
      </c>
    </row>
    <row r="7893" spans="1:2" x14ac:dyDescent="0.25">
      <c r="A7893">
        <v>29121923000</v>
      </c>
      <c r="B7893" t="s">
        <v>2874</v>
      </c>
    </row>
    <row r="7894" spans="1:2" x14ac:dyDescent="0.25">
      <c r="A7894">
        <v>29121929000</v>
      </c>
      <c r="B7894" t="s">
        <v>10</v>
      </c>
    </row>
    <row r="7895" spans="1:2" x14ac:dyDescent="0.25">
      <c r="A7895">
        <v>2912199</v>
      </c>
      <c r="B7895" t="s">
        <v>10</v>
      </c>
    </row>
    <row r="7896" spans="1:2" x14ac:dyDescent="0.25">
      <c r="A7896">
        <v>29121991000</v>
      </c>
      <c r="B7896" t="s">
        <v>2875</v>
      </c>
    </row>
    <row r="7897" spans="1:2" x14ac:dyDescent="0.25">
      <c r="A7897">
        <v>29121999000</v>
      </c>
      <c r="B7897" t="s">
        <v>10</v>
      </c>
    </row>
    <row r="7898" spans="1:2" x14ac:dyDescent="0.25">
      <c r="A7898">
        <v>29122</v>
      </c>
      <c r="B7898" t="s">
        <v>2876</v>
      </c>
    </row>
    <row r="7899" spans="1:2" x14ac:dyDescent="0.25">
      <c r="A7899">
        <v>29122100</v>
      </c>
      <c r="B7899" t="e">
        <f>- - Benzaldehido (aldehido benzoico)</f>
        <v>#NAME?</v>
      </c>
    </row>
    <row r="7900" spans="1:2" x14ac:dyDescent="0.25">
      <c r="A7900">
        <v>29122100100</v>
      </c>
      <c r="B7900" t="s">
        <v>1131</v>
      </c>
    </row>
    <row r="7901" spans="1:2" x14ac:dyDescent="0.25">
      <c r="A7901">
        <v>29122100900</v>
      </c>
      <c r="B7901" t="s">
        <v>10</v>
      </c>
    </row>
    <row r="7902" spans="1:2" x14ac:dyDescent="0.25">
      <c r="A7902">
        <v>291229</v>
      </c>
      <c r="B7902" t="e">
        <f>- - Los demas</f>
        <v>#NAME?</v>
      </c>
    </row>
    <row r="7903" spans="1:2" x14ac:dyDescent="0.25">
      <c r="A7903">
        <v>29122910000</v>
      </c>
      <c r="B7903" t="s">
        <v>2877</v>
      </c>
    </row>
    <row r="7904" spans="1:2" x14ac:dyDescent="0.25">
      <c r="A7904">
        <v>29122920000</v>
      </c>
      <c r="B7904" t="s">
        <v>2878</v>
      </c>
    </row>
    <row r="7905" spans="1:2" x14ac:dyDescent="0.25">
      <c r="A7905">
        <v>29122990000</v>
      </c>
      <c r="B7905" t="s">
        <v>10</v>
      </c>
    </row>
    <row r="7906" spans="1:2" x14ac:dyDescent="0.25">
      <c r="A7906">
        <v>29124</v>
      </c>
      <c r="B7906" t="s">
        <v>2879</v>
      </c>
    </row>
    <row r="7907" spans="1:2" x14ac:dyDescent="0.25">
      <c r="A7907">
        <v>29124100000</v>
      </c>
      <c r="B7907" t="e">
        <f>--Vainillina (aldehido metilprotocatequico)</f>
        <v>#NAME?</v>
      </c>
    </row>
    <row r="7908" spans="1:2" x14ac:dyDescent="0.25">
      <c r="A7908">
        <v>29124200000</v>
      </c>
      <c r="B7908" t="e">
        <f>--Etilvainillina (aldehido etilprotocatequico)</f>
        <v>#NAME?</v>
      </c>
    </row>
    <row r="7909" spans="1:2" x14ac:dyDescent="0.25">
      <c r="A7909">
        <v>291249</v>
      </c>
      <c r="B7909" t="e">
        <f>- - Los demas</f>
        <v>#NAME?</v>
      </c>
    </row>
    <row r="7910" spans="1:2" x14ac:dyDescent="0.25">
      <c r="A7910">
        <v>29124910000</v>
      </c>
      <c r="B7910" t="s">
        <v>2880</v>
      </c>
    </row>
    <row r="7911" spans="1:2" x14ac:dyDescent="0.25">
      <c r="A7911">
        <v>29124920000</v>
      </c>
      <c r="B7911" t="s">
        <v>2881</v>
      </c>
    </row>
    <row r="7912" spans="1:2" x14ac:dyDescent="0.25">
      <c r="A7912">
        <v>29124930000</v>
      </c>
      <c r="B7912" t="s">
        <v>2882</v>
      </c>
    </row>
    <row r="7913" spans="1:2" x14ac:dyDescent="0.25">
      <c r="A7913">
        <v>2912494</v>
      </c>
      <c r="B7913" t="s">
        <v>2883</v>
      </c>
    </row>
    <row r="7914" spans="1:2" x14ac:dyDescent="0.25">
      <c r="A7914">
        <v>29124941000</v>
      </c>
      <c r="B7914" t="s">
        <v>2884</v>
      </c>
    </row>
    <row r="7915" spans="1:2" x14ac:dyDescent="0.25">
      <c r="A7915">
        <v>29124949</v>
      </c>
      <c r="B7915" t="s">
        <v>10</v>
      </c>
    </row>
    <row r="7916" spans="1:2" x14ac:dyDescent="0.25">
      <c r="A7916">
        <v>29124949100</v>
      </c>
      <c r="B7916" t="s">
        <v>2778</v>
      </c>
    </row>
    <row r="7917" spans="1:2" x14ac:dyDescent="0.25">
      <c r="A7917">
        <v>29124949900</v>
      </c>
      <c r="B7917" t="s">
        <v>10</v>
      </c>
    </row>
    <row r="7918" spans="1:2" x14ac:dyDescent="0.25">
      <c r="A7918">
        <v>29124990000</v>
      </c>
      <c r="B7918" t="s">
        <v>10</v>
      </c>
    </row>
    <row r="7919" spans="1:2" x14ac:dyDescent="0.25">
      <c r="A7919">
        <v>29125000</v>
      </c>
      <c r="B7919" t="e">
        <f>-Polimeros ciclicos de Los Aldehidos</f>
        <v>#NAME?</v>
      </c>
    </row>
    <row r="7920" spans="1:2" x14ac:dyDescent="0.25">
      <c r="A7920">
        <v>291250001</v>
      </c>
      <c r="B7920" t="s">
        <v>2450</v>
      </c>
    </row>
    <row r="7921" spans="1:2" x14ac:dyDescent="0.25">
      <c r="A7921">
        <v>29125000110</v>
      </c>
      <c r="B7921" t="s">
        <v>2885</v>
      </c>
    </row>
    <row r="7922" spans="1:2" x14ac:dyDescent="0.25">
      <c r="A7922">
        <v>29125000190</v>
      </c>
      <c r="B7922" t="s">
        <v>10</v>
      </c>
    </row>
    <row r="7923" spans="1:2" x14ac:dyDescent="0.25">
      <c r="A7923">
        <v>29125000900</v>
      </c>
      <c r="B7923" t="s">
        <v>10</v>
      </c>
    </row>
    <row r="7924" spans="1:2" x14ac:dyDescent="0.25">
      <c r="A7924">
        <v>29126000000</v>
      </c>
      <c r="B7924" t="e">
        <f>-Paraformaldehido</f>
        <v>#NAME?</v>
      </c>
    </row>
    <row r="7925" spans="1:2" x14ac:dyDescent="0.25">
      <c r="A7925">
        <v>291300</v>
      </c>
      <c r="B7925" t="s">
        <v>2886</v>
      </c>
    </row>
    <row r="7926" spans="1:2" x14ac:dyDescent="0.25">
      <c r="A7926">
        <v>29130010000</v>
      </c>
      <c r="B7926" t="s">
        <v>2887</v>
      </c>
    </row>
    <row r="7927" spans="1:2" x14ac:dyDescent="0.25">
      <c r="A7927">
        <v>29130090000</v>
      </c>
      <c r="B7927" t="s">
        <v>10</v>
      </c>
    </row>
    <row r="7928" spans="1:2" x14ac:dyDescent="0.25">
      <c r="A7928">
        <v>2914</v>
      </c>
      <c r="B7928" t="s">
        <v>2888</v>
      </c>
    </row>
    <row r="7929" spans="1:2" x14ac:dyDescent="0.25">
      <c r="A7929">
        <v>29141</v>
      </c>
      <c r="B7929" t="s">
        <v>2889</v>
      </c>
    </row>
    <row r="7930" spans="1:2" x14ac:dyDescent="0.25">
      <c r="A7930">
        <v>29141100</v>
      </c>
      <c r="B7930" t="e">
        <f>- - Acetona</f>
        <v>#NAME?</v>
      </c>
    </row>
    <row r="7931" spans="1:2" x14ac:dyDescent="0.25">
      <c r="A7931">
        <v>29141100100</v>
      </c>
      <c r="B7931" t="s">
        <v>1131</v>
      </c>
    </row>
    <row r="7932" spans="1:2" x14ac:dyDescent="0.25">
      <c r="A7932">
        <v>29141100900</v>
      </c>
      <c r="B7932" t="s">
        <v>57</v>
      </c>
    </row>
    <row r="7933" spans="1:2" x14ac:dyDescent="0.25">
      <c r="A7933">
        <v>29141200</v>
      </c>
      <c r="B7933" t="e">
        <f>- - Butanona (metiletilcetona)</f>
        <v>#NAME?</v>
      </c>
    </row>
    <row r="7934" spans="1:2" x14ac:dyDescent="0.25">
      <c r="A7934">
        <v>29141200100</v>
      </c>
      <c r="B7934" t="s">
        <v>1131</v>
      </c>
    </row>
    <row r="7935" spans="1:2" x14ac:dyDescent="0.25">
      <c r="A7935">
        <v>29141200900</v>
      </c>
      <c r="B7935" t="s">
        <v>57</v>
      </c>
    </row>
    <row r="7936" spans="1:2" x14ac:dyDescent="0.25">
      <c r="A7936">
        <v>29141300</v>
      </c>
      <c r="B7936" t="e">
        <f>- - 4-Metilpentan-2-ona (metilisobutilcetona)</f>
        <v>#NAME?</v>
      </c>
    </row>
    <row r="7937" spans="1:2" x14ac:dyDescent="0.25">
      <c r="A7937">
        <v>29141300100</v>
      </c>
      <c r="B7937" t="s">
        <v>1131</v>
      </c>
    </row>
    <row r="7938" spans="1:2" x14ac:dyDescent="0.25">
      <c r="A7938">
        <v>29141300900</v>
      </c>
      <c r="B7938" t="s">
        <v>57</v>
      </c>
    </row>
    <row r="7939" spans="1:2" x14ac:dyDescent="0.25">
      <c r="A7939">
        <v>291419</v>
      </c>
      <c r="B7939" t="e">
        <f>- - las demas</f>
        <v>#NAME?</v>
      </c>
    </row>
    <row r="7940" spans="1:2" x14ac:dyDescent="0.25">
      <c r="A7940">
        <v>29141910000</v>
      </c>
      <c r="B7940" t="s">
        <v>2890</v>
      </c>
    </row>
    <row r="7941" spans="1:2" x14ac:dyDescent="0.25">
      <c r="A7941">
        <v>2914192</v>
      </c>
      <c r="B7941" t="s">
        <v>2891</v>
      </c>
    </row>
    <row r="7942" spans="1:2" x14ac:dyDescent="0.25">
      <c r="A7942">
        <v>29141921000</v>
      </c>
      <c r="B7942" t="s">
        <v>2892</v>
      </c>
    </row>
    <row r="7943" spans="1:2" x14ac:dyDescent="0.25">
      <c r="A7943">
        <v>29141922000</v>
      </c>
      <c r="B7943" t="s">
        <v>2893</v>
      </c>
    </row>
    <row r="7944" spans="1:2" x14ac:dyDescent="0.25">
      <c r="A7944">
        <v>29141923000</v>
      </c>
      <c r="B7944" t="s">
        <v>2894</v>
      </c>
    </row>
    <row r="7945" spans="1:2" x14ac:dyDescent="0.25">
      <c r="A7945">
        <v>29141929000</v>
      </c>
      <c r="B7945" t="s">
        <v>57</v>
      </c>
    </row>
    <row r="7946" spans="1:2" x14ac:dyDescent="0.25">
      <c r="A7946">
        <v>29141930000</v>
      </c>
      <c r="B7946" t="s">
        <v>2895</v>
      </c>
    </row>
    <row r="7947" spans="1:2" x14ac:dyDescent="0.25">
      <c r="A7947">
        <v>29141940000</v>
      </c>
      <c r="B7947" t="s">
        <v>2896</v>
      </c>
    </row>
    <row r="7948" spans="1:2" x14ac:dyDescent="0.25">
      <c r="A7948">
        <v>29141950000</v>
      </c>
      <c r="B7948" t="s">
        <v>2897</v>
      </c>
    </row>
    <row r="7949" spans="1:2" x14ac:dyDescent="0.25">
      <c r="A7949">
        <v>29141990</v>
      </c>
      <c r="B7949" t="s">
        <v>57</v>
      </c>
    </row>
    <row r="7950" spans="1:2" x14ac:dyDescent="0.25">
      <c r="A7950">
        <v>29141990100</v>
      </c>
      <c r="B7950" t="s">
        <v>2898</v>
      </c>
    </row>
    <row r="7951" spans="1:2" x14ac:dyDescent="0.25">
      <c r="A7951">
        <v>29141990900</v>
      </c>
      <c r="B7951" t="s">
        <v>57</v>
      </c>
    </row>
    <row r="7952" spans="1:2" x14ac:dyDescent="0.25">
      <c r="A7952">
        <v>29142</v>
      </c>
      <c r="B7952" t="s">
        <v>2899</v>
      </c>
    </row>
    <row r="7953" spans="1:2" x14ac:dyDescent="0.25">
      <c r="A7953">
        <v>291422</v>
      </c>
      <c r="B7953" t="e">
        <f>- - Ciclohexanona y metilciclohexanonas</f>
        <v>#NAME?</v>
      </c>
    </row>
    <row r="7954" spans="1:2" x14ac:dyDescent="0.25">
      <c r="A7954">
        <v>29142210000</v>
      </c>
      <c r="B7954" t="s">
        <v>2900</v>
      </c>
    </row>
    <row r="7955" spans="1:2" x14ac:dyDescent="0.25">
      <c r="A7955">
        <v>29142220000</v>
      </c>
      <c r="B7955" t="s">
        <v>2901</v>
      </c>
    </row>
    <row r="7956" spans="1:2" x14ac:dyDescent="0.25">
      <c r="A7956">
        <v>291423</v>
      </c>
      <c r="B7956" t="e">
        <f>- - Iononas y metiliononas</f>
        <v>#NAME?</v>
      </c>
    </row>
    <row r="7957" spans="1:2" x14ac:dyDescent="0.25">
      <c r="A7957">
        <v>29142310000</v>
      </c>
      <c r="B7957" t="s">
        <v>2902</v>
      </c>
    </row>
    <row r="7958" spans="1:2" x14ac:dyDescent="0.25">
      <c r="A7958">
        <v>29142320000</v>
      </c>
      <c r="B7958" t="s">
        <v>2903</v>
      </c>
    </row>
    <row r="7959" spans="1:2" x14ac:dyDescent="0.25">
      <c r="A7959">
        <v>291429</v>
      </c>
      <c r="B7959" t="e">
        <f>- - las demas</f>
        <v>#NAME?</v>
      </c>
    </row>
    <row r="7960" spans="1:2" x14ac:dyDescent="0.25">
      <c r="A7960">
        <v>29142910000</v>
      </c>
      <c r="B7960" t="s">
        <v>2904</v>
      </c>
    </row>
    <row r="7961" spans="1:2" x14ac:dyDescent="0.25">
      <c r="A7961">
        <v>29142920000</v>
      </c>
      <c r="B7961" t="s">
        <v>2905</v>
      </c>
    </row>
    <row r="7962" spans="1:2" x14ac:dyDescent="0.25">
      <c r="A7962">
        <v>29142990000</v>
      </c>
      <c r="B7962" t="s">
        <v>57</v>
      </c>
    </row>
    <row r="7963" spans="1:2" x14ac:dyDescent="0.25">
      <c r="A7963">
        <v>29143</v>
      </c>
      <c r="B7963" t="s">
        <v>2906</v>
      </c>
    </row>
    <row r="7964" spans="1:2" x14ac:dyDescent="0.25">
      <c r="A7964">
        <v>29143100</v>
      </c>
      <c r="B7964" t="s">
        <v>2907</v>
      </c>
    </row>
    <row r="7965" spans="1:2" x14ac:dyDescent="0.25">
      <c r="A7965">
        <v>29143100100</v>
      </c>
      <c r="B7965" t="s">
        <v>2490</v>
      </c>
    </row>
    <row r="7966" spans="1:2" x14ac:dyDescent="0.25">
      <c r="A7966">
        <v>29143100900</v>
      </c>
      <c r="B7966" t="s">
        <v>57</v>
      </c>
    </row>
    <row r="7967" spans="1:2" x14ac:dyDescent="0.25">
      <c r="A7967">
        <v>291439</v>
      </c>
      <c r="B7967" t="e">
        <f>- - las demas</f>
        <v>#NAME?</v>
      </c>
    </row>
    <row r="7968" spans="1:2" x14ac:dyDescent="0.25">
      <c r="A7968">
        <v>29143910000</v>
      </c>
      <c r="B7968" t="s">
        <v>2908</v>
      </c>
    </row>
    <row r="7969" spans="1:2" x14ac:dyDescent="0.25">
      <c r="A7969">
        <v>29143990000</v>
      </c>
      <c r="B7969" t="s">
        <v>57</v>
      </c>
    </row>
    <row r="7970" spans="1:2" x14ac:dyDescent="0.25">
      <c r="A7970">
        <v>291440</v>
      </c>
      <c r="B7970" t="e">
        <f>- Cetonas-Alcoholes y Cetonas-Aldehidos</f>
        <v>#NAME?</v>
      </c>
    </row>
    <row r="7971" spans="1:2" x14ac:dyDescent="0.25">
      <c r="A7971">
        <v>29144010000</v>
      </c>
      <c r="B7971" t="s">
        <v>2909</v>
      </c>
    </row>
    <row r="7972" spans="1:2" x14ac:dyDescent="0.25">
      <c r="A7972">
        <v>2914409</v>
      </c>
      <c r="B7972" t="s">
        <v>57</v>
      </c>
    </row>
    <row r="7973" spans="1:2" x14ac:dyDescent="0.25">
      <c r="A7973">
        <v>29144091000</v>
      </c>
      <c r="B7973" t="s">
        <v>2910</v>
      </c>
    </row>
    <row r="7974" spans="1:2" x14ac:dyDescent="0.25">
      <c r="A7974">
        <v>29144099000</v>
      </c>
      <c r="B7974" t="s">
        <v>57</v>
      </c>
    </row>
    <row r="7975" spans="1:2" x14ac:dyDescent="0.25">
      <c r="A7975">
        <v>291450</v>
      </c>
      <c r="B7975" t="e">
        <f>- Cetonas-fenoles y Cetonas Con otras funciones oxigenadas</f>
        <v>#NAME?</v>
      </c>
    </row>
    <row r="7976" spans="1:2" x14ac:dyDescent="0.25">
      <c r="A7976">
        <v>29145010000</v>
      </c>
      <c r="B7976" t="s">
        <v>2911</v>
      </c>
    </row>
    <row r="7977" spans="1:2" x14ac:dyDescent="0.25">
      <c r="A7977">
        <v>29145020000</v>
      </c>
      <c r="B7977" t="s">
        <v>2912</v>
      </c>
    </row>
    <row r="7978" spans="1:2" x14ac:dyDescent="0.25">
      <c r="A7978">
        <v>29145090000</v>
      </c>
      <c r="B7978" t="s">
        <v>57</v>
      </c>
    </row>
    <row r="7979" spans="1:2" x14ac:dyDescent="0.25">
      <c r="A7979">
        <v>29146</v>
      </c>
      <c r="B7979" t="s">
        <v>2913</v>
      </c>
    </row>
    <row r="7980" spans="1:2" x14ac:dyDescent="0.25">
      <c r="A7980">
        <v>29146100000</v>
      </c>
      <c r="B7980" t="e">
        <f>--Antraquinona</f>
        <v>#NAME?</v>
      </c>
    </row>
    <row r="7981" spans="1:2" x14ac:dyDescent="0.25">
      <c r="A7981">
        <v>29146200000</v>
      </c>
      <c r="B7981" t="e">
        <f>--Coenzima K10 (ubidecarenona (DCI))</f>
        <v>#NAME?</v>
      </c>
    </row>
    <row r="7982" spans="1:2" x14ac:dyDescent="0.25">
      <c r="A7982">
        <v>291469</v>
      </c>
      <c r="B7982" t="e">
        <f>- - las demas</f>
        <v>#NAME?</v>
      </c>
    </row>
    <row r="7983" spans="1:2" x14ac:dyDescent="0.25">
      <c r="A7983">
        <v>29146910000</v>
      </c>
      <c r="B7983" t="s">
        <v>2914</v>
      </c>
    </row>
    <row r="7984" spans="1:2" x14ac:dyDescent="0.25">
      <c r="A7984">
        <v>29146920000</v>
      </c>
      <c r="B7984" t="s">
        <v>2915</v>
      </c>
    </row>
    <row r="7985" spans="1:2" x14ac:dyDescent="0.25">
      <c r="A7985">
        <v>29146990000</v>
      </c>
      <c r="B7985" t="s">
        <v>57</v>
      </c>
    </row>
    <row r="7986" spans="1:2" x14ac:dyDescent="0.25">
      <c r="A7986">
        <v>29147</v>
      </c>
      <c r="B7986" t="s">
        <v>2916</v>
      </c>
    </row>
    <row r="7987" spans="1:2" x14ac:dyDescent="0.25">
      <c r="A7987">
        <v>29147100000</v>
      </c>
      <c r="B7987" t="e">
        <f>--Clordecona (ISO)</f>
        <v>#NAME?</v>
      </c>
    </row>
    <row r="7988" spans="1:2" x14ac:dyDescent="0.25">
      <c r="A7988">
        <v>291479</v>
      </c>
      <c r="B7988" t="e">
        <f>- - Los demas</f>
        <v>#NAME?</v>
      </c>
    </row>
    <row r="7989" spans="1:2" x14ac:dyDescent="0.25">
      <c r="A7989">
        <v>2914791</v>
      </c>
      <c r="B7989" t="s">
        <v>2917</v>
      </c>
    </row>
    <row r="7990" spans="1:2" x14ac:dyDescent="0.25">
      <c r="A7990">
        <v>29147911000</v>
      </c>
      <c r="B7990" t="s">
        <v>2918</v>
      </c>
    </row>
    <row r="7991" spans="1:2" x14ac:dyDescent="0.25">
      <c r="A7991">
        <v>29147919</v>
      </c>
      <c r="B7991" t="s">
        <v>10</v>
      </c>
    </row>
    <row r="7992" spans="1:2" x14ac:dyDescent="0.25">
      <c r="A7992">
        <v>29147919100</v>
      </c>
      <c r="B7992" t="s">
        <v>2919</v>
      </c>
    </row>
    <row r="7993" spans="1:2" x14ac:dyDescent="0.25">
      <c r="A7993">
        <v>291479192</v>
      </c>
      <c r="B7993" t="s">
        <v>2705</v>
      </c>
    </row>
    <row r="7994" spans="1:2" x14ac:dyDescent="0.25">
      <c r="A7994">
        <v>29147919210</v>
      </c>
      <c r="B7994" t="s">
        <v>2920</v>
      </c>
    </row>
    <row r="7995" spans="1:2" x14ac:dyDescent="0.25">
      <c r="A7995">
        <v>29147919290</v>
      </c>
      <c r="B7995" t="s">
        <v>10</v>
      </c>
    </row>
    <row r="7996" spans="1:2" x14ac:dyDescent="0.25">
      <c r="A7996">
        <v>291479199</v>
      </c>
      <c r="B7996" t="s">
        <v>10</v>
      </c>
    </row>
    <row r="7997" spans="1:2" x14ac:dyDescent="0.25">
      <c r="A7997">
        <v>29147919910</v>
      </c>
      <c r="B7997" t="s">
        <v>2921</v>
      </c>
    </row>
    <row r="7998" spans="1:2" x14ac:dyDescent="0.25">
      <c r="A7998">
        <v>29147919920</v>
      </c>
      <c r="B7998" t="s">
        <v>2922</v>
      </c>
    </row>
    <row r="7999" spans="1:2" x14ac:dyDescent="0.25">
      <c r="A7999">
        <v>29147919990</v>
      </c>
      <c r="B7999" t="s">
        <v>10</v>
      </c>
    </row>
    <row r="8000" spans="1:2" x14ac:dyDescent="0.25">
      <c r="A8000">
        <v>2914792</v>
      </c>
      <c r="B8000" t="s">
        <v>2923</v>
      </c>
    </row>
    <row r="8001" spans="1:2" x14ac:dyDescent="0.25">
      <c r="A8001">
        <v>29147921000</v>
      </c>
      <c r="B8001" t="s">
        <v>2924</v>
      </c>
    </row>
    <row r="8002" spans="1:2" x14ac:dyDescent="0.25">
      <c r="A8002">
        <v>29147922000</v>
      </c>
      <c r="B8002" t="s">
        <v>2925</v>
      </c>
    </row>
    <row r="8003" spans="1:2" x14ac:dyDescent="0.25">
      <c r="A8003">
        <v>29147929000</v>
      </c>
      <c r="B8003" t="s">
        <v>10</v>
      </c>
    </row>
    <row r="8004" spans="1:2" x14ac:dyDescent="0.25">
      <c r="A8004">
        <v>29147990000</v>
      </c>
      <c r="B8004" t="s">
        <v>10</v>
      </c>
    </row>
    <row r="8005" spans="1:2" x14ac:dyDescent="0.25">
      <c r="A8005">
        <v>2915</v>
      </c>
      <c r="B8005" t="s">
        <v>2926</v>
      </c>
    </row>
    <row r="8006" spans="1:2" x14ac:dyDescent="0.25">
      <c r="A8006">
        <v>29151</v>
      </c>
      <c r="B8006" t="s">
        <v>2927</v>
      </c>
    </row>
    <row r="8007" spans="1:2" x14ac:dyDescent="0.25">
      <c r="A8007">
        <v>29151100000</v>
      </c>
      <c r="B8007" t="e">
        <f>--acido formico</f>
        <v>#NAME?</v>
      </c>
    </row>
    <row r="8008" spans="1:2" x14ac:dyDescent="0.25">
      <c r="A8008">
        <v>291512</v>
      </c>
      <c r="B8008" t="e">
        <f>- - sales del acido formico</f>
        <v>#NAME?</v>
      </c>
    </row>
    <row r="8009" spans="1:2" x14ac:dyDescent="0.25">
      <c r="A8009">
        <v>29151210000</v>
      </c>
      <c r="B8009" t="s">
        <v>2151</v>
      </c>
    </row>
    <row r="8010" spans="1:2" x14ac:dyDescent="0.25">
      <c r="A8010">
        <v>29151290000</v>
      </c>
      <c r="B8010" t="s">
        <v>57</v>
      </c>
    </row>
    <row r="8011" spans="1:2" x14ac:dyDescent="0.25">
      <c r="A8011">
        <v>291513</v>
      </c>
      <c r="B8011" t="e">
        <f>- - esteres del acido formico</f>
        <v>#NAME?</v>
      </c>
    </row>
    <row r="8012" spans="1:2" x14ac:dyDescent="0.25">
      <c r="A8012">
        <v>29151310000</v>
      </c>
      <c r="B8012" t="s">
        <v>2928</v>
      </c>
    </row>
    <row r="8013" spans="1:2" x14ac:dyDescent="0.25">
      <c r="A8013">
        <v>29151390000</v>
      </c>
      <c r="B8013" t="s">
        <v>10</v>
      </c>
    </row>
    <row r="8014" spans="1:2" x14ac:dyDescent="0.25">
      <c r="A8014">
        <v>29152</v>
      </c>
      <c r="B8014" t="s">
        <v>2929</v>
      </c>
    </row>
    <row r="8015" spans="1:2" x14ac:dyDescent="0.25">
      <c r="A8015">
        <v>29152100</v>
      </c>
      <c r="B8015" t="e">
        <f>- - acido acetico</f>
        <v>#NAME?</v>
      </c>
    </row>
    <row r="8016" spans="1:2" x14ac:dyDescent="0.25">
      <c r="A8016">
        <v>29152100100</v>
      </c>
      <c r="B8016" t="s">
        <v>1131</v>
      </c>
    </row>
    <row r="8017" spans="1:2" x14ac:dyDescent="0.25">
      <c r="A8017">
        <v>29152100900</v>
      </c>
      <c r="B8017" t="s">
        <v>10</v>
      </c>
    </row>
    <row r="8018" spans="1:2" x14ac:dyDescent="0.25">
      <c r="A8018">
        <v>29152400</v>
      </c>
      <c r="B8018" t="e">
        <f>- - anhidrido acetico</f>
        <v>#NAME?</v>
      </c>
    </row>
    <row r="8019" spans="1:2" x14ac:dyDescent="0.25">
      <c r="A8019">
        <v>29152400100</v>
      </c>
      <c r="B8019" t="s">
        <v>2490</v>
      </c>
    </row>
    <row r="8020" spans="1:2" x14ac:dyDescent="0.25">
      <c r="A8020">
        <v>29152400900</v>
      </c>
      <c r="B8020" t="s">
        <v>10</v>
      </c>
    </row>
    <row r="8021" spans="1:2" x14ac:dyDescent="0.25">
      <c r="A8021">
        <v>291529</v>
      </c>
      <c r="B8021" t="e">
        <f>- - las demas</f>
        <v>#NAME?</v>
      </c>
    </row>
    <row r="8022" spans="1:2" x14ac:dyDescent="0.25">
      <c r="A8022">
        <v>29152910000</v>
      </c>
      <c r="B8022" t="s">
        <v>2930</v>
      </c>
    </row>
    <row r="8023" spans="1:2" x14ac:dyDescent="0.25">
      <c r="A8023">
        <v>29152920000</v>
      </c>
      <c r="B8023" t="s">
        <v>2931</v>
      </c>
    </row>
    <row r="8024" spans="1:2" x14ac:dyDescent="0.25">
      <c r="A8024">
        <v>29152990</v>
      </c>
      <c r="B8024" t="s">
        <v>57</v>
      </c>
    </row>
    <row r="8025" spans="1:2" x14ac:dyDescent="0.25">
      <c r="A8025">
        <v>29152990100</v>
      </c>
      <c r="B8025" t="s">
        <v>2932</v>
      </c>
    </row>
    <row r="8026" spans="1:2" x14ac:dyDescent="0.25">
      <c r="A8026">
        <v>29152990900</v>
      </c>
      <c r="B8026" t="s">
        <v>57</v>
      </c>
    </row>
    <row r="8027" spans="1:2" x14ac:dyDescent="0.25">
      <c r="A8027">
        <v>29153</v>
      </c>
      <c r="B8027" t="s">
        <v>2933</v>
      </c>
    </row>
    <row r="8028" spans="1:2" x14ac:dyDescent="0.25">
      <c r="A8028">
        <v>29153100</v>
      </c>
      <c r="B8028" t="e">
        <f>- - Acetato de etilo</f>
        <v>#NAME?</v>
      </c>
    </row>
    <row r="8029" spans="1:2" x14ac:dyDescent="0.25">
      <c r="A8029">
        <v>29153100100</v>
      </c>
      <c r="B8029" t="s">
        <v>1131</v>
      </c>
    </row>
    <row r="8030" spans="1:2" x14ac:dyDescent="0.25">
      <c r="A8030">
        <v>29153100900</v>
      </c>
      <c r="B8030" t="s">
        <v>10</v>
      </c>
    </row>
    <row r="8031" spans="1:2" x14ac:dyDescent="0.25">
      <c r="A8031">
        <v>29153200000</v>
      </c>
      <c r="B8031" t="e">
        <f>--Acetato de vinilo</f>
        <v>#NAME?</v>
      </c>
    </row>
    <row r="8032" spans="1:2" x14ac:dyDescent="0.25">
      <c r="A8032">
        <v>29153300000</v>
      </c>
      <c r="B8032" t="e">
        <f>--Acetato de n-butilo</f>
        <v>#NAME?</v>
      </c>
    </row>
    <row r="8033" spans="1:2" x14ac:dyDescent="0.25">
      <c r="A8033">
        <v>29153600000</v>
      </c>
      <c r="B8033" t="e">
        <f>--Acetato de Dinoseb (ISO)</f>
        <v>#NAME?</v>
      </c>
    </row>
    <row r="8034" spans="1:2" x14ac:dyDescent="0.25">
      <c r="A8034">
        <v>291539</v>
      </c>
      <c r="B8034" t="e">
        <f>- - Los demas</f>
        <v>#NAME?</v>
      </c>
    </row>
    <row r="8035" spans="1:2" x14ac:dyDescent="0.25">
      <c r="A8035">
        <v>29153910000</v>
      </c>
      <c r="B8035" t="s">
        <v>2934</v>
      </c>
    </row>
    <row r="8036" spans="1:2" x14ac:dyDescent="0.25">
      <c r="A8036">
        <v>2915392</v>
      </c>
      <c r="B8036" t="s">
        <v>2935</v>
      </c>
    </row>
    <row r="8037" spans="1:2" x14ac:dyDescent="0.25">
      <c r="A8037">
        <v>29153921000</v>
      </c>
      <c r="B8037" t="s">
        <v>2936</v>
      </c>
    </row>
    <row r="8038" spans="1:2" x14ac:dyDescent="0.25">
      <c r="A8038">
        <v>29153929000</v>
      </c>
      <c r="B8038" t="s">
        <v>10</v>
      </c>
    </row>
    <row r="8039" spans="1:2" x14ac:dyDescent="0.25">
      <c r="A8039">
        <v>2915393</v>
      </c>
      <c r="B8039" t="s">
        <v>2937</v>
      </c>
    </row>
    <row r="8040" spans="1:2" x14ac:dyDescent="0.25">
      <c r="A8040">
        <v>29153931000</v>
      </c>
      <c r="B8040" t="s">
        <v>2938</v>
      </c>
    </row>
    <row r="8041" spans="1:2" x14ac:dyDescent="0.25">
      <c r="A8041">
        <v>29153932000</v>
      </c>
      <c r="B8041" t="s">
        <v>2939</v>
      </c>
    </row>
    <row r="8042" spans="1:2" x14ac:dyDescent="0.25">
      <c r="A8042">
        <v>29153939</v>
      </c>
      <c r="B8042" t="s">
        <v>10</v>
      </c>
    </row>
    <row r="8043" spans="1:2" x14ac:dyDescent="0.25">
      <c r="A8043">
        <v>29153939100</v>
      </c>
      <c r="B8043" t="s">
        <v>2940</v>
      </c>
    </row>
    <row r="8044" spans="1:2" x14ac:dyDescent="0.25">
      <c r="A8044">
        <v>29153939200</v>
      </c>
      <c r="B8044" t="s">
        <v>2941</v>
      </c>
    </row>
    <row r="8045" spans="1:2" x14ac:dyDescent="0.25">
      <c r="A8045">
        <v>29153939900</v>
      </c>
      <c r="B8045" t="s">
        <v>10</v>
      </c>
    </row>
    <row r="8046" spans="1:2" x14ac:dyDescent="0.25">
      <c r="A8046">
        <v>2915394</v>
      </c>
      <c r="B8046" t="s">
        <v>2942</v>
      </c>
    </row>
    <row r="8047" spans="1:2" x14ac:dyDescent="0.25">
      <c r="A8047">
        <v>29153941000</v>
      </c>
      <c r="B8047" t="s">
        <v>2943</v>
      </c>
    </row>
    <row r="8048" spans="1:2" x14ac:dyDescent="0.25">
      <c r="A8048">
        <v>29153942000</v>
      </c>
      <c r="B8048" t="s">
        <v>2944</v>
      </c>
    </row>
    <row r="8049" spans="1:2" x14ac:dyDescent="0.25">
      <c r="A8049">
        <v>2915395</v>
      </c>
      <c r="B8049" t="s">
        <v>2945</v>
      </c>
    </row>
    <row r="8050" spans="1:2" x14ac:dyDescent="0.25">
      <c r="A8050">
        <v>29153951000</v>
      </c>
      <c r="B8050" t="s">
        <v>2946</v>
      </c>
    </row>
    <row r="8051" spans="1:2" x14ac:dyDescent="0.25">
      <c r="A8051">
        <v>29153952</v>
      </c>
      <c r="B8051" t="s">
        <v>2947</v>
      </c>
    </row>
    <row r="8052" spans="1:2" x14ac:dyDescent="0.25">
      <c r="A8052">
        <v>29153952100</v>
      </c>
      <c r="B8052" t="s">
        <v>2775</v>
      </c>
    </row>
    <row r="8053" spans="1:2" x14ac:dyDescent="0.25">
      <c r="A8053">
        <v>29153952900</v>
      </c>
      <c r="B8053" t="s">
        <v>10</v>
      </c>
    </row>
    <row r="8054" spans="1:2" x14ac:dyDescent="0.25">
      <c r="A8054">
        <v>29153953</v>
      </c>
      <c r="B8054" t="s">
        <v>2948</v>
      </c>
    </row>
    <row r="8055" spans="1:2" x14ac:dyDescent="0.25">
      <c r="A8055">
        <v>29153953100</v>
      </c>
      <c r="B8055" t="s">
        <v>2775</v>
      </c>
    </row>
    <row r="8056" spans="1:2" x14ac:dyDescent="0.25">
      <c r="A8056">
        <v>29153953900</v>
      </c>
      <c r="B8056" t="s">
        <v>10</v>
      </c>
    </row>
    <row r="8057" spans="1:2" x14ac:dyDescent="0.25">
      <c r="A8057">
        <v>29153954000</v>
      </c>
      <c r="B8057" t="s">
        <v>2949</v>
      </c>
    </row>
    <row r="8058" spans="1:2" x14ac:dyDescent="0.25">
      <c r="A8058">
        <v>29153955000</v>
      </c>
      <c r="B8058" t="s">
        <v>2950</v>
      </c>
    </row>
    <row r="8059" spans="1:2" x14ac:dyDescent="0.25">
      <c r="A8059">
        <v>2915396</v>
      </c>
      <c r="B8059" t="s">
        <v>2951</v>
      </c>
    </row>
    <row r="8060" spans="1:2" x14ac:dyDescent="0.25">
      <c r="A8060">
        <v>29153961000</v>
      </c>
      <c r="B8060" t="s">
        <v>2952</v>
      </c>
    </row>
    <row r="8061" spans="1:2" x14ac:dyDescent="0.25">
      <c r="A8061">
        <v>29153962000</v>
      </c>
      <c r="B8061" t="s">
        <v>2953</v>
      </c>
    </row>
    <row r="8062" spans="1:2" x14ac:dyDescent="0.25">
      <c r="A8062">
        <v>29153963000</v>
      </c>
      <c r="B8062" t="s">
        <v>2954</v>
      </c>
    </row>
    <row r="8063" spans="1:2" x14ac:dyDescent="0.25">
      <c r="A8063">
        <v>2915399</v>
      </c>
      <c r="B8063" t="s">
        <v>10</v>
      </c>
    </row>
    <row r="8064" spans="1:2" x14ac:dyDescent="0.25">
      <c r="A8064">
        <v>29153991000</v>
      </c>
      <c r="B8064" t="s">
        <v>2955</v>
      </c>
    </row>
    <row r="8065" spans="1:2" x14ac:dyDescent="0.25">
      <c r="A8065">
        <v>29153992000</v>
      </c>
      <c r="B8065" t="s">
        <v>2956</v>
      </c>
    </row>
    <row r="8066" spans="1:2" x14ac:dyDescent="0.25">
      <c r="A8066">
        <v>29153993000</v>
      </c>
      <c r="B8066" t="s">
        <v>2957</v>
      </c>
    </row>
    <row r="8067" spans="1:2" x14ac:dyDescent="0.25">
      <c r="A8067">
        <v>29153994000</v>
      </c>
      <c r="B8067" t="s">
        <v>2958</v>
      </c>
    </row>
    <row r="8068" spans="1:2" x14ac:dyDescent="0.25">
      <c r="A8068">
        <v>29153999</v>
      </c>
      <c r="B8068" t="s">
        <v>10</v>
      </c>
    </row>
    <row r="8069" spans="1:2" x14ac:dyDescent="0.25">
      <c r="A8069">
        <v>29153999100</v>
      </c>
      <c r="B8069" t="s">
        <v>2959</v>
      </c>
    </row>
    <row r="8070" spans="1:2" x14ac:dyDescent="0.25">
      <c r="A8070">
        <v>29153999200</v>
      </c>
      <c r="B8070" t="s">
        <v>2960</v>
      </c>
    </row>
    <row r="8071" spans="1:2" x14ac:dyDescent="0.25">
      <c r="A8071">
        <v>29153999900</v>
      </c>
      <c r="B8071" t="s">
        <v>10</v>
      </c>
    </row>
    <row r="8072" spans="1:2" x14ac:dyDescent="0.25">
      <c r="A8072">
        <v>291540</v>
      </c>
      <c r="B8072" t="s">
        <v>2961</v>
      </c>
    </row>
    <row r="8073" spans="1:2" x14ac:dyDescent="0.25">
      <c r="A8073">
        <v>29154010000</v>
      </c>
      <c r="B8073" t="s">
        <v>2962</v>
      </c>
    </row>
    <row r="8074" spans="1:2" x14ac:dyDescent="0.25">
      <c r="A8074">
        <v>29154020000</v>
      </c>
      <c r="B8074" t="s">
        <v>2963</v>
      </c>
    </row>
    <row r="8075" spans="1:2" x14ac:dyDescent="0.25">
      <c r="A8075">
        <v>29154090</v>
      </c>
      <c r="B8075" t="s">
        <v>10</v>
      </c>
    </row>
    <row r="8076" spans="1:2" x14ac:dyDescent="0.25">
      <c r="A8076">
        <v>291540901</v>
      </c>
      <c r="B8076" t="s">
        <v>2450</v>
      </c>
    </row>
    <row r="8077" spans="1:2" x14ac:dyDescent="0.25">
      <c r="A8077">
        <v>29154090110</v>
      </c>
      <c r="B8077" t="s">
        <v>2964</v>
      </c>
    </row>
    <row r="8078" spans="1:2" x14ac:dyDescent="0.25">
      <c r="A8078">
        <v>29154090190</v>
      </c>
      <c r="B8078" t="s">
        <v>10</v>
      </c>
    </row>
    <row r="8079" spans="1:2" x14ac:dyDescent="0.25">
      <c r="A8079">
        <v>29154090900</v>
      </c>
      <c r="B8079" t="s">
        <v>10</v>
      </c>
    </row>
    <row r="8080" spans="1:2" x14ac:dyDescent="0.25">
      <c r="A8080">
        <v>291550</v>
      </c>
      <c r="B8080" t="e">
        <f>- acido propionico. sus sales y sus esteres</f>
        <v>#NAME?</v>
      </c>
    </row>
    <row r="8081" spans="1:2" x14ac:dyDescent="0.25">
      <c r="A8081">
        <v>29155010000</v>
      </c>
      <c r="B8081" t="s">
        <v>2965</v>
      </c>
    </row>
    <row r="8082" spans="1:2" x14ac:dyDescent="0.25">
      <c r="A8082">
        <v>29155020000</v>
      </c>
      <c r="B8082" t="s">
        <v>2195</v>
      </c>
    </row>
    <row r="8083" spans="1:2" x14ac:dyDescent="0.25">
      <c r="A8083">
        <v>29155030</v>
      </c>
      <c r="B8083" t="s">
        <v>2966</v>
      </c>
    </row>
    <row r="8084" spans="1:2" x14ac:dyDescent="0.25">
      <c r="A8084">
        <v>291550301</v>
      </c>
      <c r="B8084" t="s">
        <v>2967</v>
      </c>
    </row>
    <row r="8085" spans="1:2" x14ac:dyDescent="0.25">
      <c r="A8085">
        <v>29155030110</v>
      </c>
      <c r="B8085" t="s">
        <v>2775</v>
      </c>
    </row>
    <row r="8086" spans="1:2" x14ac:dyDescent="0.25">
      <c r="A8086">
        <v>29155030190</v>
      </c>
      <c r="B8086" t="s">
        <v>10</v>
      </c>
    </row>
    <row r="8087" spans="1:2" x14ac:dyDescent="0.25">
      <c r="A8087">
        <v>29155030900</v>
      </c>
      <c r="B8087" t="s">
        <v>10</v>
      </c>
    </row>
    <row r="8088" spans="1:2" x14ac:dyDescent="0.25">
      <c r="A8088">
        <v>291560</v>
      </c>
      <c r="B8088" t="e">
        <f>- acidos butanoicos. acidos pentanoicos. sus sales y sus esteres</f>
        <v>#NAME?</v>
      </c>
    </row>
    <row r="8089" spans="1:2" x14ac:dyDescent="0.25">
      <c r="A8089">
        <v>2915601</v>
      </c>
      <c r="B8089" t="s">
        <v>2968</v>
      </c>
    </row>
    <row r="8090" spans="1:2" x14ac:dyDescent="0.25">
      <c r="A8090">
        <v>29156011000</v>
      </c>
      <c r="B8090" t="s">
        <v>2969</v>
      </c>
    </row>
    <row r="8091" spans="1:2" x14ac:dyDescent="0.25">
      <c r="A8091">
        <v>29156012000</v>
      </c>
      <c r="B8091" t="s">
        <v>2970</v>
      </c>
    </row>
    <row r="8092" spans="1:2" x14ac:dyDescent="0.25">
      <c r="A8092">
        <v>29156019000</v>
      </c>
      <c r="B8092" t="s">
        <v>10</v>
      </c>
    </row>
    <row r="8093" spans="1:2" x14ac:dyDescent="0.25">
      <c r="A8093">
        <v>2915602</v>
      </c>
      <c r="B8093" t="s">
        <v>2971</v>
      </c>
    </row>
    <row r="8094" spans="1:2" x14ac:dyDescent="0.25">
      <c r="A8094">
        <v>29156021000</v>
      </c>
      <c r="B8094" t="s">
        <v>2972</v>
      </c>
    </row>
    <row r="8095" spans="1:2" x14ac:dyDescent="0.25">
      <c r="A8095">
        <v>29156029000</v>
      </c>
      <c r="B8095" t="s">
        <v>10</v>
      </c>
    </row>
    <row r="8096" spans="1:2" x14ac:dyDescent="0.25">
      <c r="A8096">
        <v>291570</v>
      </c>
      <c r="B8096" t="e">
        <f>- acido palmitico. acido estearico. sus sales y sus esteres</f>
        <v>#NAME?</v>
      </c>
    </row>
    <row r="8097" spans="1:2" x14ac:dyDescent="0.25">
      <c r="A8097">
        <v>2915701</v>
      </c>
      <c r="B8097" t="s">
        <v>2973</v>
      </c>
    </row>
    <row r="8098" spans="1:2" x14ac:dyDescent="0.25">
      <c r="A8098">
        <v>29157011000</v>
      </c>
      <c r="B8098" t="s">
        <v>2974</v>
      </c>
    </row>
    <row r="8099" spans="1:2" x14ac:dyDescent="0.25">
      <c r="A8099">
        <v>29157019</v>
      </c>
      <c r="B8099" t="s">
        <v>10</v>
      </c>
    </row>
    <row r="8100" spans="1:2" x14ac:dyDescent="0.25">
      <c r="A8100">
        <v>291570191</v>
      </c>
      <c r="B8100" t="s">
        <v>2975</v>
      </c>
    </row>
    <row r="8101" spans="1:2" x14ac:dyDescent="0.25">
      <c r="A8101">
        <v>29157019110</v>
      </c>
      <c r="B8101" t="s">
        <v>2976</v>
      </c>
    </row>
    <row r="8102" spans="1:2" x14ac:dyDescent="0.25">
      <c r="A8102">
        <v>29157019190</v>
      </c>
      <c r="B8102" t="s">
        <v>10</v>
      </c>
    </row>
    <row r="8103" spans="1:2" x14ac:dyDescent="0.25">
      <c r="A8103">
        <v>29157019300</v>
      </c>
      <c r="B8103" t="s">
        <v>2195</v>
      </c>
    </row>
    <row r="8104" spans="1:2" x14ac:dyDescent="0.25">
      <c r="A8104">
        <v>29157019900</v>
      </c>
      <c r="B8104" t="s">
        <v>10</v>
      </c>
    </row>
    <row r="8105" spans="1:2" x14ac:dyDescent="0.25">
      <c r="A8105">
        <v>29157020000</v>
      </c>
      <c r="B8105" t="s">
        <v>2977</v>
      </c>
    </row>
    <row r="8106" spans="1:2" x14ac:dyDescent="0.25">
      <c r="A8106">
        <v>2915703</v>
      </c>
      <c r="B8106" t="s">
        <v>2978</v>
      </c>
    </row>
    <row r="8107" spans="1:2" x14ac:dyDescent="0.25">
      <c r="A8107">
        <v>29157031000</v>
      </c>
      <c r="B8107" t="s">
        <v>2237</v>
      </c>
    </row>
    <row r="8108" spans="1:2" x14ac:dyDescent="0.25">
      <c r="A8108">
        <v>29157039000</v>
      </c>
      <c r="B8108" t="s">
        <v>57</v>
      </c>
    </row>
    <row r="8109" spans="1:2" x14ac:dyDescent="0.25">
      <c r="A8109">
        <v>29157040000</v>
      </c>
      <c r="B8109" t="s">
        <v>2979</v>
      </c>
    </row>
    <row r="8110" spans="1:2" x14ac:dyDescent="0.25">
      <c r="A8110">
        <v>291590</v>
      </c>
      <c r="B8110" t="e">
        <f>- Los demas</f>
        <v>#NAME?</v>
      </c>
    </row>
    <row r="8111" spans="1:2" x14ac:dyDescent="0.25">
      <c r="A8111">
        <v>29159010000</v>
      </c>
      <c r="B8111" t="s">
        <v>2980</v>
      </c>
    </row>
    <row r="8112" spans="1:2" x14ac:dyDescent="0.25">
      <c r="A8112">
        <v>2915902</v>
      </c>
      <c r="B8112" t="s">
        <v>2981</v>
      </c>
    </row>
    <row r="8113" spans="1:2" x14ac:dyDescent="0.25">
      <c r="A8113">
        <v>29159021000</v>
      </c>
      <c r="B8113" t="s">
        <v>2982</v>
      </c>
    </row>
    <row r="8114" spans="1:2" x14ac:dyDescent="0.25">
      <c r="A8114">
        <v>29159022000</v>
      </c>
      <c r="B8114" t="s">
        <v>2983</v>
      </c>
    </row>
    <row r="8115" spans="1:2" x14ac:dyDescent="0.25">
      <c r="A8115">
        <v>29159023000</v>
      </c>
      <c r="B8115" t="s">
        <v>2984</v>
      </c>
    </row>
    <row r="8116" spans="1:2" x14ac:dyDescent="0.25">
      <c r="A8116">
        <v>29159024000</v>
      </c>
      <c r="B8116" t="s">
        <v>2985</v>
      </c>
    </row>
    <row r="8117" spans="1:2" x14ac:dyDescent="0.25">
      <c r="A8117">
        <v>29159029000</v>
      </c>
      <c r="B8117" t="s">
        <v>10</v>
      </c>
    </row>
    <row r="8118" spans="1:2" x14ac:dyDescent="0.25">
      <c r="A8118">
        <v>2915903</v>
      </c>
      <c r="B8118" t="s">
        <v>2986</v>
      </c>
    </row>
    <row r="8119" spans="1:2" x14ac:dyDescent="0.25">
      <c r="A8119">
        <v>29159031000</v>
      </c>
      <c r="B8119" t="s">
        <v>2987</v>
      </c>
    </row>
    <row r="8120" spans="1:2" x14ac:dyDescent="0.25">
      <c r="A8120">
        <v>29159032000</v>
      </c>
      <c r="B8120" t="s">
        <v>2988</v>
      </c>
    </row>
    <row r="8121" spans="1:2" x14ac:dyDescent="0.25">
      <c r="A8121">
        <v>29159033000</v>
      </c>
      <c r="B8121" t="s">
        <v>2989</v>
      </c>
    </row>
    <row r="8122" spans="1:2" x14ac:dyDescent="0.25">
      <c r="A8122">
        <v>29159039000</v>
      </c>
      <c r="B8122" t="s">
        <v>10</v>
      </c>
    </row>
    <row r="8123" spans="1:2" x14ac:dyDescent="0.25">
      <c r="A8123">
        <v>2915904</v>
      </c>
      <c r="B8123" t="s">
        <v>2990</v>
      </c>
    </row>
    <row r="8124" spans="1:2" x14ac:dyDescent="0.25">
      <c r="A8124">
        <v>29159041000</v>
      </c>
      <c r="B8124" t="s">
        <v>2991</v>
      </c>
    </row>
    <row r="8125" spans="1:2" x14ac:dyDescent="0.25">
      <c r="A8125">
        <v>29159042000</v>
      </c>
      <c r="B8125" t="s">
        <v>2992</v>
      </c>
    </row>
    <row r="8126" spans="1:2" x14ac:dyDescent="0.25">
      <c r="A8126">
        <v>29159050000</v>
      </c>
      <c r="B8126" t="s">
        <v>2993</v>
      </c>
    </row>
    <row r="8127" spans="1:2" x14ac:dyDescent="0.25">
      <c r="A8127">
        <v>29159060</v>
      </c>
      <c r="B8127" t="s">
        <v>2994</v>
      </c>
    </row>
    <row r="8128" spans="1:2" x14ac:dyDescent="0.25">
      <c r="A8128">
        <v>29159060100</v>
      </c>
      <c r="B8128" t="s">
        <v>2995</v>
      </c>
    </row>
    <row r="8129" spans="1:2" x14ac:dyDescent="0.25">
      <c r="A8129">
        <v>29159060900</v>
      </c>
      <c r="B8129" t="s">
        <v>10</v>
      </c>
    </row>
    <row r="8130" spans="1:2" x14ac:dyDescent="0.25">
      <c r="A8130">
        <v>29159090</v>
      </c>
      <c r="B8130" t="s">
        <v>10</v>
      </c>
    </row>
    <row r="8131" spans="1:2" x14ac:dyDescent="0.25">
      <c r="A8131">
        <v>291590901</v>
      </c>
      <c r="B8131" t="s">
        <v>2450</v>
      </c>
    </row>
    <row r="8132" spans="1:2" x14ac:dyDescent="0.25">
      <c r="A8132">
        <v>29159090110</v>
      </c>
      <c r="B8132" t="s">
        <v>2996</v>
      </c>
    </row>
    <row r="8133" spans="1:2" x14ac:dyDescent="0.25">
      <c r="A8133">
        <v>29159090190</v>
      </c>
      <c r="B8133" t="s">
        <v>10</v>
      </c>
    </row>
    <row r="8134" spans="1:2" x14ac:dyDescent="0.25">
      <c r="A8134">
        <v>29159090200</v>
      </c>
      <c r="B8134" t="s">
        <v>2997</v>
      </c>
    </row>
    <row r="8135" spans="1:2" x14ac:dyDescent="0.25">
      <c r="A8135">
        <v>29159090300</v>
      </c>
      <c r="B8135" t="s">
        <v>2998</v>
      </c>
    </row>
    <row r="8136" spans="1:2" x14ac:dyDescent="0.25">
      <c r="A8136">
        <v>29159090400</v>
      </c>
      <c r="B8136" t="s">
        <v>2999</v>
      </c>
    </row>
    <row r="8137" spans="1:2" x14ac:dyDescent="0.25">
      <c r="A8137">
        <v>29159090900</v>
      </c>
      <c r="B8137" t="s">
        <v>10</v>
      </c>
    </row>
    <row r="8138" spans="1:2" x14ac:dyDescent="0.25">
      <c r="A8138">
        <v>2916</v>
      </c>
      <c r="B8138" t="s">
        <v>3000</v>
      </c>
    </row>
    <row r="8139" spans="1:2" x14ac:dyDescent="0.25">
      <c r="A8139">
        <v>29161</v>
      </c>
      <c r="B8139" t="s">
        <v>3001</v>
      </c>
    </row>
    <row r="8140" spans="1:2" x14ac:dyDescent="0.25">
      <c r="A8140">
        <v>291611</v>
      </c>
      <c r="B8140" t="e">
        <f>- - acido acrilico y sus sales</f>
        <v>#NAME?</v>
      </c>
    </row>
    <row r="8141" spans="1:2" x14ac:dyDescent="0.25">
      <c r="A8141">
        <v>29161110000</v>
      </c>
      <c r="B8141" t="s">
        <v>3002</v>
      </c>
    </row>
    <row r="8142" spans="1:2" x14ac:dyDescent="0.25">
      <c r="A8142">
        <v>29161120000</v>
      </c>
      <c r="B8142" t="s">
        <v>2195</v>
      </c>
    </row>
    <row r="8143" spans="1:2" x14ac:dyDescent="0.25">
      <c r="A8143">
        <v>291612</v>
      </c>
      <c r="B8143" t="e">
        <f>- - esteres del acido acrilico</f>
        <v>#NAME?</v>
      </c>
    </row>
    <row r="8144" spans="1:2" x14ac:dyDescent="0.25">
      <c r="A8144">
        <v>29161210000</v>
      </c>
      <c r="B8144" t="s">
        <v>3003</v>
      </c>
    </row>
    <row r="8145" spans="1:2" x14ac:dyDescent="0.25">
      <c r="A8145">
        <v>29161220000</v>
      </c>
      <c r="B8145" t="s">
        <v>3004</v>
      </c>
    </row>
    <row r="8146" spans="1:2" x14ac:dyDescent="0.25">
      <c r="A8146">
        <v>29161230000</v>
      </c>
      <c r="B8146" t="s">
        <v>3005</v>
      </c>
    </row>
    <row r="8147" spans="1:2" x14ac:dyDescent="0.25">
      <c r="A8147">
        <v>29161240000</v>
      </c>
      <c r="B8147" t="s">
        <v>3006</v>
      </c>
    </row>
    <row r="8148" spans="1:2" x14ac:dyDescent="0.25">
      <c r="A8148">
        <v>29161290000</v>
      </c>
      <c r="B8148" t="s">
        <v>10</v>
      </c>
    </row>
    <row r="8149" spans="1:2" x14ac:dyDescent="0.25">
      <c r="A8149">
        <v>291613</v>
      </c>
      <c r="B8149" t="e">
        <f>- - acido metacrilico y sus sales</f>
        <v>#NAME?</v>
      </c>
    </row>
    <row r="8150" spans="1:2" x14ac:dyDescent="0.25">
      <c r="A8150">
        <v>29161310000</v>
      </c>
      <c r="B8150" t="s">
        <v>3007</v>
      </c>
    </row>
    <row r="8151" spans="1:2" x14ac:dyDescent="0.25">
      <c r="A8151">
        <v>29161320000</v>
      </c>
      <c r="B8151" t="s">
        <v>2195</v>
      </c>
    </row>
    <row r="8152" spans="1:2" x14ac:dyDescent="0.25">
      <c r="A8152">
        <v>291614</v>
      </c>
      <c r="B8152" t="e">
        <f>- - esteres del acido metacrilico</f>
        <v>#NAME?</v>
      </c>
    </row>
    <row r="8153" spans="1:2" x14ac:dyDescent="0.25">
      <c r="A8153">
        <v>29161410000</v>
      </c>
      <c r="B8153" t="s">
        <v>3003</v>
      </c>
    </row>
    <row r="8154" spans="1:2" x14ac:dyDescent="0.25">
      <c r="A8154">
        <v>29161420000</v>
      </c>
      <c r="B8154" t="s">
        <v>3004</v>
      </c>
    </row>
    <row r="8155" spans="1:2" x14ac:dyDescent="0.25">
      <c r="A8155">
        <v>29161430000</v>
      </c>
      <c r="B8155" t="s">
        <v>3008</v>
      </c>
    </row>
    <row r="8156" spans="1:2" x14ac:dyDescent="0.25">
      <c r="A8156">
        <v>29161490000</v>
      </c>
      <c r="B8156" t="s">
        <v>10</v>
      </c>
    </row>
    <row r="8157" spans="1:2" x14ac:dyDescent="0.25">
      <c r="A8157">
        <v>291615</v>
      </c>
      <c r="B8157" t="e">
        <f>- - acidos oleico. linoleico o linolenico. sus sales y sus esteres</f>
        <v>#NAME?</v>
      </c>
    </row>
    <row r="8158" spans="1:2" x14ac:dyDescent="0.25">
      <c r="A8158">
        <v>2916151</v>
      </c>
      <c r="B8158" t="s">
        <v>3009</v>
      </c>
    </row>
    <row r="8159" spans="1:2" x14ac:dyDescent="0.25">
      <c r="A8159">
        <v>29161511000</v>
      </c>
      <c r="B8159" t="s">
        <v>3010</v>
      </c>
    </row>
    <row r="8160" spans="1:2" x14ac:dyDescent="0.25">
      <c r="A8160">
        <v>29161519</v>
      </c>
      <c r="B8160" t="s">
        <v>10</v>
      </c>
    </row>
    <row r="8161" spans="1:2" x14ac:dyDescent="0.25">
      <c r="A8161">
        <v>29161519100</v>
      </c>
      <c r="B8161" t="s">
        <v>3011</v>
      </c>
    </row>
    <row r="8162" spans="1:2" x14ac:dyDescent="0.25">
      <c r="A8162">
        <v>29161519200</v>
      </c>
      <c r="B8162" t="s">
        <v>2195</v>
      </c>
    </row>
    <row r="8163" spans="1:2" x14ac:dyDescent="0.25">
      <c r="A8163">
        <v>29161519900</v>
      </c>
      <c r="B8163" t="s">
        <v>10</v>
      </c>
    </row>
    <row r="8164" spans="1:2" x14ac:dyDescent="0.25">
      <c r="A8164">
        <v>29161520000</v>
      </c>
      <c r="B8164" t="s">
        <v>3012</v>
      </c>
    </row>
    <row r="8165" spans="1:2" x14ac:dyDescent="0.25">
      <c r="A8165">
        <v>29161600000</v>
      </c>
      <c r="B8165" t="e">
        <f>--Binapacril (ISO)</f>
        <v>#NAME?</v>
      </c>
    </row>
    <row r="8166" spans="1:2" x14ac:dyDescent="0.25">
      <c r="A8166">
        <v>291619</v>
      </c>
      <c r="B8166" t="e">
        <f>- - Los demas</f>
        <v>#NAME?</v>
      </c>
    </row>
    <row r="8167" spans="1:2" x14ac:dyDescent="0.25">
      <c r="A8167">
        <v>2916191</v>
      </c>
      <c r="B8167" t="s">
        <v>3013</v>
      </c>
    </row>
    <row r="8168" spans="1:2" x14ac:dyDescent="0.25">
      <c r="A8168">
        <v>29161911000</v>
      </c>
      <c r="B8168" t="s">
        <v>3014</v>
      </c>
    </row>
    <row r="8169" spans="1:2" x14ac:dyDescent="0.25">
      <c r="A8169">
        <v>29161919</v>
      </c>
      <c r="B8169" t="s">
        <v>10</v>
      </c>
    </row>
    <row r="8170" spans="1:2" x14ac:dyDescent="0.25">
      <c r="A8170">
        <v>29161919100</v>
      </c>
      <c r="B8170" t="s">
        <v>3015</v>
      </c>
    </row>
    <row r="8171" spans="1:2" x14ac:dyDescent="0.25">
      <c r="A8171">
        <v>29161919200</v>
      </c>
      <c r="B8171" t="s">
        <v>2966</v>
      </c>
    </row>
    <row r="8172" spans="1:2" x14ac:dyDescent="0.25">
      <c r="A8172">
        <v>29161919900</v>
      </c>
      <c r="B8172" t="s">
        <v>10</v>
      </c>
    </row>
    <row r="8173" spans="1:2" x14ac:dyDescent="0.25">
      <c r="A8173">
        <v>2916192</v>
      </c>
      <c r="B8173" t="s">
        <v>3016</v>
      </c>
    </row>
    <row r="8174" spans="1:2" x14ac:dyDescent="0.25">
      <c r="A8174">
        <v>29161921000</v>
      </c>
      <c r="B8174" t="s">
        <v>3017</v>
      </c>
    </row>
    <row r="8175" spans="1:2" x14ac:dyDescent="0.25">
      <c r="A8175">
        <v>29161922000</v>
      </c>
      <c r="B8175" t="s">
        <v>3018</v>
      </c>
    </row>
    <row r="8176" spans="1:2" x14ac:dyDescent="0.25">
      <c r="A8176">
        <v>29161923000</v>
      </c>
      <c r="B8176" t="s">
        <v>3019</v>
      </c>
    </row>
    <row r="8177" spans="1:2" x14ac:dyDescent="0.25">
      <c r="A8177">
        <v>29161929000</v>
      </c>
      <c r="B8177" t="s">
        <v>10</v>
      </c>
    </row>
    <row r="8178" spans="1:2" x14ac:dyDescent="0.25">
      <c r="A8178">
        <v>29161990</v>
      </c>
      <c r="B8178" t="s">
        <v>10</v>
      </c>
    </row>
    <row r="8179" spans="1:2" x14ac:dyDescent="0.25">
      <c r="A8179">
        <v>29161990100</v>
      </c>
      <c r="B8179" t="s">
        <v>3020</v>
      </c>
    </row>
    <row r="8180" spans="1:2" x14ac:dyDescent="0.25">
      <c r="A8180">
        <v>29161990900</v>
      </c>
      <c r="B8180" t="s">
        <v>10</v>
      </c>
    </row>
    <row r="8181" spans="1:2" x14ac:dyDescent="0.25">
      <c r="A8181">
        <v>291620</v>
      </c>
      <c r="B8181" t="e">
        <f>- acidos monocarboxilicos Ciclanicos. ciclenicos o cicloterpenicos. sus anhidridos. halogenuros. peroxidos. peroxiacidos y sus derivados</f>
        <v>#NAME?</v>
      </c>
    </row>
    <row r="8182" spans="1:2" x14ac:dyDescent="0.25">
      <c r="A8182">
        <v>2916201</v>
      </c>
      <c r="B8182" t="s">
        <v>3021</v>
      </c>
    </row>
    <row r="8183" spans="1:2" x14ac:dyDescent="0.25">
      <c r="A8183">
        <v>29162011000</v>
      </c>
      <c r="B8183" t="s">
        <v>3022</v>
      </c>
    </row>
    <row r="8184" spans="1:2" x14ac:dyDescent="0.25">
      <c r="A8184">
        <v>29162012000</v>
      </c>
      <c r="B8184" t="s">
        <v>3023</v>
      </c>
    </row>
    <row r="8185" spans="1:2" x14ac:dyDescent="0.25">
      <c r="A8185">
        <v>29162013000</v>
      </c>
      <c r="B8185" t="s">
        <v>3024</v>
      </c>
    </row>
    <row r="8186" spans="1:2" x14ac:dyDescent="0.25">
      <c r="A8186">
        <v>29162014000</v>
      </c>
      <c r="B8186" t="s">
        <v>3025</v>
      </c>
    </row>
    <row r="8187" spans="1:2" x14ac:dyDescent="0.25">
      <c r="A8187">
        <v>29162015000</v>
      </c>
      <c r="B8187" t="s">
        <v>3026</v>
      </c>
    </row>
    <row r="8188" spans="1:2" x14ac:dyDescent="0.25">
      <c r="A8188">
        <v>29162019</v>
      </c>
      <c r="B8188" t="s">
        <v>10</v>
      </c>
    </row>
    <row r="8189" spans="1:2" x14ac:dyDescent="0.25">
      <c r="A8189">
        <v>291620191</v>
      </c>
      <c r="B8189" t="s">
        <v>2450</v>
      </c>
    </row>
    <row r="8190" spans="1:2" x14ac:dyDescent="0.25">
      <c r="A8190">
        <v>29162019110</v>
      </c>
      <c r="B8190" t="s">
        <v>3027</v>
      </c>
    </row>
    <row r="8191" spans="1:2" x14ac:dyDescent="0.25">
      <c r="A8191">
        <v>29162019190</v>
      </c>
      <c r="B8191" t="s">
        <v>10</v>
      </c>
    </row>
    <row r="8192" spans="1:2" x14ac:dyDescent="0.25">
      <c r="A8192">
        <v>29162019900</v>
      </c>
      <c r="B8192" t="s">
        <v>10</v>
      </c>
    </row>
    <row r="8193" spans="1:2" x14ac:dyDescent="0.25">
      <c r="A8193">
        <v>29162090</v>
      </c>
      <c r="B8193" t="s">
        <v>10</v>
      </c>
    </row>
    <row r="8194" spans="1:2" x14ac:dyDescent="0.25">
      <c r="A8194">
        <v>29162090100</v>
      </c>
      <c r="B8194" t="s">
        <v>3028</v>
      </c>
    </row>
    <row r="8195" spans="1:2" x14ac:dyDescent="0.25">
      <c r="A8195">
        <v>29162090900</v>
      </c>
      <c r="B8195" t="s">
        <v>10</v>
      </c>
    </row>
    <row r="8196" spans="1:2" x14ac:dyDescent="0.25">
      <c r="A8196">
        <v>29163</v>
      </c>
      <c r="B8196" t="s">
        <v>3029</v>
      </c>
    </row>
    <row r="8197" spans="1:2" x14ac:dyDescent="0.25">
      <c r="A8197">
        <v>291631</v>
      </c>
      <c r="B8197" t="e">
        <f>- - acido benzoico. sus sales y sus esteres</f>
        <v>#NAME?</v>
      </c>
    </row>
    <row r="8198" spans="1:2" x14ac:dyDescent="0.25">
      <c r="A8198">
        <v>29163110000</v>
      </c>
      <c r="B8198" t="s">
        <v>3030</v>
      </c>
    </row>
    <row r="8199" spans="1:2" x14ac:dyDescent="0.25">
      <c r="A8199">
        <v>2916312</v>
      </c>
      <c r="B8199" t="s">
        <v>2195</v>
      </c>
    </row>
    <row r="8200" spans="1:2" x14ac:dyDescent="0.25">
      <c r="A8200">
        <v>29163121000</v>
      </c>
      <c r="B8200" t="s">
        <v>2151</v>
      </c>
    </row>
    <row r="8201" spans="1:2" x14ac:dyDescent="0.25">
      <c r="A8201">
        <v>29163122000</v>
      </c>
      <c r="B8201" t="s">
        <v>2272</v>
      </c>
    </row>
    <row r="8202" spans="1:2" x14ac:dyDescent="0.25">
      <c r="A8202">
        <v>29163129000</v>
      </c>
      <c r="B8202" t="s">
        <v>57</v>
      </c>
    </row>
    <row r="8203" spans="1:2" x14ac:dyDescent="0.25">
      <c r="A8203">
        <v>2916313</v>
      </c>
      <c r="B8203" t="s">
        <v>2966</v>
      </c>
    </row>
    <row r="8204" spans="1:2" x14ac:dyDescent="0.25">
      <c r="A8204">
        <v>29163131000</v>
      </c>
      <c r="B8204" t="s">
        <v>3003</v>
      </c>
    </row>
    <row r="8205" spans="1:2" x14ac:dyDescent="0.25">
      <c r="A8205">
        <v>29163132000</v>
      </c>
      <c r="B8205" t="s">
        <v>3031</v>
      </c>
    </row>
    <row r="8206" spans="1:2" x14ac:dyDescent="0.25">
      <c r="A8206">
        <v>29163139000</v>
      </c>
      <c r="B8206" t="s">
        <v>10</v>
      </c>
    </row>
    <row r="8207" spans="1:2" x14ac:dyDescent="0.25">
      <c r="A8207">
        <v>291632</v>
      </c>
      <c r="B8207" t="e">
        <f>- - peroxido de benzoilo y Cloruro de benzoilo</f>
        <v>#NAME?</v>
      </c>
    </row>
    <row r="8208" spans="1:2" x14ac:dyDescent="0.25">
      <c r="A8208">
        <v>29163210000</v>
      </c>
      <c r="B8208" t="s">
        <v>3032</v>
      </c>
    </row>
    <row r="8209" spans="1:2" x14ac:dyDescent="0.25">
      <c r="A8209">
        <v>29163220000</v>
      </c>
      <c r="B8209" t="s">
        <v>3033</v>
      </c>
    </row>
    <row r="8210" spans="1:2" x14ac:dyDescent="0.25">
      <c r="A8210">
        <v>29163400</v>
      </c>
      <c r="B8210" t="e">
        <f>- - acido fenilacetico y sus sales</f>
        <v>#NAME?</v>
      </c>
    </row>
    <row r="8211" spans="1:2" x14ac:dyDescent="0.25">
      <c r="A8211">
        <v>29163400100</v>
      </c>
      <c r="B8211" t="s">
        <v>2490</v>
      </c>
    </row>
    <row r="8212" spans="1:2" x14ac:dyDescent="0.25">
      <c r="A8212">
        <v>29163400900</v>
      </c>
      <c r="B8212" t="s">
        <v>10</v>
      </c>
    </row>
    <row r="8213" spans="1:2" x14ac:dyDescent="0.25">
      <c r="A8213">
        <v>291639</v>
      </c>
      <c r="B8213" t="e">
        <f>- - Los demas</f>
        <v>#NAME?</v>
      </c>
    </row>
    <row r="8214" spans="1:2" x14ac:dyDescent="0.25">
      <c r="A8214">
        <v>29163910000</v>
      </c>
      <c r="B8214" t="s">
        <v>3034</v>
      </c>
    </row>
    <row r="8215" spans="1:2" x14ac:dyDescent="0.25">
      <c r="A8215">
        <v>29163920000</v>
      </c>
      <c r="B8215" t="s">
        <v>3035</v>
      </c>
    </row>
    <row r="8216" spans="1:2" x14ac:dyDescent="0.25">
      <c r="A8216">
        <v>29163930000</v>
      </c>
      <c r="B8216" t="s">
        <v>3036</v>
      </c>
    </row>
    <row r="8217" spans="1:2" x14ac:dyDescent="0.25">
      <c r="A8217">
        <v>29163940000</v>
      </c>
      <c r="B8217" t="s">
        <v>3037</v>
      </c>
    </row>
    <row r="8218" spans="1:2" x14ac:dyDescent="0.25">
      <c r="A8218">
        <v>29163990</v>
      </c>
      <c r="B8218" t="s">
        <v>10</v>
      </c>
    </row>
    <row r="8219" spans="1:2" x14ac:dyDescent="0.25">
      <c r="A8219">
        <v>291639901</v>
      </c>
      <c r="B8219" t="s">
        <v>2450</v>
      </c>
    </row>
    <row r="8220" spans="1:2" x14ac:dyDescent="0.25">
      <c r="A8220">
        <v>29163990110</v>
      </c>
      <c r="B8220" t="s">
        <v>3038</v>
      </c>
    </row>
    <row r="8221" spans="1:2" x14ac:dyDescent="0.25">
      <c r="A8221">
        <v>29163990190</v>
      </c>
      <c r="B8221" t="s">
        <v>10</v>
      </c>
    </row>
    <row r="8222" spans="1:2" x14ac:dyDescent="0.25">
      <c r="A8222">
        <v>29163990200</v>
      </c>
      <c r="B8222" t="s">
        <v>3039</v>
      </c>
    </row>
    <row r="8223" spans="1:2" x14ac:dyDescent="0.25">
      <c r="A8223">
        <v>291639903</v>
      </c>
      <c r="B8223" t="s">
        <v>3040</v>
      </c>
    </row>
    <row r="8224" spans="1:2" x14ac:dyDescent="0.25">
      <c r="A8224">
        <v>29163990310</v>
      </c>
      <c r="B8224" t="s">
        <v>1131</v>
      </c>
    </row>
    <row r="8225" spans="1:2" x14ac:dyDescent="0.25">
      <c r="A8225">
        <v>29163990390</v>
      </c>
      <c r="B8225" t="s">
        <v>57</v>
      </c>
    </row>
    <row r="8226" spans="1:2" x14ac:dyDescent="0.25">
      <c r="A8226">
        <v>29163990900</v>
      </c>
      <c r="B8226" t="s">
        <v>10</v>
      </c>
    </row>
    <row r="8227" spans="1:2" x14ac:dyDescent="0.25">
      <c r="A8227">
        <v>2917</v>
      </c>
      <c r="B8227" t="s">
        <v>3041</v>
      </c>
    </row>
    <row r="8228" spans="1:2" x14ac:dyDescent="0.25">
      <c r="A8228">
        <v>29171</v>
      </c>
      <c r="B8228" t="s">
        <v>3042</v>
      </c>
    </row>
    <row r="8229" spans="1:2" x14ac:dyDescent="0.25">
      <c r="A8229">
        <v>291711</v>
      </c>
      <c r="B8229" t="e">
        <f>- - acido oxalico. sus sales y sus esteres</f>
        <v>#NAME?</v>
      </c>
    </row>
    <row r="8230" spans="1:2" x14ac:dyDescent="0.25">
      <c r="A8230">
        <v>29171110</v>
      </c>
      <c r="B8230" t="s">
        <v>3043</v>
      </c>
    </row>
    <row r="8231" spans="1:2" x14ac:dyDescent="0.25">
      <c r="A8231">
        <v>29171110100</v>
      </c>
      <c r="B8231" t="s">
        <v>3044</v>
      </c>
    </row>
    <row r="8232" spans="1:2" x14ac:dyDescent="0.25">
      <c r="A8232">
        <v>29171110200</v>
      </c>
      <c r="B8232" t="s">
        <v>2195</v>
      </c>
    </row>
    <row r="8233" spans="1:2" x14ac:dyDescent="0.25">
      <c r="A8233">
        <v>29171120000</v>
      </c>
      <c r="B8233" t="s">
        <v>2966</v>
      </c>
    </row>
    <row r="8234" spans="1:2" x14ac:dyDescent="0.25">
      <c r="A8234">
        <v>291712</v>
      </c>
      <c r="B8234" t="e">
        <f>- - acido adipico. sus sales y sus esteres</f>
        <v>#NAME?</v>
      </c>
    </row>
    <row r="8235" spans="1:2" x14ac:dyDescent="0.25">
      <c r="A8235">
        <v>29171210000</v>
      </c>
      <c r="B8235" t="s">
        <v>3045</v>
      </c>
    </row>
    <row r="8236" spans="1:2" x14ac:dyDescent="0.25">
      <c r="A8236">
        <v>29171220</v>
      </c>
      <c r="B8236" t="s">
        <v>2992</v>
      </c>
    </row>
    <row r="8237" spans="1:2" x14ac:dyDescent="0.25">
      <c r="A8237">
        <v>29171220100</v>
      </c>
      <c r="B8237" t="s">
        <v>2195</v>
      </c>
    </row>
    <row r="8238" spans="1:2" x14ac:dyDescent="0.25">
      <c r="A8238">
        <v>29171220200</v>
      </c>
      <c r="B8238" t="s">
        <v>2966</v>
      </c>
    </row>
    <row r="8239" spans="1:2" x14ac:dyDescent="0.25">
      <c r="A8239">
        <v>291713</v>
      </c>
      <c r="B8239" t="e">
        <f>- - acido azelaico. acido sebacico. sus sales y sus esteres</f>
        <v>#NAME?</v>
      </c>
    </row>
    <row r="8240" spans="1:2" x14ac:dyDescent="0.25">
      <c r="A8240">
        <v>29171310</v>
      </c>
      <c r="B8240" t="s">
        <v>3046</v>
      </c>
    </row>
    <row r="8241" spans="1:2" x14ac:dyDescent="0.25">
      <c r="A8241">
        <v>29171310100</v>
      </c>
      <c r="B8241" t="s">
        <v>3047</v>
      </c>
    </row>
    <row r="8242" spans="1:2" x14ac:dyDescent="0.25">
      <c r="A8242">
        <v>29171310200</v>
      </c>
      <c r="B8242" t="s">
        <v>2992</v>
      </c>
    </row>
    <row r="8243" spans="1:2" x14ac:dyDescent="0.25">
      <c r="A8243">
        <v>2917132</v>
      </c>
      <c r="B8243" t="s">
        <v>3048</v>
      </c>
    </row>
    <row r="8244" spans="1:2" x14ac:dyDescent="0.25">
      <c r="A8244">
        <v>29171321000</v>
      </c>
      <c r="B8244" t="s">
        <v>3049</v>
      </c>
    </row>
    <row r="8245" spans="1:2" x14ac:dyDescent="0.25">
      <c r="A8245">
        <v>29171322000</v>
      </c>
      <c r="B8245" t="s">
        <v>3050</v>
      </c>
    </row>
    <row r="8246" spans="1:2" x14ac:dyDescent="0.25">
      <c r="A8246">
        <v>29171323000</v>
      </c>
      <c r="B8246" t="s">
        <v>3051</v>
      </c>
    </row>
    <row r="8247" spans="1:2" x14ac:dyDescent="0.25">
      <c r="A8247">
        <v>29171329</v>
      </c>
      <c r="B8247" t="s">
        <v>10</v>
      </c>
    </row>
    <row r="8248" spans="1:2" x14ac:dyDescent="0.25">
      <c r="A8248">
        <v>29171329100</v>
      </c>
      <c r="B8248" t="s">
        <v>2195</v>
      </c>
    </row>
    <row r="8249" spans="1:2" x14ac:dyDescent="0.25">
      <c r="A8249">
        <v>29171329900</v>
      </c>
      <c r="B8249" t="s">
        <v>10</v>
      </c>
    </row>
    <row r="8250" spans="1:2" x14ac:dyDescent="0.25">
      <c r="A8250">
        <v>29171400000</v>
      </c>
      <c r="B8250" t="e">
        <f>--anhidrido maleico</f>
        <v>#NAME?</v>
      </c>
    </row>
    <row r="8251" spans="1:2" x14ac:dyDescent="0.25">
      <c r="A8251">
        <v>291719</v>
      </c>
      <c r="B8251" t="e">
        <f>- - Los demas</f>
        <v>#NAME?</v>
      </c>
    </row>
    <row r="8252" spans="1:2" x14ac:dyDescent="0.25">
      <c r="A8252">
        <v>29171910000</v>
      </c>
      <c r="B8252" t="s">
        <v>3052</v>
      </c>
    </row>
    <row r="8253" spans="1:2" x14ac:dyDescent="0.25">
      <c r="A8253">
        <v>2917192</v>
      </c>
      <c r="B8253" t="s">
        <v>3053</v>
      </c>
    </row>
    <row r="8254" spans="1:2" x14ac:dyDescent="0.25">
      <c r="A8254">
        <v>29171921000</v>
      </c>
      <c r="B8254" t="s">
        <v>3054</v>
      </c>
    </row>
    <row r="8255" spans="1:2" x14ac:dyDescent="0.25">
      <c r="A8255">
        <v>29171922</v>
      </c>
      <c r="B8255" t="s">
        <v>2992</v>
      </c>
    </row>
    <row r="8256" spans="1:2" x14ac:dyDescent="0.25">
      <c r="A8256">
        <v>29171922100</v>
      </c>
      <c r="B8256" t="s">
        <v>2195</v>
      </c>
    </row>
    <row r="8257" spans="1:2" x14ac:dyDescent="0.25">
      <c r="A8257">
        <v>291719222</v>
      </c>
      <c r="B8257" t="s">
        <v>2966</v>
      </c>
    </row>
    <row r="8258" spans="1:2" x14ac:dyDescent="0.25">
      <c r="A8258">
        <v>29171922210</v>
      </c>
      <c r="B8258" t="s">
        <v>3055</v>
      </c>
    </row>
    <row r="8259" spans="1:2" x14ac:dyDescent="0.25">
      <c r="A8259">
        <v>29171922290</v>
      </c>
      <c r="B8259" t="s">
        <v>10</v>
      </c>
    </row>
    <row r="8260" spans="1:2" x14ac:dyDescent="0.25">
      <c r="A8260">
        <v>29171930</v>
      </c>
      <c r="B8260" t="s">
        <v>3056</v>
      </c>
    </row>
    <row r="8261" spans="1:2" x14ac:dyDescent="0.25">
      <c r="A8261">
        <v>29171930100</v>
      </c>
      <c r="B8261" t="s">
        <v>3057</v>
      </c>
    </row>
    <row r="8262" spans="1:2" x14ac:dyDescent="0.25">
      <c r="A8262">
        <v>29171930200</v>
      </c>
      <c r="B8262" t="s">
        <v>2195</v>
      </c>
    </row>
    <row r="8263" spans="1:2" x14ac:dyDescent="0.25">
      <c r="A8263">
        <v>29171930300</v>
      </c>
      <c r="B8263" t="s">
        <v>2966</v>
      </c>
    </row>
    <row r="8264" spans="1:2" x14ac:dyDescent="0.25">
      <c r="A8264">
        <v>29171990</v>
      </c>
      <c r="B8264" t="s">
        <v>10</v>
      </c>
    </row>
    <row r="8265" spans="1:2" x14ac:dyDescent="0.25">
      <c r="A8265">
        <v>29171990100</v>
      </c>
      <c r="B8265" t="s">
        <v>3058</v>
      </c>
    </row>
    <row r="8266" spans="1:2" x14ac:dyDescent="0.25">
      <c r="A8266">
        <v>29171990200</v>
      </c>
      <c r="B8266" t="s">
        <v>3059</v>
      </c>
    </row>
    <row r="8267" spans="1:2" x14ac:dyDescent="0.25">
      <c r="A8267">
        <v>29171990900</v>
      </c>
      <c r="B8267" t="s">
        <v>10</v>
      </c>
    </row>
    <row r="8268" spans="1:2" x14ac:dyDescent="0.25">
      <c r="A8268">
        <v>29172000000</v>
      </c>
      <c r="B8268" t="e">
        <f>-acidos policarboxilicos Ciclanicos. ciclenicos o cicloterpenicos. sus anhidridos. halogenuros. peroxidos. peroxiacidos y sus derivados</f>
        <v>#NAME?</v>
      </c>
    </row>
    <row r="8269" spans="1:2" x14ac:dyDescent="0.25">
      <c r="A8269">
        <v>29173</v>
      </c>
      <c r="B8269" t="s">
        <v>3060</v>
      </c>
    </row>
    <row r="8270" spans="1:2" x14ac:dyDescent="0.25">
      <c r="A8270">
        <v>29173200</v>
      </c>
      <c r="B8270" t="e">
        <f>- - Ortoftalatos de dioctilo</f>
        <v>#NAME?</v>
      </c>
    </row>
    <row r="8271" spans="1:2" x14ac:dyDescent="0.25">
      <c r="A8271">
        <v>29173200100</v>
      </c>
      <c r="B8271" t="s">
        <v>3061</v>
      </c>
    </row>
    <row r="8272" spans="1:2" x14ac:dyDescent="0.25">
      <c r="A8272">
        <v>29173200900</v>
      </c>
      <c r="B8272" t="s">
        <v>10</v>
      </c>
    </row>
    <row r="8273" spans="1:2" x14ac:dyDescent="0.25">
      <c r="A8273">
        <v>29173300</v>
      </c>
      <c r="B8273" t="e">
        <f>- - Ortoftalatos de dinonilo o didecilo</f>
        <v>#NAME?</v>
      </c>
    </row>
    <row r="8274" spans="1:2" x14ac:dyDescent="0.25">
      <c r="A8274">
        <v>29173300100</v>
      </c>
      <c r="B8274" t="s">
        <v>3062</v>
      </c>
    </row>
    <row r="8275" spans="1:2" x14ac:dyDescent="0.25">
      <c r="A8275">
        <v>29173300200</v>
      </c>
      <c r="B8275" t="s">
        <v>3063</v>
      </c>
    </row>
    <row r="8276" spans="1:2" x14ac:dyDescent="0.25">
      <c r="A8276">
        <v>29173400000</v>
      </c>
      <c r="B8276" t="e">
        <f>--Los demas esteres del acido ortoftalico</f>
        <v>#NAME?</v>
      </c>
    </row>
    <row r="8277" spans="1:2" x14ac:dyDescent="0.25">
      <c r="A8277">
        <v>29173500000</v>
      </c>
      <c r="B8277" t="e">
        <f>--anhidrido ftalico</f>
        <v>#NAME?</v>
      </c>
    </row>
    <row r="8278" spans="1:2" x14ac:dyDescent="0.25">
      <c r="A8278">
        <v>29173600000</v>
      </c>
      <c r="B8278" t="e">
        <f>--acido tereftalico y sus sales</f>
        <v>#NAME?</v>
      </c>
    </row>
    <row r="8279" spans="1:2" x14ac:dyDescent="0.25">
      <c r="A8279">
        <v>29173700000</v>
      </c>
      <c r="B8279" t="e">
        <f>--Tereftalato de dimetilo</f>
        <v>#NAME?</v>
      </c>
    </row>
    <row r="8280" spans="1:2" x14ac:dyDescent="0.25">
      <c r="A8280">
        <v>291739</v>
      </c>
      <c r="B8280" t="e">
        <f>- - Los demas</f>
        <v>#NAME?</v>
      </c>
    </row>
    <row r="8281" spans="1:2" x14ac:dyDescent="0.25">
      <c r="A8281">
        <v>2917391</v>
      </c>
      <c r="B8281" t="s">
        <v>3064</v>
      </c>
    </row>
    <row r="8282" spans="1:2" x14ac:dyDescent="0.25">
      <c r="A8282">
        <v>29173911000</v>
      </c>
      <c r="B8282" t="s">
        <v>2966</v>
      </c>
    </row>
    <row r="8283" spans="1:2" x14ac:dyDescent="0.25">
      <c r="A8283">
        <v>29173919000</v>
      </c>
      <c r="B8283" t="s">
        <v>10</v>
      </c>
    </row>
    <row r="8284" spans="1:2" x14ac:dyDescent="0.25">
      <c r="A8284">
        <v>29173920000</v>
      </c>
      <c r="B8284" t="s">
        <v>3065</v>
      </c>
    </row>
    <row r="8285" spans="1:2" x14ac:dyDescent="0.25">
      <c r="A8285">
        <v>2917393</v>
      </c>
      <c r="B8285" t="s">
        <v>3066</v>
      </c>
    </row>
    <row r="8286" spans="1:2" x14ac:dyDescent="0.25">
      <c r="A8286">
        <v>29173931000</v>
      </c>
      <c r="B8286" t="s">
        <v>3067</v>
      </c>
    </row>
    <row r="8287" spans="1:2" x14ac:dyDescent="0.25">
      <c r="A8287">
        <v>29173939000</v>
      </c>
      <c r="B8287" t="s">
        <v>10</v>
      </c>
    </row>
    <row r="8288" spans="1:2" x14ac:dyDescent="0.25">
      <c r="A8288">
        <v>29173940000</v>
      </c>
      <c r="B8288" t="s">
        <v>3068</v>
      </c>
    </row>
    <row r="8289" spans="1:2" x14ac:dyDescent="0.25">
      <c r="A8289">
        <v>29173950000</v>
      </c>
      <c r="B8289" t="s">
        <v>3069</v>
      </c>
    </row>
    <row r="8290" spans="1:2" x14ac:dyDescent="0.25">
      <c r="A8290">
        <v>29173990</v>
      </c>
      <c r="B8290" t="s">
        <v>10</v>
      </c>
    </row>
    <row r="8291" spans="1:2" x14ac:dyDescent="0.25">
      <c r="A8291">
        <v>291739901</v>
      </c>
      <c r="B8291" t="s">
        <v>2450</v>
      </c>
    </row>
    <row r="8292" spans="1:2" x14ac:dyDescent="0.25">
      <c r="A8292">
        <v>29173990110</v>
      </c>
      <c r="B8292" t="s">
        <v>3070</v>
      </c>
    </row>
    <row r="8293" spans="1:2" x14ac:dyDescent="0.25">
      <c r="A8293">
        <v>29173990190</v>
      </c>
      <c r="B8293" t="s">
        <v>10</v>
      </c>
    </row>
    <row r="8294" spans="1:2" x14ac:dyDescent="0.25">
      <c r="A8294">
        <v>29173990200</v>
      </c>
      <c r="B8294" t="s">
        <v>3071</v>
      </c>
    </row>
    <row r="8295" spans="1:2" x14ac:dyDescent="0.25">
      <c r="A8295">
        <v>29173990900</v>
      </c>
      <c r="B8295" t="s">
        <v>10</v>
      </c>
    </row>
    <row r="8296" spans="1:2" x14ac:dyDescent="0.25">
      <c r="A8296">
        <v>2918</v>
      </c>
      <c r="B8296" t="s">
        <v>3072</v>
      </c>
    </row>
    <row r="8297" spans="1:2" x14ac:dyDescent="0.25">
      <c r="A8297">
        <v>29181</v>
      </c>
      <c r="B8297" t="s">
        <v>3073</v>
      </c>
    </row>
    <row r="8298" spans="1:2" x14ac:dyDescent="0.25">
      <c r="A8298">
        <v>29181100</v>
      </c>
      <c r="B8298" t="e">
        <f>- - acido lactico. sus sales y sus esteres</f>
        <v>#NAME?</v>
      </c>
    </row>
    <row r="8299" spans="1:2" x14ac:dyDescent="0.25">
      <c r="A8299">
        <v>29181100100</v>
      </c>
      <c r="B8299" t="s">
        <v>3074</v>
      </c>
    </row>
    <row r="8300" spans="1:2" x14ac:dyDescent="0.25">
      <c r="A8300">
        <v>29181100200</v>
      </c>
      <c r="B8300" t="s">
        <v>2195</v>
      </c>
    </row>
    <row r="8301" spans="1:2" x14ac:dyDescent="0.25">
      <c r="A8301">
        <v>29181100300</v>
      </c>
      <c r="B8301" t="s">
        <v>2966</v>
      </c>
    </row>
    <row r="8302" spans="1:2" x14ac:dyDescent="0.25">
      <c r="A8302">
        <v>29181200000</v>
      </c>
      <c r="B8302" t="e">
        <f>--acido tartarico</f>
        <v>#NAME?</v>
      </c>
    </row>
    <row r="8303" spans="1:2" x14ac:dyDescent="0.25">
      <c r="A8303">
        <v>291813</v>
      </c>
      <c r="B8303" t="e">
        <f>- - sales y esteres del acido tartarico</f>
        <v>#NAME?</v>
      </c>
    </row>
    <row r="8304" spans="1:2" x14ac:dyDescent="0.25">
      <c r="A8304">
        <v>29181310</v>
      </c>
      <c r="B8304" t="s">
        <v>2195</v>
      </c>
    </row>
    <row r="8305" spans="1:2" x14ac:dyDescent="0.25">
      <c r="A8305">
        <v>29181310100</v>
      </c>
      <c r="B8305" t="s">
        <v>2251</v>
      </c>
    </row>
    <row r="8306" spans="1:2" x14ac:dyDescent="0.25">
      <c r="A8306">
        <v>29181310200</v>
      </c>
      <c r="B8306" t="s">
        <v>2151</v>
      </c>
    </row>
    <row r="8307" spans="1:2" x14ac:dyDescent="0.25">
      <c r="A8307">
        <v>29181310900</v>
      </c>
      <c r="B8307" t="s">
        <v>57</v>
      </c>
    </row>
    <row r="8308" spans="1:2" x14ac:dyDescent="0.25">
      <c r="A8308">
        <v>29181320000</v>
      </c>
      <c r="B8308" t="s">
        <v>2966</v>
      </c>
    </row>
    <row r="8309" spans="1:2" x14ac:dyDescent="0.25">
      <c r="A8309">
        <v>29181400000</v>
      </c>
      <c r="B8309" t="e">
        <f>--acido citrico</f>
        <v>#NAME?</v>
      </c>
    </row>
    <row r="8310" spans="1:2" x14ac:dyDescent="0.25">
      <c r="A8310">
        <v>29181500</v>
      </c>
      <c r="B8310" t="e">
        <f>- - sales y esteres del acido citrico</f>
        <v>#NAME?</v>
      </c>
    </row>
    <row r="8311" spans="1:2" x14ac:dyDescent="0.25">
      <c r="A8311">
        <v>291815001</v>
      </c>
      <c r="B8311" t="s">
        <v>2195</v>
      </c>
    </row>
    <row r="8312" spans="1:2" x14ac:dyDescent="0.25">
      <c r="A8312">
        <v>29181500110</v>
      </c>
      <c r="B8312" t="s">
        <v>2151</v>
      </c>
    </row>
    <row r="8313" spans="1:2" x14ac:dyDescent="0.25">
      <c r="A8313">
        <v>29181500120</v>
      </c>
      <c r="B8313" t="s">
        <v>2152</v>
      </c>
    </row>
    <row r="8314" spans="1:2" x14ac:dyDescent="0.25">
      <c r="A8314">
        <v>29181500190</v>
      </c>
      <c r="B8314" t="s">
        <v>10</v>
      </c>
    </row>
    <row r="8315" spans="1:2" x14ac:dyDescent="0.25">
      <c r="A8315">
        <v>29181500200</v>
      </c>
      <c r="B8315" t="s">
        <v>2966</v>
      </c>
    </row>
    <row r="8316" spans="1:2" x14ac:dyDescent="0.25">
      <c r="A8316">
        <v>291816</v>
      </c>
      <c r="B8316" t="e">
        <f>- - acido gluconico. sus sales y sus esteres</f>
        <v>#NAME?</v>
      </c>
    </row>
    <row r="8317" spans="1:2" x14ac:dyDescent="0.25">
      <c r="A8317">
        <v>29181610000</v>
      </c>
      <c r="B8317" t="s">
        <v>3075</v>
      </c>
    </row>
    <row r="8318" spans="1:2" x14ac:dyDescent="0.25">
      <c r="A8318">
        <v>29181690</v>
      </c>
      <c r="B8318" t="s">
        <v>10</v>
      </c>
    </row>
    <row r="8319" spans="1:2" x14ac:dyDescent="0.25">
      <c r="A8319">
        <v>29181690100</v>
      </c>
      <c r="B8319" t="s">
        <v>3076</v>
      </c>
    </row>
    <row r="8320" spans="1:2" x14ac:dyDescent="0.25">
      <c r="A8320">
        <v>29181690200</v>
      </c>
      <c r="B8320" t="s">
        <v>2966</v>
      </c>
    </row>
    <row r="8321" spans="1:2" x14ac:dyDescent="0.25">
      <c r="A8321">
        <v>29181690900</v>
      </c>
      <c r="B8321" t="s">
        <v>10</v>
      </c>
    </row>
    <row r="8322" spans="1:2" x14ac:dyDescent="0.25">
      <c r="A8322">
        <v>29181700000</v>
      </c>
      <c r="B8322" t="s">
        <v>3077</v>
      </c>
    </row>
    <row r="8323" spans="1:2" x14ac:dyDescent="0.25">
      <c r="A8323">
        <v>29181800000</v>
      </c>
      <c r="B8323" t="e">
        <f>--Clorobencilato (ISO)</f>
        <v>#NAME?</v>
      </c>
    </row>
    <row r="8324" spans="1:2" x14ac:dyDescent="0.25">
      <c r="A8324">
        <v>291819</v>
      </c>
      <c r="B8324" t="e">
        <f>- - Los demas</f>
        <v>#NAME?</v>
      </c>
    </row>
    <row r="8325" spans="1:2" x14ac:dyDescent="0.25">
      <c r="A8325">
        <v>29181910000</v>
      </c>
      <c r="B8325" t="s">
        <v>3078</v>
      </c>
    </row>
    <row r="8326" spans="1:2" x14ac:dyDescent="0.25">
      <c r="A8326">
        <v>2918192</v>
      </c>
      <c r="B8326" t="s">
        <v>3079</v>
      </c>
    </row>
    <row r="8327" spans="1:2" x14ac:dyDescent="0.25">
      <c r="A8327">
        <v>29181921000</v>
      </c>
      <c r="B8327" t="s">
        <v>3080</v>
      </c>
    </row>
    <row r="8328" spans="1:2" x14ac:dyDescent="0.25">
      <c r="A8328">
        <v>29181922000</v>
      </c>
      <c r="B8328" t="s">
        <v>3081</v>
      </c>
    </row>
    <row r="8329" spans="1:2" x14ac:dyDescent="0.25">
      <c r="A8329">
        <v>29181929000</v>
      </c>
      <c r="B8329" t="s">
        <v>10</v>
      </c>
    </row>
    <row r="8330" spans="1:2" x14ac:dyDescent="0.25">
      <c r="A8330">
        <v>29181930000</v>
      </c>
      <c r="B8330" t="s">
        <v>3082</v>
      </c>
    </row>
    <row r="8331" spans="1:2" x14ac:dyDescent="0.25">
      <c r="A8331">
        <v>2918194</v>
      </c>
      <c r="B8331" t="s">
        <v>3083</v>
      </c>
    </row>
    <row r="8332" spans="1:2" x14ac:dyDescent="0.25">
      <c r="A8332">
        <v>29181942000</v>
      </c>
      <c r="B8332" t="s">
        <v>2195</v>
      </c>
    </row>
    <row r="8333" spans="1:2" x14ac:dyDescent="0.25">
      <c r="A8333">
        <v>29181943</v>
      </c>
      <c r="B8333" t="s">
        <v>2966</v>
      </c>
    </row>
    <row r="8334" spans="1:2" x14ac:dyDescent="0.25">
      <c r="A8334">
        <v>29181943100</v>
      </c>
      <c r="B8334" t="s">
        <v>3084</v>
      </c>
    </row>
    <row r="8335" spans="1:2" x14ac:dyDescent="0.25">
      <c r="A8335">
        <v>29181943900</v>
      </c>
      <c r="B8335" t="s">
        <v>10</v>
      </c>
    </row>
    <row r="8336" spans="1:2" x14ac:dyDescent="0.25">
      <c r="A8336">
        <v>29181990</v>
      </c>
      <c r="B8336" t="s">
        <v>10</v>
      </c>
    </row>
    <row r="8337" spans="1:2" x14ac:dyDescent="0.25">
      <c r="A8337">
        <v>29181990200</v>
      </c>
      <c r="B8337" t="s">
        <v>3085</v>
      </c>
    </row>
    <row r="8338" spans="1:2" x14ac:dyDescent="0.25">
      <c r="A8338">
        <v>29181990400</v>
      </c>
      <c r="B8338" t="s">
        <v>3086</v>
      </c>
    </row>
    <row r="8339" spans="1:2" x14ac:dyDescent="0.25">
      <c r="A8339">
        <v>29181990500</v>
      </c>
      <c r="B8339" t="s">
        <v>3087</v>
      </c>
    </row>
    <row r="8340" spans="1:2" x14ac:dyDescent="0.25">
      <c r="A8340">
        <v>29181990600</v>
      </c>
      <c r="B8340" t="s">
        <v>3088</v>
      </c>
    </row>
    <row r="8341" spans="1:2" x14ac:dyDescent="0.25">
      <c r="A8341">
        <v>29181990900</v>
      </c>
      <c r="B8341" t="s">
        <v>10</v>
      </c>
    </row>
    <row r="8342" spans="1:2" x14ac:dyDescent="0.25">
      <c r="A8342">
        <v>29182</v>
      </c>
      <c r="B8342" t="s">
        <v>3089</v>
      </c>
    </row>
    <row r="8343" spans="1:2" x14ac:dyDescent="0.25">
      <c r="A8343">
        <v>291821</v>
      </c>
      <c r="B8343" t="e">
        <f>- - acido salicilico y sus sales</f>
        <v>#NAME?</v>
      </c>
    </row>
    <row r="8344" spans="1:2" x14ac:dyDescent="0.25">
      <c r="A8344">
        <v>29182110000</v>
      </c>
      <c r="B8344" t="s">
        <v>3090</v>
      </c>
    </row>
    <row r="8345" spans="1:2" x14ac:dyDescent="0.25">
      <c r="A8345">
        <v>29182120000</v>
      </c>
      <c r="B8345" t="s">
        <v>2195</v>
      </c>
    </row>
    <row r="8346" spans="1:2" x14ac:dyDescent="0.25">
      <c r="A8346">
        <v>291822</v>
      </c>
      <c r="B8346" t="e">
        <f>- - acido o-acetilsalicilico. sus sales y sus esteres</f>
        <v>#NAME?</v>
      </c>
    </row>
    <row r="8347" spans="1:2" x14ac:dyDescent="0.25">
      <c r="A8347">
        <v>2918221</v>
      </c>
      <c r="B8347" t="s">
        <v>3091</v>
      </c>
    </row>
    <row r="8348" spans="1:2" x14ac:dyDescent="0.25">
      <c r="A8348">
        <v>29182211000</v>
      </c>
      <c r="B8348" t="s">
        <v>3092</v>
      </c>
    </row>
    <row r="8349" spans="1:2" x14ac:dyDescent="0.25">
      <c r="A8349">
        <v>29182212000</v>
      </c>
      <c r="B8349" t="s">
        <v>3093</v>
      </c>
    </row>
    <row r="8350" spans="1:2" x14ac:dyDescent="0.25">
      <c r="A8350">
        <v>29182219000</v>
      </c>
      <c r="B8350" t="s">
        <v>57</v>
      </c>
    </row>
    <row r="8351" spans="1:2" x14ac:dyDescent="0.25">
      <c r="A8351">
        <v>29182220000</v>
      </c>
      <c r="B8351" t="s">
        <v>2966</v>
      </c>
    </row>
    <row r="8352" spans="1:2" x14ac:dyDescent="0.25">
      <c r="A8352">
        <v>29182300</v>
      </c>
      <c r="B8352" t="e">
        <f>- - Los demas esteres del acido salicilico y sus sales</f>
        <v>#NAME?</v>
      </c>
    </row>
    <row r="8353" spans="1:2" x14ac:dyDescent="0.25">
      <c r="A8353">
        <v>29182300100</v>
      </c>
      <c r="B8353" t="s">
        <v>3094</v>
      </c>
    </row>
    <row r="8354" spans="1:2" x14ac:dyDescent="0.25">
      <c r="A8354">
        <v>29182300900</v>
      </c>
      <c r="B8354" t="s">
        <v>10</v>
      </c>
    </row>
    <row r="8355" spans="1:2" x14ac:dyDescent="0.25">
      <c r="A8355">
        <v>291829</v>
      </c>
      <c r="B8355" t="e">
        <f>- - Los demas</f>
        <v>#NAME?</v>
      </c>
    </row>
    <row r="8356" spans="1:2" x14ac:dyDescent="0.25">
      <c r="A8356">
        <v>29182910000</v>
      </c>
      <c r="B8356" t="s">
        <v>3095</v>
      </c>
    </row>
    <row r="8357" spans="1:2" x14ac:dyDescent="0.25">
      <c r="A8357">
        <v>2918292</v>
      </c>
      <c r="B8357" t="s">
        <v>3096</v>
      </c>
    </row>
    <row r="8358" spans="1:2" x14ac:dyDescent="0.25">
      <c r="A8358">
        <v>29182921000</v>
      </c>
      <c r="B8358" t="s">
        <v>3097</v>
      </c>
    </row>
    <row r="8359" spans="1:2" x14ac:dyDescent="0.25">
      <c r="A8359">
        <v>29182922000</v>
      </c>
      <c r="B8359" t="s">
        <v>3098</v>
      </c>
    </row>
    <row r="8360" spans="1:2" x14ac:dyDescent="0.25">
      <c r="A8360">
        <v>29182923000</v>
      </c>
      <c r="B8360" t="s">
        <v>3099</v>
      </c>
    </row>
    <row r="8361" spans="1:2" x14ac:dyDescent="0.25">
      <c r="A8361">
        <v>29182929000</v>
      </c>
      <c r="B8361" t="s">
        <v>10</v>
      </c>
    </row>
    <row r="8362" spans="1:2" x14ac:dyDescent="0.25">
      <c r="A8362">
        <v>29182930000</v>
      </c>
      <c r="B8362" t="s">
        <v>3100</v>
      </c>
    </row>
    <row r="8363" spans="1:2" x14ac:dyDescent="0.25">
      <c r="A8363">
        <v>29182940000</v>
      </c>
      <c r="B8363" t="s">
        <v>3101</v>
      </c>
    </row>
    <row r="8364" spans="1:2" x14ac:dyDescent="0.25">
      <c r="A8364">
        <v>29182950000</v>
      </c>
      <c r="B8364" t="s">
        <v>3102</v>
      </c>
    </row>
    <row r="8365" spans="1:2" x14ac:dyDescent="0.25">
      <c r="A8365">
        <v>29182990</v>
      </c>
      <c r="B8365" t="s">
        <v>10</v>
      </c>
    </row>
    <row r="8366" spans="1:2" x14ac:dyDescent="0.25">
      <c r="A8366">
        <v>29182990100</v>
      </c>
      <c r="B8366" t="s">
        <v>3103</v>
      </c>
    </row>
    <row r="8367" spans="1:2" x14ac:dyDescent="0.25">
      <c r="A8367">
        <v>29182990900</v>
      </c>
      <c r="B8367" t="s">
        <v>10</v>
      </c>
    </row>
    <row r="8368" spans="1:2" x14ac:dyDescent="0.25">
      <c r="A8368">
        <v>291830</v>
      </c>
      <c r="B8368" t="e">
        <f>- acidos carboxilicos Con funcion aldehido o cetona. pero sin otra funcion oxigenada. sus anhidridos. halogenuros. peroxidos. peroxiacidos y sus derivados</f>
        <v>#NAME?</v>
      </c>
    </row>
    <row r="8369" spans="1:2" x14ac:dyDescent="0.25">
      <c r="A8369">
        <v>29183010000</v>
      </c>
      <c r="B8369" t="s">
        <v>3104</v>
      </c>
    </row>
    <row r="8370" spans="1:2" x14ac:dyDescent="0.25">
      <c r="A8370">
        <v>29183020000</v>
      </c>
      <c r="B8370" t="s">
        <v>3105</v>
      </c>
    </row>
    <row r="8371" spans="1:2" x14ac:dyDescent="0.25">
      <c r="A8371">
        <v>2918303</v>
      </c>
      <c r="B8371" t="s">
        <v>3106</v>
      </c>
    </row>
    <row r="8372" spans="1:2" x14ac:dyDescent="0.25">
      <c r="A8372">
        <v>29183031000</v>
      </c>
      <c r="B8372" t="s">
        <v>3107</v>
      </c>
    </row>
    <row r="8373" spans="1:2" x14ac:dyDescent="0.25">
      <c r="A8373">
        <v>29183032000</v>
      </c>
      <c r="B8373" t="s">
        <v>3108</v>
      </c>
    </row>
    <row r="8374" spans="1:2" x14ac:dyDescent="0.25">
      <c r="A8374">
        <v>29183033000</v>
      </c>
      <c r="B8374" t="s">
        <v>3109</v>
      </c>
    </row>
    <row r="8375" spans="1:2" x14ac:dyDescent="0.25">
      <c r="A8375">
        <v>29183039000</v>
      </c>
      <c r="B8375" t="s">
        <v>57</v>
      </c>
    </row>
    <row r="8376" spans="1:2" x14ac:dyDescent="0.25">
      <c r="A8376">
        <v>29183040000</v>
      </c>
      <c r="B8376" t="s">
        <v>3110</v>
      </c>
    </row>
    <row r="8377" spans="1:2" x14ac:dyDescent="0.25">
      <c r="A8377">
        <v>29183090</v>
      </c>
      <c r="B8377" t="s">
        <v>10</v>
      </c>
    </row>
    <row r="8378" spans="1:2" x14ac:dyDescent="0.25">
      <c r="A8378">
        <v>291830901</v>
      </c>
      <c r="B8378" t="s">
        <v>3111</v>
      </c>
    </row>
    <row r="8379" spans="1:2" x14ac:dyDescent="0.25">
      <c r="A8379">
        <v>29183090110</v>
      </c>
      <c r="B8379" t="s">
        <v>3112</v>
      </c>
    </row>
    <row r="8380" spans="1:2" x14ac:dyDescent="0.25">
      <c r="A8380">
        <v>29183090190</v>
      </c>
      <c r="B8380" t="s">
        <v>10</v>
      </c>
    </row>
    <row r="8381" spans="1:2" x14ac:dyDescent="0.25">
      <c r="A8381">
        <v>29183090900</v>
      </c>
      <c r="B8381" t="s">
        <v>10</v>
      </c>
    </row>
    <row r="8382" spans="1:2" x14ac:dyDescent="0.25">
      <c r="A8382">
        <v>29189</v>
      </c>
      <c r="B8382" t="s">
        <v>28</v>
      </c>
    </row>
    <row r="8383" spans="1:2" x14ac:dyDescent="0.25">
      <c r="A8383">
        <v>29189100</v>
      </c>
      <c r="B8383" t="s">
        <v>3113</v>
      </c>
    </row>
    <row r="8384" spans="1:2" x14ac:dyDescent="0.25">
      <c r="A8384">
        <v>29189100100</v>
      </c>
      <c r="B8384" t="s">
        <v>3114</v>
      </c>
    </row>
    <row r="8385" spans="1:2" x14ac:dyDescent="0.25">
      <c r="A8385">
        <v>29189100900</v>
      </c>
      <c r="B8385" t="s">
        <v>10</v>
      </c>
    </row>
    <row r="8386" spans="1:2" x14ac:dyDescent="0.25">
      <c r="A8386">
        <v>291899</v>
      </c>
      <c r="B8386" t="e">
        <f>- - Los demas</f>
        <v>#NAME?</v>
      </c>
    </row>
    <row r="8387" spans="1:2" x14ac:dyDescent="0.25">
      <c r="A8387">
        <v>2918991</v>
      </c>
      <c r="B8387" t="s">
        <v>3115</v>
      </c>
    </row>
    <row r="8388" spans="1:2" x14ac:dyDescent="0.25">
      <c r="A8388">
        <v>29189911000</v>
      </c>
      <c r="B8388" t="s">
        <v>3116</v>
      </c>
    </row>
    <row r="8389" spans="1:2" x14ac:dyDescent="0.25">
      <c r="A8389">
        <v>29189912</v>
      </c>
      <c r="B8389" t="s">
        <v>3117</v>
      </c>
    </row>
    <row r="8390" spans="1:2" x14ac:dyDescent="0.25">
      <c r="A8390">
        <v>291899121</v>
      </c>
      <c r="B8390" t="s">
        <v>2450</v>
      </c>
    </row>
    <row r="8391" spans="1:2" x14ac:dyDescent="0.25">
      <c r="A8391">
        <v>29189912110</v>
      </c>
      <c r="B8391" t="s">
        <v>3118</v>
      </c>
    </row>
    <row r="8392" spans="1:2" x14ac:dyDescent="0.25">
      <c r="A8392">
        <v>29189912120</v>
      </c>
      <c r="B8392" t="s">
        <v>3119</v>
      </c>
    </row>
    <row r="8393" spans="1:2" x14ac:dyDescent="0.25">
      <c r="A8393">
        <v>29189912190</v>
      </c>
      <c r="B8393" t="s">
        <v>10</v>
      </c>
    </row>
    <row r="8394" spans="1:2" x14ac:dyDescent="0.25">
      <c r="A8394">
        <v>29189912200</v>
      </c>
      <c r="B8394" t="s">
        <v>3120</v>
      </c>
    </row>
    <row r="8395" spans="1:2" x14ac:dyDescent="0.25">
      <c r="A8395">
        <v>29189912900</v>
      </c>
      <c r="B8395" t="s">
        <v>10</v>
      </c>
    </row>
    <row r="8396" spans="1:2" x14ac:dyDescent="0.25">
      <c r="A8396">
        <v>29189919000</v>
      </c>
      <c r="B8396" t="s">
        <v>10</v>
      </c>
    </row>
    <row r="8397" spans="1:2" x14ac:dyDescent="0.25">
      <c r="A8397">
        <v>2918992</v>
      </c>
      <c r="B8397" t="s">
        <v>3121</v>
      </c>
    </row>
    <row r="8398" spans="1:2" x14ac:dyDescent="0.25">
      <c r="A8398">
        <v>29189921</v>
      </c>
      <c r="B8398" t="s">
        <v>3122</v>
      </c>
    </row>
    <row r="8399" spans="1:2" x14ac:dyDescent="0.25">
      <c r="A8399">
        <v>29189921100</v>
      </c>
      <c r="B8399" t="s">
        <v>3123</v>
      </c>
    </row>
    <row r="8400" spans="1:2" x14ac:dyDescent="0.25">
      <c r="A8400">
        <v>29189921900</v>
      </c>
      <c r="B8400" t="s">
        <v>10</v>
      </c>
    </row>
    <row r="8401" spans="1:2" x14ac:dyDescent="0.25">
      <c r="A8401">
        <v>29189929000</v>
      </c>
      <c r="B8401" t="s">
        <v>10</v>
      </c>
    </row>
    <row r="8402" spans="1:2" x14ac:dyDescent="0.25">
      <c r="A8402">
        <v>29189930000</v>
      </c>
      <c r="B8402" t="s">
        <v>3124</v>
      </c>
    </row>
    <row r="8403" spans="1:2" x14ac:dyDescent="0.25">
      <c r="A8403">
        <v>29189940000</v>
      </c>
      <c r="B8403" t="s">
        <v>3125</v>
      </c>
    </row>
    <row r="8404" spans="1:2" x14ac:dyDescent="0.25">
      <c r="A8404">
        <v>29189950000</v>
      </c>
      <c r="B8404" t="s">
        <v>3126</v>
      </c>
    </row>
    <row r="8405" spans="1:2" x14ac:dyDescent="0.25">
      <c r="A8405">
        <v>29189960000</v>
      </c>
      <c r="B8405" t="s">
        <v>3127</v>
      </c>
    </row>
    <row r="8406" spans="1:2" x14ac:dyDescent="0.25">
      <c r="A8406">
        <v>2918999</v>
      </c>
      <c r="B8406" t="s">
        <v>10</v>
      </c>
    </row>
    <row r="8407" spans="1:2" x14ac:dyDescent="0.25">
      <c r="A8407">
        <v>29189991000</v>
      </c>
      <c r="B8407" t="s">
        <v>3128</v>
      </c>
    </row>
    <row r="8408" spans="1:2" x14ac:dyDescent="0.25">
      <c r="A8408">
        <v>29189992</v>
      </c>
      <c r="B8408" t="s">
        <v>3129</v>
      </c>
    </row>
    <row r="8409" spans="1:2" x14ac:dyDescent="0.25">
      <c r="A8409">
        <v>29189992100</v>
      </c>
      <c r="B8409" t="s">
        <v>2450</v>
      </c>
    </row>
    <row r="8410" spans="1:2" x14ac:dyDescent="0.25">
      <c r="A8410">
        <v>29189992900</v>
      </c>
      <c r="B8410" t="s">
        <v>10</v>
      </c>
    </row>
    <row r="8411" spans="1:2" x14ac:dyDescent="0.25">
      <c r="A8411">
        <v>29189993000</v>
      </c>
      <c r="B8411" t="s">
        <v>3130</v>
      </c>
    </row>
    <row r="8412" spans="1:2" x14ac:dyDescent="0.25">
      <c r="A8412">
        <v>29189994000</v>
      </c>
      <c r="B8412" t="s">
        <v>3131</v>
      </c>
    </row>
    <row r="8413" spans="1:2" x14ac:dyDescent="0.25">
      <c r="A8413">
        <v>29189999</v>
      </c>
      <c r="B8413" t="s">
        <v>10</v>
      </c>
    </row>
    <row r="8414" spans="1:2" x14ac:dyDescent="0.25">
      <c r="A8414">
        <v>291899991</v>
      </c>
      <c r="B8414" t="s">
        <v>2450</v>
      </c>
    </row>
    <row r="8415" spans="1:2" x14ac:dyDescent="0.25">
      <c r="A8415">
        <v>29189999110</v>
      </c>
      <c r="B8415" t="s">
        <v>3132</v>
      </c>
    </row>
    <row r="8416" spans="1:2" x14ac:dyDescent="0.25">
      <c r="A8416">
        <v>29189999120</v>
      </c>
      <c r="B8416" t="s">
        <v>3133</v>
      </c>
    </row>
    <row r="8417" spans="1:2" x14ac:dyDescent="0.25">
      <c r="A8417">
        <v>29189999130</v>
      </c>
      <c r="B8417" t="s">
        <v>3134</v>
      </c>
    </row>
    <row r="8418" spans="1:2" x14ac:dyDescent="0.25">
      <c r="A8418">
        <v>29189999140</v>
      </c>
      <c r="B8418" t="s">
        <v>3135</v>
      </c>
    </row>
    <row r="8419" spans="1:2" x14ac:dyDescent="0.25">
      <c r="A8419">
        <v>29189999150</v>
      </c>
      <c r="B8419" t="s">
        <v>3136</v>
      </c>
    </row>
    <row r="8420" spans="1:2" x14ac:dyDescent="0.25">
      <c r="A8420">
        <v>29189999190</v>
      </c>
      <c r="B8420" t="s">
        <v>10</v>
      </c>
    </row>
    <row r="8421" spans="1:2" x14ac:dyDescent="0.25">
      <c r="A8421">
        <v>29189999200</v>
      </c>
      <c r="B8421" t="s">
        <v>3137</v>
      </c>
    </row>
    <row r="8422" spans="1:2" x14ac:dyDescent="0.25">
      <c r="A8422">
        <v>29189999900</v>
      </c>
      <c r="B8422" t="s">
        <v>10</v>
      </c>
    </row>
    <row r="8423" spans="1:2" x14ac:dyDescent="0.25">
      <c r="A8423">
        <v>2919</v>
      </c>
      <c r="B8423" t="s">
        <v>3138</v>
      </c>
    </row>
    <row r="8424" spans="1:2" x14ac:dyDescent="0.25">
      <c r="A8424">
        <v>29191000000</v>
      </c>
      <c r="B8424" t="s">
        <v>3139</v>
      </c>
    </row>
    <row r="8425" spans="1:2" x14ac:dyDescent="0.25">
      <c r="A8425">
        <v>291990</v>
      </c>
      <c r="B8425" t="e">
        <f>- Los demas</f>
        <v>#NAME?</v>
      </c>
    </row>
    <row r="8426" spans="1:2" x14ac:dyDescent="0.25">
      <c r="A8426">
        <v>29199010000</v>
      </c>
      <c r="B8426" t="s">
        <v>3140</v>
      </c>
    </row>
    <row r="8427" spans="1:2" x14ac:dyDescent="0.25">
      <c r="A8427">
        <v>29199020000</v>
      </c>
      <c r="B8427" t="s">
        <v>3141</v>
      </c>
    </row>
    <row r="8428" spans="1:2" x14ac:dyDescent="0.25">
      <c r="A8428">
        <v>29199030000</v>
      </c>
      <c r="B8428" t="s">
        <v>3142</v>
      </c>
    </row>
    <row r="8429" spans="1:2" x14ac:dyDescent="0.25">
      <c r="A8429">
        <v>29199040000</v>
      </c>
      <c r="B8429" t="s">
        <v>3143</v>
      </c>
    </row>
    <row r="8430" spans="1:2" x14ac:dyDescent="0.25">
      <c r="A8430">
        <v>29199050000</v>
      </c>
      <c r="B8430" t="s">
        <v>3144</v>
      </c>
    </row>
    <row r="8431" spans="1:2" x14ac:dyDescent="0.25">
      <c r="A8431">
        <v>29199060000</v>
      </c>
      <c r="B8431" t="s">
        <v>3145</v>
      </c>
    </row>
    <row r="8432" spans="1:2" x14ac:dyDescent="0.25">
      <c r="A8432">
        <v>29199090</v>
      </c>
      <c r="B8432" t="s">
        <v>10</v>
      </c>
    </row>
    <row r="8433" spans="1:2" x14ac:dyDescent="0.25">
      <c r="A8433">
        <v>291990901</v>
      </c>
      <c r="B8433" t="s">
        <v>2450</v>
      </c>
    </row>
    <row r="8434" spans="1:2" x14ac:dyDescent="0.25">
      <c r="A8434">
        <v>29199090110</v>
      </c>
      <c r="B8434" t="s">
        <v>3146</v>
      </c>
    </row>
    <row r="8435" spans="1:2" x14ac:dyDescent="0.25">
      <c r="A8435">
        <v>29199090190</v>
      </c>
      <c r="B8435" t="s">
        <v>10</v>
      </c>
    </row>
    <row r="8436" spans="1:2" x14ac:dyDescent="0.25">
      <c r="A8436">
        <v>29199090900</v>
      </c>
      <c r="B8436" t="s">
        <v>10</v>
      </c>
    </row>
    <row r="8437" spans="1:2" x14ac:dyDescent="0.25">
      <c r="A8437">
        <v>2920</v>
      </c>
      <c r="B8437" t="s">
        <v>3147</v>
      </c>
    </row>
    <row r="8438" spans="1:2" x14ac:dyDescent="0.25">
      <c r="A8438">
        <v>29201</v>
      </c>
      <c r="B8438" t="s">
        <v>3148</v>
      </c>
    </row>
    <row r="8439" spans="1:2" x14ac:dyDescent="0.25">
      <c r="A8439">
        <v>292011</v>
      </c>
      <c r="B8439" t="e">
        <f>- - Paration (ISO) y Paration-metilo (ISO) (metil Paration)</f>
        <v>#NAME?</v>
      </c>
    </row>
    <row r="8440" spans="1:2" x14ac:dyDescent="0.25">
      <c r="A8440">
        <v>29201110000</v>
      </c>
      <c r="B8440" t="s">
        <v>3149</v>
      </c>
    </row>
    <row r="8441" spans="1:2" x14ac:dyDescent="0.25">
      <c r="A8441">
        <v>29201120000</v>
      </c>
      <c r="B8441" t="s">
        <v>3150</v>
      </c>
    </row>
    <row r="8442" spans="1:2" x14ac:dyDescent="0.25">
      <c r="A8442">
        <v>292019</v>
      </c>
      <c r="B8442" t="e">
        <f>- - Los demas</f>
        <v>#NAME?</v>
      </c>
    </row>
    <row r="8443" spans="1:2" x14ac:dyDescent="0.25">
      <c r="A8443">
        <v>29201910000</v>
      </c>
      <c r="B8443" t="s">
        <v>3151</v>
      </c>
    </row>
    <row r="8444" spans="1:2" x14ac:dyDescent="0.25">
      <c r="A8444">
        <v>29201920000</v>
      </c>
      <c r="B8444" t="s">
        <v>3152</v>
      </c>
    </row>
    <row r="8445" spans="1:2" x14ac:dyDescent="0.25">
      <c r="A8445">
        <v>29201990</v>
      </c>
      <c r="B8445" t="s">
        <v>10</v>
      </c>
    </row>
    <row r="8446" spans="1:2" x14ac:dyDescent="0.25">
      <c r="A8446">
        <v>292019901</v>
      </c>
      <c r="B8446" t="s">
        <v>2450</v>
      </c>
    </row>
    <row r="8447" spans="1:2" x14ac:dyDescent="0.25">
      <c r="A8447">
        <v>29201990110</v>
      </c>
      <c r="B8447" t="s">
        <v>3153</v>
      </c>
    </row>
    <row r="8448" spans="1:2" x14ac:dyDescent="0.25">
      <c r="A8448">
        <v>29201990190</v>
      </c>
      <c r="B8448" t="s">
        <v>10</v>
      </c>
    </row>
    <row r="8449" spans="1:2" x14ac:dyDescent="0.25">
      <c r="A8449">
        <v>29201990200</v>
      </c>
      <c r="B8449" t="s">
        <v>3154</v>
      </c>
    </row>
    <row r="8450" spans="1:2" x14ac:dyDescent="0.25">
      <c r="A8450">
        <v>29201990900</v>
      </c>
      <c r="B8450" t="s">
        <v>10</v>
      </c>
    </row>
    <row r="8451" spans="1:2" x14ac:dyDescent="0.25">
      <c r="A8451">
        <v>29202</v>
      </c>
      <c r="B8451" t="s">
        <v>3155</v>
      </c>
    </row>
    <row r="8452" spans="1:2" x14ac:dyDescent="0.25">
      <c r="A8452">
        <v>29202100000</v>
      </c>
      <c r="B8452" t="e">
        <f>--Fosfito de dimetilo</f>
        <v>#NAME?</v>
      </c>
    </row>
    <row r="8453" spans="1:2" x14ac:dyDescent="0.25">
      <c r="A8453">
        <v>29202200000</v>
      </c>
      <c r="B8453" t="e">
        <f>--Fosfito de dietilo</f>
        <v>#NAME?</v>
      </c>
    </row>
    <row r="8454" spans="1:2" x14ac:dyDescent="0.25">
      <c r="A8454">
        <v>29202300000</v>
      </c>
      <c r="B8454" t="e">
        <f>--Fosfito de trimetilo</f>
        <v>#NAME?</v>
      </c>
    </row>
    <row r="8455" spans="1:2" x14ac:dyDescent="0.25">
      <c r="A8455">
        <v>29202400000</v>
      </c>
      <c r="B8455" t="e">
        <f>--Fosfito de trietilo</f>
        <v>#NAME?</v>
      </c>
    </row>
    <row r="8456" spans="1:2" x14ac:dyDescent="0.25">
      <c r="A8456">
        <v>292029</v>
      </c>
      <c r="B8456" t="e">
        <f>- - Los demas</f>
        <v>#NAME?</v>
      </c>
    </row>
    <row r="8457" spans="1:2" x14ac:dyDescent="0.25">
      <c r="A8457">
        <v>29202910</v>
      </c>
      <c r="B8457" t="s">
        <v>3156</v>
      </c>
    </row>
    <row r="8458" spans="1:2" x14ac:dyDescent="0.25">
      <c r="A8458">
        <v>29202910100</v>
      </c>
      <c r="B8458" t="s">
        <v>3157</v>
      </c>
    </row>
    <row r="8459" spans="1:2" x14ac:dyDescent="0.25">
      <c r="A8459">
        <v>29202910900</v>
      </c>
      <c r="B8459" t="s">
        <v>10</v>
      </c>
    </row>
    <row r="8460" spans="1:2" x14ac:dyDescent="0.25">
      <c r="A8460">
        <v>29202920000</v>
      </c>
      <c r="B8460" t="s">
        <v>3158</v>
      </c>
    </row>
    <row r="8461" spans="1:2" x14ac:dyDescent="0.25">
      <c r="A8461">
        <v>29202930000</v>
      </c>
      <c r="B8461" t="s">
        <v>3159</v>
      </c>
    </row>
    <row r="8462" spans="1:2" x14ac:dyDescent="0.25">
      <c r="A8462">
        <v>29202940000</v>
      </c>
      <c r="B8462" t="s">
        <v>3160</v>
      </c>
    </row>
    <row r="8463" spans="1:2" x14ac:dyDescent="0.25">
      <c r="A8463">
        <v>29202950000</v>
      </c>
      <c r="B8463" t="s">
        <v>3161</v>
      </c>
    </row>
    <row r="8464" spans="1:2" x14ac:dyDescent="0.25">
      <c r="A8464">
        <v>29202990000</v>
      </c>
      <c r="B8464" t="s">
        <v>10</v>
      </c>
    </row>
    <row r="8465" spans="1:2" x14ac:dyDescent="0.25">
      <c r="A8465">
        <v>29203000000</v>
      </c>
      <c r="B8465" t="e">
        <f>-Endosulfan (ISO)</f>
        <v>#NAME?</v>
      </c>
    </row>
    <row r="8466" spans="1:2" x14ac:dyDescent="0.25">
      <c r="A8466">
        <v>292090</v>
      </c>
      <c r="B8466" t="e">
        <f>- Los demas</f>
        <v>#NAME?</v>
      </c>
    </row>
    <row r="8467" spans="1:2" x14ac:dyDescent="0.25">
      <c r="A8467">
        <v>2920902</v>
      </c>
      <c r="B8467" t="s">
        <v>3162</v>
      </c>
    </row>
    <row r="8468" spans="1:2" x14ac:dyDescent="0.25">
      <c r="A8468">
        <v>29209022000</v>
      </c>
      <c r="B8468" t="s">
        <v>3163</v>
      </c>
    </row>
    <row r="8469" spans="1:2" x14ac:dyDescent="0.25">
      <c r="A8469">
        <v>29209029000</v>
      </c>
      <c r="B8469" t="s">
        <v>10</v>
      </c>
    </row>
    <row r="8470" spans="1:2" x14ac:dyDescent="0.25">
      <c r="A8470">
        <v>2920903</v>
      </c>
      <c r="B8470" t="s">
        <v>3164</v>
      </c>
    </row>
    <row r="8471" spans="1:2" x14ac:dyDescent="0.25">
      <c r="A8471">
        <v>29209031000</v>
      </c>
      <c r="B8471" t="s">
        <v>3165</v>
      </c>
    </row>
    <row r="8472" spans="1:2" x14ac:dyDescent="0.25">
      <c r="A8472">
        <v>29209032000</v>
      </c>
      <c r="B8472" t="s">
        <v>3166</v>
      </c>
    </row>
    <row r="8473" spans="1:2" x14ac:dyDescent="0.25">
      <c r="A8473">
        <v>29209033000</v>
      </c>
      <c r="B8473" t="s">
        <v>3167</v>
      </c>
    </row>
    <row r="8474" spans="1:2" x14ac:dyDescent="0.25">
      <c r="A8474">
        <v>29209039</v>
      </c>
      <c r="B8474" t="s">
        <v>10</v>
      </c>
    </row>
    <row r="8475" spans="1:2" x14ac:dyDescent="0.25">
      <c r="A8475">
        <v>292090391</v>
      </c>
      <c r="B8475" t="s">
        <v>3168</v>
      </c>
    </row>
    <row r="8476" spans="1:2" x14ac:dyDescent="0.25">
      <c r="A8476">
        <v>29209039110</v>
      </c>
      <c r="B8476" t="s">
        <v>3169</v>
      </c>
    </row>
    <row r="8477" spans="1:2" x14ac:dyDescent="0.25">
      <c r="A8477">
        <v>29209039120</v>
      </c>
      <c r="B8477" t="s">
        <v>3170</v>
      </c>
    </row>
    <row r="8478" spans="1:2" x14ac:dyDescent="0.25">
      <c r="A8478">
        <v>29209039130</v>
      </c>
      <c r="B8478" t="s">
        <v>3171</v>
      </c>
    </row>
    <row r="8479" spans="1:2" x14ac:dyDescent="0.25">
      <c r="A8479">
        <v>29209039140</v>
      </c>
      <c r="B8479" t="s">
        <v>3172</v>
      </c>
    </row>
    <row r="8480" spans="1:2" x14ac:dyDescent="0.25">
      <c r="A8480">
        <v>29209039150</v>
      </c>
      <c r="B8480" t="s">
        <v>3173</v>
      </c>
    </row>
    <row r="8481" spans="1:2" x14ac:dyDescent="0.25">
      <c r="A8481">
        <v>29209039160</v>
      </c>
      <c r="B8481" t="s">
        <v>3174</v>
      </c>
    </row>
    <row r="8482" spans="1:2" x14ac:dyDescent="0.25">
      <c r="A8482">
        <v>29209039170</v>
      </c>
      <c r="B8482" t="s">
        <v>3175</v>
      </c>
    </row>
    <row r="8483" spans="1:2" x14ac:dyDescent="0.25">
      <c r="A8483">
        <v>29209039900</v>
      </c>
      <c r="B8483" t="s">
        <v>10</v>
      </c>
    </row>
    <row r="8484" spans="1:2" x14ac:dyDescent="0.25">
      <c r="A8484">
        <v>2920904</v>
      </c>
      <c r="B8484" t="s">
        <v>3176</v>
      </c>
    </row>
    <row r="8485" spans="1:2" x14ac:dyDescent="0.25">
      <c r="A8485">
        <v>29209041000</v>
      </c>
      <c r="B8485" t="s">
        <v>3177</v>
      </c>
    </row>
    <row r="8486" spans="1:2" x14ac:dyDescent="0.25">
      <c r="A8486">
        <v>29209042000</v>
      </c>
      <c r="B8486" t="s">
        <v>3178</v>
      </c>
    </row>
    <row r="8487" spans="1:2" x14ac:dyDescent="0.25">
      <c r="A8487">
        <v>29209049</v>
      </c>
      <c r="B8487" t="s">
        <v>10</v>
      </c>
    </row>
    <row r="8488" spans="1:2" x14ac:dyDescent="0.25">
      <c r="A8488">
        <v>292090491</v>
      </c>
      <c r="B8488" t="s">
        <v>3179</v>
      </c>
    </row>
    <row r="8489" spans="1:2" x14ac:dyDescent="0.25">
      <c r="A8489">
        <v>29209049110</v>
      </c>
      <c r="B8489" t="s">
        <v>2775</v>
      </c>
    </row>
    <row r="8490" spans="1:2" x14ac:dyDescent="0.25">
      <c r="A8490">
        <v>29209049190</v>
      </c>
      <c r="B8490" t="s">
        <v>10</v>
      </c>
    </row>
    <row r="8491" spans="1:2" x14ac:dyDescent="0.25">
      <c r="A8491">
        <v>29209049900</v>
      </c>
      <c r="B8491" t="s">
        <v>10</v>
      </c>
    </row>
    <row r="8492" spans="1:2" x14ac:dyDescent="0.25">
      <c r="A8492">
        <v>2920905</v>
      </c>
      <c r="B8492" t="s">
        <v>3180</v>
      </c>
    </row>
    <row r="8493" spans="1:2" x14ac:dyDescent="0.25">
      <c r="A8493">
        <v>29209051000</v>
      </c>
      <c r="B8493" t="s">
        <v>3004</v>
      </c>
    </row>
    <row r="8494" spans="1:2" x14ac:dyDescent="0.25">
      <c r="A8494">
        <v>29209059000</v>
      </c>
      <c r="B8494" t="s">
        <v>10</v>
      </c>
    </row>
    <row r="8495" spans="1:2" x14ac:dyDescent="0.25">
      <c r="A8495">
        <v>29209090</v>
      </c>
      <c r="B8495" t="s">
        <v>10</v>
      </c>
    </row>
    <row r="8496" spans="1:2" x14ac:dyDescent="0.25">
      <c r="A8496">
        <v>292090901</v>
      </c>
      <c r="B8496" t="s">
        <v>3181</v>
      </c>
    </row>
    <row r="8497" spans="1:2" x14ac:dyDescent="0.25">
      <c r="A8497">
        <v>29209090110</v>
      </c>
      <c r="B8497" t="s">
        <v>2775</v>
      </c>
    </row>
    <row r="8498" spans="1:2" x14ac:dyDescent="0.25">
      <c r="A8498">
        <v>29209090190</v>
      </c>
      <c r="B8498" t="s">
        <v>10</v>
      </c>
    </row>
    <row r="8499" spans="1:2" x14ac:dyDescent="0.25">
      <c r="A8499">
        <v>29209090200</v>
      </c>
      <c r="B8499" t="s">
        <v>2778</v>
      </c>
    </row>
    <row r="8500" spans="1:2" x14ac:dyDescent="0.25">
      <c r="A8500">
        <v>29209090900</v>
      </c>
      <c r="B8500" t="s">
        <v>10</v>
      </c>
    </row>
    <row r="8501" spans="1:2" x14ac:dyDescent="0.25">
      <c r="A8501">
        <v>2921</v>
      </c>
      <c r="B8501" t="s">
        <v>3182</v>
      </c>
    </row>
    <row r="8502" spans="1:2" x14ac:dyDescent="0.25">
      <c r="A8502">
        <v>29211</v>
      </c>
      <c r="B8502" t="s">
        <v>3183</v>
      </c>
    </row>
    <row r="8503" spans="1:2" x14ac:dyDescent="0.25">
      <c r="A8503">
        <v>292111</v>
      </c>
      <c r="B8503" t="s">
        <v>3184</v>
      </c>
    </row>
    <row r="8504" spans="1:2" x14ac:dyDescent="0.25">
      <c r="A8504">
        <v>2921111</v>
      </c>
      <c r="B8504" t="s">
        <v>3185</v>
      </c>
    </row>
    <row r="8505" spans="1:2" x14ac:dyDescent="0.25">
      <c r="A8505">
        <v>29211111</v>
      </c>
      <c r="B8505" t="s">
        <v>3186</v>
      </c>
    </row>
    <row r="8506" spans="1:2" x14ac:dyDescent="0.25">
      <c r="A8506">
        <v>29211111100</v>
      </c>
      <c r="B8506" t="s">
        <v>2490</v>
      </c>
    </row>
    <row r="8507" spans="1:2" x14ac:dyDescent="0.25">
      <c r="A8507">
        <v>29211111900</v>
      </c>
      <c r="B8507" t="s">
        <v>57</v>
      </c>
    </row>
    <row r="8508" spans="1:2" x14ac:dyDescent="0.25">
      <c r="A8508">
        <v>29211112</v>
      </c>
      <c r="B8508" t="s">
        <v>2195</v>
      </c>
    </row>
    <row r="8509" spans="1:2" x14ac:dyDescent="0.25">
      <c r="A8509">
        <v>29211112100</v>
      </c>
      <c r="B8509" t="s">
        <v>1131</v>
      </c>
    </row>
    <row r="8510" spans="1:2" x14ac:dyDescent="0.25">
      <c r="A8510">
        <v>29211112900</v>
      </c>
      <c r="B8510" t="s">
        <v>57</v>
      </c>
    </row>
    <row r="8511" spans="1:2" x14ac:dyDescent="0.25">
      <c r="A8511">
        <v>2921112</v>
      </c>
      <c r="B8511" t="s">
        <v>3187</v>
      </c>
    </row>
    <row r="8512" spans="1:2" x14ac:dyDescent="0.25">
      <c r="A8512">
        <v>29211121000</v>
      </c>
      <c r="B8512" t="s">
        <v>3188</v>
      </c>
    </row>
    <row r="8513" spans="1:2" x14ac:dyDescent="0.25">
      <c r="A8513">
        <v>29211122000</v>
      </c>
      <c r="B8513" t="s">
        <v>3189</v>
      </c>
    </row>
    <row r="8514" spans="1:2" x14ac:dyDescent="0.25">
      <c r="A8514">
        <v>29211123000</v>
      </c>
      <c r="B8514" t="s">
        <v>3190</v>
      </c>
    </row>
    <row r="8515" spans="1:2" x14ac:dyDescent="0.25">
      <c r="A8515">
        <v>29211129</v>
      </c>
      <c r="B8515" t="s">
        <v>57</v>
      </c>
    </row>
    <row r="8516" spans="1:2" x14ac:dyDescent="0.25">
      <c r="A8516">
        <v>292111291</v>
      </c>
      <c r="B8516" t="s">
        <v>3191</v>
      </c>
    </row>
    <row r="8517" spans="1:2" x14ac:dyDescent="0.25">
      <c r="A8517">
        <v>29211129110</v>
      </c>
      <c r="B8517" t="s">
        <v>3192</v>
      </c>
    </row>
    <row r="8518" spans="1:2" x14ac:dyDescent="0.25">
      <c r="A8518">
        <v>29211129190</v>
      </c>
      <c r="B8518" t="s">
        <v>10</v>
      </c>
    </row>
    <row r="8519" spans="1:2" x14ac:dyDescent="0.25">
      <c r="A8519">
        <v>29211129200</v>
      </c>
      <c r="B8519" t="s">
        <v>3193</v>
      </c>
    </row>
    <row r="8520" spans="1:2" x14ac:dyDescent="0.25">
      <c r="A8520">
        <v>29211129900</v>
      </c>
      <c r="B8520" t="s">
        <v>10</v>
      </c>
    </row>
    <row r="8521" spans="1:2" x14ac:dyDescent="0.25">
      <c r="A8521">
        <v>2921113</v>
      </c>
      <c r="B8521" t="s">
        <v>3194</v>
      </c>
    </row>
    <row r="8522" spans="1:2" x14ac:dyDescent="0.25">
      <c r="A8522">
        <v>29211131000</v>
      </c>
      <c r="B8522" t="s">
        <v>3195</v>
      </c>
    </row>
    <row r="8523" spans="1:2" x14ac:dyDescent="0.25">
      <c r="A8523">
        <v>29211132000</v>
      </c>
      <c r="B8523" t="s">
        <v>3196</v>
      </c>
    </row>
    <row r="8524" spans="1:2" x14ac:dyDescent="0.25">
      <c r="A8524">
        <v>29211139000</v>
      </c>
      <c r="B8524" t="s">
        <v>57</v>
      </c>
    </row>
    <row r="8525" spans="1:2" x14ac:dyDescent="0.25">
      <c r="A8525">
        <v>29211200000</v>
      </c>
      <c r="B8525" t="s">
        <v>3197</v>
      </c>
    </row>
    <row r="8526" spans="1:2" x14ac:dyDescent="0.25">
      <c r="A8526">
        <v>29211300000</v>
      </c>
      <c r="B8526" t="s">
        <v>3198</v>
      </c>
    </row>
    <row r="8527" spans="1:2" x14ac:dyDescent="0.25">
      <c r="A8527">
        <v>29211400000</v>
      </c>
      <c r="B8527" t="s">
        <v>3199</v>
      </c>
    </row>
    <row r="8528" spans="1:2" x14ac:dyDescent="0.25">
      <c r="A8528">
        <v>292119</v>
      </c>
      <c r="B8528" t="e">
        <f>- - Los demas</f>
        <v>#NAME?</v>
      </c>
    </row>
    <row r="8529" spans="1:2" x14ac:dyDescent="0.25">
      <c r="A8529">
        <v>2921191</v>
      </c>
      <c r="B8529" t="s">
        <v>3200</v>
      </c>
    </row>
    <row r="8530" spans="1:2" x14ac:dyDescent="0.25">
      <c r="A8530">
        <v>29211911</v>
      </c>
      <c r="B8530" t="s">
        <v>3201</v>
      </c>
    </row>
    <row r="8531" spans="1:2" x14ac:dyDescent="0.25">
      <c r="A8531">
        <v>292119111</v>
      </c>
      <c r="B8531" t="s">
        <v>3202</v>
      </c>
    </row>
    <row r="8532" spans="1:2" x14ac:dyDescent="0.25">
      <c r="A8532">
        <v>29211911110</v>
      </c>
      <c r="B8532" t="s">
        <v>1131</v>
      </c>
    </row>
    <row r="8533" spans="1:2" x14ac:dyDescent="0.25">
      <c r="A8533">
        <v>29211911190</v>
      </c>
      <c r="B8533" t="s">
        <v>10</v>
      </c>
    </row>
    <row r="8534" spans="1:2" x14ac:dyDescent="0.25">
      <c r="A8534">
        <v>292119112</v>
      </c>
      <c r="B8534" t="s">
        <v>2195</v>
      </c>
    </row>
    <row r="8535" spans="1:2" x14ac:dyDescent="0.25">
      <c r="A8535">
        <v>29211911210</v>
      </c>
      <c r="B8535" t="s">
        <v>1131</v>
      </c>
    </row>
    <row r="8536" spans="1:2" x14ac:dyDescent="0.25">
      <c r="A8536">
        <v>29211911290</v>
      </c>
      <c r="B8536" t="s">
        <v>10</v>
      </c>
    </row>
    <row r="8537" spans="1:2" x14ac:dyDescent="0.25">
      <c r="A8537">
        <v>29211912000</v>
      </c>
      <c r="B8537" t="s">
        <v>3203</v>
      </c>
    </row>
    <row r="8538" spans="1:2" x14ac:dyDescent="0.25">
      <c r="A8538">
        <v>29211913000</v>
      </c>
      <c r="B8538" t="s">
        <v>3204</v>
      </c>
    </row>
    <row r="8539" spans="1:2" x14ac:dyDescent="0.25">
      <c r="A8539">
        <v>29211914000</v>
      </c>
      <c r="B8539" t="s">
        <v>3205</v>
      </c>
    </row>
    <row r="8540" spans="1:2" x14ac:dyDescent="0.25">
      <c r="A8540">
        <v>29211915</v>
      </c>
      <c r="B8540" t="s">
        <v>3206</v>
      </c>
    </row>
    <row r="8541" spans="1:2" x14ac:dyDescent="0.25">
      <c r="A8541">
        <v>29211915100</v>
      </c>
      <c r="B8541" t="s">
        <v>3207</v>
      </c>
    </row>
    <row r="8542" spans="1:2" x14ac:dyDescent="0.25">
      <c r="A8542">
        <v>29211915200</v>
      </c>
      <c r="B8542" t="s">
        <v>2195</v>
      </c>
    </row>
    <row r="8543" spans="1:2" x14ac:dyDescent="0.25">
      <c r="A8543">
        <v>29211919000</v>
      </c>
      <c r="B8543" t="s">
        <v>10</v>
      </c>
    </row>
    <row r="8544" spans="1:2" x14ac:dyDescent="0.25">
      <c r="A8544">
        <v>2921192</v>
      </c>
      <c r="B8544" t="s">
        <v>3208</v>
      </c>
    </row>
    <row r="8545" spans="1:2" x14ac:dyDescent="0.25">
      <c r="A8545">
        <v>29211921000</v>
      </c>
      <c r="B8545" t="s">
        <v>3209</v>
      </c>
    </row>
    <row r="8546" spans="1:2" x14ac:dyDescent="0.25">
      <c r="A8546">
        <v>29211922000</v>
      </c>
      <c r="B8546" t="s">
        <v>3210</v>
      </c>
    </row>
    <row r="8547" spans="1:2" x14ac:dyDescent="0.25">
      <c r="A8547">
        <v>29211923</v>
      </c>
      <c r="B8547" t="s">
        <v>3211</v>
      </c>
    </row>
    <row r="8548" spans="1:2" x14ac:dyDescent="0.25">
      <c r="A8548">
        <v>292119231</v>
      </c>
      <c r="B8548" t="s">
        <v>3191</v>
      </c>
    </row>
    <row r="8549" spans="1:2" x14ac:dyDescent="0.25">
      <c r="A8549">
        <v>29211923110</v>
      </c>
      <c r="B8549" t="s">
        <v>3212</v>
      </c>
    </row>
    <row r="8550" spans="1:2" x14ac:dyDescent="0.25">
      <c r="A8550">
        <v>29211923190</v>
      </c>
      <c r="B8550" t="s">
        <v>10</v>
      </c>
    </row>
    <row r="8551" spans="1:2" x14ac:dyDescent="0.25">
      <c r="A8551">
        <v>29211923900</v>
      </c>
      <c r="B8551" t="s">
        <v>10</v>
      </c>
    </row>
    <row r="8552" spans="1:2" x14ac:dyDescent="0.25">
      <c r="A8552">
        <v>29211924</v>
      </c>
      <c r="B8552" t="s">
        <v>3213</v>
      </c>
    </row>
    <row r="8553" spans="1:2" x14ac:dyDescent="0.25">
      <c r="A8553">
        <v>29211924100</v>
      </c>
      <c r="B8553" t="s">
        <v>3214</v>
      </c>
    </row>
    <row r="8554" spans="1:2" x14ac:dyDescent="0.25">
      <c r="A8554">
        <v>29211924900</v>
      </c>
      <c r="B8554" t="s">
        <v>57</v>
      </c>
    </row>
    <row r="8555" spans="1:2" x14ac:dyDescent="0.25">
      <c r="A8555">
        <v>29211929000</v>
      </c>
      <c r="B8555" t="s">
        <v>57</v>
      </c>
    </row>
    <row r="8556" spans="1:2" x14ac:dyDescent="0.25">
      <c r="A8556">
        <v>2921193</v>
      </c>
      <c r="B8556" t="s">
        <v>3215</v>
      </c>
    </row>
    <row r="8557" spans="1:2" x14ac:dyDescent="0.25">
      <c r="A8557">
        <v>29211931000</v>
      </c>
      <c r="B8557" t="s">
        <v>3216</v>
      </c>
    </row>
    <row r="8558" spans="1:2" x14ac:dyDescent="0.25">
      <c r="A8558">
        <v>29211939000</v>
      </c>
      <c r="B8558" t="s">
        <v>57</v>
      </c>
    </row>
    <row r="8559" spans="1:2" x14ac:dyDescent="0.25">
      <c r="A8559">
        <v>2921194</v>
      </c>
      <c r="B8559" t="s">
        <v>3217</v>
      </c>
    </row>
    <row r="8560" spans="1:2" x14ac:dyDescent="0.25">
      <c r="A8560">
        <v>29211941000</v>
      </c>
      <c r="B8560" t="s">
        <v>3218</v>
      </c>
    </row>
    <row r="8561" spans="1:2" x14ac:dyDescent="0.25">
      <c r="A8561">
        <v>29211949</v>
      </c>
      <c r="B8561" t="s">
        <v>57</v>
      </c>
    </row>
    <row r="8562" spans="1:2" x14ac:dyDescent="0.25">
      <c r="A8562">
        <v>29211949100</v>
      </c>
      <c r="B8562" t="s">
        <v>3219</v>
      </c>
    </row>
    <row r="8563" spans="1:2" x14ac:dyDescent="0.25">
      <c r="A8563">
        <v>29211949200</v>
      </c>
      <c r="B8563" t="s">
        <v>3220</v>
      </c>
    </row>
    <row r="8564" spans="1:2" x14ac:dyDescent="0.25">
      <c r="A8564">
        <v>2921199</v>
      </c>
      <c r="B8564" t="s">
        <v>10</v>
      </c>
    </row>
    <row r="8565" spans="1:2" x14ac:dyDescent="0.25">
      <c r="A8565">
        <v>29211991000</v>
      </c>
      <c r="B8565" t="s">
        <v>3221</v>
      </c>
    </row>
    <row r="8566" spans="1:2" x14ac:dyDescent="0.25">
      <c r="A8566">
        <v>29211992</v>
      </c>
      <c r="B8566" t="s">
        <v>3222</v>
      </c>
    </row>
    <row r="8567" spans="1:2" x14ac:dyDescent="0.25">
      <c r="A8567">
        <v>29211992100</v>
      </c>
      <c r="B8567" t="s">
        <v>3223</v>
      </c>
    </row>
    <row r="8568" spans="1:2" x14ac:dyDescent="0.25">
      <c r="A8568">
        <v>29211992900</v>
      </c>
      <c r="B8568" t="s">
        <v>57</v>
      </c>
    </row>
    <row r="8569" spans="1:2" x14ac:dyDescent="0.25">
      <c r="A8569">
        <v>29211993000</v>
      </c>
      <c r="B8569" t="s">
        <v>3224</v>
      </c>
    </row>
    <row r="8570" spans="1:2" x14ac:dyDescent="0.25">
      <c r="A8570">
        <v>29211994000</v>
      </c>
      <c r="B8570" t="s">
        <v>3225</v>
      </c>
    </row>
    <row r="8571" spans="1:2" x14ac:dyDescent="0.25">
      <c r="A8571">
        <v>29211999000</v>
      </c>
      <c r="B8571" t="s">
        <v>10</v>
      </c>
    </row>
    <row r="8572" spans="1:2" x14ac:dyDescent="0.25">
      <c r="A8572">
        <v>29212</v>
      </c>
      <c r="B8572" t="s">
        <v>3226</v>
      </c>
    </row>
    <row r="8573" spans="1:2" x14ac:dyDescent="0.25">
      <c r="A8573">
        <v>29212100000</v>
      </c>
      <c r="B8573" t="e">
        <f>--Etilendiamina y sus sales</f>
        <v>#NAME?</v>
      </c>
    </row>
    <row r="8574" spans="1:2" x14ac:dyDescent="0.25">
      <c r="A8574">
        <v>29212200000</v>
      </c>
      <c r="B8574" t="e">
        <f>--Hexametilendiamina y sus sales</f>
        <v>#NAME?</v>
      </c>
    </row>
    <row r="8575" spans="1:2" x14ac:dyDescent="0.25">
      <c r="A8575">
        <v>292129</v>
      </c>
      <c r="B8575" t="e">
        <f>- - Los demas</f>
        <v>#NAME?</v>
      </c>
    </row>
    <row r="8576" spans="1:2" x14ac:dyDescent="0.25">
      <c r="A8576">
        <v>29212910000</v>
      </c>
      <c r="B8576" t="s">
        <v>3227</v>
      </c>
    </row>
    <row r="8577" spans="1:2" x14ac:dyDescent="0.25">
      <c r="A8577">
        <v>29212920000</v>
      </c>
      <c r="B8577" t="s">
        <v>3228</v>
      </c>
    </row>
    <row r="8578" spans="1:2" x14ac:dyDescent="0.25">
      <c r="A8578">
        <v>29212990</v>
      </c>
      <c r="B8578" t="s">
        <v>10</v>
      </c>
    </row>
    <row r="8579" spans="1:2" x14ac:dyDescent="0.25">
      <c r="A8579">
        <v>29212990100</v>
      </c>
      <c r="B8579" t="s">
        <v>3229</v>
      </c>
    </row>
    <row r="8580" spans="1:2" x14ac:dyDescent="0.25">
      <c r="A8580">
        <v>29212990900</v>
      </c>
      <c r="B8580" t="s">
        <v>10</v>
      </c>
    </row>
    <row r="8581" spans="1:2" x14ac:dyDescent="0.25">
      <c r="A8581">
        <v>292130</v>
      </c>
      <c r="B8581" t="e">
        <f>- Monoaminas y poliaminas. ciclanicas. ciclenicas o cicloterpenicas. y sus derivados, sales de estos Productos</f>
        <v>#NAME?</v>
      </c>
    </row>
    <row r="8582" spans="1:2" x14ac:dyDescent="0.25">
      <c r="A8582">
        <v>2921301</v>
      </c>
      <c r="B8582" t="s">
        <v>3230</v>
      </c>
    </row>
    <row r="8583" spans="1:2" x14ac:dyDescent="0.25">
      <c r="A8583">
        <v>29213011000</v>
      </c>
      <c r="B8583" t="s">
        <v>3231</v>
      </c>
    </row>
    <row r="8584" spans="1:2" x14ac:dyDescent="0.25">
      <c r="A8584">
        <v>29213012000</v>
      </c>
      <c r="B8584" t="s">
        <v>3232</v>
      </c>
    </row>
    <row r="8585" spans="1:2" x14ac:dyDescent="0.25">
      <c r="A8585">
        <v>29213019000</v>
      </c>
      <c r="B8585" t="s">
        <v>57</v>
      </c>
    </row>
    <row r="8586" spans="1:2" x14ac:dyDescent="0.25">
      <c r="A8586">
        <v>29213020000</v>
      </c>
      <c r="B8586" t="s">
        <v>3233</v>
      </c>
    </row>
    <row r="8587" spans="1:2" x14ac:dyDescent="0.25">
      <c r="A8587">
        <v>29213090000</v>
      </c>
      <c r="B8587" t="s">
        <v>10</v>
      </c>
    </row>
    <row r="8588" spans="1:2" x14ac:dyDescent="0.25">
      <c r="A8588">
        <v>29214</v>
      </c>
      <c r="B8588" t="s">
        <v>3234</v>
      </c>
    </row>
    <row r="8589" spans="1:2" x14ac:dyDescent="0.25">
      <c r="A8589">
        <v>29214100</v>
      </c>
      <c r="B8589" t="e">
        <f>- - Anilina y sus sales</f>
        <v>#NAME?</v>
      </c>
    </row>
    <row r="8590" spans="1:2" x14ac:dyDescent="0.25">
      <c r="A8590">
        <v>29214100100</v>
      </c>
      <c r="B8590" t="s">
        <v>3235</v>
      </c>
    </row>
    <row r="8591" spans="1:2" x14ac:dyDescent="0.25">
      <c r="A8591">
        <v>29214100200</v>
      </c>
      <c r="B8591" t="s">
        <v>2195</v>
      </c>
    </row>
    <row r="8592" spans="1:2" x14ac:dyDescent="0.25">
      <c r="A8592">
        <v>292142</v>
      </c>
      <c r="B8592" t="e">
        <f>- - derivados de la Anilina y sus sales</f>
        <v>#NAME?</v>
      </c>
    </row>
    <row r="8593" spans="1:2" x14ac:dyDescent="0.25">
      <c r="A8593">
        <v>2921421</v>
      </c>
      <c r="B8593" t="s">
        <v>3236</v>
      </c>
    </row>
    <row r="8594" spans="1:2" x14ac:dyDescent="0.25">
      <c r="A8594">
        <v>29214211000</v>
      </c>
      <c r="B8594" t="s">
        <v>3237</v>
      </c>
    </row>
    <row r="8595" spans="1:2" x14ac:dyDescent="0.25">
      <c r="A8595">
        <v>29214219000</v>
      </c>
      <c r="B8595" t="s">
        <v>10</v>
      </c>
    </row>
    <row r="8596" spans="1:2" x14ac:dyDescent="0.25">
      <c r="A8596">
        <v>2921422</v>
      </c>
      <c r="B8596" t="s">
        <v>3238</v>
      </c>
    </row>
    <row r="8597" spans="1:2" x14ac:dyDescent="0.25">
      <c r="A8597">
        <v>29214221000</v>
      </c>
      <c r="B8597" t="s">
        <v>3239</v>
      </c>
    </row>
    <row r="8598" spans="1:2" x14ac:dyDescent="0.25">
      <c r="A8598">
        <v>29214229000</v>
      </c>
      <c r="B8598" t="s">
        <v>57</v>
      </c>
    </row>
    <row r="8599" spans="1:2" x14ac:dyDescent="0.25">
      <c r="A8599">
        <v>2921423</v>
      </c>
      <c r="B8599" t="s">
        <v>3240</v>
      </c>
    </row>
    <row r="8600" spans="1:2" x14ac:dyDescent="0.25">
      <c r="A8600">
        <v>29214231000</v>
      </c>
      <c r="B8600" t="s">
        <v>3241</v>
      </c>
    </row>
    <row r="8601" spans="1:2" x14ac:dyDescent="0.25">
      <c r="A8601">
        <v>29214239</v>
      </c>
      <c r="B8601" t="s">
        <v>57</v>
      </c>
    </row>
    <row r="8602" spans="1:2" x14ac:dyDescent="0.25">
      <c r="A8602">
        <v>29214239100</v>
      </c>
      <c r="B8602" t="s">
        <v>3242</v>
      </c>
    </row>
    <row r="8603" spans="1:2" x14ac:dyDescent="0.25">
      <c r="A8603">
        <v>29214239900</v>
      </c>
      <c r="B8603" t="s">
        <v>10</v>
      </c>
    </row>
    <row r="8604" spans="1:2" x14ac:dyDescent="0.25">
      <c r="A8604">
        <v>2921424</v>
      </c>
      <c r="B8604" t="s">
        <v>3243</v>
      </c>
    </row>
    <row r="8605" spans="1:2" x14ac:dyDescent="0.25">
      <c r="A8605">
        <v>29214241000</v>
      </c>
      <c r="B8605" t="s">
        <v>3244</v>
      </c>
    </row>
    <row r="8606" spans="1:2" x14ac:dyDescent="0.25">
      <c r="A8606">
        <v>29214249</v>
      </c>
      <c r="B8606" t="s">
        <v>57</v>
      </c>
    </row>
    <row r="8607" spans="1:2" x14ac:dyDescent="0.25">
      <c r="A8607">
        <v>292142491</v>
      </c>
      <c r="B8607" t="s">
        <v>2450</v>
      </c>
    </row>
    <row r="8608" spans="1:2" x14ac:dyDescent="0.25">
      <c r="A8608">
        <v>29214249110</v>
      </c>
      <c r="B8608" t="s">
        <v>3245</v>
      </c>
    </row>
    <row r="8609" spans="1:2" x14ac:dyDescent="0.25">
      <c r="A8609">
        <v>29214249190</v>
      </c>
      <c r="B8609" t="s">
        <v>10</v>
      </c>
    </row>
    <row r="8610" spans="1:2" x14ac:dyDescent="0.25">
      <c r="A8610">
        <v>29214249900</v>
      </c>
      <c r="B8610" t="s">
        <v>10</v>
      </c>
    </row>
    <row r="8611" spans="1:2" x14ac:dyDescent="0.25">
      <c r="A8611">
        <v>29214290000</v>
      </c>
      <c r="B8611" t="s">
        <v>10</v>
      </c>
    </row>
    <row r="8612" spans="1:2" x14ac:dyDescent="0.25">
      <c r="A8612">
        <v>292143</v>
      </c>
      <c r="B8612" t="e">
        <f>- - Toluidinas y sus derivados, sales de estos Productos</f>
        <v>#NAME?</v>
      </c>
    </row>
    <row r="8613" spans="1:2" x14ac:dyDescent="0.25">
      <c r="A8613">
        <v>2921431</v>
      </c>
      <c r="B8613" t="s">
        <v>3246</v>
      </c>
    </row>
    <row r="8614" spans="1:2" x14ac:dyDescent="0.25">
      <c r="A8614">
        <v>29214311000</v>
      </c>
      <c r="B8614" t="s">
        <v>3247</v>
      </c>
    </row>
    <row r="8615" spans="1:2" x14ac:dyDescent="0.25">
      <c r="A8615">
        <v>29214319000</v>
      </c>
      <c r="B8615" t="s">
        <v>57</v>
      </c>
    </row>
    <row r="8616" spans="1:2" x14ac:dyDescent="0.25">
      <c r="A8616">
        <v>2921432</v>
      </c>
      <c r="B8616" t="s">
        <v>3248</v>
      </c>
    </row>
    <row r="8617" spans="1:2" x14ac:dyDescent="0.25">
      <c r="A8617">
        <v>29214321000</v>
      </c>
      <c r="B8617" t="s">
        <v>3249</v>
      </c>
    </row>
    <row r="8618" spans="1:2" x14ac:dyDescent="0.25">
      <c r="A8618">
        <v>29214322000</v>
      </c>
      <c r="B8618" t="s">
        <v>3250</v>
      </c>
    </row>
    <row r="8619" spans="1:2" x14ac:dyDescent="0.25">
      <c r="A8619">
        <v>29214323000</v>
      </c>
      <c r="B8619" t="s">
        <v>3251</v>
      </c>
    </row>
    <row r="8620" spans="1:2" x14ac:dyDescent="0.25">
      <c r="A8620">
        <v>29214329</v>
      </c>
      <c r="B8620" t="s">
        <v>10</v>
      </c>
    </row>
    <row r="8621" spans="1:2" x14ac:dyDescent="0.25">
      <c r="A8621">
        <v>292143291</v>
      </c>
      <c r="B8621" t="s">
        <v>3191</v>
      </c>
    </row>
    <row r="8622" spans="1:2" x14ac:dyDescent="0.25">
      <c r="A8622">
        <v>29214329110</v>
      </c>
      <c r="B8622" t="s">
        <v>3252</v>
      </c>
    </row>
    <row r="8623" spans="1:2" x14ac:dyDescent="0.25">
      <c r="A8623">
        <v>29214329190</v>
      </c>
      <c r="B8623" t="s">
        <v>10</v>
      </c>
    </row>
    <row r="8624" spans="1:2" x14ac:dyDescent="0.25">
      <c r="A8624">
        <v>29214329900</v>
      </c>
      <c r="B8624" t="s">
        <v>10</v>
      </c>
    </row>
    <row r="8625" spans="1:2" x14ac:dyDescent="0.25">
      <c r="A8625">
        <v>292144</v>
      </c>
      <c r="B8625" t="e">
        <f>- - Difenilamina y sus derivados, sales de estos Productos</f>
        <v>#NAME?</v>
      </c>
    </row>
    <row r="8626" spans="1:2" x14ac:dyDescent="0.25">
      <c r="A8626">
        <v>29214410</v>
      </c>
      <c r="B8626" t="s">
        <v>3253</v>
      </c>
    </row>
    <row r="8627" spans="1:2" x14ac:dyDescent="0.25">
      <c r="A8627">
        <v>292144101</v>
      </c>
      <c r="B8627" t="s">
        <v>2450</v>
      </c>
    </row>
    <row r="8628" spans="1:2" x14ac:dyDescent="0.25">
      <c r="A8628">
        <v>29214410110</v>
      </c>
      <c r="B8628" t="s">
        <v>3254</v>
      </c>
    </row>
    <row r="8629" spans="1:2" x14ac:dyDescent="0.25">
      <c r="A8629">
        <v>29214410190</v>
      </c>
      <c r="B8629" t="s">
        <v>10</v>
      </c>
    </row>
    <row r="8630" spans="1:2" x14ac:dyDescent="0.25">
      <c r="A8630">
        <v>29214410900</v>
      </c>
      <c r="B8630" t="s">
        <v>10</v>
      </c>
    </row>
    <row r="8631" spans="1:2" x14ac:dyDescent="0.25">
      <c r="A8631">
        <v>2921442</v>
      </c>
      <c r="B8631" t="s">
        <v>3255</v>
      </c>
    </row>
    <row r="8632" spans="1:2" x14ac:dyDescent="0.25">
      <c r="A8632">
        <v>29214421000</v>
      </c>
      <c r="B8632" t="s">
        <v>3256</v>
      </c>
    </row>
    <row r="8633" spans="1:2" x14ac:dyDescent="0.25">
      <c r="A8633">
        <v>29214422000</v>
      </c>
      <c r="B8633" t="s">
        <v>3257</v>
      </c>
    </row>
    <row r="8634" spans="1:2" x14ac:dyDescent="0.25">
      <c r="A8634">
        <v>29214429</v>
      </c>
      <c r="B8634" t="s">
        <v>10</v>
      </c>
    </row>
    <row r="8635" spans="1:2" x14ac:dyDescent="0.25">
      <c r="A8635">
        <v>29214429100</v>
      </c>
      <c r="B8635" t="s">
        <v>3258</v>
      </c>
    </row>
    <row r="8636" spans="1:2" x14ac:dyDescent="0.25">
      <c r="A8636">
        <v>29214429900</v>
      </c>
      <c r="B8636" t="s">
        <v>10</v>
      </c>
    </row>
    <row r="8637" spans="1:2" x14ac:dyDescent="0.25">
      <c r="A8637">
        <v>29214500</v>
      </c>
      <c r="B8637" t="s">
        <v>3259</v>
      </c>
    </row>
    <row r="8638" spans="1:2" x14ac:dyDescent="0.25">
      <c r="A8638">
        <v>292145001</v>
      </c>
      <c r="B8638" t="s">
        <v>3260</v>
      </c>
    </row>
    <row r="8639" spans="1:2" x14ac:dyDescent="0.25">
      <c r="A8639">
        <v>29214500110</v>
      </c>
      <c r="B8639" t="s">
        <v>2740</v>
      </c>
    </row>
    <row r="8640" spans="1:2" x14ac:dyDescent="0.25">
      <c r="A8640">
        <v>29214500190</v>
      </c>
      <c r="B8640" t="s">
        <v>10</v>
      </c>
    </row>
    <row r="8641" spans="1:2" x14ac:dyDescent="0.25">
      <c r="A8641">
        <v>29214500200</v>
      </c>
      <c r="B8641" t="s">
        <v>3261</v>
      </c>
    </row>
    <row r="8642" spans="1:2" x14ac:dyDescent="0.25">
      <c r="A8642">
        <v>292146</v>
      </c>
      <c r="B8642" t="s">
        <v>3262</v>
      </c>
    </row>
    <row r="8643" spans="1:2" x14ac:dyDescent="0.25">
      <c r="A8643">
        <v>29214610000</v>
      </c>
      <c r="B8643" t="s">
        <v>3263</v>
      </c>
    </row>
    <row r="8644" spans="1:2" x14ac:dyDescent="0.25">
      <c r="A8644">
        <v>29214620000</v>
      </c>
      <c r="B8644" t="s">
        <v>3264</v>
      </c>
    </row>
    <row r="8645" spans="1:2" x14ac:dyDescent="0.25">
      <c r="A8645">
        <v>29214630000</v>
      </c>
      <c r="B8645" t="s">
        <v>3265</v>
      </c>
    </row>
    <row r="8646" spans="1:2" x14ac:dyDescent="0.25">
      <c r="A8646">
        <v>29214640000</v>
      </c>
      <c r="B8646" t="s">
        <v>3266</v>
      </c>
    </row>
    <row r="8647" spans="1:2" x14ac:dyDescent="0.25">
      <c r="A8647">
        <v>29214650000</v>
      </c>
      <c r="B8647" t="s">
        <v>3267</v>
      </c>
    </row>
    <row r="8648" spans="1:2" x14ac:dyDescent="0.25">
      <c r="A8648">
        <v>29214660000</v>
      </c>
      <c r="B8648" t="s">
        <v>3268</v>
      </c>
    </row>
    <row r="8649" spans="1:2" x14ac:dyDescent="0.25">
      <c r="A8649">
        <v>29214670000</v>
      </c>
      <c r="B8649" t="s">
        <v>3269</v>
      </c>
    </row>
    <row r="8650" spans="1:2" x14ac:dyDescent="0.25">
      <c r="A8650">
        <v>29214680000</v>
      </c>
      <c r="B8650" t="s">
        <v>3270</v>
      </c>
    </row>
    <row r="8651" spans="1:2" x14ac:dyDescent="0.25">
      <c r="A8651">
        <v>29214690000</v>
      </c>
      <c r="B8651" t="s">
        <v>3271</v>
      </c>
    </row>
    <row r="8652" spans="1:2" x14ac:dyDescent="0.25">
      <c r="A8652">
        <v>292149</v>
      </c>
      <c r="B8652" t="e">
        <f>- - Los demas</f>
        <v>#NAME?</v>
      </c>
    </row>
    <row r="8653" spans="1:2" x14ac:dyDescent="0.25">
      <c r="A8653">
        <v>29214910000</v>
      </c>
      <c r="B8653" t="s">
        <v>3272</v>
      </c>
    </row>
    <row r="8654" spans="1:2" x14ac:dyDescent="0.25">
      <c r="A8654">
        <v>2921492</v>
      </c>
      <c r="B8654" t="s">
        <v>3273</v>
      </c>
    </row>
    <row r="8655" spans="1:2" x14ac:dyDescent="0.25">
      <c r="A8655">
        <v>29214921000</v>
      </c>
      <c r="B8655" t="s">
        <v>3274</v>
      </c>
    </row>
    <row r="8656" spans="1:2" x14ac:dyDescent="0.25">
      <c r="A8656">
        <v>29214922000</v>
      </c>
      <c r="B8656" t="s">
        <v>3275</v>
      </c>
    </row>
    <row r="8657" spans="1:2" x14ac:dyDescent="0.25">
      <c r="A8657">
        <v>29214929000</v>
      </c>
      <c r="B8657" t="s">
        <v>10</v>
      </c>
    </row>
    <row r="8658" spans="1:2" x14ac:dyDescent="0.25">
      <c r="A8658">
        <v>2921493</v>
      </c>
      <c r="B8658" t="s">
        <v>3276</v>
      </c>
    </row>
    <row r="8659" spans="1:2" x14ac:dyDescent="0.25">
      <c r="A8659">
        <v>29214931000</v>
      </c>
      <c r="B8659" t="s">
        <v>3277</v>
      </c>
    </row>
    <row r="8660" spans="1:2" x14ac:dyDescent="0.25">
      <c r="A8660">
        <v>29214939000</v>
      </c>
      <c r="B8660" t="s">
        <v>57</v>
      </c>
    </row>
    <row r="8661" spans="1:2" x14ac:dyDescent="0.25">
      <c r="A8661">
        <v>29214990</v>
      </c>
      <c r="B8661" t="s">
        <v>10</v>
      </c>
    </row>
    <row r="8662" spans="1:2" x14ac:dyDescent="0.25">
      <c r="A8662">
        <v>292149901</v>
      </c>
      <c r="B8662" t="s">
        <v>3278</v>
      </c>
    </row>
    <row r="8663" spans="1:2" x14ac:dyDescent="0.25">
      <c r="A8663">
        <v>29214990110</v>
      </c>
      <c r="B8663" t="s">
        <v>3279</v>
      </c>
    </row>
    <row r="8664" spans="1:2" x14ac:dyDescent="0.25">
      <c r="A8664">
        <v>2921499019</v>
      </c>
      <c r="B8664" t="s">
        <v>3280</v>
      </c>
    </row>
    <row r="8665" spans="1:2" x14ac:dyDescent="0.25">
      <c r="A8665">
        <v>29214990191</v>
      </c>
      <c r="B8665" t="s">
        <v>3281</v>
      </c>
    </row>
    <row r="8666" spans="1:2" x14ac:dyDescent="0.25">
      <c r="A8666">
        <v>29214990199</v>
      </c>
      <c r="B8666" t="s">
        <v>10</v>
      </c>
    </row>
    <row r="8667" spans="1:2" x14ac:dyDescent="0.25">
      <c r="A8667">
        <v>29214990200</v>
      </c>
      <c r="B8667" t="s">
        <v>3282</v>
      </c>
    </row>
    <row r="8668" spans="1:2" x14ac:dyDescent="0.25">
      <c r="A8668">
        <v>29214990300</v>
      </c>
      <c r="B8668" t="s">
        <v>3283</v>
      </c>
    </row>
    <row r="8669" spans="1:2" x14ac:dyDescent="0.25">
      <c r="A8669">
        <v>29214990900</v>
      </c>
      <c r="B8669" t="s">
        <v>10</v>
      </c>
    </row>
    <row r="8670" spans="1:2" x14ac:dyDescent="0.25">
      <c r="A8670">
        <v>29215</v>
      </c>
      <c r="B8670" t="s">
        <v>3284</v>
      </c>
    </row>
    <row r="8671" spans="1:2" x14ac:dyDescent="0.25">
      <c r="A8671">
        <v>292151</v>
      </c>
      <c r="B8671" t="s">
        <v>3285</v>
      </c>
    </row>
    <row r="8672" spans="1:2" x14ac:dyDescent="0.25">
      <c r="A8672">
        <v>2921511</v>
      </c>
      <c r="B8672" t="s">
        <v>3286</v>
      </c>
    </row>
    <row r="8673" spans="1:2" x14ac:dyDescent="0.25">
      <c r="A8673">
        <v>29215111000</v>
      </c>
      <c r="B8673" t="s">
        <v>3287</v>
      </c>
    </row>
    <row r="8674" spans="1:2" x14ac:dyDescent="0.25">
      <c r="A8674">
        <v>29215112</v>
      </c>
      <c r="B8674" t="s">
        <v>3288</v>
      </c>
    </row>
    <row r="8675" spans="1:2" x14ac:dyDescent="0.25">
      <c r="A8675">
        <v>29215112100</v>
      </c>
      <c r="B8675" t="s">
        <v>3289</v>
      </c>
    </row>
    <row r="8676" spans="1:2" x14ac:dyDescent="0.25">
      <c r="A8676">
        <v>29215112900</v>
      </c>
      <c r="B8676" t="s">
        <v>10</v>
      </c>
    </row>
    <row r="8677" spans="1:2" x14ac:dyDescent="0.25">
      <c r="A8677">
        <v>29215119</v>
      </c>
      <c r="B8677" t="s">
        <v>10</v>
      </c>
    </row>
    <row r="8678" spans="1:2" x14ac:dyDescent="0.25">
      <c r="A8678">
        <v>29215119100</v>
      </c>
      <c r="B8678" t="s">
        <v>3290</v>
      </c>
    </row>
    <row r="8679" spans="1:2" x14ac:dyDescent="0.25">
      <c r="A8679">
        <v>29215119200</v>
      </c>
      <c r="B8679" t="s">
        <v>3291</v>
      </c>
    </row>
    <row r="8680" spans="1:2" x14ac:dyDescent="0.25">
      <c r="A8680">
        <v>29215119900</v>
      </c>
      <c r="B8680" t="s">
        <v>10</v>
      </c>
    </row>
    <row r="8681" spans="1:2" x14ac:dyDescent="0.25">
      <c r="A8681">
        <v>29215120000</v>
      </c>
      <c r="B8681" t="s">
        <v>3292</v>
      </c>
    </row>
    <row r="8682" spans="1:2" x14ac:dyDescent="0.25">
      <c r="A8682">
        <v>2921513</v>
      </c>
      <c r="B8682" t="s">
        <v>3293</v>
      </c>
    </row>
    <row r="8683" spans="1:2" x14ac:dyDescent="0.25">
      <c r="A8683">
        <v>29215131000</v>
      </c>
      <c r="B8683" t="s">
        <v>3294</v>
      </c>
    </row>
    <row r="8684" spans="1:2" x14ac:dyDescent="0.25">
      <c r="A8684">
        <v>29215132000</v>
      </c>
      <c r="B8684" t="s">
        <v>3295</v>
      </c>
    </row>
    <row r="8685" spans="1:2" x14ac:dyDescent="0.25">
      <c r="A8685">
        <v>29215133000</v>
      </c>
      <c r="B8685" t="s">
        <v>3296</v>
      </c>
    </row>
    <row r="8686" spans="1:2" x14ac:dyDescent="0.25">
      <c r="A8686">
        <v>29215134000</v>
      </c>
      <c r="B8686" t="s">
        <v>3297</v>
      </c>
    </row>
    <row r="8687" spans="1:2" x14ac:dyDescent="0.25">
      <c r="A8687">
        <v>29215135000</v>
      </c>
      <c r="B8687" t="s">
        <v>3298</v>
      </c>
    </row>
    <row r="8688" spans="1:2" x14ac:dyDescent="0.25">
      <c r="A8688">
        <v>29215139000</v>
      </c>
      <c r="B8688" t="s">
        <v>10</v>
      </c>
    </row>
    <row r="8689" spans="1:2" x14ac:dyDescent="0.25">
      <c r="A8689">
        <v>29215190</v>
      </c>
      <c r="B8689" t="s">
        <v>10</v>
      </c>
    </row>
    <row r="8690" spans="1:2" x14ac:dyDescent="0.25">
      <c r="A8690">
        <v>292151901</v>
      </c>
      <c r="B8690" t="s">
        <v>2450</v>
      </c>
    </row>
    <row r="8691" spans="1:2" x14ac:dyDescent="0.25">
      <c r="A8691">
        <v>29215190110</v>
      </c>
      <c r="B8691" t="s">
        <v>3299</v>
      </c>
    </row>
    <row r="8692" spans="1:2" x14ac:dyDescent="0.25">
      <c r="A8692">
        <v>29215190190</v>
      </c>
      <c r="B8692" t="s">
        <v>10</v>
      </c>
    </row>
    <row r="8693" spans="1:2" x14ac:dyDescent="0.25">
      <c r="A8693">
        <v>29215190900</v>
      </c>
      <c r="B8693" t="s">
        <v>10</v>
      </c>
    </row>
    <row r="8694" spans="1:2" x14ac:dyDescent="0.25">
      <c r="A8694">
        <v>292159</v>
      </c>
      <c r="B8694" t="e">
        <f>- - Los demas</f>
        <v>#NAME?</v>
      </c>
    </row>
    <row r="8695" spans="1:2" x14ac:dyDescent="0.25">
      <c r="A8695">
        <v>2921591</v>
      </c>
      <c r="B8695" t="s">
        <v>3300</v>
      </c>
    </row>
    <row r="8696" spans="1:2" x14ac:dyDescent="0.25">
      <c r="A8696">
        <v>29215911000</v>
      </c>
      <c r="B8696" t="s">
        <v>3301</v>
      </c>
    </row>
    <row r="8697" spans="1:2" x14ac:dyDescent="0.25">
      <c r="A8697">
        <v>29215919</v>
      </c>
      <c r="B8697" t="s">
        <v>10</v>
      </c>
    </row>
    <row r="8698" spans="1:2" x14ac:dyDescent="0.25">
      <c r="A8698">
        <v>29215919100</v>
      </c>
      <c r="B8698" t="s">
        <v>3302</v>
      </c>
    </row>
    <row r="8699" spans="1:2" x14ac:dyDescent="0.25">
      <c r="A8699">
        <v>29215919900</v>
      </c>
      <c r="B8699" t="s">
        <v>10</v>
      </c>
    </row>
    <row r="8700" spans="1:2" x14ac:dyDescent="0.25">
      <c r="A8700">
        <v>2921592</v>
      </c>
      <c r="B8700" t="s">
        <v>3303</v>
      </c>
    </row>
    <row r="8701" spans="1:2" x14ac:dyDescent="0.25">
      <c r="A8701">
        <v>29215921000</v>
      </c>
      <c r="B8701" t="s">
        <v>3304</v>
      </c>
    </row>
    <row r="8702" spans="1:2" x14ac:dyDescent="0.25">
      <c r="A8702">
        <v>29215929000</v>
      </c>
      <c r="B8702" t="s">
        <v>10</v>
      </c>
    </row>
    <row r="8703" spans="1:2" x14ac:dyDescent="0.25">
      <c r="A8703">
        <v>2921593</v>
      </c>
      <c r="B8703" t="s">
        <v>3305</v>
      </c>
    </row>
    <row r="8704" spans="1:2" x14ac:dyDescent="0.25">
      <c r="A8704">
        <v>29215931000</v>
      </c>
      <c r="B8704" t="s">
        <v>3306</v>
      </c>
    </row>
    <row r="8705" spans="1:2" x14ac:dyDescent="0.25">
      <c r="A8705">
        <v>29215932000</v>
      </c>
      <c r="B8705" t="s">
        <v>3307</v>
      </c>
    </row>
    <row r="8706" spans="1:2" x14ac:dyDescent="0.25">
      <c r="A8706">
        <v>29215939000</v>
      </c>
      <c r="B8706" t="s">
        <v>10</v>
      </c>
    </row>
    <row r="8707" spans="1:2" x14ac:dyDescent="0.25">
      <c r="A8707">
        <v>29215990</v>
      </c>
      <c r="B8707" t="s">
        <v>10</v>
      </c>
    </row>
    <row r="8708" spans="1:2" x14ac:dyDescent="0.25">
      <c r="A8708">
        <v>29215990100</v>
      </c>
      <c r="B8708" t="s">
        <v>2791</v>
      </c>
    </row>
    <row r="8709" spans="1:2" x14ac:dyDescent="0.25">
      <c r="A8709">
        <v>29215990900</v>
      </c>
      <c r="B8709" t="s">
        <v>10</v>
      </c>
    </row>
    <row r="8710" spans="1:2" x14ac:dyDescent="0.25">
      <c r="A8710">
        <v>2922</v>
      </c>
      <c r="B8710" t="s">
        <v>3308</v>
      </c>
    </row>
    <row r="8711" spans="1:2" x14ac:dyDescent="0.25">
      <c r="A8711">
        <v>29221</v>
      </c>
      <c r="B8711" t="s">
        <v>3309</v>
      </c>
    </row>
    <row r="8712" spans="1:2" x14ac:dyDescent="0.25">
      <c r="A8712">
        <v>29221100000</v>
      </c>
      <c r="B8712" t="e">
        <f>--Monoetanolamina y sus sales</f>
        <v>#NAME?</v>
      </c>
    </row>
    <row r="8713" spans="1:2" x14ac:dyDescent="0.25">
      <c r="A8713">
        <v>29221200</v>
      </c>
      <c r="B8713" t="e">
        <f>- - Dietanolamina y sus sales</f>
        <v>#NAME?</v>
      </c>
    </row>
    <row r="8714" spans="1:2" x14ac:dyDescent="0.25">
      <c r="A8714">
        <v>29221200100</v>
      </c>
      <c r="B8714" t="s">
        <v>3310</v>
      </c>
    </row>
    <row r="8715" spans="1:2" x14ac:dyDescent="0.25">
      <c r="A8715">
        <v>29221200200</v>
      </c>
      <c r="B8715" t="s">
        <v>2195</v>
      </c>
    </row>
    <row r="8716" spans="1:2" x14ac:dyDescent="0.25">
      <c r="A8716">
        <v>29221400000</v>
      </c>
      <c r="B8716" t="e">
        <f>--Dextropropoxifeno (DCI) y sus sales</f>
        <v>#NAME?</v>
      </c>
    </row>
    <row r="8717" spans="1:2" x14ac:dyDescent="0.25">
      <c r="A8717">
        <v>29221500000</v>
      </c>
      <c r="B8717" t="e">
        <f>--Trietanolamina</f>
        <v>#NAME?</v>
      </c>
    </row>
    <row r="8718" spans="1:2" x14ac:dyDescent="0.25">
      <c r="A8718">
        <v>29221600000</v>
      </c>
      <c r="B8718" t="e">
        <f>--perfluorooctano sulfonato de dietanolamonio</f>
        <v>#NAME?</v>
      </c>
    </row>
    <row r="8719" spans="1:2" x14ac:dyDescent="0.25">
      <c r="A8719">
        <v>29221700</v>
      </c>
      <c r="B8719" t="e">
        <f>- - Metildietanolamina y etildietanolamina</f>
        <v>#NAME?</v>
      </c>
    </row>
    <row r="8720" spans="1:2" x14ac:dyDescent="0.25">
      <c r="A8720">
        <v>29221700100</v>
      </c>
      <c r="B8720" t="s">
        <v>3311</v>
      </c>
    </row>
    <row r="8721" spans="1:2" x14ac:dyDescent="0.25">
      <c r="A8721">
        <v>29221700200</v>
      </c>
      <c r="B8721" t="s">
        <v>3312</v>
      </c>
    </row>
    <row r="8722" spans="1:2" x14ac:dyDescent="0.25">
      <c r="A8722">
        <v>29221800000</v>
      </c>
      <c r="B8722" t="s">
        <v>3313</v>
      </c>
    </row>
    <row r="8723" spans="1:2" x14ac:dyDescent="0.25">
      <c r="A8723">
        <v>292219</v>
      </c>
      <c r="B8723" t="e">
        <f>- - Los demas</f>
        <v>#NAME?</v>
      </c>
    </row>
    <row r="8724" spans="1:2" x14ac:dyDescent="0.25">
      <c r="A8724">
        <v>2922191</v>
      </c>
      <c r="B8724" t="s">
        <v>3314</v>
      </c>
    </row>
    <row r="8725" spans="1:2" x14ac:dyDescent="0.25">
      <c r="A8725">
        <v>29221911000</v>
      </c>
      <c r="B8725" t="s">
        <v>3315</v>
      </c>
    </row>
    <row r="8726" spans="1:2" x14ac:dyDescent="0.25">
      <c r="A8726">
        <v>29221912000</v>
      </c>
      <c r="B8726" t="s">
        <v>3316</v>
      </c>
    </row>
    <row r="8727" spans="1:2" x14ac:dyDescent="0.25">
      <c r="A8727">
        <v>29221913000</v>
      </c>
      <c r="B8727" t="s">
        <v>3317</v>
      </c>
    </row>
    <row r="8728" spans="1:2" x14ac:dyDescent="0.25">
      <c r="A8728">
        <v>29221919000</v>
      </c>
      <c r="B8728" t="s">
        <v>10</v>
      </c>
    </row>
    <row r="8729" spans="1:2" x14ac:dyDescent="0.25">
      <c r="A8729">
        <v>2922192</v>
      </c>
      <c r="B8729" t="s">
        <v>3318</v>
      </c>
    </row>
    <row r="8730" spans="1:2" x14ac:dyDescent="0.25">
      <c r="A8730">
        <v>29221921000</v>
      </c>
      <c r="B8730" t="s">
        <v>3319</v>
      </c>
    </row>
    <row r="8731" spans="1:2" x14ac:dyDescent="0.25">
      <c r="A8731">
        <v>29221929000</v>
      </c>
      <c r="B8731" t="s">
        <v>57</v>
      </c>
    </row>
    <row r="8732" spans="1:2" x14ac:dyDescent="0.25">
      <c r="A8732">
        <v>2922193</v>
      </c>
      <c r="B8732" t="s">
        <v>3320</v>
      </c>
    </row>
    <row r="8733" spans="1:2" x14ac:dyDescent="0.25">
      <c r="A8733">
        <v>29221931000</v>
      </c>
      <c r="B8733" t="s">
        <v>3321</v>
      </c>
    </row>
    <row r="8734" spans="1:2" x14ac:dyDescent="0.25">
      <c r="A8734">
        <v>29221939000</v>
      </c>
      <c r="B8734" t="s">
        <v>10</v>
      </c>
    </row>
    <row r="8735" spans="1:2" x14ac:dyDescent="0.25">
      <c r="A8735">
        <v>2922194</v>
      </c>
      <c r="B8735" t="s">
        <v>3322</v>
      </c>
    </row>
    <row r="8736" spans="1:2" x14ac:dyDescent="0.25">
      <c r="A8736">
        <v>29221941000</v>
      </c>
      <c r="B8736" t="s">
        <v>3321</v>
      </c>
    </row>
    <row r="8737" spans="1:2" x14ac:dyDescent="0.25">
      <c r="A8737">
        <v>29221949</v>
      </c>
      <c r="B8737" t="s">
        <v>10</v>
      </c>
    </row>
    <row r="8738" spans="1:2" x14ac:dyDescent="0.25">
      <c r="A8738">
        <v>29221949100</v>
      </c>
      <c r="B8738" t="s">
        <v>3323</v>
      </c>
    </row>
    <row r="8739" spans="1:2" x14ac:dyDescent="0.25">
      <c r="A8739">
        <v>29221949900</v>
      </c>
      <c r="B8739" t="s">
        <v>10</v>
      </c>
    </row>
    <row r="8740" spans="1:2" x14ac:dyDescent="0.25">
      <c r="A8740">
        <v>2922195</v>
      </c>
      <c r="B8740" t="s">
        <v>3324</v>
      </c>
    </row>
    <row r="8741" spans="1:2" x14ac:dyDescent="0.25">
      <c r="A8741">
        <v>29221951000</v>
      </c>
      <c r="B8741" t="s">
        <v>3325</v>
      </c>
    </row>
    <row r="8742" spans="1:2" x14ac:dyDescent="0.25">
      <c r="A8742">
        <v>29221952000</v>
      </c>
      <c r="B8742" t="s">
        <v>3326</v>
      </c>
    </row>
    <row r="8743" spans="1:2" x14ac:dyDescent="0.25">
      <c r="A8743">
        <v>29221959000</v>
      </c>
      <c r="B8743" t="s">
        <v>10</v>
      </c>
    </row>
    <row r="8744" spans="1:2" x14ac:dyDescent="0.25">
      <c r="A8744">
        <v>2922197</v>
      </c>
      <c r="B8744" t="s">
        <v>3327</v>
      </c>
    </row>
    <row r="8745" spans="1:2" x14ac:dyDescent="0.25">
      <c r="A8745">
        <v>29221971000</v>
      </c>
      <c r="B8745" t="s">
        <v>3321</v>
      </c>
    </row>
    <row r="8746" spans="1:2" x14ac:dyDescent="0.25">
      <c r="A8746">
        <v>29221979000</v>
      </c>
      <c r="B8746" t="s">
        <v>57</v>
      </c>
    </row>
    <row r="8747" spans="1:2" x14ac:dyDescent="0.25">
      <c r="A8747">
        <v>2922198</v>
      </c>
      <c r="B8747" t="s">
        <v>3328</v>
      </c>
    </row>
    <row r="8748" spans="1:2" x14ac:dyDescent="0.25">
      <c r="A8748">
        <v>29221981000</v>
      </c>
      <c r="B8748" t="s">
        <v>3329</v>
      </c>
    </row>
    <row r="8749" spans="1:2" x14ac:dyDescent="0.25">
      <c r="A8749">
        <v>29221989000</v>
      </c>
      <c r="B8749" t="s">
        <v>10</v>
      </c>
    </row>
    <row r="8750" spans="1:2" x14ac:dyDescent="0.25">
      <c r="A8750">
        <v>2922199</v>
      </c>
      <c r="B8750" t="s">
        <v>10</v>
      </c>
    </row>
    <row r="8751" spans="1:2" x14ac:dyDescent="0.25">
      <c r="A8751">
        <v>29221991000</v>
      </c>
      <c r="B8751" t="s">
        <v>3330</v>
      </c>
    </row>
    <row r="8752" spans="1:2" x14ac:dyDescent="0.25">
      <c r="A8752">
        <v>29221992000</v>
      </c>
      <c r="B8752" t="s">
        <v>3331</v>
      </c>
    </row>
    <row r="8753" spans="1:2" x14ac:dyDescent="0.25">
      <c r="A8753">
        <v>29221993000</v>
      </c>
      <c r="B8753" t="s">
        <v>3332</v>
      </c>
    </row>
    <row r="8754" spans="1:2" x14ac:dyDescent="0.25">
      <c r="A8754">
        <v>29221994000</v>
      </c>
      <c r="B8754" t="s">
        <v>3333</v>
      </c>
    </row>
    <row r="8755" spans="1:2" x14ac:dyDescent="0.25">
      <c r="A8755">
        <v>29221995000</v>
      </c>
      <c r="B8755" t="s">
        <v>3334</v>
      </c>
    </row>
    <row r="8756" spans="1:2" x14ac:dyDescent="0.25">
      <c r="A8756">
        <v>29221996000</v>
      </c>
      <c r="B8756" t="s">
        <v>3335</v>
      </c>
    </row>
    <row r="8757" spans="1:2" x14ac:dyDescent="0.25">
      <c r="A8757">
        <v>29221999</v>
      </c>
      <c r="B8757" t="s">
        <v>10</v>
      </c>
    </row>
    <row r="8758" spans="1:2" x14ac:dyDescent="0.25">
      <c r="A8758">
        <v>29221999100</v>
      </c>
      <c r="B8758" t="s">
        <v>1157</v>
      </c>
    </row>
    <row r="8759" spans="1:2" x14ac:dyDescent="0.25">
      <c r="A8759">
        <v>292219992</v>
      </c>
      <c r="B8759" t="s">
        <v>2740</v>
      </c>
    </row>
    <row r="8760" spans="1:2" x14ac:dyDescent="0.25">
      <c r="A8760">
        <v>29221999210</v>
      </c>
      <c r="B8760" t="s">
        <v>3336</v>
      </c>
    </row>
    <row r="8761" spans="1:2" x14ac:dyDescent="0.25">
      <c r="A8761">
        <v>29221999290</v>
      </c>
      <c r="B8761" t="s">
        <v>3337</v>
      </c>
    </row>
    <row r="8762" spans="1:2" x14ac:dyDescent="0.25">
      <c r="A8762">
        <v>292219993</v>
      </c>
      <c r="B8762" t="s">
        <v>3338</v>
      </c>
    </row>
    <row r="8763" spans="1:2" x14ac:dyDescent="0.25">
      <c r="A8763">
        <v>29221999310</v>
      </c>
      <c r="B8763" t="s">
        <v>3339</v>
      </c>
    </row>
    <row r="8764" spans="1:2" x14ac:dyDescent="0.25">
      <c r="A8764">
        <v>29221999390</v>
      </c>
      <c r="B8764" t="s">
        <v>57</v>
      </c>
    </row>
    <row r="8765" spans="1:2" x14ac:dyDescent="0.25">
      <c r="A8765">
        <v>292219994</v>
      </c>
      <c r="B8765" t="s">
        <v>3340</v>
      </c>
    </row>
    <row r="8766" spans="1:2" x14ac:dyDescent="0.25">
      <c r="A8766">
        <v>29221999410</v>
      </c>
      <c r="B8766" t="s">
        <v>3341</v>
      </c>
    </row>
    <row r="8767" spans="1:2" x14ac:dyDescent="0.25">
      <c r="A8767">
        <v>29221999420</v>
      </c>
      <c r="B8767" t="s">
        <v>3342</v>
      </c>
    </row>
    <row r="8768" spans="1:2" x14ac:dyDescent="0.25">
      <c r="A8768">
        <v>29221999490</v>
      </c>
      <c r="B8768" t="s">
        <v>57</v>
      </c>
    </row>
    <row r="8769" spans="1:2" x14ac:dyDescent="0.25">
      <c r="A8769">
        <v>29221999500</v>
      </c>
      <c r="B8769" t="s">
        <v>3283</v>
      </c>
    </row>
    <row r="8770" spans="1:2" x14ac:dyDescent="0.25">
      <c r="A8770">
        <v>29221999900</v>
      </c>
      <c r="B8770" t="s">
        <v>10</v>
      </c>
    </row>
    <row r="8771" spans="1:2" x14ac:dyDescent="0.25">
      <c r="A8771">
        <v>29222</v>
      </c>
      <c r="B8771" t="s">
        <v>3343</v>
      </c>
    </row>
    <row r="8772" spans="1:2" x14ac:dyDescent="0.25">
      <c r="A8772">
        <v>29222100</v>
      </c>
      <c r="B8772" t="e">
        <f>- - acidos aminohidroxinaftalensulfonicos y sus sales</f>
        <v>#NAME?</v>
      </c>
    </row>
    <row r="8773" spans="1:2" x14ac:dyDescent="0.25">
      <c r="A8773">
        <v>29222100100</v>
      </c>
      <c r="B8773" t="s">
        <v>3344</v>
      </c>
    </row>
    <row r="8774" spans="1:2" x14ac:dyDescent="0.25">
      <c r="A8774">
        <v>29222100200</v>
      </c>
      <c r="B8774" t="s">
        <v>3345</v>
      </c>
    </row>
    <row r="8775" spans="1:2" x14ac:dyDescent="0.25">
      <c r="A8775">
        <v>29222100300</v>
      </c>
      <c r="B8775" t="s">
        <v>3346</v>
      </c>
    </row>
    <row r="8776" spans="1:2" x14ac:dyDescent="0.25">
      <c r="A8776">
        <v>29222100900</v>
      </c>
      <c r="B8776" t="s">
        <v>10</v>
      </c>
    </row>
    <row r="8777" spans="1:2" x14ac:dyDescent="0.25">
      <c r="A8777">
        <v>292229</v>
      </c>
      <c r="B8777" t="e">
        <f>- - Los demas</f>
        <v>#NAME?</v>
      </c>
    </row>
    <row r="8778" spans="1:2" x14ac:dyDescent="0.25">
      <c r="A8778">
        <v>2922291</v>
      </c>
      <c r="B8778" t="s">
        <v>3347</v>
      </c>
    </row>
    <row r="8779" spans="1:2" x14ac:dyDescent="0.25">
      <c r="A8779">
        <v>29222911000</v>
      </c>
      <c r="B8779" t="s">
        <v>3348</v>
      </c>
    </row>
    <row r="8780" spans="1:2" x14ac:dyDescent="0.25">
      <c r="A8780">
        <v>29222919</v>
      </c>
      <c r="B8780" t="s">
        <v>10</v>
      </c>
    </row>
    <row r="8781" spans="1:2" x14ac:dyDescent="0.25">
      <c r="A8781">
        <v>29222919100</v>
      </c>
      <c r="B8781" t="s">
        <v>3349</v>
      </c>
    </row>
    <row r="8782" spans="1:2" x14ac:dyDescent="0.25">
      <c r="A8782">
        <v>29222919200</v>
      </c>
      <c r="B8782" t="s">
        <v>3350</v>
      </c>
    </row>
    <row r="8783" spans="1:2" x14ac:dyDescent="0.25">
      <c r="A8783">
        <v>29222919300</v>
      </c>
      <c r="B8783" t="s">
        <v>3351</v>
      </c>
    </row>
    <row r="8784" spans="1:2" x14ac:dyDescent="0.25">
      <c r="A8784">
        <v>29222920000</v>
      </c>
      <c r="B8784" t="s">
        <v>3352</v>
      </c>
    </row>
    <row r="8785" spans="1:2" x14ac:dyDescent="0.25">
      <c r="A8785">
        <v>29222990</v>
      </c>
      <c r="B8785" t="s">
        <v>10</v>
      </c>
    </row>
    <row r="8786" spans="1:2" x14ac:dyDescent="0.25">
      <c r="A8786">
        <v>292229901</v>
      </c>
      <c r="B8786" t="s">
        <v>2450</v>
      </c>
    </row>
    <row r="8787" spans="1:2" x14ac:dyDescent="0.25">
      <c r="A8787">
        <v>29222990110</v>
      </c>
      <c r="B8787" t="s">
        <v>3353</v>
      </c>
    </row>
    <row r="8788" spans="1:2" x14ac:dyDescent="0.25">
      <c r="A8788">
        <v>29222990190</v>
      </c>
      <c r="B8788" t="s">
        <v>10</v>
      </c>
    </row>
    <row r="8789" spans="1:2" x14ac:dyDescent="0.25">
      <c r="A8789">
        <v>292229902</v>
      </c>
      <c r="B8789" t="s">
        <v>2740</v>
      </c>
    </row>
    <row r="8790" spans="1:2" x14ac:dyDescent="0.25">
      <c r="A8790">
        <v>29222990210</v>
      </c>
      <c r="B8790" t="s">
        <v>3336</v>
      </c>
    </row>
    <row r="8791" spans="1:2" x14ac:dyDescent="0.25">
      <c r="A8791">
        <v>29222990290</v>
      </c>
      <c r="B8791" t="s">
        <v>3337</v>
      </c>
    </row>
    <row r="8792" spans="1:2" x14ac:dyDescent="0.25">
      <c r="A8792">
        <v>29222990300</v>
      </c>
      <c r="B8792" t="s">
        <v>3088</v>
      </c>
    </row>
    <row r="8793" spans="1:2" x14ac:dyDescent="0.25">
      <c r="A8793">
        <v>29222990900</v>
      </c>
      <c r="B8793" t="s">
        <v>10</v>
      </c>
    </row>
    <row r="8794" spans="1:2" x14ac:dyDescent="0.25">
      <c r="A8794">
        <v>29223</v>
      </c>
      <c r="B8794" t="e">
        <f>- Amino-aldehidos. Amino-Cetonas y Amino-quinonas. excepto Los que contengan funciones oxigenadas diferentes, sales de estos Productos</f>
        <v>#NAME?</v>
      </c>
    </row>
    <row r="8795" spans="1:2" x14ac:dyDescent="0.25">
      <c r="A8795">
        <v>292231</v>
      </c>
      <c r="B8795" t="s">
        <v>3354</v>
      </c>
    </row>
    <row r="8796" spans="1:2" x14ac:dyDescent="0.25">
      <c r="A8796">
        <v>2922311</v>
      </c>
      <c r="B8796" t="s">
        <v>3355</v>
      </c>
    </row>
    <row r="8797" spans="1:2" x14ac:dyDescent="0.25">
      <c r="A8797">
        <v>29223111000</v>
      </c>
      <c r="B8797" t="s">
        <v>3356</v>
      </c>
    </row>
    <row r="8798" spans="1:2" x14ac:dyDescent="0.25">
      <c r="A8798">
        <v>29223112000</v>
      </c>
      <c r="B8798" t="s">
        <v>2195</v>
      </c>
    </row>
    <row r="8799" spans="1:2" x14ac:dyDescent="0.25">
      <c r="A8799">
        <v>29223120000</v>
      </c>
      <c r="B8799" t="s">
        <v>3357</v>
      </c>
    </row>
    <row r="8800" spans="1:2" x14ac:dyDescent="0.25">
      <c r="A8800">
        <v>29223130000</v>
      </c>
      <c r="B8800" t="s">
        <v>3358</v>
      </c>
    </row>
    <row r="8801" spans="1:2" x14ac:dyDescent="0.25">
      <c r="A8801">
        <v>292239</v>
      </c>
      <c r="B8801" t="e">
        <f>- - Los demas</f>
        <v>#NAME?</v>
      </c>
    </row>
    <row r="8802" spans="1:2" x14ac:dyDescent="0.25">
      <c r="A8802">
        <v>29223910000</v>
      </c>
      <c r="B8802" t="s">
        <v>3359</v>
      </c>
    </row>
    <row r="8803" spans="1:2" x14ac:dyDescent="0.25">
      <c r="A8803">
        <v>2922392</v>
      </c>
      <c r="B8803" t="s">
        <v>3360</v>
      </c>
    </row>
    <row r="8804" spans="1:2" x14ac:dyDescent="0.25">
      <c r="A8804">
        <v>29223921000</v>
      </c>
      <c r="B8804" t="s">
        <v>3321</v>
      </c>
    </row>
    <row r="8805" spans="1:2" x14ac:dyDescent="0.25">
      <c r="A8805">
        <v>29223929000</v>
      </c>
      <c r="B8805" t="s">
        <v>57</v>
      </c>
    </row>
    <row r="8806" spans="1:2" x14ac:dyDescent="0.25">
      <c r="A8806">
        <v>29223990</v>
      </c>
      <c r="B8806" t="s">
        <v>10</v>
      </c>
    </row>
    <row r="8807" spans="1:2" x14ac:dyDescent="0.25">
      <c r="A8807">
        <v>29223990100</v>
      </c>
      <c r="B8807" t="s">
        <v>3361</v>
      </c>
    </row>
    <row r="8808" spans="1:2" x14ac:dyDescent="0.25">
      <c r="A8808">
        <v>29223990200</v>
      </c>
      <c r="B8808" t="s">
        <v>2740</v>
      </c>
    </row>
    <row r="8809" spans="1:2" x14ac:dyDescent="0.25">
      <c r="A8809">
        <v>29223990300</v>
      </c>
      <c r="B8809" t="s">
        <v>3088</v>
      </c>
    </row>
    <row r="8810" spans="1:2" x14ac:dyDescent="0.25">
      <c r="A8810">
        <v>29223990900</v>
      </c>
      <c r="B8810" t="s">
        <v>10</v>
      </c>
    </row>
    <row r="8811" spans="1:2" x14ac:dyDescent="0.25">
      <c r="A8811">
        <v>29224</v>
      </c>
      <c r="B8811" t="s">
        <v>3362</v>
      </c>
    </row>
    <row r="8812" spans="1:2" x14ac:dyDescent="0.25">
      <c r="A8812">
        <v>292241</v>
      </c>
      <c r="B8812" t="e">
        <f>- - Lisina y sus esteres, sales de estos Productos</f>
        <v>#NAME?</v>
      </c>
    </row>
    <row r="8813" spans="1:2" x14ac:dyDescent="0.25">
      <c r="A8813">
        <v>29224110000</v>
      </c>
      <c r="B8813" t="s">
        <v>3363</v>
      </c>
    </row>
    <row r="8814" spans="1:2" x14ac:dyDescent="0.25">
      <c r="A8814">
        <v>29224190000</v>
      </c>
      <c r="B8814" t="s">
        <v>10</v>
      </c>
    </row>
    <row r="8815" spans="1:2" x14ac:dyDescent="0.25">
      <c r="A8815">
        <v>292242</v>
      </c>
      <c r="B8815" t="e">
        <f>- - acido glutamico y sus sales</f>
        <v>#NAME?</v>
      </c>
    </row>
    <row r="8816" spans="1:2" x14ac:dyDescent="0.25">
      <c r="A8816">
        <v>29224210000</v>
      </c>
      <c r="B8816" t="s">
        <v>3364</v>
      </c>
    </row>
    <row r="8817" spans="1:2" x14ac:dyDescent="0.25">
      <c r="A8817">
        <v>29224220</v>
      </c>
      <c r="B8817" t="s">
        <v>2195</v>
      </c>
    </row>
    <row r="8818" spans="1:2" x14ac:dyDescent="0.25">
      <c r="A8818">
        <v>29224220100</v>
      </c>
      <c r="B8818" t="s">
        <v>3365</v>
      </c>
    </row>
    <row r="8819" spans="1:2" x14ac:dyDescent="0.25">
      <c r="A8819">
        <v>29224220900</v>
      </c>
      <c r="B8819" t="s">
        <v>57</v>
      </c>
    </row>
    <row r="8820" spans="1:2" x14ac:dyDescent="0.25">
      <c r="A8820">
        <v>29224300</v>
      </c>
      <c r="B8820" t="e">
        <f>- - acido antranilico y sus sales</f>
        <v>#NAME?</v>
      </c>
    </row>
    <row r="8821" spans="1:2" x14ac:dyDescent="0.25">
      <c r="A8821">
        <v>292243001</v>
      </c>
      <c r="B8821" t="s">
        <v>3366</v>
      </c>
    </row>
    <row r="8822" spans="1:2" x14ac:dyDescent="0.25">
      <c r="A8822">
        <v>29224300110</v>
      </c>
      <c r="B8822" t="s">
        <v>1131</v>
      </c>
    </row>
    <row r="8823" spans="1:2" x14ac:dyDescent="0.25">
      <c r="A8823">
        <v>29224300190</v>
      </c>
      <c r="B8823" t="s">
        <v>10</v>
      </c>
    </row>
    <row r="8824" spans="1:2" x14ac:dyDescent="0.25">
      <c r="A8824">
        <v>292243002</v>
      </c>
      <c r="B8824" t="s">
        <v>2195</v>
      </c>
    </row>
    <row r="8825" spans="1:2" x14ac:dyDescent="0.25">
      <c r="A8825">
        <v>29224300210</v>
      </c>
      <c r="B8825" t="s">
        <v>1131</v>
      </c>
    </row>
    <row r="8826" spans="1:2" x14ac:dyDescent="0.25">
      <c r="A8826">
        <v>29224300290</v>
      </c>
      <c r="B8826" t="s">
        <v>57</v>
      </c>
    </row>
    <row r="8827" spans="1:2" x14ac:dyDescent="0.25">
      <c r="A8827">
        <v>292244</v>
      </c>
      <c r="B8827" t="e">
        <f>- - Tilidina (DCI) y sus sales</f>
        <v>#NAME?</v>
      </c>
    </row>
    <row r="8828" spans="1:2" x14ac:dyDescent="0.25">
      <c r="A8828">
        <v>29224410000</v>
      </c>
      <c r="B8828" t="s">
        <v>3367</v>
      </c>
    </row>
    <row r="8829" spans="1:2" x14ac:dyDescent="0.25">
      <c r="A8829">
        <v>29224420000</v>
      </c>
      <c r="B8829" t="s">
        <v>2195</v>
      </c>
    </row>
    <row r="8830" spans="1:2" x14ac:dyDescent="0.25">
      <c r="A8830">
        <v>292249</v>
      </c>
      <c r="B8830" t="e">
        <f>- - Los demas</f>
        <v>#NAME?</v>
      </c>
    </row>
    <row r="8831" spans="1:2" x14ac:dyDescent="0.25">
      <c r="A8831">
        <v>29224910000</v>
      </c>
      <c r="B8831" t="s">
        <v>3368</v>
      </c>
    </row>
    <row r="8832" spans="1:2" x14ac:dyDescent="0.25">
      <c r="A8832">
        <v>29224920</v>
      </c>
      <c r="B8832" t="s">
        <v>3369</v>
      </c>
    </row>
    <row r="8833" spans="1:2" x14ac:dyDescent="0.25">
      <c r="A8833">
        <v>29224920100</v>
      </c>
      <c r="B8833" t="s">
        <v>3370</v>
      </c>
    </row>
    <row r="8834" spans="1:2" x14ac:dyDescent="0.25">
      <c r="A8834">
        <v>292249202</v>
      </c>
      <c r="B8834" t="s">
        <v>2195</v>
      </c>
    </row>
    <row r="8835" spans="1:2" x14ac:dyDescent="0.25">
      <c r="A8835">
        <v>2922492021</v>
      </c>
      <c r="B8835" t="s">
        <v>2151</v>
      </c>
    </row>
    <row r="8836" spans="1:2" x14ac:dyDescent="0.25">
      <c r="A8836">
        <v>29224920211</v>
      </c>
      <c r="B8836" t="s">
        <v>3371</v>
      </c>
    </row>
    <row r="8837" spans="1:2" x14ac:dyDescent="0.25">
      <c r="A8837">
        <v>29224920212</v>
      </c>
      <c r="B8837" t="s">
        <v>3372</v>
      </c>
    </row>
    <row r="8838" spans="1:2" x14ac:dyDescent="0.25">
      <c r="A8838">
        <v>29224920213</v>
      </c>
      <c r="B8838" t="s">
        <v>3373</v>
      </c>
    </row>
    <row r="8839" spans="1:2" x14ac:dyDescent="0.25">
      <c r="A8839">
        <v>29224920219</v>
      </c>
      <c r="B8839" t="s">
        <v>57</v>
      </c>
    </row>
    <row r="8840" spans="1:2" x14ac:dyDescent="0.25">
      <c r="A8840">
        <v>29224920220</v>
      </c>
      <c r="B8840" t="s">
        <v>3374</v>
      </c>
    </row>
    <row r="8841" spans="1:2" x14ac:dyDescent="0.25">
      <c r="A8841">
        <v>29224920230</v>
      </c>
      <c r="B8841" t="s">
        <v>3375</v>
      </c>
    </row>
    <row r="8842" spans="1:2" x14ac:dyDescent="0.25">
      <c r="A8842">
        <v>29224920290</v>
      </c>
      <c r="B8842" t="s">
        <v>57</v>
      </c>
    </row>
    <row r="8843" spans="1:2" x14ac:dyDescent="0.25">
      <c r="A8843">
        <v>2922493</v>
      </c>
      <c r="B8843" t="s">
        <v>3376</v>
      </c>
    </row>
    <row r="8844" spans="1:2" x14ac:dyDescent="0.25">
      <c r="A8844">
        <v>29224931000</v>
      </c>
      <c r="B8844" t="s">
        <v>3377</v>
      </c>
    </row>
    <row r="8845" spans="1:2" x14ac:dyDescent="0.25">
      <c r="A8845">
        <v>29224932000</v>
      </c>
      <c r="B8845" t="s">
        <v>2195</v>
      </c>
    </row>
    <row r="8846" spans="1:2" x14ac:dyDescent="0.25">
      <c r="A8846">
        <v>29224940</v>
      </c>
      <c r="B8846" t="s">
        <v>3378</v>
      </c>
    </row>
    <row r="8847" spans="1:2" x14ac:dyDescent="0.25">
      <c r="A8847">
        <v>29224940100</v>
      </c>
      <c r="B8847" t="s">
        <v>3379</v>
      </c>
    </row>
    <row r="8848" spans="1:2" x14ac:dyDescent="0.25">
      <c r="A8848">
        <v>292249402</v>
      </c>
      <c r="B8848" t="s">
        <v>2195</v>
      </c>
    </row>
    <row r="8849" spans="1:2" x14ac:dyDescent="0.25">
      <c r="A8849">
        <v>2922494021</v>
      </c>
      <c r="B8849" t="s">
        <v>2151</v>
      </c>
    </row>
    <row r="8850" spans="1:2" x14ac:dyDescent="0.25">
      <c r="A8850">
        <v>29224940211</v>
      </c>
      <c r="B8850" t="s">
        <v>3380</v>
      </c>
    </row>
    <row r="8851" spans="1:2" x14ac:dyDescent="0.25">
      <c r="A8851">
        <v>29224940219</v>
      </c>
      <c r="B8851" t="s">
        <v>57</v>
      </c>
    </row>
    <row r="8852" spans="1:2" x14ac:dyDescent="0.25">
      <c r="A8852">
        <v>29224940290</v>
      </c>
      <c r="B8852" t="s">
        <v>57</v>
      </c>
    </row>
    <row r="8853" spans="1:2" x14ac:dyDescent="0.25">
      <c r="A8853">
        <v>2922495</v>
      </c>
      <c r="B8853" t="s">
        <v>3381</v>
      </c>
    </row>
    <row r="8854" spans="1:2" x14ac:dyDescent="0.25">
      <c r="A8854">
        <v>29224951000</v>
      </c>
      <c r="B8854" t="s">
        <v>3382</v>
      </c>
    </row>
    <row r="8855" spans="1:2" x14ac:dyDescent="0.25">
      <c r="A8855">
        <v>29224952000</v>
      </c>
      <c r="B8855" t="s">
        <v>3383</v>
      </c>
    </row>
    <row r="8856" spans="1:2" x14ac:dyDescent="0.25">
      <c r="A8856">
        <v>29224959000</v>
      </c>
      <c r="B8856" t="s">
        <v>10</v>
      </c>
    </row>
    <row r="8857" spans="1:2" x14ac:dyDescent="0.25">
      <c r="A8857">
        <v>2922496</v>
      </c>
      <c r="B8857" t="s">
        <v>3384</v>
      </c>
    </row>
    <row r="8858" spans="1:2" x14ac:dyDescent="0.25">
      <c r="A8858">
        <v>29224961000</v>
      </c>
      <c r="B8858" t="s">
        <v>3385</v>
      </c>
    </row>
    <row r="8859" spans="1:2" x14ac:dyDescent="0.25">
      <c r="A8859">
        <v>29224962000</v>
      </c>
      <c r="B8859" t="s">
        <v>3386</v>
      </c>
    </row>
    <row r="8860" spans="1:2" x14ac:dyDescent="0.25">
      <c r="A8860">
        <v>29224963000</v>
      </c>
      <c r="B8860" t="s">
        <v>3387</v>
      </c>
    </row>
    <row r="8861" spans="1:2" x14ac:dyDescent="0.25">
      <c r="A8861">
        <v>29224964000</v>
      </c>
      <c r="B8861" t="s">
        <v>3388</v>
      </c>
    </row>
    <row r="8862" spans="1:2" x14ac:dyDescent="0.25">
      <c r="A8862">
        <v>29224969000</v>
      </c>
      <c r="B8862" t="s">
        <v>10</v>
      </c>
    </row>
    <row r="8863" spans="1:2" x14ac:dyDescent="0.25">
      <c r="A8863">
        <v>29224990</v>
      </c>
      <c r="B8863" t="s">
        <v>10</v>
      </c>
    </row>
    <row r="8864" spans="1:2" x14ac:dyDescent="0.25">
      <c r="A8864">
        <v>29224990100</v>
      </c>
      <c r="B8864" t="s">
        <v>1157</v>
      </c>
    </row>
    <row r="8865" spans="1:2" x14ac:dyDescent="0.25">
      <c r="A8865">
        <v>292249902</v>
      </c>
      <c r="B8865" t="s">
        <v>2740</v>
      </c>
    </row>
    <row r="8866" spans="1:2" x14ac:dyDescent="0.25">
      <c r="A8866">
        <v>29224990210</v>
      </c>
      <c r="B8866" t="s">
        <v>3389</v>
      </c>
    </row>
    <row r="8867" spans="1:2" x14ac:dyDescent="0.25">
      <c r="A8867">
        <v>29224990290</v>
      </c>
      <c r="B8867" t="s">
        <v>10</v>
      </c>
    </row>
    <row r="8868" spans="1:2" x14ac:dyDescent="0.25">
      <c r="A8868">
        <v>29224990300</v>
      </c>
      <c r="B8868" t="s">
        <v>3088</v>
      </c>
    </row>
    <row r="8869" spans="1:2" x14ac:dyDescent="0.25">
      <c r="A8869">
        <v>29224990400</v>
      </c>
      <c r="B8869" t="s">
        <v>3390</v>
      </c>
    </row>
    <row r="8870" spans="1:2" x14ac:dyDescent="0.25">
      <c r="A8870">
        <v>29224990900</v>
      </c>
      <c r="B8870" t="s">
        <v>10</v>
      </c>
    </row>
    <row r="8871" spans="1:2" x14ac:dyDescent="0.25">
      <c r="A8871">
        <v>292250</v>
      </c>
      <c r="B8871" t="e">
        <f>- Amino-Alcoholes-fenoles. aminoacidos-fenoles y demas compuestos aminados Con funciones oxigenadas</f>
        <v>#NAME?</v>
      </c>
    </row>
    <row r="8872" spans="1:2" x14ac:dyDescent="0.25">
      <c r="A8872">
        <v>2922501</v>
      </c>
      <c r="B8872" t="s">
        <v>3391</v>
      </c>
    </row>
    <row r="8873" spans="1:2" x14ac:dyDescent="0.25">
      <c r="A8873">
        <v>29225011000</v>
      </c>
      <c r="B8873" t="s">
        <v>3321</v>
      </c>
    </row>
    <row r="8874" spans="1:2" x14ac:dyDescent="0.25">
      <c r="A8874">
        <v>29225019000</v>
      </c>
      <c r="B8874" t="s">
        <v>57</v>
      </c>
    </row>
    <row r="8875" spans="1:2" x14ac:dyDescent="0.25">
      <c r="A8875">
        <v>2922503</v>
      </c>
      <c r="B8875" t="s">
        <v>3392</v>
      </c>
    </row>
    <row r="8876" spans="1:2" x14ac:dyDescent="0.25">
      <c r="A8876">
        <v>29225031000</v>
      </c>
      <c r="B8876" t="s">
        <v>3393</v>
      </c>
    </row>
    <row r="8877" spans="1:2" x14ac:dyDescent="0.25">
      <c r="A8877">
        <v>29225032000</v>
      </c>
      <c r="B8877" t="s">
        <v>3394</v>
      </c>
    </row>
    <row r="8878" spans="1:2" x14ac:dyDescent="0.25">
      <c r="A8878">
        <v>29225039000</v>
      </c>
      <c r="B8878" t="s">
        <v>10</v>
      </c>
    </row>
    <row r="8879" spans="1:2" x14ac:dyDescent="0.25">
      <c r="A8879">
        <v>2922509</v>
      </c>
      <c r="B8879" t="s">
        <v>10</v>
      </c>
    </row>
    <row r="8880" spans="1:2" x14ac:dyDescent="0.25">
      <c r="A8880">
        <v>29225091000</v>
      </c>
      <c r="B8880" t="s">
        <v>3395</v>
      </c>
    </row>
    <row r="8881" spans="1:2" x14ac:dyDescent="0.25">
      <c r="A8881">
        <v>29225099</v>
      </c>
      <c r="B8881" t="s">
        <v>10</v>
      </c>
    </row>
    <row r="8882" spans="1:2" x14ac:dyDescent="0.25">
      <c r="A8882">
        <v>29225099200</v>
      </c>
      <c r="B8882" t="s">
        <v>2740</v>
      </c>
    </row>
    <row r="8883" spans="1:2" x14ac:dyDescent="0.25">
      <c r="A8883">
        <v>29225099300</v>
      </c>
      <c r="B8883" t="s">
        <v>3396</v>
      </c>
    </row>
    <row r="8884" spans="1:2" x14ac:dyDescent="0.25">
      <c r="A8884">
        <v>29225099400</v>
      </c>
      <c r="B8884" t="s">
        <v>3283</v>
      </c>
    </row>
    <row r="8885" spans="1:2" x14ac:dyDescent="0.25">
      <c r="A8885">
        <v>29225099900</v>
      </c>
      <c r="B8885" t="s">
        <v>10</v>
      </c>
    </row>
    <row r="8886" spans="1:2" x14ac:dyDescent="0.25">
      <c r="A8886">
        <v>2923</v>
      </c>
      <c r="B8886" t="s">
        <v>3397</v>
      </c>
    </row>
    <row r="8887" spans="1:2" x14ac:dyDescent="0.25">
      <c r="A8887">
        <v>29231000</v>
      </c>
      <c r="B8887" t="e">
        <f>- Colina y sus sales</f>
        <v>#NAME?</v>
      </c>
    </row>
    <row r="8888" spans="1:2" x14ac:dyDescent="0.25">
      <c r="A8888">
        <v>29231000100</v>
      </c>
      <c r="B8888" t="s">
        <v>3398</v>
      </c>
    </row>
    <row r="8889" spans="1:2" x14ac:dyDescent="0.25">
      <c r="A8889">
        <v>292310009</v>
      </c>
      <c r="B8889" t="s">
        <v>10</v>
      </c>
    </row>
    <row r="8890" spans="1:2" x14ac:dyDescent="0.25">
      <c r="A8890">
        <v>29231000910</v>
      </c>
      <c r="B8890" t="s">
        <v>3399</v>
      </c>
    </row>
    <row r="8891" spans="1:2" x14ac:dyDescent="0.25">
      <c r="A8891">
        <v>29231000990</v>
      </c>
      <c r="B8891" t="s">
        <v>10</v>
      </c>
    </row>
    <row r="8892" spans="1:2" x14ac:dyDescent="0.25">
      <c r="A8892">
        <v>29232000</v>
      </c>
      <c r="B8892" t="e">
        <f>- Lecitinas y demas fosfoaminolipidos</f>
        <v>#NAME?</v>
      </c>
    </row>
    <row r="8893" spans="1:2" x14ac:dyDescent="0.25">
      <c r="A8893">
        <v>29232000100</v>
      </c>
      <c r="B8893" t="s">
        <v>3398</v>
      </c>
    </row>
    <row r="8894" spans="1:2" x14ac:dyDescent="0.25">
      <c r="A8894">
        <v>29232000900</v>
      </c>
      <c r="B8894" t="s">
        <v>10</v>
      </c>
    </row>
    <row r="8895" spans="1:2" x14ac:dyDescent="0.25">
      <c r="A8895">
        <v>29233000000</v>
      </c>
      <c r="B8895" t="e">
        <f>-perfluorooctano sulfonato de tetraetilamonio</f>
        <v>#NAME?</v>
      </c>
    </row>
    <row r="8896" spans="1:2" x14ac:dyDescent="0.25">
      <c r="A8896">
        <v>29234000000</v>
      </c>
      <c r="B8896" t="e">
        <f>-perfluorooctano sulfonato de didecildimetilamonio</f>
        <v>#NAME?</v>
      </c>
    </row>
    <row r="8897" spans="1:2" x14ac:dyDescent="0.25">
      <c r="A8897">
        <v>292390</v>
      </c>
      <c r="B8897" t="e">
        <f>- Los demas</f>
        <v>#NAME?</v>
      </c>
    </row>
    <row r="8898" spans="1:2" x14ac:dyDescent="0.25">
      <c r="A8898">
        <v>29239010000</v>
      </c>
      <c r="B8898" t="s">
        <v>3400</v>
      </c>
    </row>
    <row r="8899" spans="1:2" x14ac:dyDescent="0.25">
      <c r="A8899">
        <v>29239020</v>
      </c>
      <c r="B8899" t="s">
        <v>3401</v>
      </c>
    </row>
    <row r="8900" spans="1:2" x14ac:dyDescent="0.25">
      <c r="A8900">
        <v>292390201</v>
      </c>
      <c r="B8900" t="s">
        <v>2450</v>
      </c>
    </row>
    <row r="8901" spans="1:2" x14ac:dyDescent="0.25">
      <c r="A8901">
        <v>29239020110</v>
      </c>
      <c r="B8901" t="s">
        <v>3402</v>
      </c>
    </row>
    <row r="8902" spans="1:2" x14ac:dyDescent="0.25">
      <c r="A8902">
        <v>29239020190</v>
      </c>
      <c r="B8902" t="s">
        <v>10</v>
      </c>
    </row>
    <row r="8903" spans="1:2" x14ac:dyDescent="0.25">
      <c r="A8903">
        <v>29239020900</v>
      </c>
      <c r="B8903" t="s">
        <v>10</v>
      </c>
    </row>
    <row r="8904" spans="1:2" x14ac:dyDescent="0.25">
      <c r="A8904">
        <v>29239030000</v>
      </c>
      <c r="B8904" t="s">
        <v>3403</v>
      </c>
    </row>
    <row r="8905" spans="1:2" x14ac:dyDescent="0.25">
      <c r="A8905">
        <v>29239040000</v>
      </c>
      <c r="B8905" t="s">
        <v>3404</v>
      </c>
    </row>
    <row r="8906" spans="1:2" x14ac:dyDescent="0.25">
      <c r="A8906">
        <v>29239050000</v>
      </c>
      <c r="B8906" t="s">
        <v>3405</v>
      </c>
    </row>
    <row r="8907" spans="1:2" x14ac:dyDescent="0.25">
      <c r="A8907">
        <v>29239060000</v>
      </c>
      <c r="B8907" t="s">
        <v>3406</v>
      </c>
    </row>
    <row r="8908" spans="1:2" x14ac:dyDescent="0.25">
      <c r="A8908">
        <v>29239090000</v>
      </c>
      <c r="B8908" t="s">
        <v>10</v>
      </c>
    </row>
    <row r="8909" spans="1:2" x14ac:dyDescent="0.25">
      <c r="A8909">
        <v>2924</v>
      </c>
      <c r="B8909" t="s">
        <v>3407</v>
      </c>
    </row>
    <row r="8910" spans="1:2" x14ac:dyDescent="0.25">
      <c r="A8910">
        <v>29241</v>
      </c>
      <c r="B8910" t="s">
        <v>3408</v>
      </c>
    </row>
    <row r="8911" spans="1:2" x14ac:dyDescent="0.25">
      <c r="A8911">
        <v>29241100000</v>
      </c>
      <c r="B8911" t="e">
        <f>--Meprobamato (DCI)</f>
        <v>#NAME?</v>
      </c>
    </row>
    <row r="8912" spans="1:2" x14ac:dyDescent="0.25">
      <c r="A8912">
        <v>292412</v>
      </c>
      <c r="B8912" t="s">
        <v>3409</v>
      </c>
    </row>
    <row r="8913" spans="1:2" x14ac:dyDescent="0.25">
      <c r="A8913">
        <v>29241210000</v>
      </c>
      <c r="B8913" t="s">
        <v>3410</v>
      </c>
    </row>
    <row r="8914" spans="1:2" x14ac:dyDescent="0.25">
      <c r="A8914">
        <v>29241220000</v>
      </c>
      <c r="B8914" t="s">
        <v>3411</v>
      </c>
    </row>
    <row r="8915" spans="1:2" x14ac:dyDescent="0.25">
      <c r="A8915">
        <v>29241230000</v>
      </c>
      <c r="B8915" t="s">
        <v>3412</v>
      </c>
    </row>
    <row r="8916" spans="1:2" x14ac:dyDescent="0.25">
      <c r="A8916">
        <v>292419</v>
      </c>
      <c r="B8916" t="e">
        <f>- - Los demas</f>
        <v>#NAME?</v>
      </c>
    </row>
    <row r="8917" spans="1:2" x14ac:dyDescent="0.25">
      <c r="A8917">
        <v>2924191</v>
      </c>
      <c r="B8917" t="s">
        <v>3413</v>
      </c>
    </row>
    <row r="8918" spans="1:2" x14ac:dyDescent="0.25">
      <c r="A8918">
        <v>29241911000</v>
      </c>
      <c r="B8918" t="s">
        <v>3414</v>
      </c>
    </row>
    <row r="8919" spans="1:2" x14ac:dyDescent="0.25">
      <c r="A8919">
        <v>29241919</v>
      </c>
      <c r="B8919" t="s">
        <v>10</v>
      </c>
    </row>
    <row r="8920" spans="1:2" x14ac:dyDescent="0.25">
      <c r="A8920">
        <v>29241919100</v>
      </c>
      <c r="B8920" t="s">
        <v>3415</v>
      </c>
    </row>
    <row r="8921" spans="1:2" x14ac:dyDescent="0.25">
      <c r="A8921">
        <v>29241919900</v>
      </c>
      <c r="B8921" t="s">
        <v>10</v>
      </c>
    </row>
    <row r="8922" spans="1:2" x14ac:dyDescent="0.25">
      <c r="A8922">
        <v>2924192</v>
      </c>
      <c r="B8922" t="s">
        <v>3416</v>
      </c>
    </row>
    <row r="8923" spans="1:2" x14ac:dyDescent="0.25">
      <c r="A8923">
        <v>29241921000</v>
      </c>
      <c r="B8923" t="s">
        <v>3417</v>
      </c>
    </row>
    <row r="8924" spans="1:2" x14ac:dyDescent="0.25">
      <c r="A8924">
        <v>29241922000</v>
      </c>
      <c r="B8924" t="s">
        <v>3418</v>
      </c>
    </row>
    <row r="8925" spans="1:2" x14ac:dyDescent="0.25">
      <c r="A8925">
        <v>29241929</v>
      </c>
      <c r="B8925" t="s">
        <v>57</v>
      </c>
    </row>
    <row r="8926" spans="1:2" x14ac:dyDescent="0.25">
      <c r="A8926">
        <v>29241929100</v>
      </c>
      <c r="B8926" t="s">
        <v>3419</v>
      </c>
    </row>
    <row r="8927" spans="1:2" x14ac:dyDescent="0.25">
      <c r="A8927">
        <v>29241929900</v>
      </c>
      <c r="B8927" t="s">
        <v>57</v>
      </c>
    </row>
    <row r="8928" spans="1:2" x14ac:dyDescent="0.25">
      <c r="A8928">
        <v>2924193</v>
      </c>
      <c r="B8928" t="s">
        <v>3420</v>
      </c>
    </row>
    <row r="8929" spans="1:2" x14ac:dyDescent="0.25">
      <c r="A8929">
        <v>29241931000</v>
      </c>
      <c r="B8929" t="s">
        <v>3421</v>
      </c>
    </row>
    <row r="8930" spans="1:2" x14ac:dyDescent="0.25">
      <c r="A8930">
        <v>29241932000</v>
      </c>
      <c r="B8930" t="s">
        <v>3422</v>
      </c>
    </row>
    <row r="8931" spans="1:2" x14ac:dyDescent="0.25">
      <c r="A8931">
        <v>29241939000</v>
      </c>
      <c r="B8931" t="s">
        <v>10</v>
      </c>
    </row>
    <row r="8932" spans="1:2" x14ac:dyDescent="0.25">
      <c r="A8932">
        <v>2924194</v>
      </c>
      <c r="B8932" t="s">
        <v>3423</v>
      </c>
    </row>
    <row r="8933" spans="1:2" x14ac:dyDescent="0.25">
      <c r="A8933">
        <v>29241942000</v>
      </c>
      <c r="B8933" t="s">
        <v>3424</v>
      </c>
    </row>
    <row r="8934" spans="1:2" x14ac:dyDescent="0.25">
      <c r="A8934">
        <v>29241949000</v>
      </c>
      <c r="B8934" t="s">
        <v>10</v>
      </c>
    </row>
    <row r="8935" spans="1:2" x14ac:dyDescent="0.25">
      <c r="A8935">
        <v>2924199</v>
      </c>
      <c r="B8935" t="s">
        <v>10</v>
      </c>
    </row>
    <row r="8936" spans="1:2" x14ac:dyDescent="0.25">
      <c r="A8936">
        <v>29241991000</v>
      </c>
      <c r="B8936" t="s">
        <v>3425</v>
      </c>
    </row>
    <row r="8937" spans="1:2" x14ac:dyDescent="0.25">
      <c r="A8937">
        <v>29241992000</v>
      </c>
      <c r="B8937" t="s">
        <v>3426</v>
      </c>
    </row>
    <row r="8938" spans="1:2" x14ac:dyDescent="0.25">
      <c r="A8938">
        <v>29241993000</v>
      </c>
      <c r="B8938" t="s">
        <v>3427</v>
      </c>
    </row>
    <row r="8939" spans="1:2" x14ac:dyDescent="0.25">
      <c r="A8939">
        <v>29241994000</v>
      </c>
      <c r="B8939" t="s">
        <v>3428</v>
      </c>
    </row>
    <row r="8940" spans="1:2" x14ac:dyDescent="0.25">
      <c r="A8940">
        <v>29241999</v>
      </c>
      <c r="B8940" t="s">
        <v>10</v>
      </c>
    </row>
    <row r="8941" spans="1:2" x14ac:dyDescent="0.25">
      <c r="A8941">
        <v>292419991</v>
      </c>
      <c r="B8941" t="s">
        <v>2450</v>
      </c>
    </row>
    <row r="8942" spans="1:2" x14ac:dyDescent="0.25">
      <c r="A8942">
        <v>29241999120</v>
      </c>
      <c r="B8942" t="s">
        <v>3429</v>
      </c>
    </row>
    <row r="8943" spans="1:2" x14ac:dyDescent="0.25">
      <c r="A8943">
        <v>29241999190</v>
      </c>
      <c r="B8943" t="s">
        <v>10</v>
      </c>
    </row>
    <row r="8944" spans="1:2" x14ac:dyDescent="0.25">
      <c r="A8944">
        <v>29241999200</v>
      </c>
      <c r="B8944" t="s">
        <v>2740</v>
      </c>
    </row>
    <row r="8945" spans="1:2" x14ac:dyDescent="0.25">
      <c r="A8945">
        <v>29241999900</v>
      </c>
      <c r="B8945" t="s">
        <v>10</v>
      </c>
    </row>
    <row r="8946" spans="1:2" x14ac:dyDescent="0.25">
      <c r="A8946">
        <v>29242</v>
      </c>
      <c r="B8946" t="s">
        <v>3430</v>
      </c>
    </row>
    <row r="8947" spans="1:2" x14ac:dyDescent="0.25">
      <c r="A8947">
        <v>292421</v>
      </c>
      <c r="B8947" t="e">
        <f>- - Ureinas y sus derivados, sales de estos Productos</f>
        <v>#NAME?</v>
      </c>
    </row>
    <row r="8948" spans="1:2" x14ac:dyDescent="0.25">
      <c r="A8948">
        <v>2924211</v>
      </c>
      <c r="B8948" t="s">
        <v>3431</v>
      </c>
    </row>
    <row r="8949" spans="1:2" x14ac:dyDescent="0.25">
      <c r="A8949">
        <v>29242111000</v>
      </c>
      <c r="B8949" t="s">
        <v>3432</v>
      </c>
    </row>
    <row r="8950" spans="1:2" x14ac:dyDescent="0.25">
      <c r="A8950">
        <v>29242119000</v>
      </c>
      <c r="B8950" t="s">
        <v>10</v>
      </c>
    </row>
    <row r="8951" spans="1:2" x14ac:dyDescent="0.25">
      <c r="A8951">
        <v>29242120000</v>
      </c>
      <c r="B8951" t="s">
        <v>3433</v>
      </c>
    </row>
    <row r="8952" spans="1:2" x14ac:dyDescent="0.25">
      <c r="A8952">
        <v>29242190</v>
      </c>
      <c r="B8952" t="s">
        <v>10</v>
      </c>
    </row>
    <row r="8953" spans="1:2" x14ac:dyDescent="0.25">
      <c r="A8953">
        <v>292421901</v>
      </c>
      <c r="B8953" t="s">
        <v>2450</v>
      </c>
    </row>
    <row r="8954" spans="1:2" x14ac:dyDescent="0.25">
      <c r="A8954">
        <v>29242190110</v>
      </c>
      <c r="B8954" t="s">
        <v>3434</v>
      </c>
    </row>
    <row r="8955" spans="1:2" x14ac:dyDescent="0.25">
      <c r="A8955">
        <v>29242190190</v>
      </c>
      <c r="B8955" t="s">
        <v>10</v>
      </c>
    </row>
    <row r="8956" spans="1:2" x14ac:dyDescent="0.25">
      <c r="A8956">
        <v>29242190200</v>
      </c>
      <c r="B8956" t="s">
        <v>3435</v>
      </c>
    </row>
    <row r="8957" spans="1:2" x14ac:dyDescent="0.25">
      <c r="A8957">
        <v>29242190900</v>
      </c>
      <c r="B8957" t="s">
        <v>10</v>
      </c>
    </row>
    <row r="8958" spans="1:2" x14ac:dyDescent="0.25">
      <c r="A8958">
        <v>29242300</v>
      </c>
      <c r="B8958" t="s">
        <v>3436</v>
      </c>
    </row>
    <row r="8959" spans="1:2" x14ac:dyDescent="0.25">
      <c r="A8959">
        <v>292423001</v>
      </c>
      <c r="B8959" t="s">
        <v>3437</v>
      </c>
    </row>
    <row r="8960" spans="1:2" x14ac:dyDescent="0.25">
      <c r="A8960">
        <v>29242300110</v>
      </c>
      <c r="B8960" t="s">
        <v>2490</v>
      </c>
    </row>
    <row r="8961" spans="1:2" x14ac:dyDescent="0.25">
      <c r="A8961">
        <v>29242300190</v>
      </c>
      <c r="B8961" t="s">
        <v>10</v>
      </c>
    </row>
    <row r="8962" spans="1:2" x14ac:dyDescent="0.25">
      <c r="A8962">
        <v>292423002</v>
      </c>
      <c r="B8962" t="s">
        <v>2195</v>
      </c>
    </row>
    <row r="8963" spans="1:2" x14ac:dyDescent="0.25">
      <c r="A8963">
        <v>29242300210</v>
      </c>
      <c r="B8963" t="s">
        <v>2490</v>
      </c>
    </row>
    <row r="8964" spans="1:2" x14ac:dyDescent="0.25">
      <c r="A8964">
        <v>29242300290</v>
      </c>
      <c r="B8964" t="s">
        <v>57</v>
      </c>
    </row>
    <row r="8965" spans="1:2" x14ac:dyDescent="0.25">
      <c r="A8965">
        <v>29242400000</v>
      </c>
      <c r="B8965" t="e">
        <f>--Etinamato (DCI)</f>
        <v>#NAME?</v>
      </c>
    </row>
    <row r="8966" spans="1:2" x14ac:dyDescent="0.25">
      <c r="A8966">
        <v>29242500000</v>
      </c>
      <c r="B8966" t="e">
        <f>--Alaclor (ISO)</f>
        <v>#NAME?</v>
      </c>
    </row>
    <row r="8967" spans="1:2" x14ac:dyDescent="0.25">
      <c r="A8967">
        <v>292429</v>
      </c>
      <c r="B8967" t="e">
        <f>- - Los demas</f>
        <v>#NAME?</v>
      </c>
    </row>
    <row r="8968" spans="1:2" x14ac:dyDescent="0.25">
      <c r="A8968">
        <v>2924291</v>
      </c>
      <c r="B8968" t="s">
        <v>3438</v>
      </c>
    </row>
    <row r="8969" spans="1:2" x14ac:dyDescent="0.25">
      <c r="A8969">
        <v>29242911000</v>
      </c>
      <c r="B8969" t="s">
        <v>3439</v>
      </c>
    </row>
    <row r="8970" spans="1:2" x14ac:dyDescent="0.25">
      <c r="A8970">
        <v>29242912000</v>
      </c>
      <c r="B8970" t="s">
        <v>3440</v>
      </c>
    </row>
    <row r="8971" spans="1:2" x14ac:dyDescent="0.25">
      <c r="A8971">
        <v>29242913000</v>
      </c>
      <c r="B8971" t="s">
        <v>3441</v>
      </c>
    </row>
    <row r="8972" spans="1:2" x14ac:dyDescent="0.25">
      <c r="A8972">
        <v>29242914000</v>
      </c>
      <c r="B8972" t="s">
        <v>3442</v>
      </c>
    </row>
    <row r="8973" spans="1:2" x14ac:dyDescent="0.25">
      <c r="A8973">
        <v>29242915000</v>
      </c>
      <c r="B8973" t="s">
        <v>3443</v>
      </c>
    </row>
    <row r="8974" spans="1:2" x14ac:dyDescent="0.25">
      <c r="A8974">
        <v>29242919000</v>
      </c>
      <c r="B8974" t="s">
        <v>10</v>
      </c>
    </row>
    <row r="8975" spans="1:2" x14ac:dyDescent="0.25">
      <c r="A8975">
        <v>29242920000</v>
      </c>
      <c r="B8975" t="s">
        <v>3444</v>
      </c>
    </row>
    <row r="8976" spans="1:2" x14ac:dyDescent="0.25">
      <c r="A8976">
        <v>2924293</v>
      </c>
      <c r="B8976" t="s">
        <v>3445</v>
      </c>
    </row>
    <row r="8977" spans="1:2" x14ac:dyDescent="0.25">
      <c r="A8977">
        <v>29242931000</v>
      </c>
      <c r="B8977" t="s">
        <v>3446</v>
      </c>
    </row>
    <row r="8978" spans="1:2" x14ac:dyDescent="0.25">
      <c r="A8978">
        <v>29242932000</v>
      </c>
      <c r="B8978" t="s">
        <v>3447</v>
      </c>
    </row>
    <row r="8979" spans="1:2" x14ac:dyDescent="0.25">
      <c r="A8979">
        <v>29242939</v>
      </c>
      <c r="B8979" t="s">
        <v>10</v>
      </c>
    </row>
    <row r="8980" spans="1:2" x14ac:dyDescent="0.25">
      <c r="A8980">
        <v>292429391</v>
      </c>
      <c r="B8980" t="s">
        <v>2450</v>
      </c>
    </row>
    <row r="8981" spans="1:2" x14ac:dyDescent="0.25">
      <c r="A8981">
        <v>29242939110</v>
      </c>
      <c r="B8981" t="s">
        <v>3448</v>
      </c>
    </row>
    <row r="8982" spans="1:2" x14ac:dyDescent="0.25">
      <c r="A8982">
        <v>29242939190</v>
      </c>
      <c r="B8982" t="s">
        <v>10</v>
      </c>
    </row>
    <row r="8983" spans="1:2" x14ac:dyDescent="0.25">
      <c r="A8983">
        <v>29242939200</v>
      </c>
      <c r="B8983" t="s">
        <v>2740</v>
      </c>
    </row>
    <row r="8984" spans="1:2" x14ac:dyDescent="0.25">
      <c r="A8984">
        <v>29242939900</v>
      </c>
      <c r="B8984" t="s">
        <v>10</v>
      </c>
    </row>
    <row r="8985" spans="1:2" x14ac:dyDescent="0.25">
      <c r="A8985">
        <v>2924294</v>
      </c>
      <c r="B8985" t="s">
        <v>3449</v>
      </c>
    </row>
    <row r="8986" spans="1:2" x14ac:dyDescent="0.25">
      <c r="A8986">
        <v>29242941000</v>
      </c>
      <c r="B8986" t="s">
        <v>3450</v>
      </c>
    </row>
    <row r="8987" spans="1:2" x14ac:dyDescent="0.25">
      <c r="A8987">
        <v>29242943</v>
      </c>
      <c r="B8987" t="s">
        <v>3451</v>
      </c>
    </row>
    <row r="8988" spans="1:2" x14ac:dyDescent="0.25">
      <c r="A8988">
        <v>29242943100</v>
      </c>
      <c r="B8988" t="s">
        <v>3452</v>
      </c>
    </row>
    <row r="8989" spans="1:2" x14ac:dyDescent="0.25">
      <c r="A8989">
        <v>29242943200</v>
      </c>
      <c r="B8989" t="s">
        <v>3453</v>
      </c>
    </row>
    <row r="8990" spans="1:2" x14ac:dyDescent="0.25">
      <c r="A8990">
        <v>29242944000</v>
      </c>
      <c r="B8990" t="s">
        <v>3454</v>
      </c>
    </row>
    <row r="8991" spans="1:2" x14ac:dyDescent="0.25">
      <c r="A8991">
        <v>29242945000</v>
      </c>
      <c r="B8991" t="s">
        <v>3455</v>
      </c>
    </row>
    <row r="8992" spans="1:2" x14ac:dyDescent="0.25">
      <c r="A8992">
        <v>29242946000</v>
      </c>
      <c r="B8992" t="s">
        <v>3456</v>
      </c>
    </row>
    <row r="8993" spans="1:2" x14ac:dyDescent="0.25">
      <c r="A8993">
        <v>29242947000</v>
      </c>
      <c r="B8993" t="s">
        <v>3457</v>
      </c>
    </row>
    <row r="8994" spans="1:2" x14ac:dyDescent="0.25">
      <c r="A8994">
        <v>29242949</v>
      </c>
      <c r="B8994" t="s">
        <v>10</v>
      </c>
    </row>
    <row r="8995" spans="1:2" x14ac:dyDescent="0.25">
      <c r="A8995">
        <v>292429491</v>
      </c>
      <c r="B8995" t="s">
        <v>2450</v>
      </c>
    </row>
    <row r="8996" spans="1:2" x14ac:dyDescent="0.25">
      <c r="A8996">
        <v>29242949110</v>
      </c>
      <c r="B8996" t="s">
        <v>3458</v>
      </c>
    </row>
    <row r="8997" spans="1:2" x14ac:dyDescent="0.25">
      <c r="A8997">
        <v>29242949120</v>
      </c>
      <c r="B8997" t="s">
        <v>3459</v>
      </c>
    </row>
    <row r="8998" spans="1:2" x14ac:dyDescent="0.25">
      <c r="A8998">
        <v>29242949130</v>
      </c>
      <c r="B8998" t="s">
        <v>3460</v>
      </c>
    </row>
    <row r="8999" spans="1:2" x14ac:dyDescent="0.25">
      <c r="A8999">
        <v>29242949190</v>
      </c>
      <c r="B8999" t="s">
        <v>10</v>
      </c>
    </row>
    <row r="9000" spans="1:2" x14ac:dyDescent="0.25">
      <c r="A9000">
        <v>29242949200</v>
      </c>
      <c r="B9000" t="s">
        <v>2740</v>
      </c>
    </row>
    <row r="9001" spans="1:2" x14ac:dyDescent="0.25">
      <c r="A9001">
        <v>29242949400</v>
      </c>
      <c r="B9001" t="s">
        <v>3461</v>
      </c>
    </row>
    <row r="9002" spans="1:2" x14ac:dyDescent="0.25">
      <c r="A9002">
        <v>292429499</v>
      </c>
      <c r="B9002" t="s">
        <v>10</v>
      </c>
    </row>
    <row r="9003" spans="1:2" x14ac:dyDescent="0.25">
      <c r="A9003">
        <v>29242949910</v>
      </c>
      <c r="B9003" t="s">
        <v>3462</v>
      </c>
    </row>
    <row r="9004" spans="1:2" x14ac:dyDescent="0.25">
      <c r="A9004">
        <v>29242949990</v>
      </c>
      <c r="B9004" t="s">
        <v>10</v>
      </c>
    </row>
    <row r="9005" spans="1:2" x14ac:dyDescent="0.25">
      <c r="A9005">
        <v>2924295</v>
      </c>
      <c r="B9005" t="s">
        <v>3463</v>
      </c>
    </row>
    <row r="9006" spans="1:2" x14ac:dyDescent="0.25">
      <c r="A9006">
        <v>29242951000</v>
      </c>
      <c r="B9006" t="s">
        <v>3464</v>
      </c>
    </row>
    <row r="9007" spans="1:2" x14ac:dyDescent="0.25">
      <c r="A9007">
        <v>29242952000</v>
      </c>
      <c r="B9007" t="s">
        <v>3465</v>
      </c>
    </row>
    <row r="9008" spans="1:2" x14ac:dyDescent="0.25">
      <c r="A9008">
        <v>29242959000</v>
      </c>
      <c r="B9008" t="s">
        <v>10</v>
      </c>
    </row>
    <row r="9009" spans="1:2" x14ac:dyDescent="0.25">
      <c r="A9009">
        <v>2924296</v>
      </c>
      <c r="B9009" t="s">
        <v>3466</v>
      </c>
    </row>
    <row r="9010" spans="1:2" x14ac:dyDescent="0.25">
      <c r="A9010">
        <v>29242961000</v>
      </c>
      <c r="B9010" t="s">
        <v>3467</v>
      </c>
    </row>
    <row r="9011" spans="1:2" x14ac:dyDescent="0.25">
      <c r="A9011">
        <v>29242962000</v>
      </c>
      <c r="B9011" t="s">
        <v>3468</v>
      </c>
    </row>
    <row r="9012" spans="1:2" x14ac:dyDescent="0.25">
      <c r="A9012">
        <v>29242963000</v>
      </c>
      <c r="B9012" t="s">
        <v>3469</v>
      </c>
    </row>
    <row r="9013" spans="1:2" x14ac:dyDescent="0.25">
      <c r="A9013">
        <v>29242964000</v>
      </c>
      <c r="B9013" t="s">
        <v>3470</v>
      </c>
    </row>
    <row r="9014" spans="1:2" x14ac:dyDescent="0.25">
      <c r="A9014">
        <v>29242969</v>
      </c>
      <c r="B9014" t="s">
        <v>10</v>
      </c>
    </row>
    <row r="9015" spans="1:2" x14ac:dyDescent="0.25">
      <c r="A9015">
        <v>292429691</v>
      </c>
      <c r="B9015" t="s">
        <v>2450</v>
      </c>
    </row>
    <row r="9016" spans="1:2" x14ac:dyDescent="0.25">
      <c r="A9016">
        <v>29242969110</v>
      </c>
      <c r="B9016" t="s">
        <v>3471</v>
      </c>
    </row>
    <row r="9017" spans="1:2" x14ac:dyDescent="0.25">
      <c r="A9017">
        <v>29242969190</v>
      </c>
      <c r="B9017" t="s">
        <v>10</v>
      </c>
    </row>
    <row r="9018" spans="1:2" x14ac:dyDescent="0.25">
      <c r="A9018">
        <v>29242969900</v>
      </c>
      <c r="B9018" t="s">
        <v>10</v>
      </c>
    </row>
    <row r="9019" spans="1:2" x14ac:dyDescent="0.25">
      <c r="A9019">
        <v>2924299</v>
      </c>
      <c r="B9019" t="s">
        <v>10</v>
      </c>
    </row>
    <row r="9020" spans="1:2" x14ac:dyDescent="0.25">
      <c r="A9020">
        <v>29242991000</v>
      </c>
      <c r="B9020" t="s">
        <v>3472</v>
      </c>
    </row>
    <row r="9021" spans="1:2" x14ac:dyDescent="0.25">
      <c r="A9021">
        <v>29242992000</v>
      </c>
      <c r="B9021" t="s">
        <v>3473</v>
      </c>
    </row>
    <row r="9022" spans="1:2" x14ac:dyDescent="0.25">
      <c r="A9022">
        <v>29242993000</v>
      </c>
      <c r="B9022" t="s">
        <v>3474</v>
      </c>
    </row>
    <row r="9023" spans="1:2" x14ac:dyDescent="0.25">
      <c r="A9023">
        <v>29242994000</v>
      </c>
      <c r="B9023" t="s">
        <v>3475</v>
      </c>
    </row>
    <row r="9024" spans="1:2" x14ac:dyDescent="0.25">
      <c r="A9024">
        <v>29242995000</v>
      </c>
      <c r="B9024" t="s">
        <v>3476</v>
      </c>
    </row>
    <row r="9025" spans="1:2" x14ac:dyDescent="0.25">
      <c r="A9025">
        <v>29242996000</v>
      </c>
      <c r="B9025" t="s">
        <v>3477</v>
      </c>
    </row>
    <row r="9026" spans="1:2" x14ac:dyDescent="0.25">
      <c r="A9026">
        <v>29242999</v>
      </c>
      <c r="B9026" t="s">
        <v>10</v>
      </c>
    </row>
    <row r="9027" spans="1:2" x14ac:dyDescent="0.25">
      <c r="A9027">
        <v>292429991</v>
      </c>
      <c r="B9027" t="s">
        <v>2450</v>
      </c>
    </row>
    <row r="9028" spans="1:2" x14ac:dyDescent="0.25">
      <c r="A9028">
        <v>29242999110</v>
      </c>
      <c r="B9028" t="s">
        <v>3478</v>
      </c>
    </row>
    <row r="9029" spans="1:2" x14ac:dyDescent="0.25">
      <c r="A9029">
        <v>29242999120</v>
      </c>
      <c r="B9029" t="s">
        <v>3479</v>
      </c>
    </row>
    <row r="9030" spans="1:2" x14ac:dyDescent="0.25">
      <c r="A9030">
        <v>29242999130</v>
      </c>
      <c r="B9030" t="s">
        <v>3480</v>
      </c>
    </row>
    <row r="9031" spans="1:2" x14ac:dyDescent="0.25">
      <c r="A9031">
        <v>29242999190</v>
      </c>
      <c r="B9031" t="s">
        <v>10</v>
      </c>
    </row>
    <row r="9032" spans="1:2" x14ac:dyDescent="0.25">
      <c r="A9032">
        <v>29242999200</v>
      </c>
      <c r="B9032" t="s">
        <v>1157</v>
      </c>
    </row>
    <row r="9033" spans="1:2" x14ac:dyDescent="0.25">
      <c r="A9033">
        <v>29242999300</v>
      </c>
      <c r="B9033" t="s">
        <v>3481</v>
      </c>
    </row>
    <row r="9034" spans="1:2" x14ac:dyDescent="0.25">
      <c r="A9034">
        <v>292429994</v>
      </c>
      <c r="B9034" t="s">
        <v>3482</v>
      </c>
    </row>
    <row r="9035" spans="1:2" x14ac:dyDescent="0.25">
      <c r="A9035">
        <v>29242999410</v>
      </c>
      <c r="B9035" t="s">
        <v>1131</v>
      </c>
    </row>
    <row r="9036" spans="1:2" x14ac:dyDescent="0.25">
      <c r="A9036">
        <v>29242999490</v>
      </c>
      <c r="B9036" t="s">
        <v>10</v>
      </c>
    </row>
    <row r="9037" spans="1:2" x14ac:dyDescent="0.25">
      <c r="A9037">
        <v>292429999</v>
      </c>
      <c r="B9037" t="s">
        <v>10</v>
      </c>
    </row>
    <row r="9038" spans="1:2" x14ac:dyDescent="0.25">
      <c r="A9038">
        <v>29242999910</v>
      </c>
      <c r="B9038" t="s">
        <v>3483</v>
      </c>
    </row>
    <row r="9039" spans="1:2" x14ac:dyDescent="0.25">
      <c r="A9039">
        <v>29242999920</v>
      </c>
      <c r="B9039" t="s">
        <v>3283</v>
      </c>
    </row>
    <row r="9040" spans="1:2" x14ac:dyDescent="0.25">
      <c r="A9040">
        <v>29242999990</v>
      </c>
      <c r="B9040" t="s">
        <v>3484</v>
      </c>
    </row>
    <row r="9041" spans="1:2" x14ac:dyDescent="0.25">
      <c r="A9041">
        <v>2925</v>
      </c>
      <c r="B9041" t="s">
        <v>3485</v>
      </c>
    </row>
    <row r="9042" spans="1:2" x14ac:dyDescent="0.25">
      <c r="A9042">
        <v>29251</v>
      </c>
      <c r="B9042" t="s">
        <v>3486</v>
      </c>
    </row>
    <row r="9043" spans="1:2" x14ac:dyDescent="0.25">
      <c r="A9043">
        <v>29251100000</v>
      </c>
      <c r="B9043" t="e">
        <f>--Sacarina y sus sales</f>
        <v>#NAME?</v>
      </c>
    </row>
    <row r="9044" spans="1:2" x14ac:dyDescent="0.25">
      <c r="A9044">
        <v>29251200000</v>
      </c>
      <c r="B9044" t="e">
        <f>--Glutetimida (DCI)</f>
        <v>#NAME?</v>
      </c>
    </row>
    <row r="9045" spans="1:2" x14ac:dyDescent="0.25">
      <c r="A9045">
        <v>292519</v>
      </c>
      <c r="B9045" t="e">
        <f>- - Los demas</f>
        <v>#NAME?</v>
      </c>
    </row>
    <row r="9046" spans="1:2" x14ac:dyDescent="0.25">
      <c r="A9046">
        <v>29251910000</v>
      </c>
      <c r="B9046" t="s">
        <v>3487</v>
      </c>
    </row>
    <row r="9047" spans="1:2" x14ac:dyDescent="0.25">
      <c r="A9047">
        <v>29251990</v>
      </c>
      <c r="B9047" t="s">
        <v>10</v>
      </c>
    </row>
    <row r="9048" spans="1:2" x14ac:dyDescent="0.25">
      <c r="A9048">
        <v>292519901</v>
      </c>
      <c r="B9048" t="s">
        <v>2450</v>
      </c>
    </row>
    <row r="9049" spans="1:2" x14ac:dyDescent="0.25">
      <c r="A9049">
        <v>29251990110</v>
      </c>
      <c r="B9049" t="s">
        <v>3488</v>
      </c>
    </row>
    <row r="9050" spans="1:2" x14ac:dyDescent="0.25">
      <c r="A9050">
        <v>29251990190</v>
      </c>
      <c r="B9050" t="s">
        <v>10</v>
      </c>
    </row>
    <row r="9051" spans="1:2" x14ac:dyDescent="0.25">
      <c r="A9051">
        <v>29251990200</v>
      </c>
      <c r="B9051" t="s">
        <v>2740</v>
      </c>
    </row>
    <row r="9052" spans="1:2" x14ac:dyDescent="0.25">
      <c r="A9052">
        <v>29251990300</v>
      </c>
      <c r="B9052" t="s">
        <v>3283</v>
      </c>
    </row>
    <row r="9053" spans="1:2" x14ac:dyDescent="0.25">
      <c r="A9053">
        <v>29251990900</v>
      </c>
      <c r="B9053" t="s">
        <v>10</v>
      </c>
    </row>
    <row r="9054" spans="1:2" x14ac:dyDescent="0.25">
      <c r="A9054">
        <v>29252</v>
      </c>
      <c r="B9054" t="s">
        <v>3489</v>
      </c>
    </row>
    <row r="9055" spans="1:2" x14ac:dyDescent="0.25">
      <c r="A9055">
        <v>29252100000</v>
      </c>
      <c r="B9055" t="e">
        <f>--Clordimeformo (ISO)</f>
        <v>#NAME?</v>
      </c>
    </row>
    <row r="9056" spans="1:2" x14ac:dyDescent="0.25">
      <c r="A9056">
        <v>292529</v>
      </c>
      <c r="B9056" t="e">
        <f>- - Los demas</f>
        <v>#NAME?</v>
      </c>
    </row>
    <row r="9057" spans="1:2" x14ac:dyDescent="0.25">
      <c r="A9057">
        <v>2925291</v>
      </c>
      <c r="B9057" t="s">
        <v>3490</v>
      </c>
    </row>
    <row r="9058" spans="1:2" x14ac:dyDescent="0.25">
      <c r="A9058">
        <v>29252911000</v>
      </c>
      <c r="B9058" t="s">
        <v>3491</v>
      </c>
    </row>
    <row r="9059" spans="1:2" x14ac:dyDescent="0.25">
      <c r="A9059">
        <v>29252919000</v>
      </c>
      <c r="B9059" t="s">
        <v>57</v>
      </c>
    </row>
    <row r="9060" spans="1:2" x14ac:dyDescent="0.25">
      <c r="A9060">
        <v>2925292</v>
      </c>
      <c r="B9060" t="s">
        <v>3492</v>
      </c>
    </row>
    <row r="9061" spans="1:2" x14ac:dyDescent="0.25">
      <c r="A9061">
        <v>29252921000</v>
      </c>
      <c r="B9061" t="s">
        <v>3493</v>
      </c>
    </row>
    <row r="9062" spans="1:2" x14ac:dyDescent="0.25">
      <c r="A9062">
        <v>29252922000</v>
      </c>
      <c r="B9062" t="s">
        <v>3494</v>
      </c>
    </row>
    <row r="9063" spans="1:2" x14ac:dyDescent="0.25">
      <c r="A9063">
        <v>29252923000</v>
      </c>
      <c r="B9063" t="s">
        <v>3495</v>
      </c>
    </row>
    <row r="9064" spans="1:2" x14ac:dyDescent="0.25">
      <c r="A9064">
        <v>29252929</v>
      </c>
      <c r="B9064" t="s">
        <v>10</v>
      </c>
    </row>
    <row r="9065" spans="1:2" x14ac:dyDescent="0.25">
      <c r="A9065">
        <v>292529291</v>
      </c>
      <c r="B9065" t="s">
        <v>3191</v>
      </c>
    </row>
    <row r="9066" spans="1:2" x14ac:dyDescent="0.25">
      <c r="A9066">
        <v>29252929110</v>
      </c>
      <c r="B9066" t="s">
        <v>3496</v>
      </c>
    </row>
    <row r="9067" spans="1:2" x14ac:dyDescent="0.25">
      <c r="A9067">
        <v>29252929190</v>
      </c>
      <c r="B9067" t="s">
        <v>10</v>
      </c>
    </row>
    <row r="9068" spans="1:2" x14ac:dyDescent="0.25">
      <c r="A9068">
        <v>29252929200</v>
      </c>
      <c r="B9068" t="s">
        <v>3497</v>
      </c>
    </row>
    <row r="9069" spans="1:2" x14ac:dyDescent="0.25">
      <c r="A9069">
        <v>29252929300</v>
      </c>
      <c r="B9069" t="s">
        <v>3498</v>
      </c>
    </row>
    <row r="9070" spans="1:2" x14ac:dyDescent="0.25">
      <c r="A9070">
        <v>29252929900</v>
      </c>
      <c r="B9070" t="s">
        <v>10</v>
      </c>
    </row>
    <row r="9071" spans="1:2" x14ac:dyDescent="0.25">
      <c r="A9071">
        <v>29252930000</v>
      </c>
      <c r="B9071" t="s">
        <v>3499</v>
      </c>
    </row>
    <row r="9072" spans="1:2" x14ac:dyDescent="0.25">
      <c r="A9072">
        <v>29252940000</v>
      </c>
      <c r="B9072" t="s">
        <v>3500</v>
      </c>
    </row>
    <row r="9073" spans="1:2" x14ac:dyDescent="0.25">
      <c r="A9073">
        <v>29252950000</v>
      </c>
      <c r="B9073" t="s">
        <v>3501</v>
      </c>
    </row>
    <row r="9074" spans="1:2" x14ac:dyDescent="0.25">
      <c r="A9074">
        <v>29252990</v>
      </c>
      <c r="B9074" t="s">
        <v>10</v>
      </c>
    </row>
    <row r="9075" spans="1:2" x14ac:dyDescent="0.25">
      <c r="A9075">
        <v>292529901</v>
      </c>
      <c r="B9075" t="s">
        <v>2450</v>
      </c>
    </row>
    <row r="9076" spans="1:2" x14ac:dyDescent="0.25">
      <c r="A9076">
        <v>29252990110</v>
      </c>
      <c r="B9076" t="s">
        <v>3502</v>
      </c>
    </row>
    <row r="9077" spans="1:2" x14ac:dyDescent="0.25">
      <c r="A9077">
        <v>29252990190</v>
      </c>
      <c r="B9077" t="s">
        <v>10</v>
      </c>
    </row>
    <row r="9078" spans="1:2" x14ac:dyDescent="0.25">
      <c r="A9078">
        <v>292529909</v>
      </c>
      <c r="B9078" t="s">
        <v>10</v>
      </c>
    </row>
    <row r="9079" spans="1:2" x14ac:dyDescent="0.25">
      <c r="A9079">
        <v>29252990910</v>
      </c>
      <c r="B9079" t="s">
        <v>3503</v>
      </c>
    </row>
    <row r="9080" spans="1:2" x14ac:dyDescent="0.25">
      <c r="A9080">
        <v>29252990920</v>
      </c>
      <c r="B9080" t="s">
        <v>3504</v>
      </c>
    </row>
    <row r="9081" spans="1:2" x14ac:dyDescent="0.25">
      <c r="A9081">
        <v>29252990990</v>
      </c>
      <c r="B9081" t="s">
        <v>10</v>
      </c>
    </row>
    <row r="9082" spans="1:2" x14ac:dyDescent="0.25">
      <c r="A9082">
        <v>2926</v>
      </c>
      <c r="B9082" t="s">
        <v>3505</v>
      </c>
    </row>
    <row r="9083" spans="1:2" x14ac:dyDescent="0.25">
      <c r="A9083">
        <v>29261000000</v>
      </c>
      <c r="B9083" t="e">
        <f>-Acrilonitrilo</f>
        <v>#NAME?</v>
      </c>
    </row>
    <row r="9084" spans="1:2" x14ac:dyDescent="0.25">
      <c r="A9084">
        <v>29262000000</v>
      </c>
      <c r="B9084" t="e">
        <f>-1-Cianoguanidina (diciandiamida)</f>
        <v>#NAME?</v>
      </c>
    </row>
    <row r="9085" spans="1:2" x14ac:dyDescent="0.25">
      <c r="A9085">
        <v>292630</v>
      </c>
      <c r="B9085" t="s">
        <v>3506</v>
      </c>
    </row>
    <row r="9086" spans="1:2" x14ac:dyDescent="0.25">
      <c r="A9086">
        <v>2926301</v>
      </c>
      <c r="B9086" t="s">
        <v>3507</v>
      </c>
    </row>
    <row r="9087" spans="1:2" x14ac:dyDescent="0.25">
      <c r="A9087">
        <v>29263011000</v>
      </c>
      <c r="B9087" t="s">
        <v>3508</v>
      </c>
    </row>
    <row r="9088" spans="1:2" x14ac:dyDescent="0.25">
      <c r="A9088">
        <v>29263012000</v>
      </c>
      <c r="B9088" t="s">
        <v>2195</v>
      </c>
    </row>
    <row r="9089" spans="1:2" x14ac:dyDescent="0.25">
      <c r="A9089">
        <v>29263020000</v>
      </c>
      <c r="B9089" t="s">
        <v>3509</v>
      </c>
    </row>
    <row r="9090" spans="1:2" x14ac:dyDescent="0.25">
      <c r="A9090">
        <v>29264000</v>
      </c>
      <c r="B9090" t="e">
        <f>- alfa-Fenilacetoacetonitrilo</f>
        <v>#NAME?</v>
      </c>
    </row>
    <row r="9091" spans="1:2" x14ac:dyDescent="0.25">
      <c r="A9091">
        <v>29264000100</v>
      </c>
      <c r="B9091" t="s">
        <v>1131</v>
      </c>
    </row>
    <row r="9092" spans="1:2" x14ac:dyDescent="0.25">
      <c r="A9092">
        <v>29264000900</v>
      </c>
      <c r="B9092" t="s">
        <v>10</v>
      </c>
    </row>
    <row r="9093" spans="1:2" x14ac:dyDescent="0.25">
      <c r="A9093">
        <v>292690</v>
      </c>
      <c r="B9093" t="e">
        <f>- Los demas</f>
        <v>#NAME?</v>
      </c>
    </row>
    <row r="9094" spans="1:2" x14ac:dyDescent="0.25">
      <c r="A9094">
        <v>2926901</v>
      </c>
      <c r="B9094" t="s">
        <v>3510</v>
      </c>
    </row>
    <row r="9095" spans="1:2" x14ac:dyDescent="0.25">
      <c r="A9095">
        <v>29269011000</v>
      </c>
      <c r="B9095" t="s">
        <v>3511</v>
      </c>
    </row>
    <row r="9096" spans="1:2" x14ac:dyDescent="0.25">
      <c r="A9096">
        <v>29269012000</v>
      </c>
      <c r="B9096" t="s">
        <v>3321</v>
      </c>
    </row>
    <row r="9097" spans="1:2" x14ac:dyDescent="0.25">
      <c r="A9097">
        <v>29269019000</v>
      </c>
      <c r="B9097" t="s">
        <v>57</v>
      </c>
    </row>
    <row r="9098" spans="1:2" x14ac:dyDescent="0.25">
      <c r="A9098">
        <v>2926902</v>
      </c>
      <c r="B9098" t="s">
        <v>3512</v>
      </c>
    </row>
    <row r="9099" spans="1:2" x14ac:dyDescent="0.25">
      <c r="A9099">
        <v>29269021000</v>
      </c>
      <c r="B9099" t="s">
        <v>3513</v>
      </c>
    </row>
    <row r="9100" spans="1:2" x14ac:dyDescent="0.25">
      <c r="A9100">
        <v>29269022000</v>
      </c>
      <c r="B9100" t="s">
        <v>3514</v>
      </c>
    </row>
    <row r="9101" spans="1:2" x14ac:dyDescent="0.25">
      <c r="A9101">
        <v>29269023000</v>
      </c>
      <c r="B9101" t="s">
        <v>3515</v>
      </c>
    </row>
    <row r="9102" spans="1:2" x14ac:dyDescent="0.25">
      <c r="A9102">
        <v>29269024000</v>
      </c>
      <c r="B9102" t="s">
        <v>3516</v>
      </c>
    </row>
    <row r="9103" spans="1:2" x14ac:dyDescent="0.25">
      <c r="A9103">
        <v>29269025000</v>
      </c>
      <c r="B9103" t="s">
        <v>3517</v>
      </c>
    </row>
    <row r="9104" spans="1:2" x14ac:dyDescent="0.25">
      <c r="A9104">
        <v>29269026000</v>
      </c>
      <c r="B9104" t="s">
        <v>3518</v>
      </c>
    </row>
    <row r="9105" spans="1:2" x14ac:dyDescent="0.25">
      <c r="A9105">
        <v>29269029</v>
      </c>
      <c r="B9105" t="s">
        <v>10</v>
      </c>
    </row>
    <row r="9106" spans="1:2" x14ac:dyDescent="0.25">
      <c r="A9106">
        <v>292690291</v>
      </c>
      <c r="B9106" t="s">
        <v>2450</v>
      </c>
    </row>
    <row r="9107" spans="1:2" x14ac:dyDescent="0.25">
      <c r="A9107">
        <v>29269029110</v>
      </c>
      <c r="B9107" t="s">
        <v>3519</v>
      </c>
    </row>
    <row r="9108" spans="1:2" x14ac:dyDescent="0.25">
      <c r="A9108">
        <v>29269029120</v>
      </c>
      <c r="B9108" t="s">
        <v>3520</v>
      </c>
    </row>
    <row r="9109" spans="1:2" x14ac:dyDescent="0.25">
      <c r="A9109">
        <v>29269029130</v>
      </c>
      <c r="B9109" t="s">
        <v>3521</v>
      </c>
    </row>
    <row r="9110" spans="1:2" x14ac:dyDescent="0.25">
      <c r="A9110">
        <v>29269029140</v>
      </c>
      <c r="B9110" t="s">
        <v>3522</v>
      </c>
    </row>
    <row r="9111" spans="1:2" x14ac:dyDescent="0.25">
      <c r="A9111">
        <v>29269029190</v>
      </c>
      <c r="B9111" t="s">
        <v>10</v>
      </c>
    </row>
    <row r="9112" spans="1:2" x14ac:dyDescent="0.25">
      <c r="A9112">
        <v>29269029900</v>
      </c>
      <c r="B9112" t="s">
        <v>10</v>
      </c>
    </row>
    <row r="9113" spans="1:2" x14ac:dyDescent="0.25">
      <c r="A9113">
        <v>29269030000</v>
      </c>
      <c r="B9113" t="s">
        <v>3523</v>
      </c>
    </row>
    <row r="9114" spans="1:2" x14ac:dyDescent="0.25">
      <c r="A9114">
        <v>2926909</v>
      </c>
      <c r="B9114" t="s">
        <v>10</v>
      </c>
    </row>
    <row r="9115" spans="1:2" x14ac:dyDescent="0.25">
      <c r="A9115">
        <v>29269091000</v>
      </c>
      <c r="B9115" t="s">
        <v>3524</v>
      </c>
    </row>
    <row r="9116" spans="1:2" x14ac:dyDescent="0.25">
      <c r="A9116">
        <v>29269092000</v>
      </c>
      <c r="B9116" t="s">
        <v>3525</v>
      </c>
    </row>
    <row r="9117" spans="1:2" x14ac:dyDescent="0.25">
      <c r="A9117">
        <v>29269093000</v>
      </c>
      <c r="B9117" t="s">
        <v>3526</v>
      </c>
    </row>
    <row r="9118" spans="1:2" x14ac:dyDescent="0.25">
      <c r="A9118">
        <v>29269095000</v>
      </c>
      <c r="B9118" t="s">
        <v>3527</v>
      </c>
    </row>
    <row r="9119" spans="1:2" x14ac:dyDescent="0.25">
      <c r="A9119">
        <v>29269096000</v>
      </c>
      <c r="B9119" t="s">
        <v>3528</v>
      </c>
    </row>
    <row r="9120" spans="1:2" x14ac:dyDescent="0.25">
      <c r="A9120">
        <v>29269099</v>
      </c>
      <c r="B9120" t="s">
        <v>10</v>
      </c>
    </row>
    <row r="9121" spans="1:2" x14ac:dyDescent="0.25">
      <c r="A9121">
        <v>29269099100</v>
      </c>
      <c r="B9121" t="s">
        <v>3529</v>
      </c>
    </row>
    <row r="9122" spans="1:2" x14ac:dyDescent="0.25">
      <c r="A9122">
        <v>29269099200</v>
      </c>
      <c r="B9122" t="s">
        <v>3530</v>
      </c>
    </row>
    <row r="9123" spans="1:2" x14ac:dyDescent="0.25">
      <c r="A9123">
        <v>292690993</v>
      </c>
      <c r="B9123" t="s">
        <v>2450</v>
      </c>
    </row>
    <row r="9124" spans="1:2" x14ac:dyDescent="0.25">
      <c r="A9124">
        <v>29269099310</v>
      </c>
      <c r="B9124" t="s">
        <v>3531</v>
      </c>
    </row>
    <row r="9125" spans="1:2" x14ac:dyDescent="0.25">
      <c r="A9125">
        <v>29269099320</v>
      </c>
      <c r="B9125" t="s">
        <v>3532</v>
      </c>
    </row>
    <row r="9126" spans="1:2" x14ac:dyDescent="0.25">
      <c r="A9126">
        <v>29269099390</v>
      </c>
      <c r="B9126" t="s">
        <v>10</v>
      </c>
    </row>
    <row r="9127" spans="1:2" x14ac:dyDescent="0.25">
      <c r="A9127">
        <v>29269099400</v>
      </c>
      <c r="B9127" t="s">
        <v>3533</v>
      </c>
    </row>
    <row r="9128" spans="1:2" x14ac:dyDescent="0.25">
      <c r="A9128">
        <v>292690995</v>
      </c>
      <c r="B9128" t="s">
        <v>3534</v>
      </c>
    </row>
    <row r="9129" spans="1:2" x14ac:dyDescent="0.25">
      <c r="A9129">
        <v>29269099510</v>
      </c>
      <c r="B9129" t="s">
        <v>3535</v>
      </c>
    </row>
    <row r="9130" spans="1:2" x14ac:dyDescent="0.25">
      <c r="A9130">
        <v>29269099590</v>
      </c>
      <c r="B9130" t="s">
        <v>10</v>
      </c>
    </row>
    <row r="9131" spans="1:2" x14ac:dyDescent="0.25">
      <c r="A9131">
        <v>29269099600</v>
      </c>
      <c r="B9131" t="s">
        <v>2740</v>
      </c>
    </row>
    <row r="9132" spans="1:2" x14ac:dyDescent="0.25">
      <c r="A9132">
        <v>29269099800</v>
      </c>
      <c r="B9132" t="s">
        <v>1157</v>
      </c>
    </row>
    <row r="9133" spans="1:2" x14ac:dyDescent="0.25">
      <c r="A9133">
        <v>292690999</v>
      </c>
      <c r="B9133" t="s">
        <v>10</v>
      </c>
    </row>
    <row r="9134" spans="1:2" x14ac:dyDescent="0.25">
      <c r="A9134">
        <v>29269099910</v>
      </c>
      <c r="B9134" t="s">
        <v>3536</v>
      </c>
    </row>
    <row r="9135" spans="1:2" x14ac:dyDescent="0.25">
      <c r="A9135">
        <v>2926909999</v>
      </c>
      <c r="B9135" t="s">
        <v>10</v>
      </c>
    </row>
    <row r="9136" spans="1:2" x14ac:dyDescent="0.25">
      <c r="A9136">
        <v>29269099991</v>
      </c>
      <c r="B9136" t="s">
        <v>3537</v>
      </c>
    </row>
    <row r="9137" spans="1:2" x14ac:dyDescent="0.25">
      <c r="A9137">
        <v>29269099999</v>
      </c>
      <c r="B9137" t="s">
        <v>10</v>
      </c>
    </row>
    <row r="9138" spans="1:2" x14ac:dyDescent="0.25">
      <c r="A9138">
        <v>292700</v>
      </c>
      <c r="B9138" t="s">
        <v>3538</v>
      </c>
    </row>
    <row r="9139" spans="1:2" x14ac:dyDescent="0.25">
      <c r="A9139">
        <v>29270010</v>
      </c>
      <c r="B9139" t="s">
        <v>3539</v>
      </c>
    </row>
    <row r="9140" spans="1:2" x14ac:dyDescent="0.25">
      <c r="A9140">
        <v>29270010100</v>
      </c>
      <c r="B9140" t="s">
        <v>3540</v>
      </c>
    </row>
    <row r="9141" spans="1:2" x14ac:dyDescent="0.25">
      <c r="A9141">
        <v>29270010900</v>
      </c>
      <c r="B9141" t="s">
        <v>10</v>
      </c>
    </row>
    <row r="9142" spans="1:2" x14ac:dyDescent="0.25">
      <c r="A9142">
        <v>2927002</v>
      </c>
      <c r="B9142" t="s">
        <v>3541</v>
      </c>
    </row>
    <row r="9143" spans="1:2" x14ac:dyDescent="0.25">
      <c r="A9143">
        <v>29270021000</v>
      </c>
      <c r="B9143" t="s">
        <v>3542</v>
      </c>
    </row>
    <row r="9144" spans="1:2" x14ac:dyDescent="0.25">
      <c r="A9144">
        <v>29270029000</v>
      </c>
      <c r="B9144" t="s">
        <v>10</v>
      </c>
    </row>
    <row r="9145" spans="1:2" x14ac:dyDescent="0.25">
      <c r="A9145">
        <v>29270030000</v>
      </c>
      <c r="B9145" t="s">
        <v>3543</v>
      </c>
    </row>
    <row r="9146" spans="1:2" x14ac:dyDescent="0.25">
      <c r="A9146">
        <v>292800</v>
      </c>
      <c r="B9146" t="s">
        <v>3544</v>
      </c>
    </row>
    <row r="9147" spans="1:2" x14ac:dyDescent="0.25">
      <c r="A9147">
        <v>2928001</v>
      </c>
      <c r="B9147" t="s">
        <v>3545</v>
      </c>
    </row>
    <row r="9148" spans="1:2" x14ac:dyDescent="0.25">
      <c r="A9148">
        <v>29280011000</v>
      </c>
      <c r="B9148" t="s">
        <v>3546</v>
      </c>
    </row>
    <row r="9149" spans="1:2" x14ac:dyDescent="0.25">
      <c r="A9149">
        <v>29280019000</v>
      </c>
      <c r="B9149" t="s">
        <v>10</v>
      </c>
    </row>
    <row r="9150" spans="1:2" x14ac:dyDescent="0.25">
      <c r="A9150">
        <v>29280020000</v>
      </c>
      <c r="B9150" t="s">
        <v>3547</v>
      </c>
    </row>
    <row r="9151" spans="1:2" x14ac:dyDescent="0.25">
      <c r="A9151">
        <v>29280030000</v>
      </c>
      <c r="B9151" t="s">
        <v>3548</v>
      </c>
    </row>
    <row r="9152" spans="1:2" x14ac:dyDescent="0.25">
      <c r="A9152">
        <v>2928004</v>
      </c>
      <c r="B9152" t="s">
        <v>3549</v>
      </c>
    </row>
    <row r="9153" spans="1:2" x14ac:dyDescent="0.25">
      <c r="A9153">
        <v>29280041000</v>
      </c>
      <c r="B9153" t="s">
        <v>3550</v>
      </c>
    </row>
    <row r="9154" spans="1:2" x14ac:dyDescent="0.25">
      <c r="A9154">
        <v>29280042000</v>
      </c>
      <c r="B9154" t="s">
        <v>3551</v>
      </c>
    </row>
    <row r="9155" spans="1:2" x14ac:dyDescent="0.25">
      <c r="A9155">
        <v>29280090</v>
      </c>
      <c r="B9155" t="s">
        <v>10</v>
      </c>
    </row>
    <row r="9156" spans="1:2" x14ac:dyDescent="0.25">
      <c r="A9156">
        <v>292800901</v>
      </c>
      <c r="B9156" t="s">
        <v>2450</v>
      </c>
    </row>
    <row r="9157" spans="1:2" x14ac:dyDescent="0.25">
      <c r="A9157">
        <v>29280090110</v>
      </c>
      <c r="B9157" t="s">
        <v>3552</v>
      </c>
    </row>
    <row r="9158" spans="1:2" x14ac:dyDescent="0.25">
      <c r="A9158">
        <v>29280090190</v>
      </c>
      <c r="B9158" t="s">
        <v>10</v>
      </c>
    </row>
    <row r="9159" spans="1:2" x14ac:dyDescent="0.25">
      <c r="A9159">
        <v>29280090300</v>
      </c>
      <c r="B9159" t="s">
        <v>2740</v>
      </c>
    </row>
    <row r="9160" spans="1:2" x14ac:dyDescent="0.25">
      <c r="A9160">
        <v>29280090400</v>
      </c>
      <c r="B9160" t="s">
        <v>3553</v>
      </c>
    </row>
    <row r="9161" spans="1:2" x14ac:dyDescent="0.25">
      <c r="A9161">
        <v>292800905</v>
      </c>
      <c r="B9161" t="s">
        <v>3554</v>
      </c>
    </row>
    <row r="9162" spans="1:2" x14ac:dyDescent="0.25">
      <c r="A9162">
        <v>29280090510</v>
      </c>
      <c r="B9162" t="s">
        <v>3555</v>
      </c>
    </row>
    <row r="9163" spans="1:2" x14ac:dyDescent="0.25">
      <c r="A9163">
        <v>29280090520</v>
      </c>
      <c r="B9163" t="s">
        <v>3556</v>
      </c>
    </row>
    <row r="9164" spans="1:2" x14ac:dyDescent="0.25">
      <c r="A9164">
        <v>29280090600</v>
      </c>
      <c r="B9164" t="s">
        <v>3283</v>
      </c>
    </row>
    <row r="9165" spans="1:2" x14ac:dyDescent="0.25">
      <c r="A9165">
        <v>29280090900</v>
      </c>
      <c r="B9165" t="s">
        <v>10</v>
      </c>
    </row>
    <row r="9166" spans="1:2" x14ac:dyDescent="0.25">
      <c r="A9166">
        <v>2929</v>
      </c>
      <c r="B9166" t="s">
        <v>3557</v>
      </c>
    </row>
    <row r="9167" spans="1:2" x14ac:dyDescent="0.25">
      <c r="A9167">
        <v>292910</v>
      </c>
      <c r="B9167" t="e">
        <f>- Isocianatos</f>
        <v>#NAME?</v>
      </c>
    </row>
    <row r="9168" spans="1:2" x14ac:dyDescent="0.25">
      <c r="A9168">
        <v>29291010000</v>
      </c>
      <c r="B9168" t="s">
        <v>3558</v>
      </c>
    </row>
    <row r="9169" spans="1:2" x14ac:dyDescent="0.25">
      <c r="A9169">
        <v>2929102</v>
      </c>
      <c r="B9169" t="s">
        <v>3559</v>
      </c>
    </row>
    <row r="9170" spans="1:2" x14ac:dyDescent="0.25">
      <c r="A9170">
        <v>29291021</v>
      </c>
      <c r="B9170" t="s">
        <v>3560</v>
      </c>
    </row>
    <row r="9171" spans="1:2" x14ac:dyDescent="0.25">
      <c r="A9171">
        <v>29291021200</v>
      </c>
      <c r="B9171" t="s">
        <v>3561</v>
      </c>
    </row>
    <row r="9172" spans="1:2" x14ac:dyDescent="0.25">
      <c r="A9172">
        <v>29291021900</v>
      </c>
      <c r="B9172" t="s">
        <v>10</v>
      </c>
    </row>
    <row r="9173" spans="1:2" x14ac:dyDescent="0.25">
      <c r="A9173">
        <v>29291029000</v>
      </c>
      <c r="B9173" t="s">
        <v>10</v>
      </c>
    </row>
    <row r="9174" spans="1:2" x14ac:dyDescent="0.25">
      <c r="A9174">
        <v>29291030000</v>
      </c>
      <c r="B9174" t="s">
        <v>3562</v>
      </c>
    </row>
    <row r="9175" spans="1:2" x14ac:dyDescent="0.25">
      <c r="A9175">
        <v>29291090000</v>
      </c>
      <c r="B9175" t="s">
        <v>10</v>
      </c>
    </row>
    <row r="9176" spans="1:2" x14ac:dyDescent="0.25">
      <c r="A9176">
        <v>292990</v>
      </c>
      <c r="B9176" t="e">
        <f>- Los demas</f>
        <v>#NAME?</v>
      </c>
    </row>
    <row r="9177" spans="1:2" x14ac:dyDescent="0.25">
      <c r="A9177">
        <v>2929901</v>
      </c>
      <c r="B9177" t="s">
        <v>3563</v>
      </c>
    </row>
    <row r="9178" spans="1:2" x14ac:dyDescent="0.25">
      <c r="A9178">
        <v>29299011000</v>
      </c>
      <c r="B9178" t="s">
        <v>2151</v>
      </c>
    </row>
    <row r="9179" spans="1:2" x14ac:dyDescent="0.25">
      <c r="A9179">
        <v>29299012000</v>
      </c>
      <c r="B9179" t="s">
        <v>2251</v>
      </c>
    </row>
    <row r="9180" spans="1:2" x14ac:dyDescent="0.25">
      <c r="A9180">
        <v>29299019000</v>
      </c>
      <c r="B9180" t="s">
        <v>10</v>
      </c>
    </row>
    <row r="9181" spans="1:2" x14ac:dyDescent="0.25">
      <c r="A9181">
        <v>2929902</v>
      </c>
      <c r="B9181" t="s">
        <v>3564</v>
      </c>
    </row>
    <row r="9182" spans="1:2" x14ac:dyDescent="0.25">
      <c r="A9182">
        <v>29299021</v>
      </c>
      <c r="B9182" t="s">
        <v>3565</v>
      </c>
    </row>
    <row r="9183" spans="1:2" x14ac:dyDescent="0.25">
      <c r="A9183">
        <v>29299021100</v>
      </c>
      <c r="B9183" t="s">
        <v>3566</v>
      </c>
    </row>
    <row r="9184" spans="1:2" x14ac:dyDescent="0.25">
      <c r="A9184">
        <v>29299021900</v>
      </c>
      <c r="B9184" t="s">
        <v>10</v>
      </c>
    </row>
    <row r="9185" spans="1:2" x14ac:dyDescent="0.25">
      <c r="A9185">
        <v>29299022</v>
      </c>
      <c r="B9185" t="s">
        <v>3567</v>
      </c>
    </row>
    <row r="9186" spans="1:2" x14ac:dyDescent="0.25">
      <c r="A9186">
        <v>29299022100</v>
      </c>
      <c r="B9186" t="s">
        <v>3568</v>
      </c>
    </row>
    <row r="9187" spans="1:2" x14ac:dyDescent="0.25">
      <c r="A9187">
        <v>29299022900</v>
      </c>
      <c r="B9187" t="s">
        <v>10</v>
      </c>
    </row>
    <row r="9188" spans="1:2" x14ac:dyDescent="0.25">
      <c r="A9188">
        <v>29299029000</v>
      </c>
      <c r="B9188" t="s">
        <v>10</v>
      </c>
    </row>
    <row r="9189" spans="1:2" x14ac:dyDescent="0.25">
      <c r="A9189">
        <v>29299090</v>
      </c>
      <c r="B9189" t="s">
        <v>10</v>
      </c>
    </row>
    <row r="9190" spans="1:2" x14ac:dyDescent="0.25">
      <c r="A9190">
        <v>292990901</v>
      </c>
      <c r="B9190" t="s">
        <v>3569</v>
      </c>
    </row>
    <row r="9191" spans="1:2" x14ac:dyDescent="0.25">
      <c r="A9191">
        <v>29299090110</v>
      </c>
      <c r="B9191" t="s">
        <v>3570</v>
      </c>
    </row>
    <row r="9192" spans="1:2" x14ac:dyDescent="0.25">
      <c r="A9192">
        <v>29299090120</v>
      </c>
      <c r="B9192" t="s">
        <v>3571</v>
      </c>
    </row>
    <row r="9193" spans="1:2" x14ac:dyDescent="0.25">
      <c r="A9193">
        <v>29299090130</v>
      </c>
      <c r="B9193" t="s">
        <v>3572</v>
      </c>
    </row>
    <row r="9194" spans="1:2" x14ac:dyDescent="0.25">
      <c r="A9194">
        <v>29299090200</v>
      </c>
      <c r="B9194" t="s">
        <v>3573</v>
      </c>
    </row>
    <row r="9195" spans="1:2" x14ac:dyDescent="0.25">
      <c r="A9195">
        <v>29299090900</v>
      </c>
      <c r="B9195" t="s">
        <v>10</v>
      </c>
    </row>
    <row r="9196" spans="1:2" x14ac:dyDescent="0.25">
      <c r="A9196">
        <v>2930</v>
      </c>
      <c r="B9196" t="s">
        <v>3574</v>
      </c>
    </row>
    <row r="9197" spans="1:2" x14ac:dyDescent="0.25">
      <c r="A9197">
        <v>293020</v>
      </c>
      <c r="B9197" t="e">
        <f>- Tiocarbamatos y ditiocarbamatos</f>
        <v>#NAME?</v>
      </c>
    </row>
    <row r="9198" spans="1:2" x14ac:dyDescent="0.25">
      <c r="A9198">
        <v>2930201</v>
      </c>
      <c r="B9198" t="s">
        <v>3575</v>
      </c>
    </row>
    <row r="9199" spans="1:2" x14ac:dyDescent="0.25">
      <c r="A9199">
        <v>29302011000</v>
      </c>
      <c r="B9199" t="s">
        <v>3576</v>
      </c>
    </row>
    <row r="9200" spans="1:2" x14ac:dyDescent="0.25">
      <c r="A9200">
        <v>29302012000</v>
      </c>
      <c r="B9200" t="s">
        <v>3577</v>
      </c>
    </row>
    <row r="9201" spans="1:2" x14ac:dyDescent="0.25">
      <c r="A9201">
        <v>29302013000</v>
      </c>
      <c r="B9201" t="s">
        <v>3578</v>
      </c>
    </row>
    <row r="9202" spans="1:2" x14ac:dyDescent="0.25">
      <c r="A9202">
        <v>29302019</v>
      </c>
      <c r="B9202" t="s">
        <v>10</v>
      </c>
    </row>
    <row r="9203" spans="1:2" x14ac:dyDescent="0.25">
      <c r="A9203">
        <v>293020191</v>
      </c>
      <c r="B9203" t="s">
        <v>2450</v>
      </c>
    </row>
    <row r="9204" spans="1:2" x14ac:dyDescent="0.25">
      <c r="A9204">
        <v>29302019110</v>
      </c>
      <c r="B9204" t="s">
        <v>3579</v>
      </c>
    </row>
    <row r="9205" spans="1:2" x14ac:dyDescent="0.25">
      <c r="A9205">
        <v>29302019120</v>
      </c>
      <c r="B9205" t="s">
        <v>3580</v>
      </c>
    </row>
    <row r="9206" spans="1:2" x14ac:dyDescent="0.25">
      <c r="A9206">
        <v>29302019130</v>
      </c>
      <c r="B9206" t="s">
        <v>3581</v>
      </c>
    </row>
    <row r="9207" spans="1:2" x14ac:dyDescent="0.25">
      <c r="A9207">
        <v>29302019190</v>
      </c>
      <c r="B9207" t="s">
        <v>10</v>
      </c>
    </row>
    <row r="9208" spans="1:2" x14ac:dyDescent="0.25">
      <c r="A9208">
        <v>29302019900</v>
      </c>
      <c r="B9208" t="s">
        <v>10</v>
      </c>
    </row>
    <row r="9209" spans="1:2" x14ac:dyDescent="0.25">
      <c r="A9209">
        <v>2930202</v>
      </c>
      <c r="B9209" t="s">
        <v>3582</v>
      </c>
    </row>
    <row r="9210" spans="1:2" x14ac:dyDescent="0.25">
      <c r="A9210">
        <v>29302021</v>
      </c>
      <c r="B9210" t="s">
        <v>3583</v>
      </c>
    </row>
    <row r="9211" spans="1:2" x14ac:dyDescent="0.25">
      <c r="A9211">
        <v>29302021100</v>
      </c>
      <c r="B9211" t="s">
        <v>3584</v>
      </c>
    </row>
    <row r="9212" spans="1:2" x14ac:dyDescent="0.25">
      <c r="A9212">
        <v>29302021200</v>
      </c>
      <c r="B9212" t="s">
        <v>3585</v>
      </c>
    </row>
    <row r="9213" spans="1:2" x14ac:dyDescent="0.25">
      <c r="A9213">
        <v>29302022000</v>
      </c>
      <c r="B9213" t="s">
        <v>3586</v>
      </c>
    </row>
    <row r="9214" spans="1:2" x14ac:dyDescent="0.25">
      <c r="A9214">
        <v>29302023000</v>
      </c>
      <c r="B9214" t="s">
        <v>3587</v>
      </c>
    </row>
    <row r="9215" spans="1:2" x14ac:dyDescent="0.25">
      <c r="A9215">
        <v>29302024000</v>
      </c>
      <c r="B9215" t="s">
        <v>3588</v>
      </c>
    </row>
    <row r="9216" spans="1:2" x14ac:dyDescent="0.25">
      <c r="A9216">
        <v>29302029</v>
      </c>
      <c r="B9216" t="s">
        <v>10</v>
      </c>
    </row>
    <row r="9217" spans="1:2" x14ac:dyDescent="0.25">
      <c r="A9217">
        <v>293020291</v>
      </c>
      <c r="B9217" t="s">
        <v>2450</v>
      </c>
    </row>
    <row r="9218" spans="1:2" x14ac:dyDescent="0.25">
      <c r="A9218">
        <v>29302029110</v>
      </c>
      <c r="B9218" t="s">
        <v>3589</v>
      </c>
    </row>
    <row r="9219" spans="1:2" x14ac:dyDescent="0.25">
      <c r="A9219">
        <v>29302029190</v>
      </c>
      <c r="B9219" t="s">
        <v>10</v>
      </c>
    </row>
    <row r="9220" spans="1:2" x14ac:dyDescent="0.25">
      <c r="A9220">
        <v>29302029900</v>
      </c>
      <c r="B9220" t="s">
        <v>10</v>
      </c>
    </row>
    <row r="9221" spans="1:2" x14ac:dyDescent="0.25">
      <c r="A9221">
        <v>293030</v>
      </c>
      <c r="B9221" t="s">
        <v>3590</v>
      </c>
    </row>
    <row r="9222" spans="1:2" x14ac:dyDescent="0.25">
      <c r="A9222">
        <v>2930301</v>
      </c>
      <c r="B9222" t="s">
        <v>3591</v>
      </c>
    </row>
    <row r="9223" spans="1:2" x14ac:dyDescent="0.25">
      <c r="A9223">
        <v>29303011000</v>
      </c>
      <c r="B9223" t="s">
        <v>3592</v>
      </c>
    </row>
    <row r="9224" spans="1:2" x14ac:dyDescent="0.25">
      <c r="A9224">
        <v>29303012000</v>
      </c>
      <c r="B9224" t="s">
        <v>3593</v>
      </c>
    </row>
    <row r="9225" spans="1:2" x14ac:dyDescent="0.25">
      <c r="A9225">
        <v>29303019000</v>
      </c>
      <c r="B9225" t="s">
        <v>10</v>
      </c>
    </row>
    <row r="9226" spans="1:2" x14ac:dyDescent="0.25">
      <c r="A9226">
        <v>2930302</v>
      </c>
      <c r="B9226" t="s">
        <v>3594</v>
      </c>
    </row>
    <row r="9227" spans="1:2" x14ac:dyDescent="0.25">
      <c r="A9227">
        <v>29303021000</v>
      </c>
      <c r="B9227" t="s">
        <v>3595</v>
      </c>
    </row>
    <row r="9228" spans="1:2" x14ac:dyDescent="0.25">
      <c r="A9228">
        <v>29303022000</v>
      </c>
      <c r="B9228" t="s">
        <v>3596</v>
      </c>
    </row>
    <row r="9229" spans="1:2" x14ac:dyDescent="0.25">
      <c r="A9229">
        <v>29303029000</v>
      </c>
      <c r="B9229" t="s">
        <v>10</v>
      </c>
    </row>
    <row r="9230" spans="1:2" x14ac:dyDescent="0.25">
      <c r="A9230">
        <v>29303090000</v>
      </c>
      <c r="B9230" t="s">
        <v>10</v>
      </c>
    </row>
    <row r="9231" spans="1:2" x14ac:dyDescent="0.25">
      <c r="A9231">
        <v>293040</v>
      </c>
      <c r="B9231" t="e">
        <f>- Metionina</f>
        <v>#NAME?</v>
      </c>
    </row>
    <row r="9232" spans="1:2" x14ac:dyDescent="0.25">
      <c r="A9232">
        <v>29304010000</v>
      </c>
      <c r="B9232" t="s">
        <v>3597</v>
      </c>
    </row>
    <row r="9233" spans="1:2" x14ac:dyDescent="0.25">
      <c r="A9233">
        <v>29304090000</v>
      </c>
      <c r="B9233" t="s">
        <v>57</v>
      </c>
    </row>
    <row r="9234" spans="1:2" x14ac:dyDescent="0.25">
      <c r="A9234">
        <v>29306000000</v>
      </c>
      <c r="B9234" t="s">
        <v>3598</v>
      </c>
    </row>
    <row r="9235" spans="1:2" x14ac:dyDescent="0.25">
      <c r="A9235">
        <v>29307000000</v>
      </c>
      <c r="B9235" t="e">
        <f ca="1">-Sulfuro de bis(2-hidroxietilo) (tiodiglicol (DCI))</f>
        <v>#NAME?</v>
      </c>
    </row>
    <row r="9236" spans="1:2" x14ac:dyDescent="0.25">
      <c r="A9236">
        <v>293080</v>
      </c>
      <c r="B9236" t="s">
        <v>3599</v>
      </c>
    </row>
    <row r="9237" spans="1:2" x14ac:dyDescent="0.25">
      <c r="A9237">
        <v>29308010000</v>
      </c>
      <c r="B9237" t="s">
        <v>3600</v>
      </c>
    </row>
    <row r="9238" spans="1:2" x14ac:dyDescent="0.25">
      <c r="A9238">
        <v>29308020000</v>
      </c>
      <c r="B9238" t="s">
        <v>3601</v>
      </c>
    </row>
    <row r="9239" spans="1:2" x14ac:dyDescent="0.25">
      <c r="A9239">
        <v>29308030000</v>
      </c>
      <c r="B9239" t="s">
        <v>3602</v>
      </c>
    </row>
    <row r="9240" spans="1:2" x14ac:dyDescent="0.25">
      <c r="A9240">
        <v>293090</v>
      </c>
      <c r="B9240" t="e">
        <f>- Los demas</f>
        <v>#NAME?</v>
      </c>
    </row>
    <row r="9241" spans="1:2" x14ac:dyDescent="0.25">
      <c r="A9241">
        <v>2930901</v>
      </c>
      <c r="B9241" t="s">
        <v>3603</v>
      </c>
    </row>
    <row r="9242" spans="1:2" x14ac:dyDescent="0.25">
      <c r="A9242">
        <v>29309011000</v>
      </c>
      <c r="B9242" t="s">
        <v>3604</v>
      </c>
    </row>
    <row r="9243" spans="1:2" x14ac:dyDescent="0.25">
      <c r="A9243">
        <v>29309012000</v>
      </c>
      <c r="B9243" t="s">
        <v>3605</v>
      </c>
    </row>
    <row r="9244" spans="1:2" x14ac:dyDescent="0.25">
      <c r="A9244">
        <v>29309013</v>
      </c>
      <c r="B9244" t="s">
        <v>3606</v>
      </c>
    </row>
    <row r="9245" spans="1:2" x14ac:dyDescent="0.25">
      <c r="A9245">
        <v>29309013100</v>
      </c>
      <c r="B9245" t="s">
        <v>3607</v>
      </c>
    </row>
    <row r="9246" spans="1:2" x14ac:dyDescent="0.25">
      <c r="A9246">
        <v>29309013300</v>
      </c>
      <c r="B9246" t="s">
        <v>3608</v>
      </c>
    </row>
    <row r="9247" spans="1:2" x14ac:dyDescent="0.25">
      <c r="A9247">
        <v>29309013900</v>
      </c>
      <c r="B9247" t="s">
        <v>10</v>
      </c>
    </row>
    <row r="9248" spans="1:2" x14ac:dyDescent="0.25">
      <c r="A9248">
        <v>29309019000</v>
      </c>
      <c r="B9248" t="s">
        <v>10</v>
      </c>
    </row>
    <row r="9249" spans="1:2" x14ac:dyDescent="0.25">
      <c r="A9249">
        <v>2930902</v>
      </c>
      <c r="B9249" t="s">
        <v>3609</v>
      </c>
    </row>
    <row r="9250" spans="1:2" x14ac:dyDescent="0.25">
      <c r="A9250">
        <v>29309021000</v>
      </c>
      <c r="B9250" t="s">
        <v>3610</v>
      </c>
    </row>
    <row r="9251" spans="1:2" x14ac:dyDescent="0.25">
      <c r="A9251">
        <v>29309022000</v>
      </c>
      <c r="B9251" t="s">
        <v>3611</v>
      </c>
    </row>
    <row r="9252" spans="1:2" x14ac:dyDescent="0.25">
      <c r="A9252">
        <v>29309023000</v>
      </c>
      <c r="B9252" t="s">
        <v>3612</v>
      </c>
    </row>
    <row r="9253" spans="1:2" x14ac:dyDescent="0.25">
      <c r="A9253">
        <v>29309029</v>
      </c>
      <c r="B9253" t="s">
        <v>10</v>
      </c>
    </row>
    <row r="9254" spans="1:2" x14ac:dyDescent="0.25">
      <c r="A9254">
        <v>29309029100</v>
      </c>
      <c r="B9254" t="s">
        <v>3613</v>
      </c>
    </row>
    <row r="9255" spans="1:2" x14ac:dyDescent="0.25">
      <c r="A9255">
        <v>29309029900</v>
      </c>
      <c r="B9255" t="s">
        <v>10</v>
      </c>
    </row>
    <row r="9256" spans="1:2" x14ac:dyDescent="0.25">
      <c r="A9256">
        <v>2930903</v>
      </c>
      <c r="B9256" t="s">
        <v>3614</v>
      </c>
    </row>
    <row r="9257" spans="1:2" x14ac:dyDescent="0.25">
      <c r="A9257">
        <v>29309031000</v>
      </c>
      <c r="B9257" t="s">
        <v>3615</v>
      </c>
    </row>
    <row r="9258" spans="1:2" x14ac:dyDescent="0.25">
      <c r="A9258">
        <v>29309032000</v>
      </c>
      <c r="B9258" t="s">
        <v>3616</v>
      </c>
    </row>
    <row r="9259" spans="1:2" x14ac:dyDescent="0.25">
      <c r="A9259">
        <v>29309033000</v>
      </c>
      <c r="B9259" t="s">
        <v>3617</v>
      </c>
    </row>
    <row r="9260" spans="1:2" x14ac:dyDescent="0.25">
      <c r="A9260">
        <v>29309034</v>
      </c>
      <c r="B9260" t="s">
        <v>3618</v>
      </c>
    </row>
    <row r="9261" spans="1:2" x14ac:dyDescent="0.25">
      <c r="A9261">
        <v>29309034100</v>
      </c>
      <c r="B9261" t="s">
        <v>3619</v>
      </c>
    </row>
    <row r="9262" spans="1:2" x14ac:dyDescent="0.25">
      <c r="A9262">
        <v>29309034200</v>
      </c>
      <c r="B9262" t="s">
        <v>3620</v>
      </c>
    </row>
    <row r="9263" spans="1:2" x14ac:dyDescent="0.25">
      <c r="A9263">
        <v>29309035000</v>
      </c>
      <c r="B9263" t="s">
        <v>3621</v>
      </c>
    </row>
    <row r="9264" spans="1:2" x14ac:dyDescent="0.25">
      <c r="A9264">
        <v>29309036000</v>
      </c>
      <c r="B9264" t="s">
        <v>3622</v>
      </c>
    </row>
    <row r="9265" spans="1:2" x14ac:dyDescent="0.25">
      <c r="A9265">
        <v>29309037000</v>
      </c>
      <c r="B9265" t="s">
        <v>3623</v>
      </c>
    </row>
    <row r="9266" spans="1:2" x14ac:dyDescent="0.25">
      <c r="A9266">
        <v>29309039</v>
      </c>
      <c r="B9266" t="s">
        <v>10</v>
      </c>
    </row>
    <row r="9267" spans="1:2" x14ac:dyDescent="0.25">
      <c r="A9267">
        <v>293090391</v>
      </c>
      <c r="B9267" t="s">
        <v>2450</v>
      </c>
    </row>
    <row r="9268" spans="1:2" x14ac:dyDescent="0.25">
      <c r="A9268">
        <v>29309039110</v>
      </c>
      <c r="B9268" t="s">
        <v>3624</v>
      </c>
    </row>
    <row r="9269" spans="1:2" x14ac:dyDescent="0.25">
      <c r="A9269">
        <v>29309039120</v>
      </c>
      <c r="B9269" t="s">
        <v>3625</v>
      </c>
    </row>
    <row r="9270" spans="1:2" x14ac:dyDescent="0.25">
      <c r="A9270">
        <v>29309039130</v>
      </c>
      <c r="B9270" t="s">
        <v>3626</v>
      </c>
    </row>
    <row r="9271" spans="1:2" x14ac:dyDescent="0.25">
      <c r="A9271">
        <v>29309039140</v>
      </c>
      <c r="B9271" t="s">
        <v>3627</v>
      </c>
    </row>
    <row r="9272" spans="1:2" x14ac:dyDescent="0.25">
      <c r="A9272">
        <v>29309039150</v>
      </c>
      <c r="B9272" t="s">
        <v>3628</v>
      </c>
    </row>
    <row r="9273" spans="1:2" x14ac:dyDescent="0.25">
      <c r="A9273">
        <v>29309039160</v>
      </c>
      <c r="B9273" t="s">
        <v>3629</v>
      </c>
    </row>
    <row r="9274" spans="1:2" x14ac:dyDescent="0.25">
      <c r="A9274">
        <v>29309039170</v>
      </c>
      <c r="B9274" t="s">
        <v>3630</v>
      </c>
    </row>
    <row r="9275" spans="1:2" x14ac:dyDescent="0.25">
      <c r="A9275">
        <v>29309039190</v>
      </c>
      <c r="B9275" t="s">
        <v>10</v>
      </c>
    </row>
    <row r="9276" spans="1:2" x14ac:dyDescent="0.25">
      <c r="A9276">
        <v>293090392</v>
      </c>
      <c r="B9276" t="s">
        <v>2740</v>
      </c>
    </row>
    <row r="9277" spans="1:2" x14ac:dyDescent="0.25">
      <c r="A9277">
        <v>29309039210</v>
      </c>
      <c r="B9277" t="s">
        <v>3336</v>
      </c>
    </row>
    <row r="9278" spans="1:2" x14ac:dyDescent="0.25">
      <c r="A9278">
        <v>29309039290</v>
      </c>
      <c r="B9278" t="s">
        <v>3337</v>
      </c>
    </row>
    <row r="9279" spans="1:2" x14ac:dyDescent="0.25">
      <c r="A9279">
        <v>29309039300</v>
      </c>
      <c r="B9279" t="s">
        <v>3631</v>
      </c>
    </row>
    <row r="9280" spans="1:2" x14ac:dyDescent="0.25">
      <c r="A9280">
        <v>29309039400</v>
      </c>
      <c r="B9280" t="s">
        <v>3088</v>
      </c>
    </row>
    <row r="9281" spans="1:2" x14ac:dyDescent="0.25">
      <c r="A9281">
        <v>29309039900</v>
      </c>
      <c r="B9281" t="s">
        <v>10</v>
      </c>
    </row>
    <row r="9282" spans="1:2" x14ac:dyDescent="0.25">
      <c r="A9282">
        <v>2930904</v>
      </c>
      <c r="B9282" t="s">
        <v>3632</v>
      </c>
    </row>
    <row r="9283" spans="1:2" x14ac:dyDescent="0.25">
      <c r="A9283">
        <v>29309041000</v>
      </c>
      <c r="B9283" t="s">
        <v>3633</v>
      </c>
    </row>
    <row r="9284" spans="1:2" x14ac:dyDescent="0.25">
      <c r="A9284">
        <v>29309042000</v>
      </c>
      <c r="B9284" t="s">
        <v>3634</v>
      </c>
    </row>
    <row r="9285" spans="1:2" x14ac:dyDescent="0.25">
      <c r="A9285">
        <v>29309043000</v>
      </c>
      <c r="B9285" t="s">
        <v>3635</v>
      </c>
    </row>
    <row r="9286" spans="1:2" x14ac:dyDescent="0.25">
      <c r="A9286">
        <v>29309049</v>
      </c>
      <c r="B9286" t="s">
        <v>10</v>
      </c>
    </row>
    <row r="9287" spans="1:2" x14ac:dyDescent="0.25">
      <c r="A9287">
        <v>293090491</v>
      </c>
      <c r="B9287" t="s">
        <v>2450</v>
      </c>
    </row>
    <row r="9288" spans="1:2" x14ac:dyDescent="0.25">
      <c r="A9288">
        <v>29309049110</v>
      </c>
      <c r="B9288" t="s">
        <v>3636</v>
      </c>
    </row>
    <row r="9289" spans="1:2" x14ac:dyDescent="0.25">
      <c r="A9289">
        <v>29309049190</v>
      </c>
      <c r="B9289" t="s">
        <v>10</v>
      </c>
    </row>
    <row r="9290" spans="1:2" x14ac:dyDescent="0.25">
      <c r="A9290">
        <v>29309049200</v>
      </c>
      <c r="B9290" t="s">
        <v>3637</v>
      </c>
    </row>
    <row r="9291" spans="1:2" x14ac:dyDescent="0.25">
      <c r="A9291">
        <v>29309049900</v>
      </c>
      <c r="B9291" t="s">
        <v>10</v>
      </c>
    </row>
    <row r="9292" spans="1:2" x14ac:dyDescent="0.25">
      <c r="A9292">
        <v>2930905</v>
      </c>
      <c r="B9292" t="s">
        <v>3638</v>
      </c>
    </row>
    <row r="9293" spans="1:2" x14ac:dyDescent="0.25">
      <c r="A9293">
        <v>29309051000</v>
      </c>
      <c r="B9293" t="s">
        <v>3639</v>
      </c>
    </row>
    <row r="9294" spans="1:2" x14ac:dyDescent="0.25">
      <c r="A9294">
        <v>29309052000</v>
      </c>
      <c r="B9294" t="s">
        <v>3640</v>
      </c>
    </row>
    <row r="9295" spans="1:2" x14ac:dyDescent="0.25">
      <c r="A9295">
        <v>29309053000</v>
      </c>
      <c r="B9295" t="s">
        <v>3641</v>
      </c>
    </row>
    <row r="9296" spans="1:2" x14ac:dyDescent="0.25">
      <c r="A9296">
        <v>29309054000</v>
      </c>
      <c r="B9296" t="s">
        <v>3642</v>
      </c>
    </row>
    <row r="9297" spans="1:2" x14ac:dyDescent="0.25">
      <c r="A9297">
        <v>29309057000</v>
      </c>
      <c r="B9297" t="s">
        <v>3643</v>
      </c>
    </row>
    <row r="9298" spans="1:2" x14ac:dyDescent="0.25">
      <c r="A9298">
        <v>29309059</v>
      </c>
      <c r="B9298" t="s">
        <v>10</v>
      </c>
    </row>
    <row r="9299" spans="1:2" x14ac:dyDescent="0.25">
      <c r="A9299">
        <v>293090591</v>
      </c>
      <c r="B9299" t="s">
        <v>2450</v>
      </c>
    </row>
    <row r="9300" spans="1:2" x14ac:dyDescent="0.25">
      <c r="A9300">
        <v>29309059110</v>
      </c>
      <c r="B9300" t="s">
        <v>3644</v>
      </c>
    </row>
    <row r="9301" spans="1:2" x14ac:dyDescent="0.25">
      <c r="A9301">
        <v>29309059120</v>
      </c>
      <c r="B9301" t="s">
        <v>3645</v>
      </c>
    </row>
    <row r="9302" spans="1:2" x14ac:dyDescent="0.25">
      <c r="A9302">
        <v>29309059130</v>
      </c>
      <c r="B9302" t="s">
        <v>3646</v>
      </c>
    </row>
    <row r="9303" spans="1:2" x14ac:dyDescent="0.25">
      <c r="A9303">
        <v>29309059140</v>
      </c>
      <c r="B9303" t="s">
        <v>3647</v>
      </c>
    </row>
    <row r="9304" spans="1:2" x14ac:dyDescent="0.25">
      <c r="A9304">
        <v>29309059190</v>
      </c>
      <c r="B9304" t="s">
        <v>10</v>
      </c>
    </row>
    <row r="9305" spans="1:2" x14ac:dyDescent="0.25">
      <c r="A9305">
        <v>29309059200</v>
      </c>
      <c r="B9305" t="s">
        <v>3648</v>
      </c>
    </row>
    <row r="9306" spans="1:2" x14ac:dyDescent="0.25">
      <c r="A9306">
        <v>29309059900</v>
      </c>
      <c r="B9306" t="s">
        <v>10</v>
      </c>
    </row>
    <row r="9307" spans="1:2" x14ac:dyDescent="0.25">
      <c r="A9307">
        <v>2930906</v>
      </c>
      <c r="B9307" t="s">
        <v>3649</v>
      </c>
    </row>
    <row r="9308" spans="1:2" x14ac:dyDescent="0.25">
      <c r="A9308">
        <v>29309061000</v>
      </c>
      <c r="B9308" t="s">
        <v>3650</v>
      </c>
    </row>
    <row r="9309" spans="1:2" x14ac:dyDescent="0.25">
      <c r="A9309">
        <v>29309069000</v>
      </c>
      <c r="B9309" t="s">
        <v>10</v>
      </c>
    </row>
    <row r="9310" spans="1:2" x14ac:dyDescent="0.25">
      <c r="A9310">
        <v>2930907</v>
      </c>
      <c r="B9310" t="s">
        <v>3651</v>
      </c>
    </row>
    <row r="9311" spans="1:2" x14ac:dyDescent="0.25">
      <c r="A9311">
        <v>29309071000</v>
      </c>
      <c r="B9311" t="s">
        <v>3652</v>
      </c>
    </row>
    <row r="9312" spans="1:2" x14ac:dyDescent="0.25">
      <c r="A9312">
        <v>29309072000</v>
      </c>
      <c r="B9312" t="s">
        <v>3653</v>
      </c>
    </row>
    <row r="9313" spans="1:2" x14ac:dyDescent="0.25">
      <c r="A9313">
        <v>29309079</v>
      </c>
      <c r="B9313" t="s">
        <v>57</v>
      </c>
    </row>
    <row r="9314" spans="1:2" x14ac:dyDescent="0.25">
      <c r="A9314">
        <v>293090791</v>
      </c>
      <c r="B9314" t="s">
        <v>2450</v>
      </c>
    </row>
    <row r="9315" spans="1:2" x14ac:dyDescent="0.25">
      <c r="A9315">
        <v>29309079110</v>
      </c>
      <c r="B9315" t="s">
        <v>3654</v>
      </c>
    </row>
    <row r="9316" spans="1:2" x14ac:dyDescent="0.25">
      <c r="A9316">
        <v>29309079190</v>
      </c>
      <c r="B9316" t="s">
        <v>10</v>
      </c>
    </row>
    <row r="9317" spans="1:2" x14ac:dyDescent="0.25">
      <c r="A9317">
        <v>29309079900</v>
      </c>
      <c r="B9317" t="s">
        <v>10</v>
      </c>
    </row>
    <row r="9318" spans="1:2" x14ac:dyDescent="0.25">
      <c r="A9318">
        <v>2930908</v>
      </c>
      <c r="B9318" t="s">
        <v>3655</v>
      </c>
    </row>
    <row r="9319" spans="1:2" x14ac:dyDescent="0.25">
      <c r="A9319">
        <v>29309081000</v>
      </c>
      <c r="B9319" t="s">
        <v>3656</v>
      </c>
    </row>
    <row r="9320" spans="1:2" x14ac:dyDescent="0.25">
      <c r="A9320">
        <v>29309082000</v>
      </c>
      <c r="B9320" t="s">
        <v>3657</v>
      </c>
    </row>
    <row r="9321" spans="1:2" x14ac:dyDescent="0.25">
      <c r="A9321">
        <v>29309083000</v>
      </c>
      <c r="B9321" t="s">
        <v>3658</v>
      </c>
    </row>
    <row r="9322" spans="1:2" x14ac:dyDescent="0.25">
      <c r="A9322">
        <v>29309084000</v>
      </c>
      <c r="B9322" t="s">
        <v>3659</v>
      </c>
    </row>
    <row r="9323" spans="1:2" x14ac:dyDescent="0.25">
      <c r="A9323">
        <v>29309085000</v>
      </c>
      <c r="B9323" t="s">
        <v>3660</v>
      </c>
    </row>
    <row r="9324" spans="1:2" x14ac:dyDescent="0.25">
      <c r="A9324">
        <v>29309086000</v>
      </c>
      <c r="B9324" t="s">
        <v>3661</v>
      </c>
    </row>
    <row r="9325" spans="1:2" x14ac:dyDescent="0.25">
      <c r="A9325">
        <v>29309087000</v>
      </c>
      <c r="B9325" t="s">
        <v>3662</v>
      </c>
    </row>
    <row r="9326" spans="1:2" x14ac:dyDescent="0.25">
      <c r="A9326">
        <v>29309088000</v>
      </c>
      <c r="B9326" t="s">
        <v>3663</v>
      </c>
    </row>
    <row r="9327" spans="1:2" x14ac:dyDescent="0.25">
      <c r="A9327">
        <v>29309089000</v>
      </c>
      <c r="B9327" t="s">
        <v>3664</v>
      </c>
    </row>
    <row r="9328" spans="1:2" x14ac:dyDescent="0.25">
      <c r="A9328">
        <v>2930909</v>
      </c>
      <c r="B9328" t="s">
        <v>10</v>
      </c>
    </row>
    <row r="9329" spans="1:2" x14ac:dyDescent="0.25">
      <c r="A9329">
        <v>29309091000</v>
      </c>
      <c r="B9329" t="s">
        <v>3665</v>
      </c>
    </row>
    <row r="9330" spans="1:2" x14ac:dyDescent="0.25">
      <c r="A9330">
        <v>29309093000</v>
      </c>
      <c r="B9330" t="s">
        <v>3666</v>
      </c>
    </row>
    <row r="9331" spans="1:2" x14ac:dyDescent="0.25">
      <c r="A9331">
        <v>29309094000</v>
      </c>
      <c r="B9331" t="s">
        <v>3667</v>
      </c>
    </row>
    <row r="9332" spans="1:2" x14ac:dyDescent="0.25">
      <c r="A9332">
        <v>29309095000</v>
      </c>
      <c r="B9332" t="s">
        <v>3668</v>
      </c>
    </row>
    <row r="9333" spans="1:2" x14ac:dyDescent="0.25">
      <c r="A9333">
        <v>29309096</v>
      </c>
      <c r="B9333" t="s">
        <v>3669</v>
      </c>
    </row>
    <row r="9334" spans="1:2" x14ac:dyDescent="0.25">
      <c r="A9334">
        <v>29309096100</v>
      </c>
      <c r="B9334" t="s">
        <v>3670</v>
      </c>
    </row>
    <row r="9335" spans="1:2" x14ac:dyDescent="0.25">
      <c r="A9335">
        <v>29309096900</v>
      </c>
      <c r="B9335" t="s">
        <v>10</v>
      </c>
    </row>
    <row r="9336" spans="1:2" x14ac:dyDescent="0.25">
      <c r="A9336">
        <v>29309097000</v>
      </c>
      <c r="B9336" t="s">
        <v>3671</v>
      </c>
    </row>
    <row r="9337" spans="1:2" x14ac:dyDescent="0.25">
      <c r="A9337">
        <v>29309098000</v>
      </c>
      <c r="B9337" t="s">
        <v>3672</v>
      </c>
    </row>
    <row r="9338" spans="1:2" x14ac:dyDescent="0.25">
      <c r="A9338">
        <v>29309099</v>
      </c>
      <c r="B9338" t="s">
        <v>10</v>
      </c>
    </row>
    <row r="9339" spans="1:2" x14ac:dyDescent="0.25">
      <c r="A9339">
        <v>293090991</v>
      </c>
      <c r="B9339" t="s">
        <v>2450</v>
      </c>
    </row>
    <row r="9340" spans="1:2" x14ac:dyDescent="0.25">
      <c r="A9340">
        <v>29309099110</v>
      </c>
      <c r="B9340" t="s">
        <v>3673</v>
      </c>
    </row>
    <row r="9341" spans="1:2" x14ac:dyDescent="0.25">
      <c r="A9341">
        <v>29309099120</v>
      </c>
      <c r="B9341" t="s">
        <v>3674</v>
      </c>
    </row>
    <row r="9342" spans="1:2" x14ac:dyDescent="0.25">
      <c r="A9342">
        <v>29309099130</v>
      </c>
      <c r="B9342" t="s">
        <v>3675</v>
      </c>
    </row>
    <row r="9343" spans="1:2" x14ac:dyDescent="0.25">
      <c r="A9343">
        <v>29309099190</v>
      </c>
      <c r="B9343" t="s">
        <v>10</v>
      </c>
    </row>
    <row r="9344" spans="1:2" x14ac:dyDescent="0.25">
      <c r="A9344">
        <v>29309099900</v>
      </c>
      <c r="B9344" t="s">
        <v>10</v>
      </c>
    </row>
    <row r="9345" spans="1:2" x14ac:dyDescent="0.25">
      <c r="A9345">
        <v>2931</v>
      </c>
      <c r="B9345" t="s">
        <v>3676</v>
      </c>
    </row>
    <row r="9346" spans="1:2" x14ac:dyDescent="0.25">
      <c r="A9346">
        <v>29311000000</v>
      </c>
      <c r="B9346" t="e">
        <f>-Tetrametilo de plomo y tetraetilo de plomo</f>
        <v>#NAME?</v>
      </c>
    </row>
    <row r="9347" spans="1:2" x14ac:dyDescent="0.25">
      <c r="A9347">
        <v>29312000000</v>
      </c>
      <c r="B9347" t="e">
        <f>-compuestos de tributilestaño</f>
        <v>#NAME?</v>
      </c>
    </row>
    <row r="9348" spans="1:2" x14ac:dyDescent="0.25">
      <c r="A9348">
        <v>29313</v>
      </c>
      <c r="B9348" t="s">
        <v>3677</v>
      </c>
    </row>
    <row r="9349" spans="1:2" x14ac:dyDescent="0.25">
      <c r="A9349">
        <v>29313100000</v>
      </c>
      <c r="B9349" t="e">
        <f>--Metilfosfonato de dimetilo</f>
        <v>#NAME?</v>
      </c>
    </row>
    <row r="9350" spans="1:2" x14ac:dyDescent="0.25">
      <c r="A9350">
        <v>29313200000</v>
      </c>
      <c r="B9350" t="e">
        <f>--Propilfosfonato de dimetilo</f>
        <v>#NAME?</v>
      </c>
    </row>
    <row r="9351" spans="1:2" x14ac:dyDescent="0.25">
      <c r="A9351">
        <v>29313300000</v>
      </c>
      <c r="B9351" t="e">
        <f>--Etilfosfonato de dietilo</f>
        <v>#NAME?</v>
      </c>
    </row>
    <row r="9352" spans="1:2" x14ac:dyDescent="0.25">
      <c r="A9352">
        <v>29313400000</v>
      </c>
      <c r="B9352" t="s">
        <v>3678</v>
      </c>
    </row>
    <row r="9353" spans="1:2" x14ac:dyDescent="0.25">
      <c r="A9353">
        <v>29313500000</v>
      </c>
      <c r="B9353" t="s">
        <v>3679</v>
      </c>
    </row>
    <row r="9354" spans="1:2" x14ac:dyDescent="0.25">
      <c r="A9354">
        <v>29313600000</v>
      </c>
      <c r="B9354" t="s">
        <v>3680</v>
      </c>
    </row>
    <row r="9355" spans="1:2" x14ac:dyDescent="0.25">
      <c r="A9355">
        <v>29313700000</v>
      </c>
      <c r="B9355" t="s">
        <v>3681</v>
      </c>
    </row>
    <row r="9356" spans="1:2" x14ac:dyDescent="0.25">
      <c r="A9356">
        <v>29313800000</v>
      </c>
      <c r="B9356" t="s">
        <v>3682</v>
      </c>
    </row>
    <row r="9357" spans="1:2" x14ac:dyDescent="0.25">
      <c r="A9357">
        <v>293139</v>
      </c>
      <c r="B9357" t="e">
        <f>- - Los demas</f>
        <v>#NAME?</v>
      </c>
    </row>
    <row r="9358" spans="1:2" x14ac:dyDescent="0.25">
      <c r="A9358">
        <v>2931391</v>
      </c>
      <c r="B9358" t="s">
        <v>3683</v>
      </c>
    </row>
    <row r="9359" spans="1:2" x14ac:dyDescent="0.25">
      <c r="A9359">
        <v>29313911</v>
      </c>
      <c r="B9359" t="s">
        <v>3684</v>
      </c>
    </row>
    <row r="9360" spans="1:2" x14ac:dyDescent="0.25">
      <c r="A9360">
        <v>29313911100</v>
      </c>
      <c r="B9360" t="s">
        <v>3685</v>
      </c>
    </row>
    <row r="9361" spans="1:2" x14ac:dyDescent="0.25">
      <c r="A9361">
        <v>29313911200</v>
      </c>
      <c r="B9361" t="s">
        <v>3686</v>
      </c>
    </row>
    <row r="9362" spans="1:2" x14ac:dyDescent="0.25">
      <c r="A9362">
        <v>29313912</v>
      </c>
      <c r="B9362" t="s">
        <v>3687</v>
      </c>
    </row>
    <row r="9363" spans="1:2" x14ac:dyDescent="0.25">
      <c r="A9363">
        <v>29313912100</v>
      </c>
      <c r="B9363" t="s">
        <v>3688</v>
      </c>
    </row>
    <row r="9364" spans="1:2" x14ac:dyDescent="0.25">
      <c r="A9364">
        <v>29313912200</v>
      </c>
      <c r="B9364" t="s">
        <v>3689</v>
      </c>
    </row>
    <row r="9365" spans="1:2" x14ac:dyDescent="0.25">
      <c r="A9365">
        <v>29313913000</v>
      </c>
      <c r="B9365" t="s">
        <v>3690</v>
      </c>
    </row>
    <row r="9366" spans="1:2" x14ac:dyDescent="0.25">
      <c r="A9366">
        <v>29313914000</v>
      </c>
      <c r="B9366" t="s">
        <v>3691</v>
      </c>
    </row>
    <row r="9367" spans="1:2" x14ac:dyDescent="0.25">
      <c r="A9367">
        <v>29313915000</v>
      </c>
      <c r="B9367" t="s">
        <v>3692</v>
      </c>
    </row>
    <row r="9368" spans="1:2" x14ac:dyDescent="0.25">
      <c r="A9368">
        <v>29313916000</v>
      </c>
      <c r="B9368" t="s">
        <v>3693</v>
      </c>
    </row>
    <row r="9369" spans="1:2" x14ac:dyDescent="0.25">
      <c r="A9369">
        <v>29313917</v>
      </c>
      <c r="B9369" t="s">
        <v>3694</v>
      </c>
    </row>
    <row r="9370" spans="1:2" x14ac:dyDescent="0.25">
      <c r="A9370">
        <v>29313917100</v>
      </c>
      <c r="B9370" t="s">
        <v>3695</v>
      </c>
    </row>
    <row r="9371" spans="1:2" x14ac:dyDescent="0.25">
      <c r="A9371">
        <v>29313917200</v>
      </c>
      <c r="B9371" t="s">
        <v>3696</v>
      </c>
    </row>
    <row r="9372" spans="1:2" x14ac:dyDescent="0.25">
      <c r="A9372">
        <v>29313918000</v>
      </c>
      <c r="B9372" t="s">
        <v>3697</v>
      </c>
    </row>
    <row r="9373" spans="1:2" x14ac:dyDescent="0.25">
      <c r="A9373">
        <v>2931399</v>
      </c>
      <c r="B9373" t="s">
        <v>10</v>
      </c>
    </row>
    <row r="9374" spans="1:2" x14ac:dyDescent="0.25">
      <c r="A9374">
        <v>29313991</v>
      </c>
      <c r="B9374" t="s">
        <v>3698</v>
      </c>
    </row>
    <row r="9375" spans="1:2" x14ac:dyDescent="0.25">
      <c r="A9375">
        <v>29313991100</v>
      </c>
      <c r="B9375" t="s">
        <v>3699</v>
      </c>
    </row>
    <row r="9376" spans="1:2" x14ac:dyDescent="0.25">
      <c r="A9376">
        <v>29313991200</v>
      </c>
      <c r="B9376" t="s">
        <v>3700</v>
      </c>
    </row>
    <row r="9377" spans="1:2" x14ac:dyDescent="0.25">
      <c r="A9377">
        <v>29313991900</v>
      </c>
      <c r="B9377" t="s">
        <v>10</v>
      </c>
    </row>
    <row r="9378" spans="1:2" x14ac:dyDescent="0.25">
      <c r="A9378">
        <v>29313992000</v>
      </c>
      <c r="B9378" t="s">
        <v>3701</v>
      </c>
    </row>
    <row r="9379" spans="1:2" x14ac:dyDescent="0.25">
      <c r="A9379">
        <v>29313993000</v>
      </c>
      <c r="B9379" t="s">
        <v>3702</v>
      </c>
    </row>
    <row r="9380" spans="1:2" x14ac:dyDescent="0.25">
      <c r="A9380">
        <v>29313994</v>
      </c>
      <c r="B9380" t="s">
        <v>3703</v>
      </c>
    </row>
    <row r="9381" spans="1:2" x14ac:dyDescent="0.25">
      <c r="A9381">
        <v>29313994100</v>
      </c>
      <c r="B9381" t="s">
        <v>3704</v>
      </c>
    </row>
    <row r="9382" spans="1:2" x14ac:dyDescent="0.25">
      <c r="A9382">
        <v>29313994200</v>
      </c>
      <c r="B9382" t="s">
        <v>3705</v>
      </c>
    </row>
    <row r="9383" spans="1:2" x14ac:dyDescent="0.25">
      <c r="A9383">
        <v>29313994900</v>
      </c>
      <c r="B9383" t="s">
        <v>10</v>
      </c>
    </row>
    <row r="9384" spans="1:2" x14ac:dyDescent="0.25">
      <c r="A9384">
        <v>29313995</v>
      </c>
      <c r="B9384" t="s">
        <v>3706</v>
      </c>
    </row>
    <row r="9385" spans="1:2" x14ac:dyDescent="0.25">
      <c r="A9385">
        <v>29313995100</v>
      </c>
      <c r="B9385" t="s">
        <v>3707</v>
      </c>
    </row>
    <row r="9386" spans="1:2" x14ac:dyDescent="0.25">
      <c r="A9386">
        <v>29313995900</v>
      </c>
      <c r="B9386" t="s">
        <v>10</v>
      </c>
    </row>
    <row r="9387" spans="1:2" x14ac:dyDescent="0.25">
      <c r="A9387">
        <v>29313996</v>
      </c>
      <c r="B9387" t="s">
        <v>3671</v>
      </c>
    </row>
    <row r="9388" spans="1:2" x14ac:dyDescent="0.25">
      <c r="A9388">
        <v>29313996100</v>
      </c>
      <c r="B9388" t="s">
        <v>3708</v>
      </c>
    </row>
    <row r="9389" spans="1:2" x14ac:dyDescent="0.25">
      <c r="A9389">
        <v>29313996200</v>
      </c>
      <c r="B9389" t="s">
        <v>3709</v>
      </c>
    </row>
    <row r="9390" spans="1:2" x14ac:dyDescent="0.25">
      <c r="A9390">
        <v>29313996300</v>
      </c>
      <c r="B9390" t="s">
        <v>3710</v>
      </c>
    </row>
    <row r="9391" spans="1:2" x14ac:dyDescent="0.25">
      <c r="A9391">
        <v>29313996400</v>
      </c>
      <c r="B9391" t="s">
        <v>3711</v>
      </c>
    </row>
    <row r="9392" spans="1:2" x14ac:dyDescent="0.25">
      <c r="A9392">
        <v>29313996500</v>
      </c>
      <c r="B9392" t="s">
        <v>3712</v>
      </c>
    </row>
    <row r="9393" spans="1:2" x14ac:dyDescent="0.25">
      <c r="A9393">
        <v>29313996600</v>
      </c>
      <c r="B9393" t="s">
        <v>3713</v>
      </c>
    </row>
    <row r="9394" spans="1:2" x14ac:dyDescent="0.25">
      <c r="A9394">
        <v>29313996700</v>
      </c>
      <c r="B9394" t="s">
        <v>3714</v>
      </c>
    </row>
    <row r="9395" spans="1:2" x14ac:dyDescent="0.25">
      <c r="A9395">
        <v>29313996900</v>
      </c>
      <c r="B9395" t="s">
        <v>10</v>
      </c>
    </row>
    <row r="9396" spans="1:2" x14ac:dyDescent="0.25">
      <c r="A9396">
        <v>29313997</v>
      </c>
      <c r="B9396" t="s">
        <v>3715</v>
      </c>
    </row>
    <row r="9397" spans="1:2" x14ac:dyDescent="0.25">
      <c r="A9397">
        <v>29313997100</v>
      </c>
      <c r="B9397" t="s">
        <v>3716</v>
      </c>
    </row>
    <row r="9398" spans="1:2" x14ac:dyDescent="0.25">
      <c r="A9398">
        <v>29313997900</v>
      </c>
      <c r="B9398" t="s">
        <v>10</v>
      </c>
    </row>
    <row r="9399" spans="1:2" x14ac:dyDescent="0.25">
      <c r="A9399">
        <v>29313999</v>
      </c>
      <c r="B9399" t="s">
        <v>10</v>
      </c>
    </row>
    <row r="9400" spans="1:2" x14ac:dyDescent="0.25">
      <c r="A9400">
        <v>29313999100</v>
      </c>
      <c r="B9400" t="s">
        <v>3717</v>
      </c>
    </row>
    <row r="9401" spans="1:2" x14ac:dyDescent="0.25">
      <c r="A9401">
        <v>293139992</v>
      </c>
      <c r="B9401" t="s">
        <v>3718</v>
      </c>
    </row>
    <row r="9402" spans="1:2" x14ac:dyDescent="0.25">
      <c r="A9402">
        <v>29313999210</v>
      </c>
      <c r="B9402" t="s">
        <v>3719</v>
      </c>
    </row>
    <row r="9403" spans="1:2" x14ac:dyDescent="0.25">
      <c r="A9403">
        <v>29313999220</v>
      </c>
      <c r="B9403" t="s">
        <v>3720</v>
      </c>
    </row>
    <row r="9404" spans="1:2" x14ac:dyDescent="0.25">
      <c r="A9404">
        <v>293139993</v>
      </c>
      <c r="B9404" t="s">
        <v>3721</v>
      </c>
    </row>
    <row r="9405" spans="1:2" x14ac:dyDescent="0.25">
      <c r="A9405">
        <v>29313999310</v>
      </c>
      <c r="B9405" t="s">
        <v>3722</v>
      </c>
    </row>
    <row r="9406" spans="1:2" x14ac:dyDescent="0.25">
      <c r="A9406">
        <v>2931399932</v>
      </c>
      <c r="B9406" t="s">
        <v>3723</v>
      </c>
    </row>
    <row r="9407" spans="1:2" x14ac:dyDescent="0.25">
      <c r="A9407">
        <v>29313999321</v>
      </c>
      <c r="B9407" t="s">
        <v>3724</v>
      </c>
    </row>
    <row r="9408" spans="1:2" x14ac:dyDescent="0.25">
      <c r="A9408">
        <v>29313999322</v>
      </c>
      <c r="B9408" t="s">
        <v>3725</v>
      </c>
    </row>
    <row r="9409" spans="1:2" x14ac:dyDescent="0.25">
      <c r="A9409">
        <v>29313999330</v>
      </c>
      <c r="B9409" t="s">
        <v>3726</v>
      </c>
    </row>
    <row r="9410" spans="1:2" x14ac:dyDescent="0.25">
      <c r="A9410">
        <v>2931399934</v>
      </c>
      <c r="B9410" t="s">
        <v>3727</v>
      </c>
    </row>
    <row r="9411" spans="1:2" x14ac:dyDescent="0.25">
      <c r="A9411">
        <v>29313999341</v>
      </c>
      <c r="B9411" t="s">
        <v>3728</v>
      </c>
    </row>
    <row r="9412" spans="1:2" x14ac:dyDescent="0.25">
      <c r="A9412">
        <v>29313999342</v>
      </c>
      <c r="B9412" t="s">
        <v>3729</v>
      </c>
    </row>
    <row r="9413" spans="1:2" x14ac:dyDescent="0.25">
      <c r="A9413">
        <v>29313999390</v>
      </c>
      <c r="B9413" t="s">
        <v>57</v>
      </c>
    </row>
    <row r="9414" spans="1:2" x14ac:dyDescent="0.25">
      <c r="A9414">
        <v>29313999400</v>
      </c>
      <c r="B9414" t="s">
        <v>3730</v>
      </c>
    </row>
    <row r="9415" spans="1:2" x14ac:dyDescent="0.25">
      <c r="A9415">
        <v>29313999500</v>
      </c>
      <c r="B9415" t="s">
        <v>3573</v>
      </c>
    </row>
    <row r="9416" spans="1:2" x14ac:dyDescent="0.25">
      <c r="A9416">
        <v>29313999900</v>
      </c>
      <c r="B9416" t="s">
        <v>10</v>
      </c>
    </row>
    <row r="9417" spans="1:2" x14ac:dyDescent="0.25">
      <c r="A9417">
        <v>293190</v>
      </c>
      <c r="B9417" t="e">
        <f>- Los demas</f>
        <v>#NAME?</v>
      </c>
    </row>
    <row r="9418" spans="1:2" x14ac:dyDescent="0.25">
      <c r="A9418">
        <v>2931902</v>
      </c>
      <c r="B9418" t="s">
        <v>3731</v>
      </c>
    </row>
    <row r="9419" spans="1:2" x14ac:dyDescent="0.25">
      <c r="A9419">
        <v>29319021000</v>
      </c>
      <c r="B9419" t="s">
        <v>3732</v>
      </c>
    </row>
    <row r="9420" spans="1:2" x14ac:dyDescent="0.25">
      <c r="A9420">
        <v>29319029</v>
      </c>
      <c r="B9420" t="s">
        <v>10</v>
      </c>
    </row>
    <row r="9421" spans="1:2" x14ac:dyDescent="0.25">
      <c r="A9421">
        <v>29319029100</v>
      </c>
      <c r="B9421" t="s">
        <v>3733</v>
      </c>
    </row>
    <row r="9422" spans="1:2" x14ac:dyDescent="0.25">
      <c r="A9422">
        <v>29319029200</v>
      </c>
      <c r="B9422" t="s">
        <v>3734</v>
      </c>
    </row>
    <row r="9423" spans="1:2" x14ac:dyDescent="0.25">
      <c r="A9423">
        <v>29319029300</v>
      </c>
      <c r="B9423" t="s">
        <v>3735</v>
      </c>
    </row>
    <row r="9424" spans="1:2" x14ac:dyDescent="0.25">
      <c r="A9424">
        <v>29319029400</v>
      </c>
      <c r="B9424" t="s">
        <v>3736</v>
      </c>
    </row>
    <row r="9425" spans="1:2" x14ac:dyDescent="0.25">
      <c r="A9425">
        <v>29319029900</v>
      </c>
      <c r="B9425" t="s">
        <v>10</v>
      </c>
    </row>
    <row r="9426" spans="1:2" x14ac:dyDescent="0.25">
      <c r="A9426">
        <v>2931904</v>
      </c>
      <c r="B9426" t="s">
        <v>3737</v>
      </c>
    </row>
    <row r="9427" spans="1:2" x14ac:dyDescent="0.25">
      <c r="A9427">
        <v>29319041000</v>
      </c>
      <c r="B9427" t="s">
        <v>3738</v>
      </c>
    </row>
    <row r="9428" spans="1:2" x14ac:dyDescent="0.25">
      <c r="A9428">
        <v>29319042000</v>
      </c>
      <c r="B9428" t="s">
        <v>3739</v>
      </c>
    </row>
    <row r="9429" spans="1:2" x14ac:dyDescent="0.25">
      <c r="A9429">
        <v>29319043000</v>
      </c>
      <c r="B9429" t="s">
        <v>3740</v>
      </c>
    </row>
    <row r="9430" spans="1:2" x14ac:dyDescent="0.25">
      <c r="A9430">
        <v>29319044000</v>
      </c>
      <c r="B9430" t="s">
        <v>3741</v>
      </c>
    </row>
    <row r="9431" spans="1:2" x14ac:dyDescent="0.25">
      <c r="A9431">
        <v>29319045000</v>
      </c>
      <c r="B9431" t="s">
        <v>3742</v>
      </c>
    </row>
    <row r="9432" spans="1:2" x14ac:dyDescent="0.25">
      <c r="A9432">
        <v>29319046</v>
      </c>
      <c r="B9432" t="s">
        <v>3743</v>
      </c>
    </row>
    <row r="9433" spans="1:2" x14ac:dyDescent="0.25">
      <c r="A9433">
        <v>293190461</v>
      </c>
      <c r="B9433" t="s">
        <v>3744</v>
      </c>
    </row>
    <row r="9434" spans="1:2" x14ac:dyDescent="0.25">
      <c r="A9434">
        <v>29319046110</v>
      </c>
      <c r="B9434" t="s">
        <v>3745</v>
      </c>
    </row>
    <row r="9435" spans="1:2" x14ac:dyDescent="0.25">
      <c r="A9435">
        <v>29319046120</v>
      </c>
      <c r="B9435" t="s">
        <v>3746</v>
      </c>
    </row>
    <row r="9436" spans="1:2" x14ac:dyDescent="0.25">
      <c r="A9436">
        <v>29319046130</v>
      </c>
      <c r="B9436" t="s">
        <v>3747</v>
      </c>
    </row>
    <row r="9437" spans="1:2" x14ac:dyDescent="0.25">
      <c r="A9437">
        <v>293190462</v>
      </c>
      <c r="B9437" t="s">
        <v>3748</v>
      </c>
    </row>
    <row r="9438" spans="1:2" x14ac:dyDescent="0.25">
      <c r="A9438">
        <v>29319046210</v>
      </c>
      <c r="B9438" t="s">
        <v>3745</v>
      </c>
    </row>
    <row r="9439" spans="1:2" x14ac:dyDescent="0.25">
      <c r="A9439">
        <v>29319046220</v>
      </c>
      <c r="B9439" t="s">
        <v>3746</v>
      </c>
    </row>
    <row r="9440" spans="1:2" x14ac:dyDescent="0.25">
      <c r="A9440">
        <v>29319046230</v>
      </c>
      <c r="B9440" t="s">
        <v>3747</v>
      </c>
    </row>
    <row r="9441" spans="1:2" x14ac:dyDescent="0.25">
      <c r="A9441">
        <v>29319046300</v>
      </c>
      <c r="B9441" t="s">
        <v>2966</v>
      </c>
    </row>
    <row r="9442" spans="1:2" x14ac:dyDescent="0.25">
      <c r="A9442">
        <v>29319049000</v>
      </c>
      <c r="B9442" t="s">
        <v>10</v>
      </c>
    </row>
    <row r="9443" spans="1:2" x14ac:dyDescent="0.25">
      <c r="A9443">
        <v>2931905</v>
      </c>
      <c r="B9443" t="s">
        <v>3749</v>
      </c>
    </row>
    <row r="9444" spans="1:2" x14ac:dyDescent="0.25">
      <c r="A9444">
        <v>29319051</v>
      </c>
      <c r="B9444" t="s">
        <v>3750</v>
      </c>
    </row>
    <row r="9445" spans="1:2" x14ac:dyDescent="0.25">
      <c r="A9445">
        <v>29319051100</v>
      </c>
      <c r="B9445" t="s">
        <v>2450</v>
      </c>
    </row>
    <row r="9446" spans="1:2" x14ac:dyDescent="0.25">
      <c r="A9446">
        <v>29319051900</v>
      </c>
      <c r="B9446" t="s">
        <v>10</v>
      </c>
    </row>
    <row r="9447" spans="1:2" x14ac:dyDescent="0.25">
      <c r="A9447">
        <v>29319052000</v>
      </c>
      <c r="B9447" t="s">
        <v>3751</v>
      </c>
    </row>
    <row r="9448" spans="1:2" x14ac:dyDescent="0.25">
      <c r="A9448">
        <v>29319053000</v>
      </c>
      <c r="B9448" t="s">
        <v>3752</v>
      </c>
    </row>
    <row r="9449" spans="1:2" x14ac:dyDescent="0.25">
      <c r="A9449">
        <v>29319054000</v>
      </c>
      <c r="B9449" t="s">
        <v>3753</v>
      </c>
    </row>
    <row r="9450" spans="1:2" x14ac:dyDescent="0.25">
      <c r="A9450">
        <v>29319059</v>
      </c>
      <c r="B9450" t="s">
        <v>10</v>
      </c>
    </row>
    <row r="9451" spans="1:2" x14ac:dyDescent="0.25">
      <c r="A9451">
        <v>29319059100</v>
      </c>
      <c r="B9451" t="s">
        <v>3754</v>
      </c>
    </row>
    <row r="9452" spans="1:2" x14ac:dyDescent="0.25">
      <c r="A9452">
        <v>29319059900</v>
      </c>
      <c r="B9452" t="s">
        <v>10</v>
      </c>
    </row>
    <row r="9453" spans="1:2" x14ac:dyDescent="0.25">
      <c r="A9453">
        <v>2931906</v>
      </c>
      <c r="B9453" t="s">
        <v>3755</v>
      </c>
    </row>
    <row r="9454" spans="1:2" x14ac:dyDescent="0.25">
      <c r="A9454">
        <v>29319061000</v>
      </c>
      <c r="B9454" t="s">
        <v>3756</v>
      </c>
    </row>
    <row r="9455" spans="1:2" x14ac:dyDescent="0.25">
      <c r="A9455">
        <v>29319062000</v>
      </c>
      <c r="B9455" t="s">
        <v>3757</v>
      </c>
    </row>
    <row r="9456" spans="1:2" x14ac:dyDescent="0.25">
      <c r="A9456">
        <v>29319069000</v>
      </c>
      <c r="B9456" t="s">
        <v>10</v>
      </c>
    </row>
    <row r="9457" spans="1:2" x14ac:dyDescent="0.25">
      <c r="A9457">
        <v>29319090</v>
      </c>
      <c r="B9457" t="s">
        <v>10</v>
      </c>
    </row>
    <row r="9458" spans="1:2" x14ac:dyDescent="0.25">
      <c r="A9458">
        <v>29319090100</v>
      </c>
      <c r="B9458" t="s">
        <v>3758</v>
      </c>
    </row>
    <row r="9459" spans="1:2" x14ac:dyDescent="0.25">
      <c r="A9459">
        <v>29319090200</v>
      </c>
      <c r="B9459" t="s">
        <v>2791</v>
      </c>
    </row>
    <row r="9460" spans="1:2" x14ac:dyDescent="0.25">
      <c r="A9460">
        <v>29319090900</v>
      </c>
      <c r="B9460" t="s">
        <v>10</v>
      </c>
    </row>
    <row r="9461" spans="1:2" x14ac:dyDescent="0.25">
      <c r="A9461">
        <v>2932</v>
      </c>
      <c r="B9461" t="s">
        <v>3759</v>
      </c>
    </row>
    <row r="9462" spans="1:2" x14ac:dyDescent="0.25">
      <c r="A9462">
        <v>29321</v>
      </c>
      <c r="B9462" t="s">
        <v>3760</v>
      </c>
    </row>
    <row r="9463" spans="1:2" x14ac:dyDescent="0.25">
      <c r="A9463">
        <v>29321100000</v>
      </c>
      <c r="B9463" t="e">
        <f>--Tetrahidrofurano</f>
        <v>#NAME?</v>
      </c>
    </row>
    <row r="9464" spans="1:2" x14ac:dyDescent="0.25">
      <c r="A9464">
        <v>29321200000</v>
      </c>
      <c r="B9464" t="e">
        <f>--2-Furaldehido (furfural)</f>
        <v>#NAME?</v>
      </c>
    </row>
    <row r="9465" spans="1:2" x14ac:dyDescent="0.25">
      <c r="A9465">
        <v>293213</v>
      </c>
      <c r="B9465" t="e">
        <f>- - alcohol furfurilico y alcohol tetrahidrofurfurilico</f>
        <v>#NAME?</v>
      </c>
    </row>
    <row r="9466" spans="1:2" x14ac:dyDescent="0.25">
      <c r="A9466">
        <v>29321310000</v>
      </c>
      <c r="B9466" t="s">
        <v>3761</v>
      </c>
    </row>
    <row r="9467" spans="1:2" x14ac:dyDescent="0.25">
      <c r="A9467">
        <v>29321320000</v>
      </c>
      <c r="B9467" t="s">
        <v>3762</v>
      </c>
    </row>
    <row r="9468" spans="1:2" x14ac:dyDescent="0.25">
      <c r="A9468">
        <v>29321400000</v>
      </c>
      <c r="B9468" t="e">
        <f>--Sucralosa</f>
        <v>#NAME?</v>
      </c>
    </row>
    <row r="9469" spans="1:2" x14ac:dyDescent="0.25">
      <c r="A9469">
        <v>293219</v>
      </c>
      <c r="B9469" t="e">
        <f>- - Los demas</f>
        <v>#NAME?</v>
      </c>
    </row>
    <row r="9470" spans="1:2" x14ac:dyDescent="0.25">
      <c r="A9470">
        <v>29321910</v>
      </c>
      <c r="B9470" t="s">
        <v>3763</v>
      </c>
    </row>
    <row r="9471" spans="1:2" x14ac:dyDescent="0.25">
      <c r="A9471">
        <v>29321910100</v>
      </c>
      <c r="B9471" t="s">
        <v>3764</v>
      </c>
    </row>
    <row r="9472" spans="1:2" x14ac:dyDescent="0.25">
      <c r="A9472">
        <v>293219102</v>
      </c>
      <c r="B9472" t="s">
        <v>2195</v>
      </c>
    </row>
    <row r="9473" spans="1:2" x14ac:dyDescent="0.25">
      <c r="A9473">
        <v>29321910210</v>
      </c>
      <c r="B9473" t="s">
        <v>3321</v>
      </c>
    </row>
    <row r="9474" spans="1:2" x14ac:dyDescent="0.25">
      <c r="A9474">
        <v>29321910290</v>
      </c>
      <c r="B9474" t="s">
        <v>57</v>
      </c>
    </row>
    <row r="9475" spans="1:2" x14ac:dyDescent="0.25">
      <c r="A9475">
        <v>29321920000</v>
      </c>
      <c r="B9475" t="s">
        <v>3765</v>
      </c>
    </row>
    <row r="9476" spans="1:2" x14ac:dyDescent="0.25">
      <c r="A9476">
        <v>29321930000</v>
      </c>
      <c r="B9476" t="s">
        <v>3766</v>
      </c>
    </row>
    <row r="9477" spans="1:2" x14ac:dyDescent="0.25">
      <c r="A9477">
        <v>29321940000</v>
      </c>
      <c r="B9477" t="s">
        <v>3767</v>
      </c>
    </row>
    <row r="9478" spans="1:2" x14ac:dyDescent="0.25">
      <c r="A9478">
        <v>29321950000</v>
      </c>
      <c r="B9478" t="s">
        <v>3768</v>
      </c>
    </row>
    <row r="9479" spans="1:2" x14ac:dyDescent="0.25">
      <c r="A9479">
        <v>29321990</v>
      </c>
      <c r="B9479" t="s">
        <v>10</v>
      </c>
    </row>
    <row r="9480" spans="1:2" x14ac:dyDescent="0.25">
      <c r="A9480">
        <v>29321990100</v>
      </c>
      <c r="B9480" t="s">
        <v>3769</v>
      </c>
    </row>
    <row r="9481" spans="1:2" x14ac:dyDescent="0.25">
      <c r="A9481">
        <v>293219902</v>
      </c>
      <c r="B9481" t="s">
        <v>3770</v>
      </c>
    </row>
    <row r="9482" spans="1:2" x14ac:dyDescent="0.25">
      <c r="A9482">
        <v>29321990210</v>
      </c>
      <c r="B9482" t="s">
        <v>2775</v>
      </c>
    </row>
    <row r="9483" spans="1:2" x14ac:dyDescent="0.25">
      <c r="A9483">
        <v>29321990290</v>
      </c>
      <c r="B9483" t="s">
        <v>10</v>
      </c>
    </row>
    <row r="9484" spans="1:2" x14ac:dyDescent="0.25">
      <c r="A9484">
        <v>29321990300</v>
      </c>
      <c r="B9484" t="s">
        <v>2740</v>
      </c>
    </row>
    <row r="9485" spans="1:2" x14ac:dyDescent="0.25">
      <c r="A9485">
        <v>29321990400</v>
      </c>
      <c r="B9485" t="s">
        <v>3088</v>
      </c>
    </row>
    <row r="9486" spans="1:2" x14ac:dyDescent="0.25">
      <c r="A9486">
        <v>29321990900</v>
      </c>
      <c r="B9486" t="s">
        <v>10</v>
      </c>
    </row>
    <row r="9487" spans="1:2" x14ac:dyDescent="0.25">
      <c r="A9487">
        <v>29322000</v>
      </c>
      <c r="B9487" t="e">
        <f>- Lactonas</f>
        <v>#NAME?</v>
      </c>
    </row>
    <row r="9488" spans="1:2" x14ac:dyDescent="0.25">
      <c r="A9488">
        <v>293220001</v>
      </c>
      <c r="B9488" t="s">
        <v>3771</v>
      </c>
    </row>
    <row r="9489" spans="1:2" x14ac:dyDescent="0.25">
      <c r="A9489">
        <v>29322000110</v>
      </c>
      <c r="B9489" t="s">
        <v>3772</v>
      </c>
    </row>
    <row r="9490" spans="1:2" x14ac:dyDescent="0.25">
      <c r="A9490">
        <v>29322000120</v>
      </c>
      <c r="B9490" t="s">
        <v>3773</v>
      </c>
    </row>
    <row r="9491" spans="1:2" x14ac:dyDescent="0.25">
      <c r="A9491">
        <v>29322000130</v>
      </c>
      <c r="B9491" t="s">
        <v>3774</v>
      </c>
    </row>
    <row r="9492" spans="1:2" x14ac:dyDescent="0.25">
      <c r="A9492">
        <v>293220002</v>
      </c>
      <c r="B9492" t="s">
        <v>3775</v>
      </c>
    </row>
    <row r="9493" spans="1:2" x14ac:dyDescent="0.25">
      <c r="A9493">
        <v>29322000210</v>
      </c>
      <c r="B9493" t="s">
        <v>3776</v>
      </c>
    </row>
    <row r="9494" spans="1:2" x14ac:dyDescent="0.25">
      <c r="A9494">
        <v>29322000220</v>
      </c>
      <c r="B9494" t="s">
        <v>3777</v>
      </c>
    </row>
    <row r="9495" spans="1:2" x14ac:dyDescent="0.25">
      <c r="A9495">
        <v>293220003</v>
      </c>
      <c r="B9495" t="s">
        <v>3778</v>
      </c>
    </row>
    <row r="9496" spans="1:2" x14ac:dyDescent="0.25">
      <c r="A9496">
        <v>29322000310</v>
      </c>
      <c r="B9496" t="s">
        <v>3779</v>
      </c>
    </row>
    <row r="9497" spans="1:2" x14ac:dyDescent="0.25">
      <c r="A9497">
        <v>29322000320</v>
      </c>
      <c r="B9497" t="s">
        <v>3780</v>
      </c>
    </row>
    <row r="9498" spans="1:2" x14ac:dyDescent="0.25">
      <c r="A9498">
        <v>29322000330</v>
      </c>
      <c r="B9498" t="s">
        <v>3781</v>
      </c>
    </row>
    <row r="9499" spans="1:2" x14ac:dyDescent="0.25">
      <c r="A9499">
        <v>293220004</v>
      </c>
      <c r="B9499" t="s">
        <v>3782</v>
      </c>
    </row>
    <row r="9500" spans="1:2" x14ac:dyDescent="0.25">
      <c r="A9500">
        <v>29322000410</v>
      </c>
      <c r="B9500" t="s">
        <v>3783</v>
      </c>
    </row>
    <row r="9501" spans="1:2" x14ac:dyDescent="0.25">
      <c r="A9501">
        <v>29322000420</v>
      </c>
      <c r="B9501" t="s">
        <v>3784</v>
      </c>
    </row>
    <row r="9502" spans="1:2" x14ac:dyDescent="0.25">
      <c r="A9502">
        <v>29322000430</v>
      </c>
      <c r="B9502" t="s">
        <v>3785</v>
      </c>
    </row>
    <row r="9503" spans="1:2" x14ac:dyDescent="0.25">
      <c r="A9503">
        <v>29322000440</v>
      </c>
      <c r="B9503" t="s">
        <v>3786</v>
      </c>
    </row>
    <row r="9504" spans="1:2" x14ac:dyDescent="0.25">
      <c r="A9504">
        <v>29322000490</v>
      </c>
      <c r="B9504" t="s">
        <v>10</v>
      </c>
    </row>
    <row r="9505" spans="1:2" x14ac:dyDescent="0.25">
      <c r="A9505">
        <v>293220005</v>
      </c>
      <c r="B9505" t="s">
        <v>3787</v>
      </c>
    </row>
    <row r="9506" spans="1:2" x14ac:dyDescent="0.25">
      <c r="A9506">
        <v>29322000510</v>
      </c>
      <c r="B9506" t="s">
        <v>3788</v>
      </c>
    </row>
    <row r="9507" spans="1:2" x14ac:dyDescent="0.25">
      <c r="A9507">
        <v>29322000520</v>
      </c>
      <c r="B9507" t="s">
        <v>3789</v>
      </c>
    </row>
    <row r="9508" spans="1:2" x14ac:dyDescent="0.25">
      <c r="A9508">
        <v>29322000530</v>
      </c>
      <c r="B9508" t="s">
        <v>3790</v>
      </c>
    </row>
    <row r="9509" spans="1:2" x14ac:dyDescent="0.25">
      <c r="A9509">
        <v>29322000540</v>
      </c>
      <c r="B9509" t="s">
        <v>3791</v>
      </c>
    </row>
    <row r="9510" spans="1:2" x14ac:dyDescent="0.25">
      <c r="A9510">
        <v>29322000600</v>
      </c>
      <c r="B9510" t="s">
        <v>3088</v>
      </c>
    </row>
    <row r="9511" spans="1:2" x14ac:dyDescent="0.25">
      <c r="A9511">
        <v>29322000900</v>
      </c>
      <c r="B9511" t="s">
        <v>10</v>
      </c>
    </row>
    <row r="9512" spans="1:2" x14ac:dyDescent="0.25">
      <c r="A9512">
        <v>29329</v>
      </c>
      <c r="B9512" t="s">
        <v>28</v>
      </c>
    </row>
    <row r="9513" spans="1:2" x14ac:dyDescent="0.25">
      <c r="A9513">
        <v>29329100</v>
      </c>
      <c r="B9513" t="e">
        <f>- - Isosafrol</f>
        <v>#NAME?</v>
      </c>
    </row>
    <row r="9514" spans="1:2" x14ac:dyDescent="0.25">
      <c r="A9514">
        <v>29329100100</v>
      </c>
      <c r="B9514" t="s">
        <v>2490</v>
      </c>
    </row>
    <row r="9515" spans="1:2" x14ac:dyDescent="0.25">
      <c r="A9515">
        <v>29329100900</v>
      </c>
      <c r="B9515" t="s">
        <v>10</v>
      </c>
    </row>
    <row r="9516" spans="1:2" x14ac:dyDescent="0.25">
      <c r="A9516">
        <v>29329200</v>
      </c>
      <c r="B9516" t="s">
        <v>3792</v>
      </c>
    </row>
    <row r="9517" spans="1:2" x14ac:dyDescent="0.25">
      <c r="A9517">
        <v>29329200100</v>
      </c>
      <c r="B9517" t="s">
        <v>2490</v>
      </c>
    </row>
    <row r="9518" spans="1:2" x14ac:dyDescent="0.25">
      <c r="A9518">
        <v>29329200900</v>
      </c>
      <c r="B9518" t="s">
        <v>57</v>
      </c>
    </row>
    <row r="9519" spans="1:2" x14ac:dyDescent="0.25">
      <c r="A9519">
        <v>29329300</v>
      </c>
      <c r="B9519" t="e">
        <f>- - Piperonal</f>
        <v>#NAME?</v>
      </c>
    </row>
    <row r="9520" spans="1:2" x14ac:dyDescent="0.25">
      <c r="A9520">
        <v>29329300100</v>
      </c>
      <c r="B9520" t="s">
        <v>2490</v>
      </c>
    </row>
    <row r="9521" spans="1:2" x14ac:dyDescent="0.25">
      <c r="A9521">
        <v>29329300900</v>
      </c>
      <c r="B9521" t="s">
        <v>10</v>
      </c>
    </row>
    <row r="9522" spans="1:2" x14ac:dyDescent="0.25">
      <c r="A9522">
        <v>29329400</v>
      </c>
      <c r="B9522" t="e">
        <f>- - Safrol</f>
        <v>#NAME?</v>
      </c>
    </row>
    <row r="9523" spans="1:2" x14ac:dyDescent="0.25">
      <c r="A9523">
        <v>29329400100</v>
      </c>
      <c r="B9523" t="s">
        <v>2490</v>
      </c>
    </row>
    <row r="9524" spans="1:2" x14ac:dyDescent="0.25">
      <c r="A9524">
        <v>29329400900</v>
      </c>
      <c r="B9524" t="s">
        <v>10</v>
      </c>
    </row>
    <row r="9525" spans="1:2" x14ac:dyDescent="0.25">
      <c r="A9525">
        <v>29329500</v>
      </c>
      <c r="B9525" t="e">
        <f>--Tetrahidrocannabinoles (todos Los isomeros)</f>
        <v>#NAME?</v>
      </c>
    </row>
    <row r="9526" spans="1:2" x14ac:dyDescent="0.25">
      <c r="A9526">
        <v>29329500100</v>
      </c>
      <c r="B9526" t="s">
        <v>3793</v>
      </c>
    </row>
    <row r="9527" spans="1:2" x14ac:dyDescent="0.25">
      <c r="A9527">
        <v>29329500900</v>
      </c>
      <c r="B9527" t="s">
        <v>3794</v>
      </c>
    </row>
    <row r="9528" spans="1:2" x14ac:dyDescent="0.25">
      <c r="A9528">
        <v>293299</v>
      </c>
      <c r="B9528" t="e">
        <f>- - Los demas</f>
        <v>#NAME?</v>
      </c>
    </row>
    <row r="9529" spans="1:2" x14ac:dyDescent="0.25">
      <c r="A9529">
        <v>2932991</v>
      </c>
      <c r="B9529" t="s">
        <v>3795</v>
      </c>
    </row>
    <row r="9530" spans="1:2" x14ac:dyDescent="0.25">
      <c r="A9530">
        <v>29329911000</v>
      </c>
      <c r="B9530" t="s">
        <v>3796</v>
      </c>
    </row>
    <row r="9531" spans="1:2" x14ac:dyDescent="0.25">
      <c r="A9531">
        <v>29329912000</v>
      </c>
      <c r="B9531" t="s">
        <v>3797</v>
      </c>
    </row>
    <row r="9532" spans="1:2" x14ac:dyDescent="0.25">
      <c r="A9532">
        <v>29329913000</v>
      </c>
      <c r="B9532" t="s">
        <v>3798</v>
      </c>
    </row>
    <row r="9533" spans="1:2" x14ac:dyDescent="0.25">
      <c r="A9533">
        <v>29329914000</v>
      </c>
      <c r="B9533" t="s">
        <v>3799</v>
      </c>
    </row>
    <row r="9534" spans="1:2" x14ac:dyDescent="0.25">
      <c r="A9534">
        <v>2932999</v>
      </c>
      <c r="B9534" t="s">
        <v>10</v>
      </c>
    </row>
    <row r="9535" spans="1:2" x14ac:dyDescent="0.25">
      <c r="A9535">
        <v>29329991000</v>
      </c>
      <c r="B9535" t="s">
        <v>3800</v>
      </c>
    </row>
    <row r="9536" spans="1:2" x14ac:dyDescent="0.25">
      <c r="A9536">
        <v>29329992000</v>
      </c>
      <c r="B9536" t="s">
        <v>3801</v>
      </c>
    </row>
    <row r="9537" spans="1:2" x14ac:dyDescent="0.25">
      <c r="A9537">
        <v>29329993000</v>
      </c>
      <c r="B9537" t="s">
        <v>3802</v>
      </c>
    </row>
    <row r="9538" spans="1:2" x14ac:dyDescent="0.25">
      <c r="A9538">
        <v>29329994000</v>
      </c>
      <c r="B9538" t="s">
        <v>3803</v>
      </c>
    </row>
    <row r="9539" spans="1:2" x14ac:dyDescent="0.25">
      <c r="A9539">
        <v>29329999</v>
      </c>
      <c r="B9539" t="s">
        <v>10</v>
      </c>
    </row>
    <row r="9540" spans="1:2" x14ac:dyDescent="0.25">
      <c r="A9540">
        <v>293299991</v>
      </c>
      <c r="B9540" t="s">
        <v>2450</v>
      </c>
    </row>
    <row r="9541" spans="1:2" x14ac:dyDescent="0.25">
      <c r="A9541">
        <v>29329999110</v>
      </c>
      <c r="B9541" t="s">
        <v>3804</v>
      </c>
    </row>
    <row r="9542" spans="1:2" x14ac:dyDescent="0.25">
      <c r="A9542">
        <v>29329999190</v>
      </c>
      <c r="B9542" t="s">
        <v>10</v>
      </c>
    </row>
    <row r="9543" spans="1:2" x14ac:dyDescent="0.25">
      <c r="A9543">
        <v>293299992</v>
      </c>
      <c r="B9543" t="s">
        <v>3278</v>
      </c>
    </row>
    <row r="9544" spans="1:2" x14ac:dyDescent="0.25">
      <c r="A9544">
        <v>29329999210</v>
      </c>
      <c r="B9544" t="s">
        <v>3279</v>
      </c>
    </row>
    <row r="9545" spans="1:2" x14ac:dyDescent="0.25">
      <c r="A9545">
        <v>29329999290</v>
      </c>
      <c r="B9545" t="s">
        <v>3280</v>
      </c>
    </row>
    <row r="9546" spans="1:2" x14ac:dyDescent="0.25">
      <c r="A9546">
        <v>293299993</v>
      </c>
      <c r="B9546" t="s">
        <v>3805</v>
      </c>
    </row>
    <row r="9547" spans="1:2" x14ac:dyDescent="0.25">
      <c r="A9547">
        <v>29329999310</v>
      </c>
      <c r="B9547" t="s">
        <v>1131</v>
      </c>
    </row>
    <row r="9548" spans="1:2" x14ac:dyDescent="0.25">
      <c r="A9548">
        <v>29329999390</v>
      </c>
      <c r="B9548" t="s">
        <v>57</v>
      </c>
    </row>
    <row r="9549" spans="1:2" x14ac:dyDescent="0.25">
      <c r="A9549">
        <v>293299994</v>
      </c>
      <c r="B9549" t="s">
        <v>3806</v>
      </c>
    </row>
    <row r="9550" spans="1:2" x14ac:dyDescent="0.25">
      <c r="A9550">
        <v>29329999410</v>
      </c>
      <c r="B9550" t="s">
        <v>2490</v>
      </c>
    </row>
    <row r="9551" spans="1:2" x14ac:dyDescent="0.25">
      <c r="A9551">
        <v>29329999490</v>
      </c>
      <c r="B9551" t="s">
        <v>10</v>
      </c>
    </row>
    <row r="9552" spans="1:2" x14ac:dyDescent="0.25">
      <c r="A9552">
        <v>29329999500</v>
      </c>
      <c r="B9552" t="s">
        <v>3088</v>
      </c>
    </row>
    <row r="9553" spans="1:2" x14ac:dyDescent="0.25">
      <c r="A9553">
        <v>29329999600</v>
      </c>
      <c r="B9553" t="s">
        <v>3807</v>
      </c>
    </row>
    <row r="9554" spans="1:2" x14ac:dyDescent="0.25">
      <c r="A9554">
        <v>293299997</v>
      </c>
      <c r="B9554" t="s">
        <v>3808</v>
      </c>
    </row>
    <row r="9555" spans="1:2" x14ac:dyDescent="0.25">
      <c r="A9555">
        <v>29329999710</v>
      </c>
      <c r="B9555" t="s">
        <v>1131</v>
      </c>
    </row>
    <row r="9556" spans="1:2" x14ac:dyDescent="0.25">
      <c r="A9556">
        <v>29329999790</v>
      </c>
      <c r="B9556" t="s">
        <v>10</v>
      </c>
    </row>
    <row r="9557" spans="1:2" x14ac:dyDescent="0.25">
      <c r="A9557">
        <v>29329999900</v>
      </c>
      <c r="B9557" t="s">
        <v>10</v>
      </c>
    </row>
    <row r="9558" spans="1:2" x14ac:dyDescent="0.25">
      <c r="A9558">
        <v>2933</v>
      </c>
      <c r="B9558" t="s">
        <v>3809</v>
      </c>
    </row>
    <row r="9559" spans="1:2" x14ac:dyDescent="0.25">
      <c r="A9559">
        <v>29331</v>
      </c>
      <c r="B9559" t="s">
        <v>3810</v>
      </c>
    </row>
    <row r="9560" spans="1:2" x14ac:dyDescent="0.25">
      <c r="A9560">
        <v>293311</v>
      </c>
      <c r="B9560" t="e">
        <f>- - Fenazona (antipirina) y sus derivados</f>
        <v>#NAME?</v>
      </c>
    </row>
    <row r="9561" spans="1:2" x14ac:dyDescent="0.25">
      <c r="A9561">
        <v>2933111</v>
      </c>
      <c r="B9561" t="s">
        <v>3811</v>
      </c>
    </row>
    <row r="9562" spans="1:2" x14ac:dyDescent="0.25">
      <c r="A9562">
        <v>29331111000</v>
      </c>
      <c r="B9562" t="s">
        <v>3812</v>
      </c>
    </row>
    <row r="9563" spans="1:2" x14ac:dyDescent="0.25">
      <c r="A9563">
        <v>29331112000</v>
      </c>
      <c r="B9563" t="s">
        <v>3813</v>
      </c>
    </row>
    <row r="9564" spans="1:2" x14ac:dyDescent="0.25">
      <c r="A9564">
        <v>29331119000</v>
      </c>
      <c r="B9564" t="s">
        <v>10</v>
      </c>
    </row>
    <row r="9565" spans="1:2" x14ac:dyDescent="0.25">
      <c r="A9565">
        <v>29331120000</v>
      </c>
      <c r="B9565" t="s">
        <v>3814</v>
      </c>
    </row>
    <row r="9566" spans="1:2" x14ac:dyDescent="0.25">
      <c r="A9566">
        <v>29331190000</v>
      </c>
      <c r="B9566" t="s">
        <v>10</v>
      </c>
    </row>
    <row r="9567" spans="1:2" x14ac:dyDescent="0.25">
      <c r="A9567">
        <v>293319</v>
      </c>
      <c r="B9567" t="e">
        <f>- - Los demas</f>
        <v>#NAME?</v>
      </c>
    </row>
    <row r="9568" spans="1:2" x14ac:dyDescent="0.25">
      <c r="A9568">
        <v>2933191</v>
      </c>
      <c r="B9568" t="s">
        <v>3815</v>
      </c>
    </row>
    <row r="9569" spans="1:2" x14ac:dyDescent="0.25">
      <c r="A9569">
        <v>29331911000</v>
      </c>
      <c r="B9569" t="s">
        <v>3816</v>
      </c>
    </row>
    <row r="9570" spans="1:2" x14ac:dyDescent="0.25">
      <c r="A9570">
        <v>29331919</v>
      </c>
      <c r="B9570" t="s">
        <v>57</v>
      </c>
    </row>
    <row r="9571" spans="1:2" x14ac:dyDescent="0.25">
      <c r="A9571">
        <v>29331919100</v>
      </c>
      <c r="B9571" t="s">
        <v>3817</v>
      </c>
    </row>
    <row r="9572" spans="1:2" x14ac:dyDescent="0.25">
      <c r="A9572">
        <v>29331919900</v>
      </c>
      <c r="B9572" t="s">
        <v>57</v>
      </c>
    </row>
    <row r="9573" spans="1:2" x14ac:dyDescent="0.25">
      <c r="A9573">
        <v>29331990</v>
      </c>
      <c r="B9573" t="s">
        <v>10</v>
      </c>
    </row>
    <row r="9574" spans="1:2" x14ac:dyDescent="0.25">
      <c r="A9574">
        <v>293319901</v>
      </c>
      <c r="B9574" t="s">
        <v>3818</v>
      </c>
    </row>
    <row r="9575" spans="1:2" x14ac:dyDescent="0.25">
      <c r="A9575">
        <v>29331990110</v>
      </c>
      <c r="B9575" t="s">
        <v>3819</v>
      </c>
    </row>
    <row r="9576" spans="1:2" x14ac:dyDescent="0.25">
      <c r="A9576">
        <v>29331990190</v>
      </c>
      <c r="B9576" t="s">
        <v>10</v>
      </c>
    </row>
    <row r="9577" spans="1:2" x14ac:dyDescent="0.25">
      <c r="A9577">
        <v>29331990200</v>
      </c>
      <c r="B9577" t="s">
        <v>2791</v>
      </c>
    </row>
    <row r="9578" spans="1:2" x14ac:dyDescent="0.25">
      <c r="A9578">
        <v>29331990900</v>
      </c>
      <c r="B9578" t="s">
        <v>10</v>
      </c>
    </row>
    <row r="9579" spans="1:2" x14ac:dyDescent="0.25">
      <c r="A9579">
        <v>29332</v>
      </c>
      <c r="B9579" t="s">
        <v>3820</v>
      </c>
    </row>
    <row r="9580" spans="1:2" x14ac:dyDescent="0.25">
      <c r="A9580">
        <v>293321</v>
      </c>
      <c r="B9580" t="e">
        <f>- - Hidantoina y sus derivados</f>
        <v>#NAME?</v>
      </c>
    </row>
    <row r="9581" spans="1:2" x14ac:dyDescent="0.25">
      <c r="A9581">
        <v>29332110000</v>
      </c>
      <c r="B9581" t="s">
        <v>3821</v>
      </c>
    </row>
    <row r="9582" spans="1:2" x14ac:dyDescent="0.25">
      <c r="A9582">
        <v>2933212</v>
      </c>
      <c r="B9582" t="s">
        <v>3822</v>
      </c>
    </row>
    <row r="9583" spans="1:2" x14ac:dyDescent="0.25">
      <c r="A9583">
        <v>29332121000</v>
      </c>
      <c r="B9583" t="s">
        <v>3823</v>
      </c>
    </row>
    <row r="9584" spans="1:2" x14ac:dyDescent="0.25">
      <c r="A9584">
        <v>29332129000</v>
      </c>
      <c r="B9584" t="s">
        <v>57</v>
      </c>
    </row>
    <row r="9585" spans="1:2" x14ac:dyDescent="0.25">
      <c r="A9585">
        <v>29332190</v>
      </c>
      <c r="B9585" t="s">
        <v>10</v>
      </c>
    </row>
    <row r="9586" spans="1:2" x14ac:dyDescent="0.25">
      <c r="A9586">
        <v>29332190100</v>
      </c>
      <c r="B9586" t="s">
        <v>3824</v>
      </c>
    </row>
    <row r="9587" spans="1:2" x14ac:dyDescent="0.25">
      <c r="A9587">
        <v>29332190900</v>
      </c>
      <c r="B9587" t="s">
        <v>10</v>
      </c>
    </row>
    <row r="9588" spans="1:2" x14ac:dyDescent="0.25">
      <c r="A9588">
        <v>293329</v>
      </c>
      <c r="B9588" t="e">
        <f>- - Los demas</f>
        <v>#NAME?</v>
      </c>
    </row>
    <row r="9589" spans="1:2" x14ac:dyDescent="0.25">
      <c r="A9589">
        <v>2933291</v>
      </c>
      <c r="B9589" t="s">
        <v>3825</v>
      </c>
    </row>
    <row r="9590" spans="1:2" x14ac:dyDescent="0.25">
      <c r="A9590">
        <v>29332911000</v>
      </c>
      <c r="B9590" t="s">
        <v>3826</v>
      </c>
    </row>
    <row r="9591" spans="1:2" x14ac:dyDescent="0.25">
      <c r="A9591">
        <v>29332912000</v>
      </c>
      <c r="B9591" t="s">
        <v>3827</v>
      </c>
    </row>
    <row r="9592" spans="1:2" x14ac:dyDescent="0.25">
      <c r="A9592">
        <v>29332913000</v>
      </c>
      <c r="B9592" t="s">
        <v>3828</v>
      </c>
    </row>
    <row r="9593" spans="1:2" x14ac:dyDescent="0.25">
      <c r="A9593">
        <v>29332919000</v>
      </c>
      <c r="B9593" t="s">
        <v>10</v>
      </c>
    </row>
    <row r="9594" spans="1:2" x14ac:dyDescent="0.25">
      <c r="A9594">
        <v>2933292</v>
      </c>
      <c r="B9594" t="s">
        <v>3829</v>
      </c>
    </row>
    <row r="9595" spans="1:2" x14ac:dyDescent="0.25">
      <c r="A9595">
        <v>29332921000</v>
      </c>
      <c r="B9595" t="s">
        <v>3830</v>
      </c>
    </row>
    <row r="9596" spans="1:2" x14ac:dyDescent="0.25">
      <c r="A9596">
        <v>29332922000</v>
      </c>
      <c r="B9596" t="s">
        <v>3831</v>
      </c>
    </row>
    <row r="9597" spans="1:2" x14ac:dyDescent="0.25">
      <c r="A9597">
        <v>29332923000</v>
      </c>
      <c r="B9597" t="s">
        <v>3832</v>
      </c>
    </row>
    <row r="9598" spans="1:2" x14ac:dyDescent="0.25">
      <c r="A9598">
        <v>29332924000</v>
      </c>
      <c r="B9598" t="s">
        <v>3833</v>
      </c>
    </row>
    <row r="9599" spans="1:2" x14ac:dyDescent="0.25">
      <c r="A9599">
        <v>29332925000</v>
      </c>
      <c r="B9599" t="s">
        <v>3834</v>
      </c>
    </row>
    <row r="9600" spans="1:2" x14ac:dyDescent="0.25">
      <c r="A9600">
        <v>29332929</v>
      </c>
      <c r="B9600" t="s">
        <v>10</v>
      </c>
    </row>
    <row r="9601" spans="1:2" x14ac:dyDescent="0.25">
      <c r="A9601">
        <v>293329291</v>
      </c>
      <c r="B9601" t="s">
        <v>2450</v>
      </c>
    </row>
    <row r="9602" spans="1:2" x14ac:dyDescent="0.25">
      <c r="A9602">
        <v>29332929110</v>
      </c>
      <c r="B9602" t="s">
        <v>3835</v>
      </c>
    </row>
    <row r="9603" spans="1:2" x14ac:dyDescent="0.25">
      <c r="A9603">
        <v>29332929190</v>
      </c>
      <c r="B9603" t="s">
        <v>10</v>
      </c>
    </row>
    <row r="9604" spans="1:2" x14ac:dyDescent="0.25">
      <c r="A9604">
        <v>29332929900</v>
      </c>
      <c r="B9604" t="s">
        <v>10</v>
      </c>
    </row>
    <row r="9605" spans="1:2" x14ac:dyDescent="0.25">
      <c r="A9605">
        <v>29332930</v>
      </c>
      <c r="B9605" t="s">
        <v>3836</v>
      </c>
    </row>
    <row r="9606" spans="1:2" x14ac:dyDescent="0.25">
      <c r="A9606">
        <v>29332930100</v>
      </c>
      <c r="B9606" t="s">
        <v>3837</v>
      </c>
    </row>
    <row r="9607" spans="1:2" x14ac:dyDescent="0.25">
      <c r="A9607">
        <v>29332930200</v>
      </c>
      <c r="B9607" t="s">
        <v>2195</v>
      </c>
    </row>
    <row r="9608" spans="1:2" x14ac:dyDescent="0.25">
      <c r="A9608">
        <v>29332940000</v>
      </c>
      <c r="B9608" t="s">
        <v>3838</v>
      </c>
    </row>
    <row r="9609" spans="1:2" x14ac:dyDescent="0.25">
      <c r="A9609">
        <v>2933299</v>
      </c>
      <c r="B9609" t="s">
        <v>10</v>
      </c>
    </row>
    <row r="9610" spans="1:2" x14ac:dyDescent="0.25">
      <c r="A9610">
        <v>29332991000</v>
      </c>
      <c r="B9610" t="s">
        <v>3839</v>
      </c>
    </row>
    <row r="9611" spans="1:2" x14ac:dyDescent="0.25">
      <c r="A9611">
        <v>29332992000</v>
      </c>
      <c r="B9611" t="s">
        <v>3840</v>
      </c>
    </row>
    <row r="9612" spans="1:2" x14ac:dyDescent="0.25">
      <c r="A9612">
        <v>29332993000</v>
      </c>
      <c r="B9612" t="s">
        <v>3841</v>
      </c>
    </row>
    <row r="9613" spans="1:2" x14ac:dyDescent="0.25">
      <c r="A9613">
        <v>29332994000</v>
      </c>
      <c r="B9613" t="s">
        <v>3842</v>
      </c>
    </row>
    <row r="9614" spans="1:2" x14ac:dyDescent="0.25">
      <c r="A9614">
        <v>29332995000</v>
      </c>
      <c r="B9614" t="s">
        <v>3843</v>
      </c>
    </row>
    <row r="9615" spans="1:2" x14ac:dyDescent="0.25">
      <c r="A9615">
        <v>29332999</v>
      </c>
      <c r="B9615" t="s">
        <v>10</v>
      </c>
    </row>
    <row r="9616" spans="1:2" x14ac:dyDescent="0.25">
      <c r="A9616">
        <v>29332999100</v>
      </c>
      <c r="B9616" t="s">
        <v>3844</v>
      </c>
    </row>
    <row r="9617" spans="1:2" x14ac:dyDescent="0.25">
      <c r="A9617">
        <v>29332999900</v>
      </c>
      <c r="B9617" t="s">
        <v>10</v>
      </c>
    </row>
    <row r="9618" spans="1:2" x14ac:dyDescent="0.25">
      <c r="A9618">
        <v>29333</v>
      </c>
      <c r="B9618" t="s">
        <v>3845</v>
      </c>
    </row>
    <row r="9619" spans="1:2" x14ac:dyDescent="0.25">
      <c r="A9619">
        <v>293331</v>
      </c>
      <c r="B9619" t="e">
        <f>- - piridina y sus sales</f>
        <v>#NAME?</v>
      </c>
    </row>
    <row r="9620" spans="1:2" x14ac:dyDescent="0.25">
      <c r="A9620">
        <v>29333110000</v>
      </c>
      <c r="B9620" t="s">
        <v>3846</v>
      </c>
    </row>
    <row r="9621" spans="1:2" x14ac:dyDescent="0.25">
      <c r="A9621">
        <v>29333120000</v>
      </c>
      <c r="B9621" t="s">
        <v>2195</v>
      </c>
    </row>
    <row r="9622" spans="1:2" x14ac:dyDescent="0.25">
      <c r="A9622">
        <v>29333200</v>
      </c>
      <c r="B9622" t="e">
        <f>- - Piperidina y sus sales</f>
        <v>#NAME?</v>
      </c>
    </row>
    <row r="9623" spans="1:2" x14ac:dyDescent="0.25">
      <c r="A9623">
        <v>293332001</v>
      </c>
      <c r="B9623" t="s">
        <v>3847</v>
      </c>
    </row>
    <row r="9624" spans="1:2" x14ac:dyDescent="0.25">
      <c r="A9624">
        <v>29333200110</v>
      </c>
      <c r="B9624" t="s">
        <v>1131</v>
      </c>
    </row>
    <row r="9625" spans="1:2" x14ac:dyDescent="0.25">
      <c r="A9625">
        <v>29333200190</v>
      </c>
      <c r="B9625" t="s">
        <v>57</v>
      </c>
    </row>
    <row r="9626" spans="1:2" x14ac:dyDescent="0.25">
      <c r="A9626">
        <v>29333200200</v>
      </c>
      <c r="B9626" t="s">
        <v>2195</v>
      </c>
    </row>
    <row r="9627" spans="1:2" x14ac:dyDescent="0.25">
      <c r="A9627">
        <v>293333</v>
      </c>
      <c r="B9627" t="s">
        <v>3848</v>
      </c>
    </row>
    <row r="9628" spans="1:2" x14ac:dyDescent="0.25">
      <c r="A9628">
        <v>2933331</v>
      </c>
      <c r="B9628" t="s">
        <v>3849</v>
      </c>
    </row>
    <row r="9629" spans="1:2" x14ac:dyDescent="0.25">
      <c r="A9629">
        <v>29333311000</v>
      </c>
      <c r="B9629" t="s">
        <v>3850</v>
      </c>
    </row>
    <row r="9630" spans="1:2" x14ac:dyDescent="0.25">
      <c r="A9630">
        <v>29333312000</v>
      </c>
      <c r="B9630" t="s">
        <v>3851</v>
      </c>
    </row>
    <row r="9631" spans="1:2" x14ac:dyDescent="0.25">
      <c r="A9631">
        <v>29333319000</v>
      </c>
      <c r="B9631" t="s">
        <v>10</v>
      </c>
    </row>
    <row r="9632" spans="1:2" x14ac:dyDescent="0.25">
      <c r="A9632">
        <v>2933332</v>
      </c>
      <c r="B9632" t="s">
        <v>3852</v>
      </c>
    </row>
    <row r="9633" spans="1:2" x14ac:dyDescent="0.25">
      <c r="A9633">
        <v>29333321000</v>
      </c>
      <c r="B9633" t="s">
        <v>3853</v>
      </c>
    </row>
    <row r="9634" spans="1:2" x14ac:dyDescent="0.25">
      <c r="A9634">
        <v>29333322000</v>
      </c>
      <c r="B9634" t="s">
        <v>3854</v>
      </c>
    </row>
    <row r="9635" spans="1:2" x14ac:dyDescent="0.25">
      <c r="A9635">
        <v>29333329</v>
      </c>
      <c r="B9635" t="s">
        <v>10</v>
      </c>
    </row>
    <row r="9636" spans="1:2" x14ac:dyDescent="0.25">
      <c r="A9636">
        <v>29333329100</v>
      </c>
      <c r="B9636" t="s">
        <v>3855</v>
      </c>
    </row>
    <row r="9637" spans="1:2" x14ac:dyDescent="0.25">
      <c r="A9637">
        <v>29333329200</v>
      </c>
      <c r="B9637" t="s">
        <v>3856</v>
      </c>
    </row>
    <row r="9638" spans="1:2" x14ac:dyDescent="0.25">
      <c r="A9638">
        <v>29333330000</v>
      </c>
      <c r="B9638" t="s">
        <v>3857</v>
      </c>
    </row>
    <row r="9639" spans="1:2" x14ac:dyDescent="0.25">
      <c r="A9639">
        <v>2933334</v>
      </c>
      <c r="B9639" t="s">
        <v>3858</v>
      </c>
    </row>
    <row r="9640" spans="1:2" x14ac:dyDescent="0.25">
      <c r="A9640">
        <v>29333341000</v>
      </c>
      <c r="B9640" t="s">
        <v>3859</v>
      </c>
    </row>
    <row r="9641" spans="1:2" x14ac:dyDescent="0.25">
      <c r="A9641">
        <v>29333342000</v>
      </c>
      <c r="B9641" t="s">
        <v>3860</v>
      </c>
    </row>
    <row r="9642" spans="1:2" x14ac:dyDescent="0.25">
      <c r="A9642">
        <v>29333349000</v>
      </c>
      <c r="B9642" t="s">
        <v>10</v>
      </c>
    </row>
    <row r="9643" spans="1:2" x14ac:dyDescent="0.25">
      <c r="A9643">
        <v>2933335</v>
      </c>
      <c r="B9643" t="s">
        <v>3861</v>
      </c>
    </row>
    <row r="9644" spans="1:2" x14ac:dyDescent="0.25">
      <c r="A9644">
        <v>29333351000</v>
      </c>
      <c r="B9644" t="s">
        <v>3862</v>
      </c>
    </row>
    <row r="9645" spans="1:2" x14ac:dyDescent="0.25">
      <c r="A9645">
        <v>29333352000</v>
      </c>
      <c r="B9645" t="s">
        <v>3863</v>
      </c>
    </row>
    <row r="9646" spans="1:2" x14ac:dyDescent="0.25">
      <c r="A9646">
        <v>29333359000</v>
      </c>
      <c r="B9646" t="s">
        <v>10</v>
      </c>
    </row>
    <row r="9647" spans="1:2" x14ac:dyDescent="0.25">
      <c r="A9647">
        <v>2933336</v>
      </c>
      <c r="B9647" t="s">
        <v>3864</v>
      </c>
    </row>
    <row r="9648" spans="1:2" x14ac:dyDescent="0.25">
      <c r="A9648">
        <v>29333361000</v>
      </c>
      <c r="B9648" t="s">
        <v>3865</v>
      </c>
    </row>
    <row r="9649" spans="1:2" x14ac:dyDescent="0.25">
      <c r="A9649">
        <v>29333362000</v>
      </c>
      <c r="B9649" t="s">
        <v>3866</v>
      </c>
    </row>
    <row r="9650" spans="1:2" x14ac:dyDescent="0.25">
      <c r="A9650">
        <v>29333363000</v>
      </c>
      <c r="B9650" t="s">
        <v>3867</v>
      </c>
    </row>
    <row r="9651" spans="1:2" x14ac:dyDescent="0.25">
      <c r="A9651">
        <v>29333369</v>
      </c>
      <c r="B9651" t="s">
        <v>10</v>
      </c>
    </row>
    <row r="9652" spans="1:2" x14ac:dyDescent="0.25">
      <c r="A9652">
        <v>29333369100</v>
      </c>
      <c r="B9652" t="s">
        <v>3868</v>
      </c>
    </row>
    <row r="9653" spans="1:2" x14ac:dyDescent="0.25">
      <c r="A9653">
        <v>29333369200</v>
      </c>
      <c r="B9653" t="s">
        <v>3869</v>
      </c>
    </row>
    <row r="9654" spans="1:2" x14ac:dyDescent="0.25">
      <c r="A9654">
        <v>29333369300</v>
      </c>
      <c r="B9654" t="s">
        <v>3870</v>
      </c>
    </row>
    <row r="9655" spans="1:2" x14ac:dyDescent="0.25">
      <c r="A9655">
        <v>2933337</v>
      </c>
      <c r="B9655" t="s">
        <v>3871</v>
      </c>
    </row>
    <row r="9656" spans="1:2" x14ac:dyDescent="0.25">
      <c r="A9656">
        <v>29333371000</v>
      </c>
      <c r="B9656" t="s">
        <v>3872</v>
      </c>
    </row>
    <row r="9657" spans="1:2" x14ac:dyDescent="0.25">
      <c r="A9657">
        <v>29333372000</v>
      </c>
      <c r="B9657" t="s">
        <v>3873</v>
      </c>
    </row>
    <row r="9658" spans="1:2" x14ac:dyDescent="0.25">
      <c r="A9658">
        <v>29333379000</v>
      </c>
      <c r="B9658" t="s">
        <v>10</v>
      </c>
    </row>
    <row r="9659" spans="1:2" x14ac:dyDescent="0.25">
      <c r="A9659">
        <v>2933338</v>
      </c>
      <c r="B9659" t="s">
        <v>3874</v>
      </c>
    </row>
    <row r="9660" spans="1:2" x14ac:dyDescent="0.25">
      <c r="A9660">
        <v>29333381000</v>
      </c>
      <c r="B9660" t="s">
        <v>3875</v>
      </c>
    </row>
    <row r="9661" spans="1:2" x14ac:dyDescent="0.25">
      <c r="A9661">
        <v>29333382000</v>
      </c>
      <c r="B9661" t="s">
        <v>3876</v>
      </c>
    </row>
    <row r="9662" spans="1:2" x14ac:dyDescent="0.25">
      <c r="A9662">
        <v>29333383000</v>
      </c>
      <c r="B9662" t="s">
        <v>3877</v>
      </c>
    </row>
    <row r="9663" spans="1:2" x14ac:dyDescent="0.25">
      <c r="A9663">
        <v>29333384000</v>
      </c>
      <c r="B9663" t="s">
        <v>3878</v>
      </c>
    </row>
    <row r="9664" spans="1:2" x14ac:dyDescent="0.25">
      <c r="A9664">
        <v>29333389</v>
      </c>
      <c r="B9664" t="s">
        <v>10</v>
      </c>
    </row>
    <row r="9665" spans="1:2" x14ac:dyDescent="0.25">
      <c r="A9665">
        <v>29333389100</v>
      </c>
      <c r="B9665" t="s">
        <v>3361</v>
      </c>
    </row>
    <row r="9666" spans="1:2" x14ac:dyDescent="0.25">
      <c r="A9666">
        <v>29333389200</v>
      </c>
      <c r="B9666" t="s">
        <v>2740</v>
      </c>
    </row>
    <row r="9667" spans="1:2" x14ac:dyDescent="0.25">
      <c r="A9667">
        <v>2933339</v>
      </c>
      <c r="B9667" t="s">
        <v>3879</v>
      </c>
    </row>
    <row r="9668" spans="1:2" x14ac:dyDescent="0.25">
      <c r="A9668">
        <v>29333391000</v>
      </c>
      <c r="B9668" t="s">
        <v>3880</v>
      </c>
    </row>
    <row r="9669" spans="1:2" x14ac:dyDescent="0.25">
      <c r="A9669">
        <v>29333392000</v>
      </c>
      <c r="B9669" t="s">
        <v>3881</v>
      </c>
    </row>
    <row r="9670" spans="1:2" x14ac:dyDescent="0.25">
      <c r="A9670">
        <v>29333393000</v>
      </c>
      <c r="B9670" t="s">
        <v>3882</v>
      </c>
    </row>
    <row r="9671" spans="1:2" x14ac:dyDescent="0.25">
      <c r="A9671">
        <v>29333399000</v>
      </c>
      <c r="B9671" t="s">
        <v>10</v>
      </c>
    </row>
    <row r="9672" spans="1:2" x14ac:dyDescent="0.25">
      <c r="A9672">
        <v>293339</v>
      </c>
      <c r="B9672" t="e">
        <f>- - Los demas</f>
        <v>#NAME?</v>
      </c>
    </row>
    <row r="9673" spans="1:2" x14ac:dyDescent="0.25">
      <c r="A9673">
        <v>2933391</v>
      </c>
      <c r="B9673" t="s">
        <v>3883</v>
      </c>
    </row>
    <row r="9674" spans="1:2" x14ac:dyDescent="0.25">
      <c r="A9674">
        <v>29333912000</v>
      </c>
      <c r="B9674" t="s">
        <v>3884</v>
      </c>
    </row>
    <row r="9675" spans="1:2" x14ac:dyDescent="0.25">
      <c r="A9675">
        <v>29333913000</v>
      </c>
      <c r="B9675" t="s">
        <v>3885</v>
      </c>
    </row>
    <row r="9676" spans="1:2" x14ac:dyDescent="0.25">
      <c r="A9676">
        <v>29333914000</v>
      </c>
      <c r="B9676" t="s">
        <v>3886</v>
      </c>
    </row>
    <row r="9677" spans="1:2" x14ac:dyDescent="0.25">
      <c r="A9677">
        <v>29333915000</v>
      </c>
      <c r="B9677" t="s">
        <v>3887</v>
      </c>
    </row>
    <row r="9678" spans="1:2" x14ac:dyDescent="0.25">
      <c r="A9678">
        <v>29333919</v>
      </c>
      <c r="B9678" t="s">
        <v>10</v>
      </c>
    </row>
    <row r="9679" spans="1:2" x14ac:dyDescent="0.25">
      <c r="A9679">
        <v>293339191</v>
      </c>
      <c r="B9679" t="s">
        <v>2450</v>
      </c>
    </row>
    <row r="9680" spans="1:2" x14ac:dyDescent="0.25">
      <c r="A9680">
        <v>29333919110</v>
      </c>
      <c r="B9680" t="s">
        <v>3888</v>
      </c>
    </row>
    <row r="9681" spans="1:2" x14ac:dyDescent="0.25">
      <c r="A9681">
        <v>29333919120</v>
      </c>
      <c r="B9681" t="s">
        <v>3889</v>
      </c>
    </row>
    <row r="9682" spans="1:2" x14ac:dyDescent="0.25">
      <c r="A9682">
        <v>29333919130</v>
      </c>
      <c r="B9682" t="s">
        <v>3890</v>
      </c>
    </row>
    <row r="9683" spans="1:2" x14ac:dyDescent="0.25">
      <c r="A9683">
        <v>29333919140</v>
      </c>
      <c r="B9683" t="s">
        <v>3891</v>
      </c>
    </row>
    <row r="9684" spans="1:2" x14ac:dyDescent="0.25">
      <c r="A9684">
        <v>29333919190</v>
      </c>
      <c r="B9684" t="s">
        <v>10</v>
      </c>
    </row>
    <row r="9685" spans="1:2" x14ac:dyDescent="0.25">
      <c r="A9685">
        <v>29333919200</v>
      </c>
      <c r="B9685" t="s">
        <v>3892</v>
      </c>
    </row>
    <row r="9686" spans="1:2" x14ac:dyDescent="0.25">
      <c r="A9686">
        <v>29333919300</v>
      </c>
      <c r="B9686" t="s">
        <v>2740</v>
      </c>
    </row>
    <row r="9687" spans="1:2" x14ac:dyDescent="0.25">
      <c r="A9687">
        <v>29333919400</v>
      </c>
      <c r="B9687" t="s">
        <v>3893</v>
      </c>
    </row>
    <row r="9688" spans="1:2" x14ac:dyDescent="0.25">
      <c r="A9688">
        <v>29333919900</v>
      </c>
      <c r="B9688" t="s">
        <v>10</v>
      </c>
    </row>
    <row r="9689" spans="1:2" x14ac:dyDescent="0.25">
      <c r="A9689">
        <v>2933392</v>
      </c>
      <c r="B9689" t="s">
        <v>3894</v>
      </c>
    </row>
    <row r="9690" spans="1:2" x14ac:dyDescent="0.25">
      <c r="A9690">
        <v>29333921000</v>
      </c>
      <c r="B9690" t="s">
        <v>3895</v>
      </c>
    </row>
    <row r="9691" spans="1:2" x14ac:dyDescent="0.25">
      <c r="A9691">
        <v>29333922000</v>
      </c>
      <c r="B9691" t="s">
        <v>3896</v>
      </c>
    </row>
    <row r="9692" spans="1:2" x14ac:dyDescent="0.25">
      <c r="A9692">
        <v>29333923000</v>
      </c>
      <c r="B9692" t="s">
        <v>3897</v>
      </c>
    </row>
    <row r="9693" spans="1:2" x14ac:dyDescent="0.25">
      <c r="A9693">
        <v>29333924000</v>
      </c>
      <c r="B9693" t="s">
        <v>3898</v>
      </c>
    </row>
    <row r="9694" spans="1:2" x14ac:dyDescent="0.25">
      <c r="A9694">
        <v>29333925000</v>
      </c>
      <c r="B9694" t="s">
        <v>3899</v>
      </c>
    </row>
    <row r="9695" spans="1:2" x14ac:dyDescent="0.25">
      <c r="A9695">
        <v>29333929</v>
      </c>
      <c r="B9695" t="s">
        <v>10</v>
      </c>
    </row>
    <row r="9696" spans="1:2" x14ac:dyDescent="0.25">
      <c r="A9696">
        <v>293339291</v>
      </c>
      <c r="B9696" t="s">
        <v>2450</v>
      </c>
    </row>
    <row r="9697" spans="1:2" x14ac:dyDescent="0.25">
      <c r="A9697">
        <v>29333929110</v>
      </c>
      <c r="B9697" t="s">
        <v>3900</v>
      </c>
    </row>
    <row r="9698" spans="1:2" x14ac:dyDescent="0.25">
      <c r="A9698">
        <v>29333929130</v>
      </c>
      <c r="B9698" t="s">
        <v>3901</v>
      </c>
    </row>
    <row r="9699" spans="1:2" x14ac:dyDescent="0.25">
      <c r="A9699">
        <v>29333929140</v>
      </c>
      <c r="B9699" t="s">
        <v>3902</v>
      </c>
    </row>
    <row r="9700" spans="1:2" x14ac:dyDescent="0.25">
      <c r="A9700">
        <v>29333929190</v>
      </c>
      <c r="B9700" t="s">
        <v>10</v>
      </c>
    </row>
    <row r="9701" spans="1:2" x14ac:dyDescent="0.25">
      <c r="A9701">
        <v>29333929200</v>
      </c>
      <c r="B9701" t="s">
        <v>3903</v>
      </c>
    </row>
    <row r="9702" spans="1:2" x14ac:dyDescent="0.25">
      <c r="A9702">
        <v>29333929300</v>
      </c>
      <c r="B9702" t="s">
        <v>3904</v>
      </c>
    </row>
    <row r="9703" spans="1:2" x14ac:dyDescent="0.25">
      <c r="A9703">
        <v>29333929900</v>
      </c>
      <c r="B9703" t="s">
        <v>10</v>
      </c>
    </row>
    <row r="9704" spans="1:2" x14ac:dyDescent="0.25">
      <c r="A9704">
        <v>2933393</v>
      </c>
      <c r="B9704" t="s">
        <v>3905</v>
      </c>
    </row>
    <row r="9705" spans="1:2" x14ac:dyDescent="0.25">
      <c r="A9705">
        <v>29333931000</v>
      </c>
      <c r="B9705" t="s">
        <v>3906</v>
      </c>
    </row>
    <row r="9706" spans="1:2" x14ac:dyDescent="0.25">
      <c r="A9706">
        <v>29333932000</v>
      </c>
      <c r="B9706" t="s">
        <v>3907</v>
      </c>
    </row>
    <row r="9707" spans="1:2" x14ac:dyDescent="0.25">
      <c r="A9707">
        <v>29333933000</v>
      </c>
      <c r="B9707" t="s">
        <v>3908</v>
      </c>
    </row>
    <row r="9708" spans="1:2" x14ac:dyDescent="0.25">
      <c r="A9708">
        <v>29333934000</v>
      </c>
      <c r="B9708" t="s">
        <v>3909</v>
      </c>
    </row>
    <row r="9709" spans="1:2" x14ac:dyDescent="0.25">
      <c r="A9709">
        <v>29333935000</v>
      </c>
      <c r="B9709" t="s">
        <v>3910</v>
      </c>
    </row>
    <row r="9710" spans="1:2" x14ac:dyDescent="0.25">
      <c r="A9710">
        <v>29333936000</v>
      </c>
      <c r="B9710" t="s">
        <v>3911</v>
      </c>
    </row>
    <row r="9711" spans="1:2" x14ac:dyDescent="0.25">
      <c r="A9711">
        <v>29333939</v>
      </c>
      <c r="B9711" t="s">
        <v>10</v>
      </c>
    </row>
    <row r="9712" spans="1:2" x14ac:dyDescent="0.25">
      <c r="A9712">
        <v>293339391</v>
      </c>
      <c r="B9712" t="s">
        <v>2450</v>
      </c>
    </row>
    <row r="9713" spans="1:2" x14ac:dyDescent="0.25">
      <c r="A9713">
        <v>29333939110</v>
      </c>
      <c r="B9713" t="s">
        <v>3912</v>
      </c>
    </row>
    <row r="9714" spans="1:2" x14ac:dyDescent="0.25">
      <c r="A9714">
        <v>29333939190</v>
      </c>
      <c r="B9714" t="s">
        <v>10</v>
      </c>
    </row>
    <row r="9715" spans="1:2" x14ac:dyDescent="0.25">
      <c r="A9715">
        <v>293339392</v>
      </c>
      <c r="B9715" t="s">
        <v>3361</v>
      </c>
    </row>
    <row r="9716" spans="1:2" x14ac:dyDescent="0.25">
      <c r="A9716">
        <v>29333939210</v>
      </c>
      <c r="B9716" t="s">
        <v>3913</v>
      </c>
    </row>
    <row r="9717" spans="1:2" x14ac:dyDescent="0.25">
      <c r="A9717">
        <v>29333939290</v>
      </c>
      <c r="B9717" t="s">
        <v>3914</v>
      </c>
    </row>
    <row r="9718" spans="1:2" x14ac:dyDescent="0.25">
      <c r="A9718">
        <v>29333939300</v>
      </c>
      <c r="B9718" t="s">
        <v>2740</v>
      </c>
    </row>
    <row r="9719" spans="1:2" x14ac:dyDescent="0.25">
      <c r="A9719">
        <v>29333939400</v>
      </c>
      <c r="B9719" t="s">
        <v>3915</v>
      </c>
    </row>
    <row r="9720" spans="1:2" x14ac:dyDescent="0.25">
      <c r="A9720">
        <v>293339395</v>
      </c>
      <c r="B9720" t="s">
        <v>3916</v>
      </c>
    </row>
    <row r="9721" spans="1:2" x14ac:dyDescent="0.25">
      <c r="A9721">
        <v>29333939510</v>
      </c>
      <c r="B9721" t="s">
        <v>3917</v>
      </c>
    </row>
    <row r="9722" spans="1:2" x14ac:dyDescent="0.25">
      <c r="A9722">
        <v>29333939520</v>
      </c>
      <c r="B9722" t="s">
        <v>3918</v>
      </c>
    </row>
    <row r="9723" spans="1:2" x14ac:dyDescent="0.25">
      <c r="A9723">
        <v>29333939600</v>
      </c>
      <c r="B9723" t="s">
        <v>3283</v>
      </c>
    </row>
    <row r="9724" spans="1:2" x14ac:dyDescent="0.25">
      <c r="A9724">
        <v>29333939700</v>
      </c>
      <c r="B9724" t="s">
        <v>3573</v>
      </c>
    </row>
    <row r="9725" spans="1:2" x14ac:dyDescent="0.25">
      <c r="A9725">
        <v>29333939900</v>
      </c>
      <c r="B9725" t="s">
        <v>10</v>
      </c>
    </row>
    <row r="9726" spans="1:2" x14ac:dyDescent="0.25">
      <c r="A9726">
        <v>2933394</v>
      </c>
      <c r="B9726" t="s">
        <v>3919</v>
      </c>
    </row>
    <row r="9727" spans="1:2" x14ac:dyDescent="0.25">
      <c r="A9727">
        <v>29333943000</v>
      </c>
      <c r="B9727" t="s">
        <v>3920</v>
      </c>
    </row>
    <row r="9728" spans="1:2" x14ac:dyDescent="0.25">
      <c r="A9728">
        <v>29333944000</v>
      </c>
      <c r="B9728" t="s">
        <v>3921</v>
      </c>
    </row>
    <row r="9729" spans="1:2" x14ac:dyDescent="0.25">
      <c r="A9729">
        <v>29333945000</v>
      </c>
      <c r="B9729" t="s">
        <v>3922</v>
      </c>
    </row>
    <row r="9730" spans="1:2" x14ac:dyDescent="0.25">
      <c r="A9730">
        <v>29333946000</v>
      </c>
      <c r="B9730" t="s">
        <v>3923</v>
      </c>
    </row>
    <row r="9731" spans="1:2" x14ac:dyDescent="0.25">
      <c r="A9731">
        <v>29333947000</v>
      </c>
      <c r="B9731" t="s">
        <v>3924</v>
      </c>
    </row>
    <row r="9732" spans="1:2" x14ac:dyDescent="0.25">
      <c r="A9732">
        <v>29333948000</v>
      </c>
      <c r="B9732" t="s">
        <v>3925</v>
      </c>
    </row>
    <row r="9733" spans="1:2" x14ac:dyDescent="0.25">
      <c r="A9733">
        <v>29333949</v>
      </c>
      <c r="B9733" t="s">
        <v>10</v>
      </c>
    </row>
    <row r="9734" spans="1:2" x14ac:dyDescent="0.25">
      <c r="A9734">
        <v>29333949100</v>
      </c>
      <c r="B9734" t="s">
        <v>2450</v>
      </c>
    </row>
    <row r="9735" spans="1:2" x14ac:dyDescent="0.25">
      <c r="A9735">
        <v>293339492</v>
      </c>
      <c r="B9735" t="s">
        <v>3361</v>
      </c>
    </row>
    <row r="9736" spans="1:2" x14ac:dyDescent="0.25">
      <c r="A9736">
        <v>29333949210</v>
      </c>
      <c r="B9736" t="s">
        <v>3913</v>
      </c>
    </row>
    <row r="9737" spans="1:2" x14ac:dyDescent="0.25">
      <c r="A9737">
        <v>29333949290</v>
      </c>
      <c r="B9737" t="s">
        <v>3914</v>
      </c>
    </row>
    <row r="9738" spans="1:2" x14ac:dyDescent="0.25">
      <c r="A9738">
        <v>29333949300</v>
      </c>
      <c r="B9738" t="s">
        <v>2740</v>
      </c>
    </row>
    <row r="9739" spans="1:2" x14ac:dyDescent="0.25">
      <c r="A9739">
        <v>29333949400</v>
      </c>
      <c r="B9739" t="s">
        <v>3893</v>
      </c>
    </row>
    <row r="9740" spans="1:2" x14ac:dyDescent="0.25">
      <c r="A9740">
        <v>29333949500</v>
      </c>
      <c r="B9740" t="s">
        <v>3573</v>
      </c>
    </row>
    <row r="9741" spans="1:2" x14ac:dyDescent="0.25">
      <c r="A9741">
        <v>29333949900</v>
      </c>
      <c r="B9741" t="s">
        <v>10</v>
      </c>
    </row>
    <row r="9742" spans="1:2" x14ac:dyDescent="0.25">
      <c r="A9742">
        <v>2933398</v>
      </c>
      <c r="B9742" t="s">
        <v>3926</v>
      </c>
    </row>
    <row r="9743" spans="1:2" x14ac:dyDescent="0.25">
      <c r="A9743">
        <v>29333981000</v>
      </c>
      <c r="B9743" t="s">
        <v>3927</v>
      </c>
    </row>
    <row r="9744" spans="1:2" x14ac:dyDescent="0.25">
      <c r="A9744">
        <v>29333982000</v>
      </c>
      <c r="B9744" t="s">
        <v>3928</v>
      </c>
    </row>
    <row r="9745" spans="1:2" x14ac:dyDescent="0.25">
      <c r="A9745">
        <v>29333983000</v>
      </c>
      <c r="B9745" t="s">
        <v>3929</v>
      </c>
    </row>
    <row r="9746" spans="1:2" x14ac:dyDescent="0.25">
      <c r="A9746">
        <v>29333984000</v>
      </c>
      <c r="B9746" t="s">
        <v>3930</v>
      </c>
    </row>
    <row r="9747" spans="1:2" x14ac:dyDescent="0.25">
      <c r="A9747">
        <v>29333989</v>
      </c>
      <c r="B9747" t="s">
        <v>10</v>
      </c>
    </row>
    <row r="9748" spans="1:2" x14ac:dyDescent="0.25">
      <c r="A9748">
        <v>293339891</v>
      </c>
      <c r="B9748" t="s">
        <v>2450</v>
      </c>
    </row>
    <row r="9749" spans="1:2" x14ac:dyDescent="0.25">
      <c r="A9749">
        <v>29333989110</v>
      </c>
      <c r="B9749" t="s">
        <v>3931</v>
      </c>
    </row>
    <row r="9750" spans="1:2" x14ac:dyDescent="0.25">
      <c r="A9750">
        <v>29333989120</v>
      </c>
      <c r="B9750" t="s">
        <v>3932</v>
      </c>
    </row>
    <row r="9751" spans="1:2" x14ac:dyDescent="0.25">
      <c r="A9751">
        <v>29333989190</v>
      </c>
      <c r="B9751" t="s">
        <v>10</v>
      </c>
    </row>
    <row r="9752" spans="1:2" x14ac:dyDescent="0.25">
      <c r="A9752">
        <v>293339892</v>
      </c>
      <c r="B9752" t="s">
        <v>1157</v>
      </c>
    </row>
    <row r="9753" spans="1:2" x14ac:dyDescent="0.25">
      <c r="A9753">
        <v>29333989210</v>
      </c>
      <c r="B9753" t="s">
        <v>3913</v>
      </c>
    </row>
    <row r="9754" spans="1:2" x14ac:dyDescent="0.25">
      <c r="A9754">
        <v>29333989290</v>
      </c>
      <c r="B9754" t="s">
        <v>3914</v>
      </c>
    </row>
    <row r="9755" spans="1:2" x14ac:dyDescent="0.25">
      <c r="A9755">
        <v>29333989300</v>
      </c>
      <c r="B9755" t="s">
        <v>2740</v>
      </c>
    </row>
    <row r="9756" spans="1:2" x14ac:dyDescent="0.25">
      <c r="A9756">
        <v>293339894</v>
      </c>
      <c r="B9756" t="s">
        <v>3933</v>
      </c>
    </row>
    <row r="9757" spans="1:2" x14ac:dyDescent="0.25">
      <c r="A9757">
        <v>29333989410</v>
      </c>
      <c r="B9757" t="s">
        <v>1131</v>
      </c>
    </row>
    <row r="9758" spans="1:2" x14ac:dyDescent="0.25">
      <c r="A9758">
        <v>29333989490</v>
      </c>
      <c r="B9758" t="s">
        <v>57</v>
      </c>
    </row>
    <row r="9759" spans="1:2" x14ac:dyDescent="0.25">
      <c r="A9759">
        <v>293339895</v>
      </c>
      <c r="B9759" t="s">
        <v>3934</v>
      </c>
    </row>
    <row r="9760" spans="1:2" x14ac:dyDescent="0.25">
      <c r="A9760">
        <v>29333989510</v>
      </c>
      <c r="B9760" t="s">
        <v>1131</v>
      </c>
    </row>
    <row r="9761" spans="1:2" x14ac:dyDescent="0.25">
      <c r="A9761">
        <v>29333989590</v>
      </c>
      <c r="B9761" t="s">
        <v>57</v>
      </c>
    </row>
    <row r="9762" spans="1:2" x14ac:dyDescent="0.25">
      <c r="A9762">
        <v>29333989600</v>
      </c>
      <c r="B9762" t="s">
        <v>3935</v>
      </c>
    </row>
    <row r="9763" spans="1:2" x14ac:dyDescent="0.25">
      <c r="A9763">
        <v>29333989900</v>
      </c>
      <c r="B9763" t="s">
        <v>10</v>
      </c>
    </row>
    <row r="9764" spans="1:2" x14ac:dyDescent="0.25">
      <c r="A9764">
        <v>2933399</v>
      </c>
      <c r="B9764" t="s">
        <v>10</v>
      </c>
    </row>
    <row r="9765" spans="1:2" x14ac:dyDescent="0.25">
      <c r="A9765">
        <v>29333991000</v>
      </c>
      <c r="B9765" t="s">
        <v>3936</v>
      </c>
    </row>
    <row r="9766" spans="1:2" x14ac:dyDescent="0.25">
      <c r="A9766">
        <v>29333992000</v>
      </c>
      <c r="B9766" t="s">
        <v>3937</v>
      </c>
    </row>
    <row r="9767" spans="1:2" x14ac:dyDescent="0.25">
      <c r="A9767">
        <v>29333993000</v>
      </c>
      <c r="B9767" t="s">
        <v>3938</v>
      </c>
    </row>
    <row r="9768" spans="1:2" x14ac:dyDescent="0.25">
      <c r="A9768">
        <v>29333994000</v>
      </c>
      <c r="B9768" t="s">
        <v>3939</v>
      </c>
    </row>
    <row r="9769" spans="1:2" x14ac:dyDescent="0.25">
      <c r="A9769">
        <v>29333999</v>
      </c>
      <c r="B9769" t="s">
        <v>10</v>
      </c>
    </row>
    <row r="9770" spans="1:2" x14ac:dyDescent="0.25">
      <c r="A9770">
        <v>29333999100</v>
      </c>
      <c r="B9770" t="s">
        <v>1157</v>
      </c>
    </row>
    <row r="9771" spans="1:2" x14ac:dyDescent="0.25">
      <c r="A9771">
        <v>29333999200</v>
      </c>
      <c r="B9771" t="s">
        <v>2740</v>
      </c>
    </row>
    <row r="9772" spans="1:2" x14ac:dyDescent="0.25">
      <c r="A9772">
        <v>29333999300</v>
      </c>
      <c r="B9772" t="s">
        <v>3940</v>
      </c>
    </row>
    <row r="9773" spans="1:2" x14ac:dyDescent="0.25">
      <c r="A9773">
        <v>29333999400</v>
      </c>
      <c r="B9773" t="s">
        <v>3893</v>
      </c>
    </row>
    <row r="9774" spans="1:2" x14ac:dyDescent="0.25">
      <c r="A9774">
        <v>29333999500</v>
      </c>
      <c r="B9774" t="s">
        <v>3941</v>
      </c>
    </row>
    <row r="9775" spans="1:2" x14ac:dyDescent="0.25">
      <c r="A9775">
        <v>29333999900</v>
      </c>
      <c r="B9775" t="s">
        <v>10</v>
      </c>
    </row>
    <row r="9776" spans="1:2" x14ac:dyDescent="0.25">
      <c r="A9776">
        <v>29334</v>
      </c>
      <c r="B9776" t="s">
        <v>3942</v>
      </c>
    </row>
    <row r="9777" spans="1:2" x14ac:dyDescent="0.25">
      <c r="A9777">
        <v>293341</v>
      </c>
      <c r="B9777" t="e">
        <f>- - Levorfanol (DCI) y sus sales</f>
        <v>#NAME?</v>
      </c>
    </row>
    <row r="9778" spans="1:2" x14ac:dyDescent="0.25">
      <c r="A9778">
        <v>29334110000</v>
      </c>
      <c r="B9778" t="s">
        <v>3943</v>
      </c>
    </row>
    <row r="9779" spans="1:2" x14ac:dyDescent="0.25">
      <c r="A9779">
        <v>29334120000</v>
      </c>
      <c r="B9779" t="s">
        <v>2195</v>
      </c>
    </row>
    <row r="9780" spans="1:2" x14ac:dyDescent="0.25">
      <c r="A9780">
        <v>293349</v>
      </c>
      <c r="B9780" t="e">
        <f>- - Los demas</f>
        <v>#NAME?</v>
      </c>
    </row>
    <row r="9781" spans="1:2" x14ac:dyDescent="0.25">
      <c r="A9781">
        <v>2933491</v>
      </c>
      <c r="B9781" t="s">
        <v>3944</v>
      </c>
    </row>
    <row r="9782" spans="1:2" x14ac:dyDescent="0.25">
      <c r="A9782">
        <v>29334911000</v>
      </c>
      <c r="B9782" t="s">
        <v>3945</v>
      </c>
    </row>
    <row r="9783" spans="1:2" x14ac:dyDescent="0.25">
      <c r="A9783">
        <v>29334912000</v>
      </c>
      <c r="B9783" t="s">
        <v>3946</v>
      </c>
    </row>
    <row r="9784" spans="1:2" x14ac:dyDescent="0.25">
      <c r="A9784">
        <v>29334913000</v>
      </c>
      <c r="B9784" t="s">
        <v>3947</v>
      </c>
    </row>
    <row r="9785" spans="1:2" x14ac:dyDescent="0.25">
      <c r="A9785">
        <v>29334919</v>
      </c>
      <c r="B9785" t="s">
        <v>10</v>
      </c>
    </row>
    <row r="9786" spans="1:2" x14ac:dyDescent="0.25">
      <c r="A9786">
        <v>293349191</v>
      </c>
      <c r="B9786" t="s">
        <v>2450</v>
      </c>
    </row>
    <row r="9787" spans="1:2" x14ac:dyDescent="0.25">
      <c r="A9787">
        <v>29334919110</v>
      </c>
      <c r="B9787" t="s">
        <v>3948</v>
      </c>
    </row>
    <row r="9788" spans="1:2" x14ac:dyDescent="0.25">
      <c r="A9788">
        <v>29334919190</v>
      </c>
      <c r="B9788" t="s">
        <v>10</v>
      </c>
    </row>
    <row r="9789" spans="1:2" x14ac:dyDescent="0.25">
      <c r="A9789">
        <v>29334919200</v>
      </c>
      <c r="B9789" t="s">
        <v>3949</v>
      </c>
    </row>
    <row r="9790" spans="1:2" x14ac:dyDescent="0.25">
      <c r="A9790">
        <v>29334919900</v>
      </c>
      <c r="B9790" t="s">
        <v>10</v>
      </c>
    </row>
    <row r="9791" spans="1:2" x14ac:dyDescent="0.25">
      <c r="A9791">
        <v>29334920000</v>
      </c>
      <c r="B9791" t="s">
        <v>3950</v>
      </c>
    </row>
    <row r="9792" spans="1:2" x14ac:dyDescent="0.25">
      <c r="A9792">
        <v>29334930000</v>
      </c>
      <c r="B9792" t="s">
        <v>3951</v>
      </c>
    </row>
    <row r="9793" spans="1:2" x14ac:dyDescent="0.25">
      <c r="A9793">
        <v>29334940000</v>
      </c>
      <c r="B9793" t="s">
        <v>3952</v>
      </c>
    </row>
    <row r="9794" spans="1:2" x14ac:dyDescent="0.25">
      <c r="A9794">
        <v>29334990</v>
      </c>
      <c r="B9794" t="s">
        <v>10</v>
      </c>
    </row>
    <row r="9795" spans="1:2" x14ac:dyDescent="0.25">
      <c r="A9795">
        <v>293349901</v>
      </c>
      <c r="B9795" t="s">
        <v>2450</v>
      </c>
    </row>
    <row r="9796" spans="1:2" x14ac:dyDescent="0.25">
      <c r="A9796">
        <v>29334990110</v>
      </c>
      <c r="B9796" t="s">
        <v>3953</v>
      </c>
    </row>
    <row r="9797" spans="1:2" x14ac:dyDescent="0.25">
      <c r="A9797">
        <v>29334990120</v>
      </c>
      <c r="B9797" t="s">
        <v>3954</v>
      </c>
    </row>
    <row r="9798" spans="1:2" x14ac:dyDescent="0.25">
      <c r="A9798">
        <v>29334990190</v>
      </c>
      <c r="B9798" t="s">
        <v>10</v>
      </c>
    </row>
    <row r="9799" spans="1:2" x14ac:dyDescent="0.25">
      <c r="A9799">
        <v>29334990200</v>
      </c>
      <c r="B9799" t="s">
        <v>1157</v>
      </c>
    </row>
    <row r="9800" spans="1:2" x14ac:dyDescent="0.25">
      <c r="A9800">
        <v>29334990300</v>
      </c>
      <c r="B9800" t="s">
        <v>2740</v>
      </c>
    </row>
    <row r="9801" spans="1:2" x14ac:dyDescent="0.25">
      <c r="A9801">
        <v>29334990400</v>
      </c>
      <c r="B9801" t="s">
        <v>3955</v>
      </c>
    </row>
    <row r="9802" spans="1:2" x14ac:dyDescent="0.25">
      <c r="A9802">
        <v>29334990500</v>
      </c>
      <c r="B9802" t="s">
        <v>3283</v>
      </c>
    </row>
    <row r="9803" spans="1:2" x14ac:dyDescent="0.25">
      <c r="A9803">
        <v>29334990900</v>
      </c>
      <c r="B9803" t="s">
        <v>10</v>
      </c>
    </row>
    <row r="9804" spans="1:2" x14ac:dyDescent="0.25">
      <c r="A9804">
        <v>29335</v>
      </c>
      <c r="B9804" t="s">
        <v>3956</v>
      </c>
    </row>
    <row r="9805" spans="1:2" x14ac:dyDescent="0.25">
      <c r="A9805">
        <v>29335200000</v>
      </c>
      <c r="B9805" t="e">
        <f>--Malonilurea (acido barbiturico) y sus sales</f>
        <v>#NAME?</v>
      </c>
    </row>
    <row r="9806" spans="1:2" x14ac:dyDescent="0.25">
      <c r="A9806">
        <v>293353</v>
      </c>
      <c r="B9806" t="s">
        <v>3957</v>
      </c>
    </row>
    <row r="9807" spans="1:2" x14ac:dyDescent="0.25">
      <c r="A9807">
        <v>2933531</v>
      </c>
      <c r="B9807" t="s">
        <v>3958</v>
      </c>
    </row>
    <row r="9808" spans="1:2" x14ac:dyDescent="0.25">
      <c r="A9808">
        <v>29335311000</v>
      </c>
      <c r="B9808" t="s">
        <v>3959</v>
      </c>
    </row>
    <row r="9809" spans="1:2" x14ac:dyDescent="0.25">
      <c r="A9809">
        <v>29335312000</v>
      </c>
      <c r="B9809" t="s">
        <v>3960</v>
      </c>
    </row>
    <row r="9810" spans="1:2" x14ac:dyDescent="0.25">
      <c r="A9810">
        <v>2933532</v>
      </c>
      <c r="B9810" t="s">
        <v>3961</v>
      </c>
    </row>
    <row r="9811" spans="1:2" x14ac:dyDescent="0.25">
      <c r="A9811">
        <v>29335321000</v>
      </c>
      <c r="B9811" t="s">
        <v>3962</v>
      </c>
    </row>
    <row r="9812" spans="1:2" x14ac:dyDescent="0.25">
      <c r="A9812">
        <v>29335322000</v>
      </c>
      <c r="B9812" t="s">
        <v>3963</v>
      </c>
    </row>
    <row r="9813" spans="1:2" x14ac:dyDescent="0.25">
      <c r="A9813">
        <v>29335323000</v>
      </c>
      <c r="B9813" t="s">
        <v>3964</v>
      </c>
    </row>
    <row r="9814" spans="1:2" x14ac:dyDescent="0.25">
      <c r="A9814">
        <v>29335330000</v>
      </c>
      <c r="B9814" t="s">
        <v>3965</v>
      </c>
    </row>
    <row r="9815" spans="1:2" x14ac:dyDescent="0.25">
      <c r="A9815">
        <v>29335340000</v>
      </c>
      <c r="B9815" t="s">
        <v>3966</v>
      </c>
    </row>
    <row r="9816" spans="1:2" x14ac:dyDescent="0.25">
      <c r="A9816">
        <v>29335350000</v>
      </c>
      <c r="B9816" t="s">
        <v>3967</v>
      </c>
    </row>
    <row r="9817" spans="1:2" x14ac:dyDescent="0.25">
      <c r="A9817">
        <v>29335360000</v>
      </c>
      <c r="B9817" t="s">
        <v>3968</v>
      </c>
    </row>
    <row r="9818" spans="1:2" x14ac:dyDescent="0.25">
      <c r="A9818">
        <v>2933537</v>
      </c>
      <c r="B9818" t="s">
        <v>3969</v>
      </c>
    </row>
    <row r="9819" spans="1:2" x14ac:dyDescent="0.25">
      <c r="A9819">
        <v>29335371000</v>
      </c>
      <c r="B9819" t="s">
        <v>3970</v>
      </c>
    </row>
    <row r="9820" spans="1:2" x14ac:dyDescent="0.25">
      <c r="A9820">
        <v>29335372000</v>
      </c>
      <c r="B9820" t="s">
        <v>3971</v>
      </c>
    </row>
    <row r="9821" spans="1:2" x14ac:dyDescent="0.25">
      <c r="A9821">
        <v>29335380000</v>
      </c>
      <c r="B9821" t="s">
        <v>3972</v>
      </c>
    </row>
    <row r="9822" spans="1:2" x14ac:dyDescent="0.25">
      <c r="A9822">
        <v>29335400000</v>
      </c>
      <c r="B9822" t="e">
        <f>--Los demas derivados de la Malonilurea (acido barbiturico), sales de estos Productos</f>
        <v>#NAME?</v>
      </c>
    </row>
    <row r="9823" spans="1:2" x14ac:dyDescent="0.25">
      <c r="A9823">
        <v>293355</v>
      </c>
      <c r="B9823" t="s">
        <v>3973</v>
      </c>
    </row>
    <row r="9824" spans="1:2" x14ac:dyDescent="0.25">
      <c r="A9824">
        <v>29335510000</v>
      </c>
      <c r="B9824" t="s">
        <v>3974</v>
      </c>
    </row>
    <row r="9825" spans="1:2" x14ac:dyDescent="0.25">
      <c r="A9825">
        <v>29335520000</v>
      </c>
      <c r="B9825" t="s">
        <v>3975</v>
      </c>
    </row>
    <row r="9826" spans="1:2" x14ac:dyDescent="0.25">
      <c r="A9826">
        <v>29335530000</v>
      </c>
      <c r="B9826" t="s">
        <v>3976</v>
      </c>
    </row>
    <row r="9827" spans="1:2" x14ac:dyDescent="0.25">
      <c r="A9827">
        <v>29335540000</v>
      </c>
      <c r="B9827" t="s">
        <v>3977</v>
      </c>
    </row>
    <row r="9828" spans="1:2" x14ac:dyDescent="0.25">
      <c r="A9828">
        <v>293359</v>
      </c>
      <c r="B9828" t="e">
        <f>- - Los demas</f>
        <v>#NAME?</v>
      </c>
    </row>
    <row r="9829" spans="1:2" x14ac:dyDescent="0.25">
      <c r="A9829">
        <v>2933591</v>
      </c>
      <c r="B9829" t="s">
        <v>3978</v>
      </c>
    </row>
    <row r="9830" spans="1:2" x14ac:dyDescent="0.25">
      <c r="A9830">
        <v>29335911000</v>
      </c>
      <c r="B9830" t="s">
        <v>3979</v>
      </c>
    </row>
    <row r="9831" spans="1:2" x14ac:dyDescent="0.25">
      <c r="A9831">
        <v>29335912000</v>
      </c>
      <c r="B9831" t="s">
        <v>3980</v>
      </c>
    </row>
    <row r="9832" spans="1:2" x14ac:dyDescent="0.25">
      <c r="A9832">
        <v>29335913</v>
      </c>
      <c r="B9832" t="s">
        <v>3981</v>
      </c>
    </row>
    <row r="9833" spans="1:2" x14ac:dyDescent="0.25">
      <c r="A9833">
        <v>29335913100</v>
      </c>
      <c r="B9833" t="s">
        <v>3982</v>
      </c>
    </row>
    <row r="9834" spans="1:2" x14ac:dyDescent="0.25">
      <c r="A9834">
        <v>29335913200</v>
      </c>
      <c r="B9834" t="s">
        <v>3983</v>
      </c>
    </row>
    <row r="9835" spans="1:2" x14ac:dyDescent="0.25">
      <c r="A9835">
        <v>29335914000</v>
      </c>
      <c r="B9835" t="s">
        <v>3984</v>
      </c>
    </row>
    <row r="9836" spans="1:2" x14ac:dyDescent="0.25">
      <c r="A9836">
        <v>29335915000</v>
      </c>
      <c r="B9836" t="s">
        <v>3985</v>
      </c>
    </row>
    <row r="9837" spans="1:2" x14ac:dyDescent="0.25">
      <c r="A9837">
        <v>29335916000</v>
      </c>
      <c r="B9837" t="s">
        <v>3986</v>
      </c>
    </row>
    <row r="9838" spans="1:2" x14ac:dyDescent="0.25">
      <c r="A9838">
        <v>29335919</v>
      </c>
      <c r="B9838" t="s">
        <v>10</v>
      </c>
    </row>
    <row r="9839" spans="1:2" x14ac:dyDescent="0.25">
      <c r="A9839">
        <v>293359191</v>
      </c>
      <c r="B9839" t="s">
        <v>2450</v>
      </c>
    </row>
    <row r="9840" spans="1:2" x14ac:dyDescent="0.25">
      <c r="A9840">
        <v>29335919110</v>
      </c>
      <c r="B9840" t="s">
        <v>3987</v>
      </c>
    </row>
    <row r="9841" spans="1:2" x14ac:dyDescent="0.25">
      <c r="A9841">
        <v>29335919190</v>
      </c>
      <c r="B9841" t="s">
        <v>10</v>
      </c>
    </row>
    <row r="9842" spans="1:2" x14ac:dyDescent="0.25">
      <c r="A9842">
        <v>293359192</v>
      </c>
      <c r="B9842" t="s">
        <v>3988</v>
      </c>
    </row>
    <row r="9843" spans="1:2" x14ac:dyDescent="0.25">
      <c r="A9843">
        <v>2933591921</v>
      </c>
      <c r="B9843" t="s">
        <v>3989</v>
      </c>
    </row>
    <row r="9844" spans="1:2" x14ac:dyDescent="0.25">
      <c r="A9844">
        <v>29335919211</v>
      </c>
      <c r="B9844" t="s">
        <v>3336</v>
      </c>
    </row>
    <row r="9845" spans="1:2" x14ac:dyDescent="0.25">
      <c r="A9845">
        <v>29335919219</v>
      </c>
      <c r="B9845" t="s">
        <v>3990</v>
      </c>
    </row>
    <row r="9846" spans="1:2" x14ac:dyDescent="0.25">
      <c r="A9846">
        <v>2933591922</v>
      </c>
      <c r="B9846" t="s">
        <v>3991</v>
      </c>
    </row>
    <row r="9847" spans="1:2" x14ac:dyDescent="0.25">
      <c r="A9847">
        <v>29335919221</v>
      </c>
      <c r="B9847" t="s">
        <v>3913</v>
      </c>
    </row>
    <row r="9848" spans="1:2" x14ac:dyDescent="0.25">
      <c r="A9848">
        <v>29335919229</v>
      </c>
      <c r="B9848" t="s">
        <v>3914</v>
      </c>
    </row>
    <row r="9849" spans="1:2" x14ac:dyDescent="0.25">
      <c r="A9849">
        <v>29335919300</v>
      </c>
      <c r="B9849" t="s">
        <v>3992</v>
      </c>
    </row>
    <row r="9850" spans="1:2" x14ac:dyDescent="0.25">
      <c r="A9850">
        <v>29335919400</v>
      </c>
      <c r="B9850" t="s">
        <v>3993</v>
      </c>
    </row>
    <row r="9851" spans="1:2" x14ac:dyDescent="0.25">
      <c r="A9851">
        <v>29335919500</v>
      </c>
      <c r="B9851" t="s">
        <v>3088</v>
      </c>
    </row>
    <row r="9852" spans="1:2" x14ac:dyDescent="0.25">
      <c r="A9852">
        <v>29335919900</v>
      </c>
      <c r="B9852" t="s">
        <v>10</v>
      </c>
    </row>
    <row r="9853" spans="1:2" x14ac:dyDescent="0.25">
      <c r="A9853">
        <v>2933592</v>
      </c>
      <c r="B9853" t="s">
        <v>3994</v>
      </c>
    </row>
    <row r="9854" spans="1:2" x14ac:dyDescent="0.25">
      <c r="A9854">
        <v>29335921000</v>
      </c>
      <c r="B9854" t="s">
        <v>3995</v>
      </c>
    </row>
    <row r="9855" spans="1:2" x14ac:dyDescent="0.25">
      <c r="A9855">
        <v>29335922000</v>
      </c>
      <c r="B9855" t="s">
        <v>3996</v>
      </c>
    </row>
    <row r="9856" spans="1:2" x14ac:dyDescent="0.25">
      <c r="A9856">
        <v>29335923000</v>
      </c>
      <c r="B9856" t="s">
        <v>3997</v>
      </c>
    </row>
    <row r="9857" spans="1:2" x14ac:dyDescent="0.25">
      <c r="A9857">
        <v>29335929</v>
      </c>
      <c r="B9857" t="s">
        <v>10</v>
      </c>
    </row>
    <row r="9858" spans="1:2" x14ac:dyDescent="0.25">
      <c r="A9858">
        <v>293359291</v>
      </c>
      <c r="B9858" t="s">
        <v>2450</v>
      </c>
    </row>
    <row r="9859" spans="1:2" x14ac:dyDescent="0.25">
      <c r="A9859">
        <v>29335929110</v>
      </c>
      <c r="B9859" t="s">
        <v>3998</v>
      </c>
    </row>
    <row r="9860" spans="1:2" x14ac:dyDescent="0.25">
      <c r="A9860">
        <v>29335929190</v>
      </c>
      <c r="B9860" t="s">
        <v>10</v>
      </c>
    </row>
    <row r="9861" spans="1:2" x14ac:dyDescent="0.25">
      <c r="A9861">
        <v>29335929200</v>
      </c>
      <c r="B9861" t="s">
        <v>2740</v>
      </c>
    </row>
    <row r="9862" spans="1:2" x14ac:dyDescent="0.25">
      <c r="A9862">
        <v>29335929300</v>
      </c>
      <c r="B9862" t="s">
        <v>3999</v>
      </c>
    </row>
    <row r="9863" spans="1:2" x14ac:dyDescent="0.25">
      <c r="A9863">
        <v>29335929400</v>
      </c>
      <c r="B9863" t="s">
        <v>4000</v>
      </c>
    </row>
    <row r="9864" spans="1:2" x14ac:dyDescent="0.25">
      <c r="A9864">
        <v>29335929900</v>
      </c>
      <c r="B9864" t="s">
        <v>10</v>
      </c>
    </row>
    <row r="9865" spans="1:2" x14ac:dyDescent="0.25">
      <c r="A9865">
        <v>2933593</v>
      </c>
      <c r="B9865" t="s">
        <v>4001</v>
      </c>
    </row>
    <row r="9866" spans="1:2" x14ac:dyDescent="0.25">
      <c r="A9866">
        <v>29335931000</v>
      </c>
      <c r="B9866" t="s">
        <v>4002</v>
      </c>
    </row>
    <row r="9867" spans="1:2" x14ac:dyDescent="0.25">
      <c r="A9867">
        <v>29335932</v>
      </c>
      <c r="B9867" t="s">
        <v>4003</v>
      </c>
    </row>
    <row r="9868" spans="1:2" x14ac:dyDescent="0.25">
      <c r="A9868">
        <v>29335932100</v>
      </c>
      <c r="B9868" t="s">
        <v>4004</v>
      </c>
    </row>
    <row r="9869" spans="1:2" x14ac:dyDescent="0.25">
      <c r="A9869">
        <v>29335932200</v>
      </c>
      <c r="B9869" t="s">
        <v>2450</v>
      </c>
    </row>
    <row r="9870" spans="1:2" x14ac:dyDescent="0.25">
      <c r="A9870">
        <v>29335933000</v>
      </c>
      <c r="B9870" t="s">
        <v>4005</v>
      </c>
    </row>
    <row r="9871" spans="1:2" x14ac:dyDescent="0.25">
      <c r="A9871">
        <v>29335934000</v>
      </c>
      <c r="B9871" t="s">
        <v>4006</v>
      </c>
    </row>
    <row r="9872" spans="1:2" x14ac:dyDescent="0.25">
      <c r="A9872">
        <v>29335935000</v>
      </c>
      <c r="B9872" t="s">
        <v>4007</v>
      </c>
    </row>
    <row r="9873" spans="1:2" x14ac:dyDescent="0.25">
      <c r="A9873">
        <v>29335939</v>
      </c>
      <c r="B9873" t="s">
        <v>10</v>
      </c>
    </row>
    <row r="9874" spans="1:2" x14ac:dyDescent="0.25">
      <c r="A9874">
        <v>293359391</v>
      </c>
      <c r="B9874" t="s">
        <v>2450</v>
      </c>
    </row>
    <row r="9875" spans="1:2" x14ac:dyDescent="0.25">
      <c r="A9875">
        <v>29335939110</v>
      </c>
      <c r="B9875" t="s">
        <v>4008</v>
      </c>
    </row>
    <row r="9876" spans="1:2" x14ac:dyDescent="0.25">
      <c r="A9876">
        <v>29335939120</v>
      </c>
      <c r="B9876" t="s">
        <v>4009</v>
      </c>
    </row>
    <row r="9877" spans="1:2" x14ac:dyDescent="0.25">
      <c r="A9877">
        <v>29335939190</v>
      </c>
      <c r="B9877" t="s">
        <v>10</v>
      </c>
    </row>
    <row r="9878" spans="1:2" x14ac:dyDescent="0.25">
      <c r="A9878">
        <v>29335939900</v>
      </c>
      <c r="B9878" t="s">
        <v>10</v>
      </c>
    </row>
    <row r="9879" spans="1:2" x14ac:dyDescent="0.25">
      <c r="A9879">
        <v>2933594</v>
      </c>
      <c r="B9879" t="s">
        <v>4010</v>
      </c>
    </row>
    <row r="9880" spans="1:2" x14ac:dyDescent="0.25">
      <c r="A9880">
        <v>29335941000</v>
      </c>
      <c r="B9880" t="s">
        <v>4011</v>
      </c>
    </row>
    <row r="9881" spans="1:2" x14ac:dyDescent="0.25">
      <c r="A9881">
        <v>29335942000</v>
      </c>
      <c r="B9881" t="s">
        <v>4012</v>
      </c>
    </row>
    <row r="9882" spans="1:2" x14ac:dyDescent="0.25">
      <c r="A9882">
        <v>29335943000</v>
      </c>
      <c r="B9882" t="s">
        <v>4013</v>
      </c>
    </row>
    <row r="9883" spans="1:2" x14ac:dyDescent="0.25">
      <c r="A9883">
        <v>29335944000</v>
      </c>
      <c r="B9883" t="s">
        <v>4014</v>
      </c>
    </row>
    <row r="9884" spans="1:2" x14ac:dyDescent="0.25">
      <c r="A9884">
        <v>29335945000</v>
      </c>
      <c r="B9884" t="s">
        <v>4015</v>
      </c>
    </row>
    <row r="9885" spans="1:2" x14ac:dyDescent="0.25">
      <c r="A9885">
        <v>29335949</v>
      </c>
      <c r="B9885" t="s">
        <v>10</v>
      </c>
    </row>
    <row r="9886" spans="1:2" x14ac:dyDescent="0.25">
      <c r="A9886">
        <v>29335949100</v>
      </c>
      <c r="B9886" t="s">
        <v>4016</v>
      </c>
    </row>
    <row r="9887" spans="1:2" x14ac:dyDescent="0.25">
      <c r="A9887">
        <v>293359492</v>
      </c>
      <c r="B9887" t="s">
        <v>3191</v>
      </c>
    </row>
    <row r="9888" spans="1:2" x14ac:dyDescent="0.25">
      <c r="A9888">
        <v>29335949210</v>
      </c>
      <c r="B9888" t="s">
        <v>4017</v>
      </c>
    </row>
    <row r="9889" spans="1:2" x14ac:dyDescent="0.25">
      <c r="A9889">
        <v>29335949290</v>
      </c>
      <c r="B9889" t="s">
        <v>10</v>
      </c>
    </row>
    <row r="9890" spans="1:2" x14ac:dyDescent="0.25">
      <c r="A9890">
        <v>29335949900</v>
      </c>
      <c r="B9890" t="s">
        <v>10</v>
      </c>
    </row>
    <row r="9891" spans="1:2" x14ac:dyDescent="0.25">
      <c r="A9891">
        <v>2933599</v>
      </c>
      <c r="B9891" t="s">
        <v>10</v>
      </c>
    </row>
    <row r="9892" spans="1:2" x14ac:dyDescent="0.25">
      <c r="A9892">
        <v>29335991000</v>
      </c>
      <c r="B9892" t="s">
        <v>4018</v>
      </c>
    </row>
    <row r="9893" spans="1:2" x14ac:dyDescent="0.25">
      <c r="A9893">
        <v>29335992000</v>
      </c>
      <c r="B9893" t="s">
        <v>4019</v>
      </c>
    </row>
    <row r="9894" spans="1:2" x14ac:dyDescent="0.25">
      <c r="A9894">
        <v>29335999</v>
      </c>
      <c r="B9894" t="s">
        <v>10</v>
      </c>
    </row>
    <row r="9895" spans="1:2" x14ac:dyDescent="0.25">
      <c r="A9895">
        <v>293359991</v>
      </c>
      <c r="B9895" t="s">
        <v>2450</v>
      </c>
    </row>
    <row r="9896" spans="1:2" x14ac:dyDescent="0.25">
      <c r="A9896">
        <v>29335999110</v>
      </c>
      <c r="B9896" t="s">
        <v>4020</v>
      </c>
    </row>
    <row r="9897" spans="1:2" x14ac:dyDescent="0.25">
      <c r="A9897">
        <v>29335999120</v>
      </c>
      <c r="B9897" t="s">
        <v>4021</v>
      </c>
    </row>
    <row r="9898" spans="1:2" x14ac:dyDescent="0.25">
      <c r="A9898">
        <v>29335999190</v>
      </c>
      <c r="B9898" t="s">
        <v>10</v>
      </c>
    </row>
    <row r="9899" spans="1:2" x14ac:dyDescent="0.25">
      <c r="A9899">
        <v>29335999200</v>
      </c>
      <c r="B9899" t="s">
        <v>3279</v>
      </c>
    </row>
    <row r="9900" spans="1:2" x14ac:dyDescent="0.25">
      <c r="A9900">
        <v>29335999400</v>
      </c>
      <c r="B9900" t="s">
        <v>4022</v>
      </c>
    </row>
    <row r="9901" spans="1:2" x14ac:dyDescent="0.25">
      <c r="A9901">
        <v>29335999500</v>
      </c>
      <c r="B9901" t="s">
        <v>4023</v>
      </c>
    </row>
    <row r="9902" spans="1:2" x14ac:dyDescent="0.25">
      <c r="A9902">
        <v>29335999900</v>
      </c>
      <c r="B9902" t="s">
        <v>10</v>
      </c>
    </row>
    <row r="9903" spans="1:2" x14ac:dyDescent="0.25">
      <c r="A9903">
        <v>29336</v>
      </c>
      <c r="B9903" t="s">
        <v>4024</v>
      </c>
    </row>
    <row r="9904" spans="1:2" x14ac:dyDescent="0.25">
      <c r="A9904">
        <v>29336100000</v>
      </c>
      <c r="B9904" t="e">
        <f>--Melamina</f>
        <v>#NAME?</v>
      </c>
    </row>
    <row r="9905" spans="1:2" x14ac:dyDescent="0.25">
      <c r="A9905">
        <v>293369</v>
      </c>
      <c r="B9905" t="e">
        <f>- - Los demas</f>
        <v>#NAME?</v>
      </c>
    </row>
    <row r="9906" spans="1:2" x14ac:dyDescent="0.25">
      <c r="A9906">
        <v>2933691</v>
      </c>
      <c r="B9906" t="s">
        <v>4025</v>
      </c>
    </row>
    <row r="9907" spans="1:2" x14ac:dyDescent="0.25">
      <c r="A9907">
        <v>29336911000</v>
      </c>
      <c r="B9907" t="s">
        <v>4026</v>
      </c>
    </row>
    <row r="9908" spans="1:2" x14ac:dyDescent="0.25">
      <c r="A9908">
        <v>29336912000</v>
      </c>
      <c r="B9908" t="s">
        <v>4027</v>
      </c>
    </row>
    <row r="9909" spans="1:2" x14ac:dyDescent="0.25">
      <c r="A9909">
        <v>29336913000</v>
      </c>
      <c r="B9909" t="s">
        <v>4028</v>
      </c>
    </row>
    <row r="9910" spans="1:2" x14ac:dyDescent="0.25">
      <c r="A9910">
        <v>29336914000</v>
      </c>
      <c r="B9910" t="s">
        <v>4029</v>
      </c>
    </row>
    <row r="9911" spans="1:2" x14ac:dyDescent="0.25">
      <c r="A9911">
        <v>29336915000</v>
      </c>
      <c r="B9911" t="s">
        <v>4030</v>
      </c>
    </row>
    <row r="9912" spans="1:2" x14ac:dyDescent="0.25">
      <c r="A9912">
        <v>29336916000</v>
      </c>
      <c r="B9912" t="s">
        <v>4031</v>
      </c>
    </row>
    <row r="9913" spans="1:2" x14ac:dyDescent="0.25">
      <c r="A9913">
        <v>29336919</v>
      </c>
      <c r="B9913" t="s">
        <v>10</v>
      </c>
    </row>
    <row r="9914" spans="1:2" x14ac:dyDescent="0.25">
      <c r="A9914">
        <v>29336919100</v>
      </c>
      <c r="B9914" t="s">
        <v>4032</v>
      </c>
    </row>
    <row r="9915" spans="1:2" x14ac:dyDescent="0.25">
      <c r="A9915">
        <v>29336919900</v>
      </c>
      <c r="B9915" t="s">
        <v>10</v>
      </c>
    </row>
    <row r="9916" spans="1:2" x14ac:dyDescent="0.25">
      <c r="A9916">
        <v>2933692</v>
      </c>
      <c r="B9916" t="s">
        <v>4033</v>
      </c>
    </row>
    <row r="9917" spans="1:2" x14ac:dyDescent="0.25">
      <c r="A9917">
        <v>29336921000</v>
      </c>
      <c r="B9917" t="s">
        <v>4034</v>
      </c>
    </row>
    <row r="9918" spans="1:2" x14ac:dyDescent="0.25">
      <c r="A9918">
        <v>29336922000</v>
      </c>
      <c r="B9918" t="s">
        <v>4035</v>
      </c>
    </row>
    <row r="9919" spans="1:2" x14ac:dyDescent="0.25">
      <c r="A9919">
        <v>29336923000</v>
      </c>
      <c r="B9919" t="s">
        <v>4036</v>
      </c>
    </row>
    <row r="9920" spans="1:2" x14ac:dyDescent="0.25">
      <c r="A9920">
        <v>29336929</v>
      </c>
      <c r="B9920" t="s">
        <v>10</v>
      </c>
    </row>
    <row r="9921" spans="1:2" x14ac:dyDescent="0.25">
      <c r="A9921">
        <v>29336929100</v>
      </c>
      <c r="B9921" t="s">
        <v>4037</v>
      </c>
    </row>
    <row r="9922" spans="1:2" x14ac:dyDescent="0.25">
      <c r="A9922">
        <v>29336929200</v>
      </c>
      <c r="B9922" t="s">
        <v>4038</v>
      </c>
    </row>
    <row r="9923" spans="1:2" x14ac:dyDescent="0.25">
      <c r="A9923">
        <v>29336929900</v>
      </c>
      <c r="B9923" t="s">
        <v>10</v>
      </c>
    </row>
    <row r="9924" spans="1:2" x14ac:dyDescent="0.25">
      <c r="A9924">
        <v>2933699</v>
      </c>
      <c r="B9924" t="s">
        <v>10</v>
      </c>
    </row>
    <row r="9925" spans="1:2" x14ac:dyDescent="0.25">
      <c r="A9925">
        <v>29336991000</v>
      </c>
      <c r="B9925" t="s">
        <v>4039</v>
      </c>
    </row>
    <row r="9926" spans="1:2" x14ac:dyDescent="0.25">
      <c r="A9926">
        <v>29336992000</v>
      </c>
      <c r="B9926" t="s">
        <v>4040</v>
      </c>
    </row>
    <row r="9927" spans="1:2" x14ac:dyDescent="0.25">
      <c r="A9927">
        <v>29336999</v>
      </c>
      <c r="B9927" t="s">
        <v>10</v>
      </c>
    </row>
    <row r="9928" spans="1:2" x14ac:dyDescent="0.25">
      <c r="A9928">
        <v>293369991</v>
      </c>
      <c r="B9928" t="s">
        <v>2450</v>
      </c>
    </row>
    <row r="9929" spans="1:2" x14ac:dyDescent="0.25">
      <c r="A9929">
        <v>29336999110</v>
      </c>
      <c r="B9929" t="s">
        <v>4041</v>
      </c>
    </row>
    <row r="9930" spans="1:2" x14ac:dyDescent="0.25">
      <c r="A9930">
        <v>29336999120</v>
      </c>
      <c r="B9930" t="s">
        <v>4042</v>
      </c>
    </row>
    <row r="9931" spans="1:2" x14ac:dyDescent="0.25">
      <c r="A9931">
        <v>29336999190</v>
      </c>
      <c r="B9931" t="s">
        <v>10</v>
      </c>
    </row>
    <row r="9932" spans="1:2" x14ac:dyDescent="0.25">
      <c r="A9932">
        <v>29336999200</v>
      </c>
      <c r="B9932" t="s">
        <v>4043</v>
      </c>
    </row>
    <row r="9933" spans="1:2" x14ac:dyDescent="0.25">
      <c r="A9933">
        <v>29336999300</v>
      </c>
      <c r="B9933" t="s">
        <v>4044</v>
      </c>
    </row>
    <row r="9934" spans="1:2" x14ac:dyDescent="0.25">
      <c r="A9934">
        <v>29336999400</v>
      </c>
      <c r="B9934" t="s">
        <v>4045</v>
      </c>
    </row>
    <row r="9935" spans="1:2" x14ac:dyDescent="0.25">
      <c r="A9935">
        <v>29336999900</v>
      </c>
      <c r="B9935" t="s">
        <v>10</v>
      </c>
    </row>
    <row r="9936" spans="1:2" x14ac:dyDescent="0.25">
      <c r="A9936">
        <v>29337</v>
      </c>
      <c r="B9936" t="s">
        <v>4046</v>
      </c>
    </row>
    <row r="9937" spans="1:2" x14ac:dyDescent="0.25">
      <c r="A9937">
        <v>29337100000</v>
      </c>
      <c r="B9937" t="e">
        <f>--6-Hexanolactama (epsilon caprolactama)</f>
        <v>#NAME?</v>
      </c>
    </row>
    <row r="9938" spans="1:2" x14ac:dyDescent="0.25">
      <c r="A9938">
        <v>293372</v>
      </c>
      <c r="B9938" t="e">
        <f>- - Clobazam (DCI) y metiprilona (DCI)</f>
        <v>#NAME?</v>
      </c>
    </row>
    <row r="9939" spans="1:2" x14ac:dyDescent="0.25">
      <c r="A9939">
        <v>29337210000</v>
      </c>
      <c r="B9939" t="s">
        <v>4047</v>
      </c>
    </row>
    <row r="9940" spans="1:2" x14ac:dyDescent="0.25">
      <c r="A9940">
        <v>29337220000</v>
      </c>
      <c r="B9940" t="s">
        <v>4048</v>
      </c>
    </row>
    <row r="9941" spans="1:2" x14ac:dyDescent="0.25">
      <c r="A9941">
        <v>293379</v>
      </c>
      <c r="B9941" t="e">
        <f>- - las demas Lactamas</f>
        <v>#NAME?</v>
      </c>
    </row>
    <row r="9942" spans="1:2" x14ac:dyDescent="0.25">
      <c r="A9942">
        <v>29337910000</v>
      </c>
      <c r="B9942" t="s">
        <v>4049</v>
      </c>
    </row>
    <row r="9943" spans="1:2" x14ac:dyDescent="0.25">
      <c r="A9943">
        <v>29337990</v>
      </c>
      <c r="B9943" t="s">
        <v>57</v>
      </c>
    </row>
    <row r="9944" spans="1:2" x14ac:dyDescent="0.25">
      <c r="A9944">
        <v>293379901</v>
      </c>
      <c r="B9944" t="s">
        <v>2740</v>
      </c>
    </row>
    <row r="9945" spans="1:2" x14ac:dyDescent="0.25">
      <c r="A9945">
        <v>29337990110</v>
      </c>
      <c r="B9945" t="s">
        <v>4050</v>
      </c>
    </row>
    <row r="9946" spans="1:2" x14ac:dyDescent="0.25">
      <c r="A9946">
        <v>29337990190</v>
      </c>
      <c r="B9946" t="s">
        <v>10</v>
      </c>
    </row>
    <row r="9947" spans="1:2" x14ac:dyDescent="0.25">
      <c r="A9947">
        <v>29337990200</v>
      </c>
      <c r="B9947" t="s">
        <v>4051</v>
      </c>
    </row>
    <row r="9948" spans="1:2" x14ac:dyDescent="0.25">
      <c r="A9948">
        <v>293379903</v>
      </c>
      <c r="B9948" t="s">
        <v>2450</v>
      </c>
    </row>
    <row r="9949" spans="1:2" x14ac:dyDescent="0.25">
      <c r="A9949">
        <v>29337990310</v>
      </c>
      <c r="B9949" t="s">
        <v>4052</v>
      </c>
    </row>
    <row r="9950" spans="1:2" x14ac:dyDescent="0.25">
      <c r="A9950">
        <v>29337990390</v>
      </c>
      <c r="B9950" t="s">
        <v>10</v>
      </c>
    </row>
    <row r="9951" spans="1:2" x14ac:dyDescent="0.25">
      <c r="A9951">
        <v>29337990900</v>
      </c>
      <c r="B9951" t="s">
        <v>10</v>
      </c>
    </row>
    <row r="9952" spans="1:2" x14ac:dyDescent="0.25">
      <c r="A9952">
        <v>29339</v>
      </c>
      <c r="B9952" t="s">
        <v>28</v>
      </c>
    </row>
    <row r="9953" spans="1:2" x14ac:dyDescent="0.25">
      <c r="A9953">
        <v>293391</v>
      </c>
      <c r="B9953" t="s">
        <v>4053</v>
      </c>
    </row>
    <row r="9954" spans="1:2" x14ac:dyDescent="0.25">
      <c r="A9954">
        <v>2933911</v>
      </c>
      <c r="B9954" t="s">
        <v>4054</v>
      </c>
    </row>
    <row r="9955" spans="1:2" x14ac:dyDescent="0.25">
      <c r="A9955">
        <v>29339111000</v>
      </c>
      <c r="B9955" t="s">
        <v>4055</v>
      </c>
    </row>
    <row r="9956" spans="1:2" x14ac:dyDescent="0.25">
      <c r="A9956">
        <v>29339112000</v>
      </c>
      <c r="B9956" t="s">
        <v>4056</v>
      </c>
    </row>
    <row r="9957" spans="1:2" x14ac:dyDescent="0.25">
      <c r="A9957">
        <v>29339113000</v>
      </c>
      <c r="B9957" t="s">
        <v>4057</v>
      </c>
    </row>
    <row r="9958" spans="1:2" x14ac:dyDescent="0.25">
      <c r="A9958">
        <v>29339114000</v>
      </c>
      <c r="B9958" t="s">
        <v>4058</v>
      </c>
    </row>
    <row r="9959" spans="1:2" x14ac:dyDescent="0.25">
      <c r="A9959">
        <v>29339115000</v>
      </c>
      <c r="B9959" t="s">
        <v>4059</v>
      </c>
    </row>
    <row r="9960" spans="1:2" x14ac:dyDescent="0.25">
      <c r="A9960">
        <v>29339119000</v>
      </c>
      <c r="B9960" t="s">
        <v>57</v>
      </c>
    </row>
    <row r="9961" spans="1:2" x14ac:dyDescent="0.25">
      <c r="A9961">
        <v>2933912</v>
      </c>
      <c r="B9961" t="s">
        <v>4060</v>
      </c>
    </row>
    <row r="9962" spans="1:2" x14ac:dyDescent="0.25">
      <c r="A9962">
        <v>29339121000</v>
      </c>
      <c r="B9962" t="s">
        <v>4061</v>
      </c>
    </row>
    <row r="9963" spans="1:2" x14ac:dyDescent="0.25">
      <c r="A9963">
        <v>29339122000</v>
      </c>
      <c r="B9963" t="s">
        <v>4062</v>
      </c>
    </row>
    <row r="9964" spans="1:2" x14ac:dyDescent="0.25">
      <c r="A9964">
        <v>29339123000</v>
      </c>
      <c r="B9964" t="s">
        <v>4063</v>
      </c>
    </row>
    <row r="9965" spans="1:2" x14ac:dyDescent="0.25">
      <c r="A9965">
        <v>29339129000</v>
      </c>
      <c r="B9965" t="s">
        <v>57</v>
      </c>
    </row>
    <row r="9966" spans="1:2" x14ac:dyDescent="0.25">
      <c r="A9966">
        <v>2933913</v>
      </c>
      <c r="B9966" t="s">
        <v>4064</v>
      </c>
    </row>
    <row r="9967" spans="1:2" x14ac:dyDescent="0.25">
      <c r="A9967">
        <v>29339131000</v>
      </c>
      <c r="B9967" t="s">
        <v>4065</v>
      </c>
    </row>
    <row r="9968" spans="1:2" x14ac:dyDescent="0.25">
      <c r="A9968">
        <v>29339132000</v>
      </c>
      <c r="B9968" t="s">
        <v>4066</v>
      </c>
    </row>
    <row r="9969" spans="1:2" x14ac:dyDescent="0.25">
      <c r="A9969">
        <v>29339133000</v>
      </c>
      <c r="B9969" t="s">
        <v>4067</v>
      </c>
    </row>
    <row r="9970" spans="1:2" x14ac:dyDescent="0.25">
      <c r="A9970">
        <v>29339134000</v>
      </c>
      <c r="B9970" t="s">
        <v>4068</v>
      </c>
    </row>
    <row r="9971" spans="1:2" x14ac:dyDescent="0.25">
      <c r="A9971">
        <v>29339139000</v>
      </c>
      <c r="B9971" t="s">
        <v>57</v>
      </c>
    </row>
    <row r="9972" spans="1:2" x14ac:dyDescent="0.25">
      <c r="A9972">
        <v>2933914</v>
      </c>
      <c r="B9972" t="s">
        <v>4069</v>
      </c>
    </row>
    <row r="9973" spans="1:2" x14ac:dyDescent="0.25">
      <c r="A9973">
        <v>29339141000</v>
      </c>
      <c r="B9973" t="s">
        <v>4070</v>
      </c>
    </row>
    <row r="9974" spans="1:2" x14ac:dyDescent="0.25">
      <c r="A9974">
        <v>29339142000</v>
      </c>
      <c r="B9974" t="s">
        <v>4071</v>
      </c>
    </row>
    <row r="9975" spans="1:2" x14ac:dyDescent="0.25">
      <c r="A9975">
        <v>29339143000</v>
      </c>
      <c r="B9975" t="s">
        <v>4072</v>
      </c>
    </row>
    <row r="9976" spans="1:2" x14ac:dyDescent="0.25">
      <c r="A9976">
        <v>29339149000</v>
      </c>
      <c r="B9976" t="s">
        <v>57</v>
      </c>
    </row>
    <row r="9977" spans="1:2" x14ac:dyDescent="0.25">
      <c r="A9977">
        <v>2933915</v>
      </c>
      <c r="B9977" t="s">
        <v>4073</v>
      </c>
    </row>
    <row r="9978" spans="1:2" x14ac:dyDescent="0.25">
      <c r="A9978">
        <v>29339151000</v>
      </c>
      <c r="B9978" t="s">
        <v>4074</v>
      </c>
    </row>
    <row r="9979" spans="1:2" x14ac:dyDescent="0.25">
      <c r="A9979">
        <v>29339152000</v>
      </c>
      <c r="B9979" t="s">
        <v>4075</v>
      </c>
    </row>
    <row r="9980" spans="1:2" x14ac:dyDescent="0.25">
      <c r="A9980">
        <v>29339153000</v>
      </c>
      <c r="B9980" t="s">
        <v>4076</v>
      </c>
    </row>
    <row r="9981" spans="1:2" x14ac:dyDescent="0.25">
      <c r="A9981">
        <v>29339159000</v>
      </c>
      <c r="B9981" t="s">
        <v>57</v>
      </c>
    </row>
    <row r="9982" spans="1:2" x14ac:dyDescent="0.25">
      <c r="A9982">
        <v>2933916</v>
      </c>
      <c r="B9982" t="s">
        <v>4077</v>
      </c>
    </row>
    <row r="9983" spans="1:2" x14ac:dyDescent="0.25">
      <c r="A9983">
        <v>29339161000</v>
      </c>
      <c r="B9983" t="s">
        <v>4078</v>
      </c>
    </row>
    <row r="9984" spans="1:2" x14ac:dyDescent="0.25">
      <c r="A9984">
        <v>29339162000</v>
      </c>
      <c r="B9984" t="s">
        <v>4079</v>
      </c>
    </row>
    <row r="9985" spans="1:2" x14ac:dyDescent="0.25">
      <c r="A9985">
        <v>29339163000</v>
      </c>
      <c r="B9985" t="s">
        <v>4080</v>
      </c>
    </row>
    <row r="9986" spans="1:2" x14ac:dyDescent="0.25">
      <c r="A9986">
        <v>29339164000</v>
      </c>
      <c r="B9986" t="s">
        <v>4081</v>
      </c>
    </row>
    <row r="9987" spans="1:2" x14ac:dyDescent="0.25">
      <c r="A9987">
        <v>29339169000</v>
      </c>
      <c r="B9987" t="s">
        <v>57</v>
      </c>
    </row>
    <row r="9988" spans="1:2" x14ac:dyDescent="0.25">
      <c r="A9988">
        <v>2933917</v>
      </c>
      <c r="B9988" t="s">
        <v>4082</v>
      </c>
    </row>
    <row r="9989" spans="1:2" x14ac:dyDescent="0.25">
      <c r="A9989">
        <v>29339171000</v>
      </c>
      <c r="B9989" t="s">
        <v>4083</v>
      </c>
    </row>
    <row r="9990" spans="1:2" x14ac:dyDescent="0.25">
      <c r="A9990">
        <v>29339172000</v>
      </c>
      <c r="B9990" t="s">
        <v>4084</v>
      </c>
    </row>
    <row r="9991" spans="1:2" x14ac:dyDescent="0.25">
      <c r="A9991">
        <v>29339173000</v>
      </c>
      <c r="B9991" t="s">
        <v>4085</v>
      </c>
    </row>
    <row r="9992" spans="1:2" x14ac:dyDescent="0.25">
      <c r="A9992">
        <v>29339179000</v>
      </c>
      <c r="B9992" t="s">
        <v>57</v>
      </c>
    </row>
    <row r="9993" spans="1:2" x14ac:dyDescent="0.25">
      <c r="A9993">
        <v>2933918</v>
      </c>
      <c r="B9993" t="s">
        <v>4086</v>
      </c>
    </row>
    <row r="9994" spans="1:2" x14ac:dyDescent="0.25">
      <c r="A9994">
        <v>29339181000</v>
      </c>
      <c r="B9994" t="s">
        <v>4087</v>
      </c>
    </row>
    <row r="9995" spans="1:2" x14ac:dyDescent="0.25">
      <c r="A9995">
        <v>29339182000</v>
      </c>
      <c r="B9995" t="s">
        <v>4088</v>
      </c>
    </row>
    <row r="9996" spans="1:2" x14ac:dyDescent="0.25">
      <c r="A9996">
        <v>29339183000</v>
      </c>
      <c r="B9996" t="s">
        <v>4089</v>
      </c>
    </row>
    <row r="9997" spans="1:2" x14ac:dyDescent="0.25">
      <c r="A9997">
        <v>29339189000</v>
      </c>
      <c r="B9997" t="s">
        <v>57</v>
      </c>
    </row>
    <row r="9998" spans="1:2" x14ac:dyDescent="0.25">
      <c r="A9998">
        <v>29339200000</v>
      </c>
      <c r="B9998" t="e">
        <f>--Azinfos-metil (ISO)</f>
        <v>#NAME?</v>
      </c>
    </row>
    <row r="9999" spans="1:2" x14ac:dyDescent="0.25">
      <c r="A9999">
        <v>293399</v>
      </c>
      <c r="B9999" t="e">
        <f>- - Los demas</f>
        <v>#NAME?</v>
      </c>
    </row>
    <row r="10000" spans="1:2" x14ac:dyDescent="0.25">
      <c r="A10000">
        <v>2933991</v>
      </c>
      <c r="B10000" t="s">
        <v>4090</v>
      </c>
    </row>
    <row r="10001" spans="1:2" x14ac:dyDescent="0.25">
      <c r="A10001">
        <v>29339911000</v>
      </c>
      <c r="B10001" t="s">
        <v>4091</v>
      </c>
    </row>
    <row r="10002" spans="1:2" x14ac:dyDescent="0.25">
      <c r="A10002">
        <v>29339912000</v>
      </c>
      <c r="B10002" t="s">
        <v>4092</v>
      </c>
    </row>
    <row r="10003" spans="1:2" x14ac:dyDescent="0.25">
      <c r="A10003">
        <v>29339913000</v>
      </c>
      <c r="B10003" t="s">
        <v>4093</v>
      </c>
    </row>
    <row r="10004" spans="1:2" x14ac:dyDescent="0.25">
      <c r="A10004">
        <v>29339919</v>
      </c>
      <c r="B10004" t="s">
        <v>10</v>
      </c>
    </row>
    <row r="10005" spans="1:2" x14ac:dyDescent="0.25">
      <c r="A10005">
        <v>293399191</v>
      </c>
      <c r="B10005" t="s">
        <v>2740</v>
      </c>
    </row>
    <row r="10006" spans="1:2" x14ac:dyDescent="0.25">
      <c r="A10006">
        <v>29339919110</v>
      </c>
      <c r="B10006" t="s">
        <v>3336</v>
      </c>
    </row>
    <row r="10007" spans="1:2" x14ac:dyDescent="0.25">
      <c r="A10007">
        <v>29339919190</v>
      </c>
      <c r="B10007" t="s">
        <v>3337</v>
      </c>
    </row>
    <row r="10008" spans="1:2" x14ac:dyDescent="0.25">
      <c r="A10008">
        <v>29339919200</v>
      </c>
      <c r="B10008" t="s">
        <v>3088</v>
      </c>
    </row>
    <row r="10009" spans="1:2" x14ac:dyDescent="0.25">
      <c r="A10009">
        <v>29339919900</v>
      </c>
      <c r="B10009" t="s">
        <v>10</v>
      </c>
    </row>
    <row r="10010" spans="1:2" x14ac:dyDescent="0.25">
      <c r="A10010">
        <v>29339920</v>
      </c>
      <c r="B10010" t="s">
        <v>4094</v>
      </c>
    </row>
    <row r="10011" spans="1:2" x14ac:dyDescent="0.25">
      <c r="A10011">
        <v>29339920100</v>
      </c>
      <c r="B10011" t="s">
        <v>2740</v>
      </c>
    </row>
    <row r="10012" spans="1:2" x14ac:dyDescent="0.25">
      <c r="A10012">
        <v>29339920200</v>
      </c>
      <c r="B10012" t="s">
        <v>3283</v>
      </c>
    </row>
    <row r="10013" spans="1:2" x14ac:dyDescent="0.25">
      <c r="A10013">
        <v>29339920900</v>
      </c>
      <c r="B10013" t="s">
        <v>10</v>
      </c>
    </row>
    <row r="10014" spans="1:2" x14ac:dyDescent="0.25">
      <c r="A10014">
        <v>2933993</v>
      </c>
      <c r="B10014" t="s">
        <v>4095</v>
      </c>
    </row>
    <row r="10015" spans="1:2" x14ac:dyDescent="0.25">
      <c r="A10015">
        <v>29339931000</v>
      </c>
      <c r="B10015" t="s">
        <v>4096</v>
      </c>
    </row>
    <row r="10016" spans="1:2" x14ac:dyDescent="0.25">
      <c r="A10016">
        <v>29339932000</v>
      </c>
      <c r="B10016" t="s">
        <v>4097</v>
      </c>
    </row>
    <row r="10017" spans="1:2" x14ac:dyDescent="0.25">
      <c r="A10017">
        <v>29339933000</v>
      </c>
      <c r="B10017" t="s">
        <v>4098</v>
      </c>
    </row>
    <row r="10018" spans="1:2" x14ac:dyDescent="0.25">
      <c r="A10018">
        <v>29339934000</v>
      </c>
      <c r="B10018" t="s">
        <v>4099</v>
      </c>
    </row>
    <row r="10019" spans="1:2" x14ac:dyDescent="0.25">
      <c r="A10019">
        <v>29339935000</v>
      </c>
      <c r="B10019" t="s">
        <v>4100</v>
      </c>
    </row>
    <row r="10020" spans="1:2" x14ac:dyDescent="0.25">
      <c r="A10020">
        <v>29339939</v>
      </c>
      <c r="B10020" t="s">
        <v>10</v>
      </c>
    </row>
    <row r="10021" spans="1:2" x14ac:dyDescent="0.25">
      <c r="A10021">
        <v>29339939100</v>
      </c>
      <c r="B10021" t="s">
        <v>1157</v>
      </c>
    </row>
    <row r="10022" spans="1:2" x14ac:dyDescent="0.25">
      <c r="A10022">
        <v>29339939200</v>
      </c>
      <c r="B10022" t="s">
        <v>2740</v>
      </c>
    </row>
    <row r="10023" spans="1:2" x14ac:dyDescent="0.25">
      <c r="A10023">
        <v>29339939300</v>
      </c>
      <c r="B10023" t="s">
        <v>3283</v>
      </c>
    </row>
    <row r="10024" spans="1:2" x14ac:dyDescent="0.25">
      <c r="A10024">
        <v>29339939900</v>
      </c>
      <c r="B10024" t="s">
        <v>10</v>
      </c>
    </row>
    <row r="10025" spans="1:2" x14ac:dyDescent="0.25">
      <c r="A10025">
        <v>2933994</v>
      </c>
      <c r="B10025" t="s">
        <v>4101</v>
      </c>
    </row>
    <row r="10026" spans="1:2" x14ac:dyDescent="0.25">
      <c r="A10026">
        <v>29339941000</v>
      </c>
      <c r="B10026" t="s">
        <v>4102</v>
      </c>
    </row>
    <row r="10027" spans="1:2" x14ac:dyDescent="0.25">
      <c r="A10027">
        <v>29339942000</v>
      </c>
      <c r="B10027" t="s">
        <v>4103</v>
      </c>
    </row>
    <row r="10028" spans="1:2" x14ac:dyDescent="0.25">
      <c r="A10028">
        <v>29339943000</v>
      </c>
      <c r="B10028" t="s">
        <v>4104</v>
      </c>
    </row>
    <row r="10029" spans="1:2" x14ac:dyDescent="0.25">
      <c r="A10029">
        <v>29339944000</v>
      </c>
      <c r="B10029" t="s">
        <v>4105</v>
      </c>
    </row>
    <row r="10030" spans="1:2" x14ac:dyDescent="0.25">
      <c r="A10030">
        <v>29339945000</v>
      </c>
      <c r="B10030" t="s">
        <v>4106</v>
      </c>
    </row>
    <row r="10031" spans="1:2" x14ac:dyDescent="0.25">
      <c r="A10031">
        <v>29339946000</v>
      </c>
      <c r="B10031" t="s">
        <v>4107</v>
      </c>
    </row>
    <row r="10032" spans="1:2" x14ac:dyDescent="0.25">
      <c r="A10032">
        <v>29339947000</v>
      </c>
      <c r="B10032" t="s">
        <v>4108</v>
      </c>
    </row>
    <row r="10033" spans="1:2" x14ac:dyDescent="0.25">
      <c r="A10033">
        <v>29339949</v>
      </c>
      <c r="B10033" t="s">
        <v>10</v>
      </c>
    </row>
    <row r="10034" spans="1:2" x14ac:dyDescent="0.25">
      <c r="A10034">
        <v>29339949100</v>
      </c>
      <c r="B10034" t="s">
        <v>2450</v>
      </c>
    </row>
    <row r="10035" spans="1:2" x14ac:dyDescent="0.25">
      <c r="A10035">
        <v>293399492</v>
      </c>
      <c r="B10035" t="s">
        <v>2740</v>
      </c>
    </row>
    <row r="10036" spans="1:2" x14ac:dyDescent="0.25">
      <c r="A10036">
        <v>29339949210</v>
      </c>
      <c r="B10036" t="s">
        <v>3336</v>
      </c>
    </row>
    <row r="10037" spans="1:2" x14ac:dyDescent="0.25">
      <c r="A10037">
        <v>29339949290</v>
      </c>
      <c r="B10037" t="s">
        <v>3337</v>
      </c>
    </row>
    <row r="10038" spans="1:2" x14ac:dyDescent="0.25">
      <c r="A10038">
        <v>29339949300</v>
      </c>
      <c r="B10038" t="s">
        <v>3088</v>
      </c>
    </row>
    <row r="10039" spans="1:2" x14ac:dyDescent="0.25">
      <c r="A10039">
        <v>29339949900</v>
      </c>
      <c r="B10039" t="s">
        <v>10</v>
      </c>
    </row>
    <row r="10040" spans="1:2" x14ac:dyDescent="0.25">
      <c r="A10040">
        <v>2933995</v>
      </c>
      <c r="B10040" t="s">
        <v>4109</v>
      </c>
    </row>
    <row r="10041" spans="1:2" x14ac:dyDescent="0.25">
      <c r="A10041">
        <v>29339951000</v>
      </c>
      <c r="B10041" t="s">
        <v>4110</v>
      </c>
    </row>
    <row r="10042" spans="1:2" x14ac:dyDescent="0.25">
      <c r="A10042">
        <v>29339952000</v>
      </c>
      <c r="B10042" t="s">
        <v>4111</v>
      </c>
    </row>
    <row r="10043" spans="1:2" x14ac:dyDescent="0.25">
      <c r="A10043">
        <v>29339953</v>
      </c>
      <c r="B10043" t="s">
        <v>4112</v>
      </c>
    </row>
    <row r="10044" spans="1:2" x14ac:dyDescent="0.25">
      <c r="A10044">
        <v>29339953100</v>
      </c>
      <c r="B10044" t="s">
        <v>4113</v>
      </c>
    </row>
    <row r="10045" spans="1:2" x14ac:dyDescent="0.25">
      <c r="A10045">
        <v>29339953200</v>
      </c>
      <c r="B10045" t="s">
        <v>4114</v>
      </c>
    </row>
    <row r="10046" spans="1:2" x14ac:dyDescent="0.25">
      <c r="A10046">
        <v>29339954000</v>
      </c>
      <c r="B10046" t="s">
        <v>4115</v>
      </c>
    </row>
    <row r="10047" spans="1:2" x14ac:dyDescent="0.25">
      <c r="A10047">
        <v>29339955000</v>
      </c>
      <c r="B10047" t="s">
        <v>4116</v>
      </c>
    </row>
    <row r="10048" spans="1:2" x14ac:dyDescent="0.25">
      <c r="A10048">
        <v>29339956000</v>
      </c>
      <c r="B10048" t="s">
        <v>4117</v>
      </c>
    </row>
    <row r="10049" spans="1:2" x14ac:dyDescent="0.25">
      <c r="A10049">
        <v>29339959</v>
      </c>
      <c r="B10049" t="s">
        <v>10</v>
      </c>
    </row>
    <row r="10050" spans="1:2" x14ac:dyDescent="0.25">
      <c r="A10050">
        <v>293399591</v>
      </c>
      <c r="B10050" t="s">
        <v>2450</v>
      </c>
    </row>
    <row r="10051" spans="1:2" x14ac:dyDescent="0.25">
      <c r="A10051">
        <v>29339959110</v>
      </c>
      <c r="B10051" t="s">
        <v>4118</v>
      </c>
    </row>
    <row r="10052" spans="1:2" x14ac:dyDescent="0.25">
      <c r="A10052">
        <v>29339959120</v>
      </c>
      <c r="B10052" t="s">
        <v>4119</v>
      </c>
    </row>
    <row r="10053" spans="1:2" x14ac:dyDescent="0.25">
      <c r="A10053">
        <v>29339959190</v>
      </c>
      <c r="B10053" t="s">
        <v>10</v>
      </c>
    </row>
    <row r="10054" spans="1:2" x14ac:dyDescent="0.25">
      <c r="A10054">
        <v>293399592</v>
      </c>
      <c r="B10054" t="s">
        <v>2740</v>
      </c>
    </row>
    <row r="10055" spans="1:2" x14ac:dyDescent="0.25">
      <c r="A10055">
        <v>29339959210</v>
      </c>
      <c r="B10055" t="s">
        <v>4120</v>
      </c>
    </row>
    <row r="10056" spans="1:2" x14ac:dyDescent="0.25">
      <c r="A10056">
        <v>29339959290</v>
      </c>
      <c r="B10056" t="s">
        <v>10</v>
      </c>
    </row>
    <row r="10057" spans="1:2" x14ac:dyDescent="0.25">
      <c r="A10057">
        <v>29339959300</v>
      </c>
      <c r="B10057" t="s">
        <v>1157</v>
      </c>
    </row>
    <row r="10058" spans="1:2" x14ac:dyDescent="0.25">
      <c r="A10058">
        <v>29339959400</v>
      </c>
      <c r="B10058" t="s">
        <v>4121</v>
      </c>
    </row>
    <row r="10059" spans="1:2" x14ac:dyDescent="0.25">
      <c r="A10059">
        <v>29339959500</v>
      </c>
      <c r="B10059" t="s">
        <v>3283</v>
      </c>
    </row>
    <row r="10060" spans="1:2" x14ac:dyDescent="0.25">
      <c r="A10060">
        <v>29339959900</v>
      </c>
      <c r="B10060" t="s">
        <v>10</v>
      </c>
    </row>
    <row r="10061" spans="1:2" x14ac:dyDescent="0.25">
      <c r="A10061">
        <v>2933996</v>
      </c>
      <c r="B10061" t="s">
        <v>4122</v>
      </c>
    </row>
    <row r="10062" spans="1:2" x14ac:dyDescent="0.25">
      <c r="A10062">
        <v>29339961000</v>
      </c>
      <c r="B10062" t="s">
        <v>4123</v>
      </c>
    </row>
    <row r="10063" spans="1:2" x14ac:dyDescent="0.25">
      <c r="A10063">
        <v>29339962000</v>
      </c>
      <c r="B10063" t="s">
        <v>4124</v>
      </c>
    </row>
    <row r="10064" spans="1:2" x14ac:dyDescent="0.25">
      <c r="A10064">
        <v>29339963000</v>
      </c>
      <c r="B10064" t="s">
        <v>4125</v>
      </c>
    </row>
    <row r="10065" spans="1:2" x14ac:dyDescent="0.25">
      <c r="A10065">
        <v>29339969</v>
      </c>
      <c r="B10065" t="s">
        <v>10</v>
      </c>
    </row>
    <row r="10066" spans="1:2" x14ac:dyDescent="0.25">
      <c r="A10066">
        <v>293399691</v>
      </c>
      <c r="B10066" t="s">
        <v>2450</v>
      </c>
    </row>
    <row r="10067" spans="1:2" x14ac:dyDescent="0.25">
      <c r="A10067">
        <v>29339969110</v>
      </c>
      <c r="B10067" t="s">
        <v>4126</v>
      </c>
    </row>
    <row r="10068" spans="1:2" x14ac:dyDescent="0.25">
      <c r="A10068">
        <v>29339969120</v>
      </c>
      <c r="B10068" t="s">
        <v>4127</v>
      </c>
    </row>
    <row r="10069" spans="1:2" x14ac:dyDescent="0.25">
      <c r="A10069">
        <v>29339969130</v>
      </c>
      <c r="B10069" t="s">
        <v>4128</v>
      </c>
    </row>
    <row r="10070" spans="1:2" x14ac:dyDescent="0.25">
      <c r="A10070">
        <v>29339969140</v>
      </c>
      <c r="B10070" t="s">
        <v>4129</v>
      </c>
    </row>
    <row r="10071" spans="1:2" x14ac:dyDescent="0.25">
      <c r="A10071">
        <v>29339969150</v>
      </c>
      <c r="B10071" t="s">
        <v>4130</v>
      </c>
    </row>
    <row r="10072" spans="1:2" x14ac:dyDescent="0.25">
      <c r="A10072">
        <v>29339969160</v>
      </c>
      <c r="B10072" t="s">
        <v>4131</v>
      </c>
    </row>
    <row r="10073" spans="1:2" x14ac:dyDescent="0.25">
      <c r="A10073">
        <v>29339969170</v>
      </c>
      <c r="B10073" t="s">
        <v>4132</v>
      </c>
    </row>
    <row r="10074" spans="1:2" x14ac:dyDescent="0.25">
      <c r="A10074">
        <v>29339969180</v>
      </c>
      <c r="B10074" t="s">
        <v>4133</v>
      </c>
    </row>
    <row r="10075" spans="1:2" x14ac:dyDescent="0.25">
      <c r="A10075">
        <v>2933996919</v>
      </c>
      <c r="B10075" t="s">
        <v>10</v>
      </c>
    </row>
    <row r="10076" spans="1:2" x14ac:dyDescent="0.25">
      <c r="A10076">
        <v>29339969191</v>
      </c>
      <c r="B10076" t="s">
        <v>4134</v>
      </c>
    </row>
    <row r="10077" spans="1:2" x14ac:dyDescent="0.25">
      <c r="A10077">
        <v>29339969192</v>
      </c>
      <c r="B10077" t="s">
        <v>4135</v>
      </c>
    </row>
    <row r="10078" spans="1:2" x14ac:dyDescent="0.25">
      <c r="A10078">
        <v>29339969193</v>
      </c>
      <c r="B10078" t="s">
        <v>4136</v>
      </c>
    </row>
    <row r="10079" spans="1:2" x14ac:dyDescent="0.25">
      <c r="A10079">
        <v>29339969199</v>
      </c>
      <c r="B10079" t="s">
        <v>10</v>
      </c>
    </row>
    <row r="10080" spans="1:2" x14ac:dyDescent="0.25">
      <c r="A10080">
        <v>29339969200</v>
      </c>
      <c r="B10080" t="s">
        <v>4137</v>
      </c>
    </row>
    <row r="10081" spans="1:2" x14ac:dyDescent="0.25">
      <c r="A10081">
        <v>29339969900</v>
      </c>
      <c r="B10081" t="s">
        <v>10</v>
      </c>
    </row>
    <row r="10082" spans="1:2" x14ac:dyDescent="0.25">
      <c r="A10082">
        <v>2933999</v>
      </c>
      <c r="B10082" t="s">
        <v>10</v>
      </c>
    </row>
    <row r="10083" spans="1:2" x14ac:dyDescent="0.25">
      <c r="A10083">
        <v>29339991000</v>
      </c>
      <c r="B10083" t="s">
        <v>4138</v>
      </c>
    </row>
    <row r="10084" spans="1:2" x14ac:dyDescent="0.25">
      <c r="A10084">
        <v>29339992000</v>
      </c>
      <c r="B10084" t="s">
        <v>4139</v>
      </c>
    </row>
    <row r="10085" spans="1:2" x14ac:dyDescent="0.25">
      <c r="A10085">
        <v>29339993000</v>
      </c>
      <c r="B10085" t="s">
        <v>4140</v>
      </c>
    </row>
    <row r="10086" spans="1:2" x14ac:dyDescent="0.25">
      <c r="A10086">
        <v>29339995000</v>
      </c>
      <c r="B10086" t="s">
        <v>4141</v>
      </c>
    </row>
    <row r="10087" spans="1:2" x14ac:dyDescent="0.25">
      <c r="A10087">
        <v>29339996</v>
      </c>
      <c r="B10087" t="s">
        <v>4142</v>
      </c>
    </row>
    <row r="10088" spans="1:2" x14ac:dyDescent="0.25">
      <c r="A10088">
        <v>29339996100</v>
      </c>
      <c r="B10088" t="s">
        <v>4143</v>
      </c>
    </row>
    <row r="10089" spans="1:2" x14ac:dyDescent="0.25">
      <c r="A10089">
        <v>29339996200</v>
      </c>
      <c r="B10089" t="s">
        <v>2195</v>
      </c>
    </row>
    <row r="10090" spans="1:2" x14ac:dyDescent="0.25">
      <c r="A10090">
        <v>29339999</v>
      </c>
      <c r="B10090" t="s">
        <v>10</v>
      </c>
    </row>
    <row r="10091" spans="1:2" x14ac:dyDescent="0.25">
      <c r="A10091">
        <v>293399991</v>
      </c>
      <c r="B10091" t="s">
        <v>2450</v>
      </c>
    </row>
    <row r="10092" spans="1:2" x14ac:dyDescent="0.25">
      <c r="A10092">
        <v>29339999120</v>
      </c>
      <c r="B10092" t="s">
        <v>4144</v>
      </c>
    </row>
    <row r="10093" spans="1:2" x14ac:dyDescent="0.25">
      <c r="A10093">
        <v>29339999130</v>
      </c>
      <c r="B10093" t="s">
        <v>4145</v>
      </c>
    </row>
    <row r="10094" spans="1:2" x14ac:dyDescent="0.25">
      <c r="A10094">
        <v>29339999140</v>
      </c>
      <c r="B10094" t="s">
        <v>4146</v>
      </c>
    </row>
    <row r="10095" spans="1:2" x14ac:dyDescent="0.25">
      <c r="A10095">
        <v>29339999160</v>
      </c>
      <c r="B10095" t="s">
        <v>4147</v>
      </c>
    </row>
    <row r="10096" spans="1:2" x14ac:dyDescent="0.25">
      <c r="A10096">
        <v>29339999170</v>
      </c>
      <c r="B10096" t="s">
        <v>4148</v>
      </c>
    </row>
    <row r="10097" spans="1:2" x14ac:dyDescent="0.25">
      <c r="A10097">
        <v>29339999180</v>
      </c>
      <c r="B10097" t="s">
        <v>4149</v>
      </c>
    </row>
    <row r="10098" spans="1:2" x14ac:dyDescent="0.25">
      <c r="A10098">
        <v>29339999190</v>
      </c>
      <c r="B10098" t="s">
        <v>10</v>
      </c>
    </row>
    <row r="10099" spans="1:2" x14ac:dyDescent="0.25">
      <c r="A10099">
        <v>29339999200</v>
      </c>
      <c r="B10099" t="s">
        <v>2740</v>
      </c>
    </row>
    <row r="10100" spans="1:2" x14ac:dyDescent="0.25">
      <c r="A10100">
        <v>29339999400</v>
      </c>
      <c r="B10100" t="s">
        <v>4150</v>
      </c>
    </row>
    <row r="10101" spans="1:2" x14ac:dyDescent="0.25">
      <c r="A10101">
        <v>29339999500</v>
      </c>
      <c r="B10101" t="s">
        <v>4151</v>
      </c>
    </row>
    <row r="10102" spans="1:2" x14ac:dyDescent="0.25">
      <c r="A10102">
        <v>29339999600</v>
      </c>
      <c r="B10102" t="s">
        <v>3088</v>
      </c>
    </row>
    <row r="10103" spans="1:2" x14ac:dyDescent="0.25">
      <c r="A10103">
        <v>29339999700</v>
      </c>
      <c r="B10103" t="s">
        <v>4152</v>
      </c>
    </row>
    <row r="10104" spans="1:2" x14ac:dyDescent="0.25">
      <c r="A10104">
        <v>29339999900</v>
      </c>
      <c r="B10104" t="s">
        <v>10</v>
      </c>
    </row>
    <row r="10105" spans="1:2" x14ac:dyDescent="0.25">
      <c r="A10105">
        <v>2934</v>
      </c>
      <c r="B10105" t="s">
        <v>4153</v>
      </c>
    </row>
    <row r="10106" spans="1:2" x14ac:dyDescent="0.25">
      <c r="A10106">
        <v>293410</v>
      </c>
      <c r="B10106" t="s">
        <v>4154</v>
      </c>
    </row>
    <row r="10107" spans="1:2" x14ac:dyDescent="0.25">
      <c r="A10107">
        <v>29341010000</v>
      </c>
      <c r="B10107" t="s">
        <v>4155</v>
      </c>
    </row>
    <row r="10108" spans="1:2" x14ac:dyDescent="0.25">
      <c r="A10108">
        <v>29341020000</v>
      </c>
      <c r="B10108" t="s">
        <v>4156</v>
      </c>
    </row>
    <row r="10109" spans="1:2" x14ac:dyDescent="0.25">
      <c r="A10109">
        <v>29341030000</v>
      </c>
      <c r="B10109" t="s">
        <v>4157</v>
      </c>
    </row>
    <row r="10110" spans="1:2" x14ac:dyDescent="0.25">
      <c r="A10110">
        <v>29341090</v>
      </c>
      <c r="B10110" t="s">
        <v>10</v>
      </c>
    </row>
    <row r="10111" spans="1:2" x14ac:dyDescent="0.25">
      <c r="A10111">
        <v>293410901</v>
      </c>
      <c r="B10111" t="s">
        <v>2450</v>
      </c>
    </row>
    <row r="10112" spans="1:2" x14ac:dyDescent="0.25">
      <c r="A10112">
        <v>29341090110</v>
      </c>
      <c r="B10112" t="s">
        <v>4158</v>
      </c>
    </row>
    <row r="10113" spans="1:2" x14ac:dyDescent="0.25">
      <c r="A10113">
        <v>29341090120</v>
      </c>
      <c r="B10113" t="s">
        <v>4159</v>
      </c>
    </row>
    <row r="10114" spans="1:2" x14ac:dyDescent="0.25">
      <c r="A10114">
        <v>29341090190</v>
      </c>
      <c r="B10114" t="s">
        <v>10</v>
      </c>
    </row>
    <row r="10115" spans="1:2" x14ac:dyDescent="0.25">
      <c r="A10115">
        <v>29341090200</v>
      </c>
      <c r="B10115" t="s">
        <v>2740</v>
      </c>
    </row>
    <row r="10116" spans="1:2" x14ac:dyDescent="0.25">
      <c r="A10116">
        <v>29341090300</v>
      </c>
      <c r="B10116" t="s">
        <v>4160</v>
      </c>
    </row>
    <row r="10117" spans="1:2" x14ac:dyDescent="0.25">
      <c r="A10117">
        <v>29341090900</v>
      </c>
      <c r="B10117" t="s">
        <v>10</v>
      </c>
    </row>
    <row r="10118" spans="1:2" x14ac:dyDescent="0.25">
      <c r="A10118">
        <v>293420</v>
      </c>
      <c r="B10118" t="s">
        <v>4161</v>
      </c>
    </row>
    <row r="10119" spans="1:2" x14ac:dyDescent="0.25">
      <c r="A10119">
        <v>29342010000</v>
      </c>
      <c r="B10119" t="s">
        <v>4162</v>
      </c>
    </row>
    <row r="10120" spans="1:2" x14ac:dyDescent="0.25">
      <c r="A10120">
        <v>29342020000</v>
      </c>
      <c r="B10120" t="s">
        <v>4163</v>
      </c>
    </row>
    <row r="10121" spans="1:2" x14ac:dyDescent="0.25">
      <c r="A10121">
        <v>2934203</v>
      </c>
      <c r="B10121" t="s">
        <v>4164</v>
      </c>
    </row>
    <row r="10122" spans="1:2" x14ac:dyDescent="0.25">
      <c r="A10122">
        <v>29342031000</v>
      </c>
      <c r="B10122" t="s">
        <v>4165</v>
      </c>
    </row>
    <row r="10123" spans="1:2" x14ac:dyDescent="0.25">
      <c r="A10123">
        <v>29342032000</v>
      </c>
      <c r="B10123" t="s">
        <v>4166</v>
      </c>
    </row>
    <row r="10124" spans="1:2" x14ac:dyDescent="0.25">
      <c r="A10124">
        <v>29342033000</v>
      </c>
      <c r="B10124" t="s">
        <v>4167</v>
      </c>
    </row>
    <row r="10125" spans="1:2" x14ac:dyDescent="0.25">
      <c r="A10125">
        <v>29342034000</v>
      </c>
      <c r="B10125" t="s">
        <v>4168</v>
      </c>
    </row>
    <row r="10126" spans="1:2" x14ac:dyDescent="0.25">
      <c r="A10126">
        <v>29342039000</v>
      </c>
      <c r="B10126" t="s">
        <v>57</v>
      </c>
    </row>
    <row r="10127" spans="1:2" x14ac:dyDescent="0.25">
      <c r="A10127">
        <v>29342040000</v>
      </c>
      <c r="B10127" t="s">
        <v>4169</v>
      </c>
    </row>
    <row r="10128" spans="1:2" x14ac:dyDescent="0.25">
      <c r="A10128">
        <v>29342090</v>
      </c>
      <c r="B10128" t="s">
        <v>10</v>
      </c>
    </row>
    <row r="10129" spans="1:2" x14ac:dyDescent="0.25">
      <c r="A10129">
        <v>293420901</v>
      </c>
      <c r="B10129" t="s">
        <v>2450</v>
      </c>
    </row>
    <row r="10130" spans="1:2" x14ac:dyDescent="0.25">
      <c r="A10130">
        <v>29342090110</v>
      </c>
      <c r="B10130" t="s">
        <v>4170</v>
      </c>
    </row>
    <row r="10131" spans="1:2" x14ac:dyDescent="0.25">
      <c r="A10131">
        <v>29342090190</v>
      </c>
      <c r="B10131" t="s">
        <v>10</v>
      </c>
    </row>
    <row r="10132" spans="1:2" x14ac:dyDescent="0.25">
      <c r="A10132">
        <v>29342090900</v>
      </c>
      <c r="B10132" t="s">
        <v>10</v>
      </c>
    </row>
    <row r="10133" spans="1:2" x14ac:dyDescent="0.25">
      <c r="A10133">
        <v>293430</v>
      </c>
      <c r="B10133" t="s">
        <v>4171</v>
      </c>
    </row>
    <row r="10134" spans="1:2" x14ac:dyDescent="0.25">
      <c r="A10134">
        <v>29343010000</v>
      </c>
      <c r="B10134" t="s">
        <v>4172</v>
      </c>
    </row>
    <row r="10135" spans="1:2" x14ac:dyDescent="0.25">
      <c r="A10135">
        <v>29343020000</v>
      </c>
      <c r="B10135" t="s">
        <v>4173</v>
      </c>
    </row>
    <row r="10136" spans="1:2" x14ac:dyDescent="0.25">
      <c r="A10136">
        <v>29343030000</v>
      </c>
      <c r="B10136" t="s">
        <v>4174</v>
      </c>
    </row>
    <row r="10137" spans="1:2" x14ac:dyDescent="0.25">
      <c r="A10137">
        <v>29343090</v>
      </c>
      <c r="B10137" t="s">
        <v>10</v>
      </c>
    </row>
    <row r="10138" spans="1:2" x14ac:dyDescent="0.25">
      <c r="A10138">
        <v>29343090100</v>
      </c>
      <c r="B10138" t="s">
        <v>2740</v>
      </c>
    </row>
    <row r="10139" spans="1:2" x14ac:dyDescent="0.25">
      <c r="A10139">
        <v>29343090200</v>
      </c>
      <c r="B10139" t="s">
        <v>4175</v>
      </c>
    </row>
    <row r="10140" spans="1:2" x14ac:dyDescent="0.25">
      <c r="A10140">
        <v>29343090900</v>
      </c>
      <c r="B10140" t="s">
        <v>10</v>
      </c>
    </row>
    <row r="10141" spans="1:2" x14ac:dyDescent="0.25">
      <c r="A10141">
        <v>29349</v>
      </c>
      <c r="B10141" t="s">
        <v>28</v>
      </c>
    </row>
    <row r="10142" spans="1:2" x14ac:dyDescent="0.25">
      <c r="A10142">
        <v>293491</v>
      </c>
      <c r="B10142" t="s">
        <v>4176</v>
      </c>
    </row>
    <row r="10143" spans="1:2" x14ac:dyDescent="0.25">
      <c r="A10143">
        <v>2934911</v>
      </c>
      <c r="B10143" t="s">
        <v>4177</v>
      </c>
    </row>
    <row r="10144" spans="1:2" x14ac:dyDescent="0.25">
      <c r="A10144">
        <v>29349111000</v>
      </c>
      <c r="B10144" t="s">
        <v>4178</v>
      </c>
    </row>
    <row r="10145" spans="1:2" x14ac:dyDescent="0.25">
      <c r="A10145">
        <v>29349112000</v>
      </c>
      <c r="B10145" t="s">
        <v>4179</v>
      </c>
    </row>
    <row r="10146" spans="1:2" x14ac:dyDescent="0.25">
      <c r="A10146">
        <v>2934912</v>
      </c>
      <c r="B10146" t="s">
        <v>4180</v>
      </c>
    </row>
    <row r="10147" spans="1:2" x14ac:dyDescent="0.25">
      <c r="A10147">
        <v>29349121000</v>
      </c>
      <c r="B10147" t="s">
        <v>4181</v>
      </c>
    </row>
    <row r="10148" spans="1:2" x14ac:dyDescent="0.25">
      <c r="A10148">
        <v>29349122000</v>
      </c>
      <c r="B10148" t="s">
        <v>4182</v>
      </c>
    </row>
    <row r="10149" spans="1:2" x14ac:dyDescent="0.25">
      <c r="A10149">
        <v>29349123000</v>
      </c>
      <c r="B10149" t="s">
        <v>4183</v>
      </c>
    </row>
    <row r="10150" spans="1:2" x14ac:dyDescent="0.25">
      <c r="A10150">
        <v>29349129</v>
      </c>
      <c r="B10150" t="s">
        <v>57</v>
      </c>
    </row>
    <row r="10151" spans="1:2" x14ac:dyDescent="0.25">
      <c r="A10151">
        <v>29349129300</v>
      </c>
      <c r="B10151" t="s">
        <v>4184</v>
      </c>
    </row>
    <row r="10152" spans="1:2" x14ac:dyDescent="0.25">
      <c r="A10152">
        <v>29349129400</v>
      </c>
      <c r="B10152" t="s">
        <v>4185</v>
      </c>
    </row>
    <row r="10153" spans="1:2" x14ac:dyDescent="0.25">
      <c r="A10153">
        <v>29349129500</v>
      </c>
      <c r="B10153" t="s">
        <v>4186</v>
      </c>
    </row>
    <row r="10154" spans="1:2" x14ac:dyDescent="0.25">
      <c r="A10154">
        <v>2934913</v>
      </c>
      <c r="B10154" t="s">
        <v>4187</v>
      </c>
    </row>
    <row r="10155" spans="1:2" x14ac:dyDescent="0.25">
      <c r="A10155">
        <v>29349131000</v>
      </c>
      <c r="B10155" t="s">
        <v>4188</v>
      </c>
    </row>
    <row r="10156" spans="1:2" x14ac:dyDescent="0.25">
      <c r="A10156">
        <v>29349132000</v>
      </c>
      <c r="B10156" t="s">
        <v>4189</v>
      </c>
    </row>
    <row r="10157" spans="1:2" x14ac:dyDescent="0.25">
      <c r="A10157">
        <v>29349133000</v>
      </c>
      <c r="B10157" t="s">
        <v>4190</v>
      </c>
    </row>
    <row r="10158" spans="1:2" x14ac:dyDescent="0.25">
      <c r="A10158">
        <v>2934914</v>
      </c>
      <c r="B10158" t="s">
        <v>4191</v>
      </c>
    </row>
    <row r="10159" spans="1:2" x14ac:dyDescent="0.25">
      <c r="A10159">
        <v>29349141000</v>
      </c>
      <c r="B10159" t="s">
        <v>4192</v>
      </c>
    </row>
    <row r="10160" spans="1:2" x14ac:dyDescent="0.25">
      <c r="A10160">
        <v>29349142000</v>
      </c>
      <c r="B10160" t="s">
        <v>4193</v>
      </c>
    </row>
    <row r="10161" spans="1:2" x14ac:dyDescent="0.25">
      <c r="A10161">
        <v>29349149000</v>
      </c>
      <c r="B10161" t="s">
        <v>57</v>
      </c>
    </row>
    <row r="10162" spans="1:2" x14ac:dyDescent="0.25">
      <c r="A10162">
        <v>29349150000</v>
      </c>
      <c r="B10162" t="s">
        <v>4194</v>
      </c>
    </row>
    <row r="10163" spans="1:2" x14ac:dyDescent="0.25">
      <c r="A10163">
        <v>29349160000</v>
      </c>
      <c r="B10163" t="s">
        <v>4195</v>
      </c>
    </row>
    <row r="10164" spans="1:2" x14ac:dyDescent="0.25">
      <c r="A10164">
        <v>29349170000</v>
      </c>
      <c r="B10164" t="s">
        <v>4196</v>
      </c>
    </row>
    <row r="10165" spans="1:2" x14ac:dyDescent="0.25">
      <c r="A10165">
        <v>293499</v>
      </c>
      <c r="B10165" t="e">
        <f>- - Los demas</f>
        <v>#NAME?</v>
      </c>
    </row>
    <row r="10166" spans="1:2" x14ac:dyDescent="0.25">
      <c r="A10166">
        <v>2934991</v>
      </c>
      <c r="B10166" t="s">
        <v>4197</v>
      </c>
    </row>
    <row r="10167" spans="1:2" x14ac:dyDescent="0.25">
      <c r="A10167">
        <v>29349911000</v>
      </c>
      <c r="B10167" t="s">
        <v>4198</v>
      </c>
    </row>
    <row r="10168" spans="1:2" x14ac:dyDescent="0.25">
      <c r="A10168">
        <v>29349912000</v>
      </c>
      <c r="B10168" t="s">
        <v>4199</v>
      </c>
    </row>
    <row r="10169" spans="1:2" x14ac:dyDescent="0.25">
      <c r="A10169">
        <v>29349913000</v>
      </c>
      <c r="B10169" t="s">
        <v>4200</v>
      </c>
    </row>
    <row r="10170" spans="1:2" x14ac:dyDescent="0.25">
      <c r="A10170">
        <v>29349914000</v>
      </c>
      <c r="B10170" t="s">
        <v>4201</v>
      </c>
    </row>
    <row r="10171" spans="1:2" x14ac:dyDescent="0.25">
      <c r="A10171">
        <v>29349915000</v>
      </c>
      <c r="B10171" t="s">
        <v>4202</v>
      </c>
    </row>
    <row r="10172" spans="1:2" x14ac:dyDescent="0.25">
      <c r="A10172">
        <v>29349919</v>
      </c>
      <c r="B10172" t="s">
        <v>10</v>
      </c>
    </row>
    <row r="10173" spans="1:2" x14ac:dyDescent="0.25">
      <c r="A10173">
        <v>293499191</v>
      </c>
      <c r="B10173" t="s">
        <v>2450</v>
      </c>
    </row>
    <row r="10174" spans="1:2" x14ac:dyDescent="0.25">
      <c r="A10174">
        <v>29349919110</v>
      </c>
      <c r="B10174" t="s">
        <v>4203</v>
      </c>
    </row>
    <row r="10175" spans="1:2" x14ac:dyDescent="0.25">
      <c r="A10175">
        <v>29349919190</v>
      </c>
      <c r="B10175" t="s">
        <v>10</v>
      </c>
    </row>
    <row r="10176" spans="1:2" x14ac:dyDescent="0.25">
      <c r="A10176">
        <v>29349919200</v>
      </c>
      <c r="B10176" t="s">
        <v>3361</v>
      </c>
    </row>
    <row r="10177" spans="1:2" x14ac:dyDescent="0.25">
      <c r="A10177">
        <v>29349919300</v>
      </c>
      <c r="B10177" t="s">
        <v>4204</v>
      </c>
    </row>
    <row r="10178" spans="1:2" x14ac:dyDescent="0.25">
      <c r="A10178">
        <v>29349919400</v>
      </c>
      <c r="B10178" t="s">
        <v>4205</v>
      </c>
    </row>
    <row r="10179" spans="1:2" x14ac:dyDescent="0.25">
      <c r="A10179">
        <v>293499199</v>
      </c>
      <c r="B10179" t="s">
        <v>10</v>
      </c>
    </row>
    <row r="10180" spans="1:2" x14ac:dyDescent="0.25">
      <c r="A10180">
        <v>29349919910</v>
      </c>
      <c r="B10180" t="s">
        <v>4206</v>
      </c>
    </row>
    <row r="10181" spans="1:2" x14ac:dyDescent="0.25">
      <c r="A10181">
        <v>29349919920</v>
      </c>
      <c r="B10181" t="s">
        <v>3283</v>
      </c>
    </row>
    <row r="10182" spans="1:2" x14ac:dyDescent="0.25">
      <c r="A10182">
        <v>29349919990</v>
      </c>
      <c r="B10182" t="s">
        <v>10</v>
      </c>
    </row>
    <row r="10183" spans="1:2" x14ac:dyDescent="0.25">
      <c r="A10183">
        <v>2934992</v>
      </c>
      <c r="B10183" t="s">
        <v>4207</v>
      </c>
    </row>
    <row r="10184" spans="1:2" x14ac:dyDescent="0.25">
      <c r="A10184">
        <v>29349922000</v>
      </c>
      <c r="B10184" t="s">
        <v>4208</v>
      </c>
    </row>
    <row r="10185" spans="1:2" x14ac:dyDescent="0.25">
      <c r="A10185">
        <v>29349923000</v>
      </c>
      <c r="B10185" t="s">
        <v>4209</v>
      </c>
    </row>
    <row r="10186" spans="1:2" x14ac:dyDescent="0.25">
      <c r="A10186">
        <v>29349924</v>
      </c>
      <c r="B10186" t="s">
        <v>4210</v>
      </c>
    </row>
    <row r="10187" spans="1:2" x14ac:dyDescent="0.25">
      <c r="A10187">
        <v>29349924100</v>
      </c>
      <c r="B10187" t="s">
        <v>4211</v>
      </c>
    </row>
    <row r="10188" spans="1:2" x14ac:dyDescent="0.25">
      <c r="A10188">
        <v>29349924900</v>
      </c>
      <c r="B10188" t="s">
        <v>10</v>
      </c>
    </row>
    <row r="10189" spans="1:2" x14ac:dyDescent="0.25">
      <c r="A10189">
        <v>29349925000</v>
      </c>
      <c r="B10189" t="s">
        <v>4212</v>
      </c>
    </row>
    <row r="10190" spans="1:2" x14ac:dyDescent="0.25">
      <c r="A10190">
        <v>29349926000</v>
      </c>
      <c r="B10190" t="s">
        <v>4213</v>
      </c>
    </row>
    <row r="10191" spans="1:2" x14ac:dyDescent="0.25">
      <c r="A10191">
        <v>29349927000</v>
      </c>
      <c r="B10191" t="s">
        <v>4214</v>
      </c>
    </row>
    <row r="10192" spans="1:2" x14ac:dyDescent="0.25">
      <c r="A10192">
        <v>29349929</v>
      </c>
      <c r="B10192" t="s">
        <v>10</v>
      </c>
    </row>
    <row r="10193" spans="1:2" x14ac:dyDescent="0.25">
      <c r="A10193">
        <v>29349929100</v>
      </c>
      <c r="B10193" t="s">
        <v>4204</v>
      </c>
    </row>
    <row r="10194" spans="1:2" x14ac:dyDescent="0.25">
      <c r="A10194">
        <v>29349929200</v>
      </c>
      <c r="B10194" t="s">
        <v>4215</v>
      </c>
    </row>
    <row r="10195" spans="1:2" x14ac:dyDescent="0.25">
      <c r="A10195">
        <v>29349929300</v>
      </c>
      <c r="B10195" t="s">
        <v>4216</v>
      </c>
    </row>
    <row r="10196" spans="1:2" x14ac:dyDescent="0.25">
      <c r="A10196">
        <v>29349929400</v>
      </c>
      <c r="B10196" t="s">
        <v>3088</v>
      </c>
    </row>
    <row r="10197" spans="1:2" x14ac:dyDescent="0.25">
      <c r="A10197">
        <v>29349929900</v>
      </c>
      <c r="B10197" t="s">
        <v>10</v>
      </c>
    </row>
    <row r="10198" spans="1:2" x14ac:dyDescent="0.25">
      <c r="A10198">
        <v>2934993</v>
      </c>
      <c r="B10198" t="s">
        <v>4217</v>
      </c>
    </row>
    <row r="10199" spans="1:2" x14ac:dyDescent="0.25">
      <c r="A10199">
        <v>29349931000</v>
      </c>
      <c r="B10199" t="s">
        <v>4218</v>
      </c>
    </row>
    <row r="10200" spans="1:2" x14ac:dyDescent="0.25">
      <c r="A10200">
        <v>29349932000</v>
      </c>
      <c r="B10200" t="s">
        <v>4219</v>
      </c>
    </row>
    <row r="10201" spans="1:2" x14ac:dyDescent="0.25">
      <c r="A10201">
        <v>29349933000</v>
      </c>
      <c r="B10201" t="s">
        <v>4220</v>
      </c>
    </row>
    <row r="10202" spans="1:2" x14ac:dyDescent="0.25">
      <c r="A10202">
        <v>29349934000</v>
      </c>
      <c r="B10202" t="s">
        <v>4221</v>
      </c>
    </row>
    <row r="10203" spans="1:2" x14ac:dyDescent="0.25">
      <c r="A10203">
        <v>29349935000</v>
      </c>
      <c r="B10203" t="s">
        <v>4222</v>
      </c>
    </row>
    <row r="10204" spans="1:2" x14ac:dyDescent="0.25">
      <c r="A10204">
        <v>29349939</v>
      </c>
      <c r="B10204" t="s">
        <v>10</v>
      </c>
    </row>
    <row r="10205" spans="1:2" x14ac:dyDescent="0.25">
      <c r="A10205">
        <v>293499391</v>
      </c>
      <c r="B10205" t="s">
        <v>2450</v>
      </c>
    </row>
    <row r="10206" spans="1:2" x14ac:dyDescent="0.25">
      <c r="A10206">
        <v>29349939110</v>
      </c>
      <c r="B10206" t="s">
        <v>4223</v>
      </c>
    </row>
    <row r="10207" spans="1:2" x14ac:dyDescent="0.25">
      <c r="A10207">
        <v>29349939120</v>
      </c>
      <c r="B10207" t="s">
        <v>4224</v>
      </c>
    </row>
    <row r="10208" spans="1:2" x14ac:dyDescent="0.25">
      <c r="A10208">
        <v>29349939140</v>
      </c>
      <c r="B10208" t="s">
        <v>4225</v>
      </c>
    </row>
    <row r="10209" spans="1:2" x14ac:dyDescent="0.25">
      <c r="A10209">
        <v>29349939190</v>
      </c>
      <c r="B10209" t="s">
        <v>10</v>
      </c>
    </row>
    <row r="10210" spans="1:2" x14ac:dyDescent="0.25">
      <c r="A10210">
        <v>293499392</v>
      </c>
      <c r="B10210" t="s">
        <v>4204</v>
      </c>
    </row>
    <row r="10211" spans="1:2" x14ac:dyDescent="0.25">
      <c r="A10211">
        <v>29349939210</v>
      </c>
      <c r="B10211" t="s">
        <v>3336</v>
      </c>
    </row>
    <row r="10212" spans="1:2" x14ac:dyDescent="0.25">
      <c r="A10212">
        <v>29349939290</v>
      </c>
      <c r="B10212" t="s">
        <v>3337</v>
      </c>
    </row>
    <row r="10213" spans="1:2" x14ac:dyDescent="0.25">
      <c r="A10213">
        <v>29349939300</v>
      </c>
      <c r="B10213" t="s">
        <v>3361</v>
      </c>
    </row>
    <row r="10214" spans="1:2" x14ac:dyDescent="0.25">
      <c r="A10214">
        <v>29349939400</v>
      </c>
      <c r="B10214" t="s">
        <v>4226</v>
      </c>
    </row>
    <row r="10215" spans="1:2" x14ac:dyDescent="0.25">
      <c r="A10215">
        <v>29349939500</v>
      </c>
      <c r="B10215" t="s">
        <v>4227</v>
      </c>
    </row>
    <row r="10216" spans="1:2" x14ac:dyDescent="0.25">
      <c r="A10216">
        <v>293499399</v>
      </c>
      <c r="B10216" t="s">
        <v>10</v>
      </c>
    </row>
    <row r="10217" spans="1:2" x14ac:dyDescent="0.25">
      <c r="A10217">
        <v>29349939910</v>
      </c>
      <c r="B10217" t="s">
        <v>4228</v>
      </c>
    </row>
    <row r="10218" spans="1:2" x14ac:dyDescent="0.25">
      <c r="A10218">
        <v>29349939920</v>
      </c>
      <c r="B10218" t="s">
        <v>3935</v>
      </c>
    </row>
    <row r="10219" spans="1:2" x14ac:dyDescent="0.25">
      <c r="A10219">
        <v>29349939990</v>
      </c>
      <c r="B10219" t="s">
        <v>3484</v>
      </c>
    </row>
    <row r="10220" spans="1:2" x14ac:dyDescent="0.25">
      <c r="A10220">
        <v>2934994</v>
      </c>
      <c r="B10220" t="s">
        <v>4229</v>
      </c>
    </row>
    <row r="10221" spans="1:2" x14ac:dyDescent="0.25">
      <c r="A10221">
        <v>29349941000</v>
      </c>
      <c r="B10221" t="s">
        <v>4230</v>
      </c>
    </row>
    <row r="10222" spans="1:2" x14ac:dyDescent="0.25">
      <c r="A10222">
        <v>29349942000</v>
      </c>
      <c r="B10222" t="s">
        <v>4231</v>
      </c>
    </row>
    <row r="10223" spans="1:2" x14ac:dyDescent="0.25">
      <c r="A10223">
        <v>29349943000</v>
      </c>
      <c r="B10223" t="s">
        <v>4232</v>
      </c>
    </row>
    <row r="10224" spans="1:2" x14ac:dyDescent="0.25">
      <c r="A10224">
        <v>29349944000</v>
      </c>
      <c r="B10224" t="s">
        <v>4233</v>
      </c>
    </row>
    <row r="10225" spans="1:2" x14ac:dyDescent="0.25">
      <c r="A10225">
        <v>29349945000</v>
      </c>
      <c r="B10225" t="s">
        <v>4234</v>
      </c>
    </row>
    <row r="10226" spans="1:2" x14ac:dyDescent="0.25">
      <c r="A10226">
        <v>29349946000</v>
      </c>
      <c r="B10226" t="s">
        <v>4235</v>
      </c>
    </row>
    <row r="10227" spans="1:2" x14ac:dyDescent="0.25">
      <c r="A10227">
        <v>29349949</v>
      </c>
      <c r="B10227" t="s">
        <v>10</v>
      </c>
    </row>
    <row r="10228" spans="1:2" x14ac:dyDescent="0.25">
      <c r="A10228">
        <v>293499491</v>
      </c>
      <c r="B10228" t="s">
        <v>2450</v>
      </c>
    </row>
    <row r="10229" spans="1:2" x14ac:dyDescent="0.25">
      <c r="A10229">
        <v>29349949110</v>
      </c>
      <c r="B10229" t="s">
        <v>4236</v>
      </c>
    </row>
    <row r="10230" spans="1:2" x14ac:dyDescent="0.25">
      <c r="A10230">
        <v>29349949120</v>
      </c>
      <c r="B10230" t="s">
        <v>4237</v>
      </c>
    </row>
    <row r="10231" spans="1:2" x14ac:dyDescent="0.25">
      <c r="A10231">
        <v>29349949130</v>
      </c>
      <c r="B10231" t="s">
        <v>4238</v>
      </c>
    </row>
    <row r="10232" spans="1:2" x14ac:dyDescent="0.25">
      <c r="A10232">
        <v>29349949190</v>
      </c>
      <c r="B10232" t="s">
        <v>10</v>
      </c>
    </row>
    <row r="10233" spans="1:2" x14ac:dyDescent="0.25">
      <c r="A10233">
        <v>29349949200</v>
      </c>
      <c r="B10233" t="s">
        <v>3361</v>
      </c>
    </row>
    <row r="10234" spans="1:2" x14ac:dyDescent="0.25">
      <c r="A10234">
        <v>293499493</v>
      </c>
      <c r="B10234" t="s">
        <v>4204</v>
      </c>
    </row>
    <row r="10235" spans="1:2" x14ac:dyDescent="0.25">
      <c r="A10235">
        <v>29349949310</v>
      </c>
      <c r="B10235" t="s">
        <v>3336</v>
      </c>
    </row>
    <row r="10236" spans="1:2" x14ac:dyDescent="0.25">
      <c r="A10236">
        <v>29349949390</v>
      </c>
      <c r="B10236" t="s">
        <v>3337</v>
      </c>
    </row>
    <row r="10237" spans="1:2" x14ac:dyDescent="0.25">
      <c r="A10237">
        <v>29349949400</v>
      </c>
      <c r="B10237" t="s">
        <v>3893</v>
      </c>
    </row>
    <row r="10238" spans="1:2" x14ac:dyDescent="0.25">
      <c r="A10238">
        <v>29349949900</v>
      </c>
      <c r="B10238" t="s">
        <v>10</v>
      </c>
    </row>
    <row r="10239" spans="1:2" x14ac:dyDescent="0.25">
      <c r="A10239">
        <v>2934995</v>
      </c>
      <c r="B10239" t="s">
        <v>4239</v>
      </c>
    </row>
    <row r="10240" spans="1:2" x14ac:dyDescent="0.25">
      <c r="A10240">
        <v>29349951000</v>
      </c>
      <c r="B10240" t="s">
        <v>4240</v>
      </c>
    </row>
    <row r="10241" spans="1:2" x14ac:dyDescent="0.25">
      <c r="A10241">
        <v>29349952000</v>
      </c>
      <c r="B10241" t="s">
        <v>4241</v>
      </c>
    </row>
    <row r="10242" spans="1:2" x14ac:dyDescent="0.25">
      <c r="A10242">
        <v>29349953</v>
      </c>
      <c r="B10242" t="s">
        <v>4242</v>
      </c>
    </row>
    <row r="10243" spans="1:2" x14ac:dyDescent="0.25">
      <c r="A10243">
        <v>29349953100</v>
      </c>
      <c r="B10243" t="s">
        <v>4243</v>
      </c>
    </row>
    <row r="10244" spans="1:2" x14ac:dyDescent="0.25">
      <c r="A10244">
        <v>29349953200</v>
      </c>
      <c r="B10244" t="s">
        <v>2195</v>
      </c>
    </row>
    <row r="10245" spans="1:2" x14ac:dyDescent="0.25">
      <c r="A10245">
        <v>29349954000</v>
      </c>
      <c r="B10245" t="s">
        <v>4244</v>
      </c>
    </row>
    <row r="10246" spans="1:2" x14ac:dyDescent="0.25">
      <c r="A10246">
        <v>29349959</v>
      </c>
      <c r="B10246" t="s">
        <v>10</v>
      </c>
    </row>
    <row r="10247" spans="1:2" x14ac:dyDescent="0.25">
      <c r="A10247">
        <v>293499591</v>
      </c>
      <c r="B10247" t="s">
        <v>2450</v>
      </c>
    </row>
    <row r="10248" spans="1:2" x14ac:dyDescent="0.25">
      <c r="A10248">
        <v>29349959110</v>
      </c>
      <c r="B10248" t="s">
        <v>4245</v>
      </c>
    </row>
    <row r="10249" spans="1:2" x14ac:dyDescent="0.25">
      <c r="A10249">
        <v>29349959120</v>
      </c>
      <c r="B10249" t="s">
        <v>4246</v>
      </c>
    </row>
    <row r="10250" spans="1:2" x14ac:dyDescent="0.25">
      <c r="A10250">
        <v>29349959130</v>
      </c>
      <c r="B10250" t="s">
        <v>4247</v>
      </c>
    </row>
    <row r="10251" spans="1:2" x14ac:dyDescent="0.25">
      <c r="A10251">
        <v>29349959140</v>
      </c>
      <c r="B10251" t="s">
        <v>4248</v>
      </c>
    </row>
    <row r="10252" spans="1:2" x14ac:dyDescent="0.25">
      <c r="A10252">
        <v>29349959150</v>
      </c>
      <c r="B10252" t="s">
        <v>4249</v>
      </c>
    </row>
    <row r="10253" spans="1:2" x14ac:dyDescent="0.25">
      <c r="A10253">
        <v>29349959190</v>
      </c>
      <c r="B10253" t="s">
        <v>10</v>
      </c>
    </row>
    <row r="10254" spans="1:2" x14ac:dyDescent="0.25">
      <c r="A10254">
        <v>29349959200</v>
      </c>
      <c r="B10254" t="s">
        <v>3361</v>
      </c>
    </row>
    <row r="10255" spans="1:2" x14ac:dyDescent="0.25">
      <c r="A10255">
        <v>29349959300</v>
      </c>
      <c r="B10255" t="s">
        <v>4204</v>
      </c>
    </row>
    <row r="10256" spans="1:2" x14ac:dyDescent="0.25">
      <c r="A10256">
        <v>29349959900</v>
      </c>
      <c r="B10256" t="s">
        <v>10</v>
      </c>
    </row>
    <row r="10257" spans="1:2" x14ac:dyDescent="0.25">
      <c r="A10257">
        <v>2934996</v>
      </c>
      <c r="B10257" t="s">
        <v>4250</v>
      </c>
    </row>
    <row r="10258" spans="1:2" x14ac:dyDescent="0.25">
      <c r="A10258">
        <v>29349961000</v>
      </c>
      <c r="B10258" t="s">
        <v>4251</v>
      </c>
    </row>
    <row r="10259" spans="1:2" x14ac:dyDescent="0.25">
      <c r="A10259">
        <v>29349969</v>
      </c>
      <c r="B10259" t="s">
        <v>10</v>
      </c>
    </row>
    <row r="10260" spans="1:2" x14ac:dyDescent="0.25">
      <c r="A10260">
        <v>293499691</v>
      </c>
      <c r="B10260" t="s">
        <v>2450</v>
      </c>
    </row>
    <row r="10261" spans="1:2" x14ac:dyDescent="0.25">
      <c r="A10261">
        <v>29349969110</v>
      </c>
      <c r="B10261" t="s">
        <v>4252</v>
      </c>
    </row>
    <row r="10262" spans="1:2" x14ac:dyDescent="0.25">
      <c r="A10262">
        <v>29349969190</v>
      </c>
      <c r="B10262" t="s">
        <v>10</v>
      </c>
    </row>
    <row r="10263" spans="1:2" x14ac:dyDescent="0.25">
      <c r="A10263">
        <v>29349969200</v>
      </c>
      <c r="B10263" t="s">
        <v>4204</v>
      </c>
    </row>
    <row r="10264" spans="1:2" x14ac:dyDescent="0.25">
      <c r="A10264">
        <v>29349969900</v>
      </c>
      <c r="B10264" t="s">
        <v>10</v>
      </c>
    </row>
    <row r="10265" spans="1:2" x14ac:dyDescent="0.25">
      <c r="A10265">
        <v>2934999</v>
      </c>
      <c r="B10265" t="s">
        <v>10</v>
      </c>
    </row>
    <row r="10266" spans="1:2" x14ac:dyDescent="0.25">
      <c r="A10266">
        <v>29349991000</v>
      </c>
      <c r="B10266" t="s">
        <v>4253</v>
      </c>
    </row>
    <row r="10267" spans="1:2" x14ac:dyDescent="0.25">
      <c r="A10267">
        <v>29349992000</v>
      </c>
      <c r="B10267" t="s">
        <v>4254</v>
      </c>
    </row>
    <row r="10268" spans="1:2" x14ac:dyDescent="0.25">
      <c r="A10268">
        <v>29349993000</v>
      </c>
      <c r="B10268" t="s">
        <v>4255</v>
      </c>
    </row>
    <row r="10269" spans="1:2" x14ac:dyDescent="0.25">
      <c r="A10269">
        <v>29349999</v>
      </c>
      <c r="B10269" t="s">
        <v>10</v>
      </c>
    </row>
    <row r="10270" spans="1:2" x14ac:dyDescent="0.25">
      <c r="A10270">
        <v>293499991</v>
      </c>
      <c r="B10270" t="s">
        <v>2450</v>
      </c>
    </row>
    <row r="10271" spans="1:2" x14ac:dyDescent="0.25">
      <c r="A10271">
        <v>29349999110</v>
      </c>
      <c r="B10271" t="s">
        <v>4256</v>
      </c>
    </row>
    <row r="10272" spans="1:2" x14ac:dyDescent="0.25">
      <c r="A10272">
        <v>29349999120</v>
      </c>
      <c r="B10272" t="s">
        <v>4257</v>
      </c>
    </row>
    <row r="10273" spans="1:2" x14ac:dyDescent="0.25">
      <c r="A10273">
        <v>29349999190</v>
      </c>
      <c r="B10273" t="s">
        <v>10</v>
      </c>
    </row>
    <row r="10274" spans="1:2" x14ac:dyDescent="0.25">
      <c r="A10274">
        <v>29349999200</v>
      </c>
      <c r="B10274" t="s">
        <v>2791</v>
      </c>
    </row>
    <row r="10275" spans="1:2" x14ac:dyDescent="0.25">
      <c r="A10275">
        <v>29349999900</v>
      </c>
      <c r="B10275" t="s">
        <v>10</v>
      </c>
    </row>
    <row r="10276" spans="1:2" x14ac:dyDescent="0.25">
      <c r="A10276">
        <v>2935</v>
      </c>
      <c r="B10276" t="s">
        <v>4258</v>
      </c>
    </row>
    <row r="10277" spans="1:2" x14ac:dyDescent="0.25">
      <c r="A10277">
        <v>29351000000</v>
      </c>
      <c r="B10277" t="e">
        <f>-n-Metilperfluorooctano sulfonamida</f>
        <v>#NAME?</v>
      </c>
    </row>
    <row r="10278" spans="1:2" x14ac:dyDescent="0.25">
      <c r="A10278">
        <v>29352000000</v>
      </c>
      <c r="B10278" t="e">
        <f>-n-Etilperfluorooctano sulfonamida</f>
        <v>#NAME?</v>
      </c>
    </row>
    <row r="10279" spans="1:2" x14ac:dyDescent="0.25">
      <c r="A10279">
        <v>29353000000</v>
      </c>
      <c r="B10279" t="s">
        <v>4259</v>
      </c>
    </row>
    <row r="10280" spans="1:2" x14ac:dyDescent="0.25">
      <c r="A10280">
        <v>29354000000</v>
      </c>
      <c r="B10280" t="e">
        <f>-n-(2-hidroxietil)-n-Metilperfluorooctano sulfonamida</f>
        <v>#NAME?</v>
      </c>
    </row>
    <row r="10281" spans="1:2" x14ac:dyDescent="0.25">
      <c r="A10281">
        <v>29355000000</v>
      </c>
      <c r="B10281" t="e">
        <f>-las demas perfluorooctano sulfonamidas</f>
        <v>#NAME?</v>
      </c>
    </row>
    <row r="10282" spans="1:2" x14ac:dyDescent="0.25">
      <c r="A10282">
        <v>293590</v>
      </c>
      <c r="B10282" t="e">
        <f>- las demas</f>
        <v>#NAME?</v>
      </c>
    </row>
    <row r="10283" spans="1:2" x14ac:dyDescent="0.25">
      <c r="A10283">
        <v>2935901</v>
      </c>
      <c r="B10283" t="s">
        <v>4260</v>
      </c>
    </row>
    <row r="10284" spans="1:2" x14ac:dyDescent="0.25">
      <c r="A10284">
        <v>29359011000</v>
      </c>
      <c r="B10284" t="s">
        <v>4261</v>
      </c>
    </row>
    <row r="10285" spans="1:2" x14ac:dyDescent="0.25">
      <c r="A10285">
        <v>29359012000</v>
      </c>
      <c r="B10285" t="s">
        <v>4262</v>
      </c>
    </row>
    <row r="10286" spans="1:2" x14ac:dyDescent="0.25">
      <c r="A10286">
        <v>29359013000</v>
      </c>
      <c r="B10286" t="s">
        <v>4263</v>
      </c>
    </row>
    <row r="10287" spans="1:2" x14ac:dyDescent="0.25">
      <c r="A10287">
        <v>29359014000</v>
      </c>
      <c r="B10287" t="s">
        <v>4264</v>
      </c>
    </row>
    <row r="10288" spans="1:2" x14ac:dyDescent="0.25">
      <c r="A10288">
        <v>29359015000</v>
      </c>
      <c r="B10288" t="s">
        <v>4265</v>
      </c>
    </row>
    <row r="10289" spans="1:2" x14ac:dyDescent="0.25">
      <c r="A10289">
        <v>29359019</v>
      </c>
      <c r="B10289" t="s">
        <v>57</v>
      </c>
    </row>
    <row r="10290" spans="1:2" x14ac:dyDescent="0.25">
      <c r="A10290">
        <v>293590191</v>
      </c>
      <c r="B10290" t="s">
        <v>2450</v>
      </c>
    </row>
    <row r="10291" spans="1:2" x14ac:dyDescent="0.25">
      <c r="A10291">
        <v>29359019110</v>
      </c>
      <c r="B10291" t="s">
        <v>4266</v>
      </c>
    </row>
    <row r="10292" spans="1:2" x14ac:dyDescent="0.25">
      <c r="A10292">
        <v>29359019120</v>
      </c>
      <c r="B10292" t="s">
        <v>4267</v>
      </c>
    </row>
    <row r="10293" spans="1:2" x14ac:dyDescent="0.25">
      <c r="A10293">
        <v>29359019130</v>
      </c>
      <c r="B10293" t="s">
        <v>4268</v>
      </c>
    </row>
    <row r="10294" spans="1:2" x14ac:dyDescent="0.25">
      <c r="A10294">
        <v>29359019140</v>
      </c>
      <c r="B10294" t="s">
        <v>4269</v>
      </c>
    </row>
    <row r="10295" spans="1:2" x14ac:dyDescent="0.25">
      <c r="A10295">
        <v>29359019150</v>
      </c>
      <c r="B10295" t="s">
        <v>4270</v>
      </c>
    </row>
    <row r="10296" spans="1:2" x14ac:dyDescent="0.25">
      <c r="A10296">
        <v>29359019190</v>
      </c>
      <c r="B10296" t="s">
        <v>10</v>
      </c>
    </row>
    <row r="10297" spans="1:2" x14ac:dyDescent="0.25">
      <c r="A10297">
        <v>293590192</v>
      </c>
      <c r="B10297" t="s">
        <v>4271</v>
      </c>
    </row>
    <row r="10298" spans="1:2" x14ac:dyDescent="0.25">
      <c r="A10298">
        <v>29359019210</v>
      </c>
      <c r="B10298" t="s">
        <v>4272</v>
      </c>
    </row>
    <row r="10299" spans="1:2" x14ac:dyDescent="0.25">
      <c r="A10299">
        <v>29359019220</v>
      </c>
      <c r="B10299" t="s">
        <v>3319</v>
      </c>
    </row>
    <row r="10300" spans="1:2" x14ac:dyDescent="0.25">
      <c r="A10300">
        <v>29359019900</v>
      </c>
      <c r="B10300" t="s">
        <v>10</v>
      </c>
    </row>
    <row r="10301" spans="1:2" x14ac:dyDescent="0.25">
      <c r="A10301">
        <v>2935902</v>
      </c>
      <c r="B10301" t="s">
        <v>4273</v>
      </c>
    </row>
    <row r="10302" spans="1:2" x14ac:dyDescent="0.25">
      <c r="A10302">
        <v>29359021000</v>
      </c>
      <c r="B10302" t="s">
        <v>4274</v>
      </c>
    </row>
    <row r="10303" spans="1:2" x14ac:dyDescent="0.25">
      <c r="A10303">
        <v>29359022000</v>
      </c>
      <c r="B10303" t="s">
        <v>4275</v>
      </c>
    </row>
    <row r="10304" spans="1:2" x14ac:dyDescent="0.25">
      <c r="A10304">
        <v>29359023000</v>
      </c>
      <c r="B10304" t="s">
        <v>4276</v>
      </c>
    </row>
    <row r="10305" spans="1:2" x14ac:dyDescent="0.25">
      <c r="A10305">
        <v>29359024000</v>
      </c>
      <c r="B10305" t="s">
        <v>4277</v>
      </c>
    </row>
    <row r="10306" spans="1:2" x14ac:dyDescent="0.25">
      <c r="A10306">
        <v>29359025000</v>
      </c>
      <c r="B10306" t="s">
        <v>4278</v>
      </c>
    </row>
    <row r="10307" spans="1:2" x14ac:dyDescent="0.25">
      <c r="A10307">
        <v>29359029</v>
      </c>
      <c r="B10307" t="s">
        <v>57</v>
      </c>
    </row>
    <row r="10308" spans="1:2" x14ac:dyDescent="0.25">
      <c r="A10308">
        <v>29359029100</v>
      </c>
      <c r="B10308" t="s">
        <v>2740</v>
      </c>
    </row>
    <row r="10309" spans="1:2" x14ac:dyDescent="0.25">
      <c r="A10309">
        <v>29359029900</v>
      </c>
      <c r="B10309" t="s">
        <v>10</v>
      </c>
    </row>
    <row r="10310" spans="1:2" x14ac:dyDescent="0.25">
      <c r="A10310">
        <v>2935909</v>
      </c>
      <c r="B10310" t="s">
        <v>57</v>
      </c>
    </row>
    <row r="10311" spans="1:2" x14ac:dyDescent="0.25">
      <c r="A10311">
        <v>29359091</v>
      </c>
      <c r="B10311" t="s">
        <v>4279</v>
      </c>
    </row>
    <row r="10312" spans="1:2" x14ac:dyDescent="0.25">
      <c r="A10312">
        <v>29359091100</v>
      </c>
      <c r="B10312" t="s">
        <v>4280</v>
      </c>
    </row>
    <row r="10313" spans="1:2" x14ac:dyDescent="0.25">
      <c r="A10313">
        <v>29359091200</v>
      </c>
      <c r="B10313" t="s">
        <v>4281</v>
      </c>
    </row>
    <row r="10314" spans="1:2" x14ac:dyDescent="0.25">
      <c r="A10314">
        <v>29359092000</v>
      </c>
      <c r="B10314" t="s">
        <v>4282</v>
      </c>
    </row>
    <row r="10315" spans="1:2" x14ac:dyDescent="0.25">
      <c r="A10315">
        <v>29359093000</v>
      </c>
      <c r="B10315" t="s">
        <v>4283</v>
      </c>
    </row>
    <row r="10316" spans="1:2" x14ac:dyDescent="0.25">
      <c r="A10316">
        <v>29359094000</v>
      </c>
      <c r="B10316" t="s">
        <v>4284</v>
      </c>
    </row>
    <row r="10317" spans="1:2" x14ac:dyDescent="0.25">
      <c r="A10317">
        <v>29359095000</v>
      </c>
      <c r="B10317" t="s">
        <v>4285</v>
      </c>
    </row>
    <row r="10318" spans="1:2" x14ac:dyDescent="0.25">
      <c r="A10318">
        <v>29359096000</v>
      </c>
      <c r="B10318" t="s">
        <v>4286</v>
      </c>
    </row>
    <row r="10319" spans="1:2" x14ac:dyDescent="0.25">
      <c r="A10319">
        <v>29359097000</v>
      </c>
      <c r="B10319" t="s">
        <v>4287</v>
      </c>
    </row>
    <row r="10320" spans="1:2" x14ac:dyDescent="0.25">
      <c r="A10320">
        <v>29359099</v>
      </c>
      <c r="B10320" t="s">
        <v>57</v>
      </c>
    </row>
    <row r="10321" spans="1:2" x14ac:dyDescent="0.25">
      <c r="A10321">
        <v>293590991</v>
      </c>
      <c r="B10321" t="s">
        <v>2450</v>
      </c>
    </row>
    <row r="10322" spans="1:2" x14ac:dyDescent="0.25">
      <c r="A10322">
        <v>29359099110</v>
      </c>
      <c r="B10322" t="s">
        <v>4288</v>
      </c>
    </row>
    <row r="10323" spans="1:2" x14ac:dyDescent="0.25">
      <c r="A10323">
        <v>29359099120</v>
      </c>
      <c r="B10323" t="s">
        <v>4289</v>
      </c>
    </row>
    <row r="10324" spans="1:2" x14ac:dyDescent="0.25">
      <c r="A10324">
        <v>29359099130</v>
      </c>
      <c r="B10324" t="s">
        <v>4290</v>
      </c>
    </row>
    <row r="10325" spans="1:2" x14ac:dyDescent="0.25">
      <c r="A10325">
        <v>29359099140</v>
      </c>
      <c r="B10325" t="s">
        <v>4291</v>
      </c>
    </row>
    <row r="10326" spans="1:2" x14ac:dyDescent="0.25">
      <c r="A10326">
        <v>29359099190</v>
      </c>
      <c r="B10326" t="s">
        <v>10</v>
      </c>
    </row>
    <row r="10327" spans="1:2" x14ac:dyDescent="0.25">
      <c r="A10327">
        <v>29359099200</v>
      </c>
      <c r="B10327" t="s">
        <v>2740</v>
      </c>
    </row>
    <row r="10328" spans="1:2" x14ac:dyDescent="0.25">
      <c r="A10328">
        <v>29359099900</v>
      </c>
      <c r="B10328" t="s">
        <v>10</v>
      </c>
    </row>
    <row r="10329" spans="1:2" x14ac:dyDescent="0.25">
      <c r="A10329">
        <v>2936</v>
      </c>
      <c r="B10329" t="s">
        <v>4292</v>
      </c>
    </row>
    <row r="10330" spans="1:2" x14ac:dyDescent="0.25">
      <c r="A10330">
        <v>29362</v>
      </c>
      <c r="B10330" t="s">
        <v>4293</v>
      </c>
    </row>
    <row r="10331" spans="1:2" x14ac:dyDescent="0.25">
      <c r="A10331">
        <v>293621</v>
      </c>
      <c r="B10331" t="e">
        <f>- - Vitaminas a y sus derivados</f>
        <v>#NAME?</v>
      </c>
    </row>
    <row r="10332" spans="1:2" x14ac:dyDescent="0.25">
      <c r="A10332">
        <v>2936211</v>
      </c>
      <c r="B10332" t="s">
        <v>4294</v>
      </c>
    </row>
    <row r="10333" spans="1:2" x14ac:dyDescent="0.25">
      <c r="A10333">
        <v>29362111000</v>
      </c>
      <c r="B10333" t="s">
        <v>4295</v>
      </c>
    </row>
    <row r="10334" spans="1:2" x14ac:dyDescent="0.25">
      <c r="A10334">
        <v>29362112000</v>
      </c>
      <c r="B10334" t="s">
        <v>4296</v>
      </c>
    </row>
    <row r="10335" spans="1:2" x14ac:dyDescent="0.25">
      <c r="A10335">
        <v>29362113000</v>
      </c>
      <c r="B10335" t="s">
        <v>4297</v>
      </c>
    </row>
    <row r="10336" spans="1:2" x14ac:dyDescent="0.25">
      <c r="A10336">
        <v>29362119000</v>
      </c>
      <c r="B10336" t="s">
        <v>10</v>
      </c>
    </row>
    <row r="10337" spans="1:2" x14ac:dyDescent="0.25">
      <c r="A10337">
        <v>29362190</v>
      </c>
      <c r="B10337" t="s">
        <v>10</v>
      </c>
    </row>
    <row r="10338" spans="1:2" x14ac:dyDescent="0.25">
      <c r="A10338">
        <v>29362190100</v>
      </c>
      <c r="B10338" t="s">
        <v>4298</v>
      </c>
    </row>
    <row r="10339" spans="1:2" x14ac:dyDescent="0.25">
      <c r="A10339">
        <v>29362190200</v>
      </c>
      <c r="B10339" t="s">
        <v>4299</v>
      </c>
    </row>
    <row r="10340" spans="1:2" x14ac:dyDescent="0.25">
      <c r="A10340">
        <v>29362190900</v>
      </c>
      <c r="B10340" t="s">
        <v>57</v>
      </c>
    </row>
    <row r="10341" spans="1:2" x14ac:dyDescent="0.25">
      <c r="A10341">
        <v>293622</v>
      </c>
      <c r="B10341" t="e">
        <f>- - Vitamina #REF! y sus derivados</f>
        <v>#NAME?</v>
      </c>
    </row>
    <row r="10342" spans="1:2" x14ac:dyDescent="0.25">
      <c r="A10342">
        <v>29362210000</v>
      </c>
      <c r="B10342" t="s">
        <v>4300</v>
      </c>
    </row>
    <row r="10343" spans="1:2" x14ac:dyDescent="0.25">
      <c r="A10343">
        <v>29362220000</v>
      </c>
      <c r="B10343" t="s">
        <v>4301</v>
      </c>
    </row>
    <row r="10344" spans="1:2" x14ac:dyDescent="0.25">
      <c r="A10344">
        <v>29362290</v>
      </c>
      <c r="B10344" t="s">
        <v>10</v>
      </c>
    </row>
    <row r="10345" spans="1:2" x14ac:dyDescent="0.25">
      <c r="A10345">
        <v>29362290100</v>
      </c>
      <c r="B10345" t="s">
        <v>4302</v>
      </c>
    </row>
    <row r="10346" spans="1:2" x14ac:dyDescent="0.25">
      <c r="A10346">
        <v>29362290900</v>
      </c>
      <c r="B10346" t="s">
        <v>10</v>
      </c>
    </row>
    <row r="10347" spans="1:2" x14ac:dyDescent="0.25">
      <c r="A10347">
        <v>293623</v>
      </c>
      <c r="B10347" t="e">
        <f>- - Vitamina #REF! y sus derivados</f>
        <v>#NAME?</v>
      </c>
    </row>
    <row r="10348" spans="1:2" x14ac:dyDescent="0.25">
      <c r="A10348">
        <v>29362310000</v>
      </c>
      <c r="B10348" t="s">
        <v>4303</v>
      </c>
    </row>
    <row r="10349" spans="1:2" x14ac:dyDescent="0.25">
      <c r="A10349">
        <v>29362320000</v>
      </c>
      <c r="B10349" t="s">
        <v>4304</v>
      </c>
    </row>
    <row r="10350" spans="1:2" x14ac:dyDescent="0.25">
      <c r="A10350">
        <v>29362390000</v>
      </c>
      <c r="B10350" t="s">
        <v>10</v>
      </c>
    </row>
    <row r="10351" spans="1:2" x14ac:dyDescent="0.25">
      <c r="A10351">
        <v>293624</v>
      </c>
      <c r="B10351" t="e">
        <f>- - acido D- o DL-pantotenico (Vitamina #REF! o Vitamina #REF!) y sus derivados</f>
        <v>#NAME?</v>
      </c>
    </row>
    <row r="10352" spans="1:2" x14ac:dyDescent="0.25">
      <c r="A10352">
        <v>29362410000</v>
      </c>
      <c r="B10352" t="s">
        <v>4305</v>
      </c>
    </row>
    <row r="10353" spans="1:2" x14ac:dyDescent="0.25">
      <c r="A10353">
        <v>29362490</v>
      </c>
      <c r="B10353" t="s">
        <v>10</v>
      </c>
    </row>
    <row r="10354" spans="1:2" x14ac:dyDescent="0.25">
      <c r="A10354">
        <v>29362490100</v>
      </c>
      <c r="B10354" t="s">
        <v>4306</v>
      </c>
    </row>
    <row r="10355" spans="1:2" x14ac:dyDescent="0.25">
      <c r="A10355">
        <v>29362490200</v>
      </c>
      <c r="B10355" t="s">
        <v>4307</v>
      </c>
    </row>
    <row r="10356" spans="1:2" x14ac:dyDescent="0.25">
      <c r="A10356">
        <v>29362490900</v>
      </c>
      <c r="B10356" t="s">
        <v>10</v>
      </c>
    </row>
    <row r="10357" spans="1:2" x14ac:dyDescent="0.25">
      <c r="A10357">
        <v>293625</v>
      </c>
      <c r="B10357" t="e">
        <f>- - Vitamina #REF! y sus derivados</f>
        <v>#NAME?</v>
      </c>
    </row>
    <row r="10358" spans="1:2" x14ac:dyDescent="0.25">
      <c r="A10358">
        <v>29362510000</v>
      </c>
      <c r="B10358" t="s">
        <v>4308</v>
      </c>
    </row>
    <row r="10359" spans="1:2" x14ac:dyDescent="0.25">
      <c r="A10359">
        <v>29362520000</v>
      </c>
      <c r="B10359" t="s">
        <v>4309</v>
      </c>
    </row>
    <row r="10360" spans="1:2" x14ac:dyDescent="0.25">
      <c r="A10360">
        <v>29362590000</v>
      </c>
      <c r="B10360" t="s">
        <v>10</v>
      </c>
    </row>
    <row r="10361" spans="1:2" x14ac:dyDescent="0.25">
      <c r="A10361">
        <v>293626</v>
      </c>
      <c r="B10361" t="e">
        <f>- - Vitamina #REF! y sus derivados</f>
        <v>#NAME?</v>
      </c>
    </row>
    <row r="10362" spans="1:2" x14ac:dyDescent="0.25">
      <c r="A10362">
        <v>29362610000</v>
      </c>
      <c r="B10362" t="s">
        <v>4310</v>
      </c>
    </row>
    <row r="10363" spans="1:2" x14ac:dyDescent="0.25">
      <c r="A10363">
        <v>29362620000</v>
      </c>
      <c r="B10363" t="s">
        <v>4311</v>
      </c>
    </row>
    <row r="10364" spans="1:2" x14ac:dyDescent="0.25">
      <c r="A10364">
        <v>29362630000</v>
      </c>
      <c r="B10364" t="s">
        <v>4312</v>
      </c>
    </row>
    <row r="10365" spans="1:2" x14ac:dyDescent="0.25">
      <c r="A10365">
        <v>29362690000</v>
      </c>
      <c r="B10365" t="s">
        <v>10</v>
      </c>
    </row>
    <row r="10366" spans="1:2" x14ac:dyDescent="0.25">
      <c r="A10366">
        <v>293627</v>
      </c>
      <c r="B10366" t="s">
        <v>4313</v>
      </c>
    </row>
    <row r="10367" spans="1:2" x14ac:dyDescent="0.25">
      <c r="A10367">
        <v>29362710000</v>
      </c>
      <c r="B10367" t="s">
        <v>4314</v>
      </c>
    </row>
    <row r="10368" spans="1:2" x14ac:dyDescent="0.25">
      <c r="A10368">
        <v>29362720000</v>
      </c>
      <c r="B10368" t="s">
        <v>4315</v>
      </c>
    </row>
    <row r="10369" spans="1:2" x14ac:dyDescent="0.25">
      <c r="A10369">
        <v>29362790000</v>
      </c>
      <c r="B10369" t="s">
        <v>10</v>
      </c>
    </row>
    <row r="10370" spans="1:2" x14ac:dyDescent="0.25">
      <c r="A10370">
        <v>293628</v>
      </c>
      <c r="B10370" t="e">
        <f>- - Vitamina e y sus derivados</f>
        <v>#NAME?</v>
      </c>
    </row>
    <row r="10371" spans="1:2" x14ac:dyDescent="0.25">
      <c r="A10371">
        <v>2936281</v>
      </c>
      <c r="B10371" t="s">
        <v>4316</v>
      </c>
    </row>
    <row r="10372" spans="1:2" x14ac:dyDescent="0.25">
      <c r="A10372">
        <v>29362811000</v>
      </c>
      <c r="B10372" t="s">
        <v>4317</v>
      </c>
    </row>
    <row r="10373" spans="1:2" x14ac:dyDescent="0.25">
      <c r="A10373">
        <v>29362812000</v>
      </c>
      <c r="B10373" t="s">
        <v>4318</v>
      </c>
    </row>
    <row r="10374" spans="1:2" x14ac:dyDescent="0.25">
      <c r="A10374">
        <v>29362819000</v>
      </c>
      <c r="B10374" t="s">
        <v>10</v>
      </c>
    </row>
    <row r="10375" spans="1:2" x14ac:dyDescent="0.25">
      <c r="A10375">
        <v>29362890000</v>
      </c>
      <c r="B10375" t="s">
        <v>10</v>
      </c>
    </row>
    <row r="10376" spans="1:2" x14ac:dyDescent="0.25">
      <c r="A10376">
        <v>293629</v>
      </c>
      <c r="B10376" t="e">
        <f>- - las demas Vitaminas y sus derivados</f>
        <v>#NAME?</v>
      </c>
    </row>
    <row r="10377" spans="1:2" x14ac:dyDescent="0.25">
      <c r="A10377">
        <v>2936291</v>
      </c>
      <c r="B10377" t="s">
        <v>4319</v>
      </c>
    </row>
    <row r="10378" spans="1:2" x14ac:dyDescent="0.25">
      <c r="A10378">
        <v>29362911000</v>
      </c>
      <c r="B10378" t="s">
        <v>4320</v>
      </c>
    </row>
    <row r="10379" spans="1:2" x14ac:dyDescent="0.25">
      <c r="A10379">
        <v>29362919000</v>
      </c>
      <c r="B10379" t="s">
        <v>10</v>
      </c>
    </row>
    <row r="10380" spans="1:2" x14ac:dyDescent="0.25">
      <c r="A10380">
        <v>2936292</v>
      </c>
      <c r="B10380" t="s">
        <v>4321</v>
      </c>
    </row>
    <row r="10381" spans="1:2" x14ac:dyDescent="0.25">
      <c r="A10381">
        <v>29362921000</v>
      </c>
      <c r="B10381" t="s">
        <v>4322</v>
      </c>
    </row>
    <row r="10382" spans="1:2" x14ac:dyDescent="0.25">
      <c r="A10382">
        <v>29362929000</v>
      </c>
      <c r="B10382" t="s">
        <v>10</v>
      </c>
    </row>
    <row r="10383" spans="1:2" x14ac:dyDescent="0.25">
      <c r="A10383">
        <v>2936293</v>
      </c>
      <c r="B10383" t="s">
        <v>4323</v>
      </c>
    </row>
    <row r="10384" spans="1:2" x14ac:dyDescent="0.25">
      <c r="A10384">
        <v>29362931000</v>
      </c>
      <c r="B10384" t="s">
        <v>4324</v>
      </c>
    </row>
    <row r="10385" spans="1:2" x14ac:dyDescent="0.25">
      <c r="A10385">
        <v>29362939000</v>
      </c>
      <c r="B10385" t="s">
        <v>10</v>
      </c>
    </row>
    <row r="10386" spans="1:2" x14ac:dyDescent="0.25">
      <c r="A10386">
        <v>29362940000</v>
      </c>
      <c r="B10386" t="s">
        <v>4325</v>
      </c>
    </row>
    <row r="10387" spans="1:2" x14ac:dyDescent="0.25">
      <c r="A10387">
        <v>2936295</v>
      </c>
      <c r="B10387" t="s">
        <v>4326</v>
      </c>
    </row>
    <row r="10388" spans="1:2" x14ac:dyDescent="0.25">
      <c r="A10388">
        <v>29362951000</v>
      </c>
      <c r="B10388" t="s">
        <v>4327</v>
      </c>
    </row>
    <row r="10389" spans="1:2" x14ac:dyDescent="0.25">
      <c r="A10389">
        <v>29362952000</v>
      </c>
      <c r="B10389" t="s">
        <v>4328</v>
      </c>
    </row>
    <row r="10390" spans="1:2" x14ac:dyDescent="0.25">
      <c r="A10390">
        <v>29362953000</v>
      </c>
      <c r="B10390" t="s">
        <v>4329</v>
      </c>
    </row>
    <row r="10391" spans="1:2" x14ac:dyDescent="0.25">
      <c r="A10391">
        <v>29362959000</v>
      </c>
      <c r="B10391" t="s">
        <v>10</v>
      </c>
    </row>
    <row r="10392" spans="1:2" x14ac:dyDescent="0.25">
      <c r="A10392">
        <v>29362990000</v>
      </c>
      <c r="B10392" t="s">
        <v>10</v>
      </c>
    </row>
    <row r="10393" spans="1:2" x14ac:dyDescent="0.25">
      <c r="A10393">
        <v>29369000</v>
      </c>
      <c r="B10393" t="e">
        <f>- Los demas. incluidos Los concentrados naturales</f>
        <v>#NAME?</v>
      </c>
    </row>
    <row r="10394" spans="1:2" x14ac:dyDescent="0.25">
      <c r="A10394">
        <v>29369000100</v>
      </c>
      <c r="B10394" t="s">
        <v>4330</v>
      </c>
    </row>
    <row r="10395" spans="1:2" x14ac:dyDescent="0.25">
      <c r="A10395">
        <v>29369000200</v>
      </c>
      <c r="B10395" t="s">
        <v>4331</v>
      </c>
    </row>
    <row r="10396" spans="1:2" x14ac:dyDescent="0.25">
      <c r="A10396">
        <v>29369000900</v>
      </c>
      <c r="B10396" t="s">
        <v>10</v>
      </c>
    </row>
    <row r="10397" spans="1:2" x14ac:dyDescent="0.25">
      <c r="A10397">
        <v>2937</v>
      </c>
      <c r="B10397" t="s">
        <v>4332</v>
      </c>
    </row>
    <row r="10398" spans="1:2" x14ac:dyDescent="0.25">
      <c r="A10398">
        <v>29371</v>
      </c>
      <c r="B10398" t="s">
        <v>4333</v>
      </c>
    </row>
    <row r="10399" spans="1:2" x14ac:dyDescent="0.25">
      <c r="A10399">
        <v>29371100000</v>
      </c>
      <c r="B10399" t="e">
        <f>--Somatotropina. sus derivados y analogos estructurales</f>
        <v>#NAME?</v>
      </c>
    </row>
    <row r="10400" spans="1:2" x14ac:dyDescent="0.25">
      <c r="A10400">
        <v>29371200000</v>
      </c>
      <c r="B10400" t="e">
        <f>--Insulina y sus sales</f>
        <v>#NAME?</v>
      </c>
    </row>
    <row r="10401" spans="1:2" x14ac:dyDescent="0.25">
      <c r="A10401">
        <v>293719</v>
      </c>
      <c r="B10401" t="e">
        <f>- - Los demas</f>
        <v>#NAME?</v>
      </c>
    </row>
    <row r="10402" spans="1:2" x14ac:dyDescent="0.25">
      <c r="A10402">
        <v>29371910000</v>
      </c>
      <c r="B10402" t="s">
        <v>4334</v>
      </c>
    </row>
    <row r="10403" spans="1:2" x14ac:dyDescent="0.25">
      <c r="A10403">
        <v>29371920000</v>
      </c>
      <c r="B10403" t="s">
        <v>4335</v>
      </c>
    </row>
    <row r="10404" spans="1:2" x14ac:dyDescent="0.25">
      <c r="A10404">
        <v>29371930000</v>
      </c>
      <c r="B10404" t="s">
        <v>4336</v>
      </c>
    </row>
    <row r="10405" spans="1:2" x14ac:dyDescent="0.25">
      <c r="A10405">
        <v>29371940000</v>
      </c>
      <c r="B10405" t="s">
        <v>4337</v>
      </c>
    </row>
    <row r="10406" spans="1:2" x14ac:dyDescent="0.25">
      <c r="A10406">
        <v>29371950000</v>
      </c>
      <c r="B10406" t="s">
        <v>4338</v>
      </c>
    </row>
    <row r="10407" spans="1:2" x14ac:dyDescent="0.25">
      <c r="A10407">
        <v>29371990000</v>
      </c>
      <c r="B10407" t="s">
        <v>10</v>
      </c>
    </row>
    <row r="10408" spans="1:2" x14ac:dyDescent="0.25">
      <c r="A10408">
        <v>29372</v>
      </c>
      <c r="B10408" t="s">
        <v>4339</v>
      </c>
    </row>
    <row r="10409" spans="1:2" x14ac:dyDescent="0.25">
      <c r="A10409">
        <v>293721</v>
      </c>
      <c r="B10409" t="e">
        <f>- - Cortisona. hidrocortisona. prednisona (dehidrocortisona) y prednisolona (dehidrohidrocortisona)</f>
        <v>#NAME?</v>
      </c>
    </row>
    <row r="10410" spans="1:2" x14ac:dyDescent="0.25">
      <c r="A10410">
        <v>29372110000</v>
      </c>
      <c r="B10410" t="s">
        <v>4340</v>
      </c>
    </row>
    <row r="10411" spans="1:2" x14ac:dyDescent="0.25">
      <c r="A10411">
        <v>29372120000</v>
      </c>
      <c r="B10411" t="s">
        <v>4341</v>
      </c>
    </row>
    <row r="10412" spans="1:2" x14ac:dyDescent="0.25">
      <c r="A10412">
        <v>29372130000</v>
      </c>
      <c r="B10412" t="s">
        <v>4342</v>
      </c>
    </row>
    <row r="10413" spans="1:2" x14ac:dyDescent="0.25">
      <c r="A10413">
        <v>29372140000</v>
      </c>
      <c r="B10413" t="s">
        <v>4343</v>
      </c>
    </row>
    <row r="10414" spans="1:2" x14ac:dyDescent="0.25">
      <c r="A10414">
        <v>293722</v>
      </c>
      <c r="B10414" t="e">
        <f>- - derivados halogenados de las Hormonas corticosteroides</f>
        <v>#NAME?</v>
      </c>
    </row>
    <row r="10415" spans="1:2" x14ac:dyDescent="0.25">
      <c r="A10415">
        <v>29372210</v>
      </c>
      <c r="B10415" t="s">
        <v>4344</v>
      </c>
    </row>
    <row r="10416" spans="1:2" x14ac:dyDescent="0.25">
      <c r="A10416">
        <v>29372210100</v>
      </c>
      <c r="B10416" t="s">
        <v>4345</v>
      </c>
    </row>
    <row r="10417" spans="1:2" x14ac:dyDescent="0.25">
      <c r="A10417">
        <v>29372210900</v>
      </c>
      <c r="B10417" t="s">
        <v>10</v>
      </c>
    </row>
    <row r="10418" spans="1:2" x14ac:dyDescent="0.25">
      <c r="A10418">
        <v>2937222</v>
      </c>
      <c r="B10418" t="s">
        <v>4346</v>
      </c>
    </row>
    <row r="10419" spans="1:2" x14ac:dyDescent="0.25">
      <c r="A10419">
        <v>29372221000</v>
      </c>
      <c r="B10419" t="s">
        <v>4347</v>
      </c>
    </row>
    <row r="10420" spans="1:2" x14ac:dyDescent="0.25">
      <c r="A10420">
        <v>29372229000</v>
      </c>
      <c r="B10420" t="s">
        <v>10</v>
      </c>
    </row>
    <row r="10421" spans="1:2" x14ac:dyDescent="0.25">
      <c r="A10421">
        <v>2937223</v>
      </c>
      <c r="B10421" t="s">
        <v>4348</v>
      </c>
    </row>
    <row r="10422" spans="1:2" x14ac:dyDescent="0.25">
      <c r="A10422">
        <v>29372231000</v>
      </c>
      <c r="B10422" t="s">
        <v>4349</v>
      </c>
    </row>
    <row r="10423" spans="1:2" x14ac:dyDescent="0.25">
      <c r="A10423">
        <v>29372239000</v>
      </c>
      <c r="B10423" t="s">
        <v>10</v>
      </c>
    </row>
    <row r="10424" spans="1:2" x14ac:dyDescent="0.25">
      <c r="A10424">
        <v>29372290</v>
      </c>
      <c r="B10424" t="s">
        <v>10</v>
      </c>
    </row>
    <row r="10425" spans="1:2" x14ac:dyDescent="0.25">
      <c r="A10425">
        <v>29372290100</v>
      </c>
      <c r="B10425" t="s">
        <v>4350</v>
      </c>
    </row>
    <row r="10426" spans="1:2" x14ac:dyDescent="0.25">
      <c r="A10426">
        <v>29372290900</v>
      </c>
      <c r="B10426" t="s">
        <v>10</v>
      </c>
    </row>
    <row r="10427" spans="1:2" x14ac:dyDescent="0.25">
      <c r="A10427">
        <v>293723</v>
      </c>
      <c r="B10427" t="e">
        <f>- - Estrogenos y progestogenos</f>
        <v>#NAME?</v>
      </c>
    </row>
    <row r="10428" spans="1:2" x14ac:dyDescent="0.25">
      <c r="A10428">
        <v>29372310000</v>
      </c>
      <c r="B10428" t="s">
        <v>4351</v>
      </c>
    </row>
    <row r="10429" spans="1:2" x14ac:dyDescent="0.25">
      <c r="A10429">
        <v>2937232</v>
      </c>
      <c r="B10429" t="s">
        <v>4352</v>
      </c>
    </row>
    <row r="10430" spans="1:2" x14ac:dyDescent="0.25">
      <c r="A10430">
        <v>29372321000</v>
      </c>
      <c r="B10430" t="s">
        <v>4353</v>
      </c>
    </row>
    <row r="10431" spans="1:2" x14ac:dyDescent="0.25">
      <c r="A10431">
        <v>29372322000</v>
      </c>
      <c r="B10431" t="s">
        <v>4354</v>
      </c>
    </row>
    <row r="10432" spans="1:2" x14ac:dyDescent="0.25">
      <c r="A10432">
        <v>29372329000</v>
      </c>
      <c r="B10432" t="s">
        <v>10</v>
      </c>
    </row>
    <row r="10433" spans="1:2" x14ac:dyDescent="0.25">
      <c r="A10433">
        <v>2937233</v>
      </c>
      <c r="B10433" t="s">
        <v>4355</v>
      </c>
    </row>
    <row r="10434" spans="1:2" x14ac:dyDescent="0.25">
      <c r="A10434">
        <v>29372331000</v>
      </c>
      <c r="B10434" t="s">
        <v>4356</v>
      </c>
    </row>
    <row r="10435" spans="1:2" x14ac:dyDescent="0.25">
      <c r="A10435">
        <v>29372339000</v>
      </c>
      <c r="B10435" t="s">
        <v>10</v>
      </c>
    </row>
    <row r="10436" spans="1:2" x14ac:dyDescent="0.25">
      <c r="A10436">
        <v>2937234</v>
      </c>
      <c r="B10436" t="s">
        <v>4357</v>
      </c>
    </row>
    <row r="10437" spans="1:2" x14ac:dyDescent="0.25">
      <c r="A10437">
        <v>29372341000</v>
      </c>
      <c r="B10437" t="s">
        <v>4358</v>
      </c>
    </row>
    <row r="10438" spans="1:2" x14ac:dyDescent="0.25">
      <c r="A10438">
        <v>29372342000</v>
      </c>
      <c r="B10438" t="s">
        <v>4359</v>
      </c>
    </row>
    <row r="10439" spans="1:2" x14ac:dyDescent="0.25">
      <c r="A10439">
        <v>29372349000</v>
      </c>
      <c r="B10439" t="s">
        <v>10</v>
      </c>
    </row>
    <row r="10440" spans="1:2" x14ac:dyDescent="0.25">
      <c r="A10440">
        <v>2937235</v>
      </c>
      <c r="B10440" t="s">
        <v>4360</v>
      </c>
    </row>
    <row r="10441" spans="1:2" x14ac:dyDescent="0.25">
      <c r="A10441">
        <v>29372351000</v>
      </c>
      <c r="B10441" t="s">
        <v>4361</v>
      </c>
    </row>
    <row r="10442" spans="1:2" x14ac:dyDescent="0.25">
      <c r="A10442">
        <v>29372359000</v>
      </c>
      <c r="B10442" t="s">
        <v>10</v>
      </c>
    </row>
    <row r="10443" spans="1:2" x14ac:dyDescent="0.25">
      <c r="A10443">
        <v>29372360000</v>
      </c>
      <c r="B10443" t="s">
        <v>4362</v>
      </c>
    </row>
    <row r="10444" spans="1:2" x14ac:dyDescent="0.25">
      <c r="A10444">
        <v>29372370000</v>
      </c>
      <c r="B10444" t="s">
        <v>4363</v>
      </c>
    </row>
    <row r="10445" spans="1:2" x14ac:dyDescent="0.25">
      <c r="A10445">
        <v>2937239</v>
      </c>
      <c r="B10445" t="s">
        <v>10</v>
      </c>
    </row>
    <row r="10446" spans="1:2" x14ac:dyDescent="0.25">
      <c r="A10446">
        <v>29372391000</v>
      </c>
      <c r="B10446" t="s">
        <v>2959</v>
      </c>
    </row>
    <row r="10447" spans="1:2" x14ac:dyDescent="0.25">
      <c r="A10447">
        <v>29372392000</v>
      </c>
      <c r="B10447" t="s">
        <v>4364</v>
      </c>
    </row>
    <row r="10448" spans="1:2" x14ac:dyDescent="0.25">
      <c r="A10448">
        <v>29372399</v>
      </c>
      <c r="B10448" t="s">
        <v>10</v>
      </c>
    </row>
    <row r="10449" spans="1:2" x14ac:dyDescent="0.25">
      <c r="A10449">
        <v>29372399100</v>
      </c>
      <c r="B10449" t="s">
        <v>4365</v>
      </c>
    </row>
    <row r="10450" spans="1:2" x14ac:dyDescent="0.25">
      <c r="A10450">
        <v>293723992</v>
      </c>
      <c r="B10450" t="s">
        <v>4366</v>
      </c>
    </row>
    <row r="10451" spans="1:2" x14ac:dyDescent="0.25">
      <c r="A10451">
        <v>29372399210</v>
      </c>
      <c r="B10451" t="s">
        <v>4367</v>
      </c>
    </row>
    <row r="10452" spans="1:2" x14ac:dyDescent="0.25">
      <c r="A10452">
        <v>29372399290</v>
      </c>
      <c r="B10452" t="s">
        <v>10</v>
      </c>
    </row>
    <row r="10453" spans="1:2" x14ac:dyDescent="0.25">
      <c r="A10453">
        <v>293729</v>
      </c>
      <c r="B10453" t="e">
        <f>- - Los demas</f>
        <v>#NAME?</v>
      </c>
    </row>
    <row r="10454" spans="1:2" x14ac:dyDescent="0.25">
      <c r="A10454">
        <v>29372910000</v>
      </c>
      <c r="B10454" t="s">
        <v>4368</v>
      </c>
    </row>
    <row r="10455" spans="1:2" x14ac:dyDescent="0.25">
      <c r="A10455">
        <v>29372920000</v>
      </c>
      <c r="B10455" t="s">
        <v>4369</v>
      </c>
    </row>
    <row r="10456" spans="1:2" x14ac:dyDescent="0.25">
      <c r="A10456">
        <v>2937293</v>
      </c>
      <c r="B10456" t="s">
        <v>4370</v>
      </c>
    </row>
    <row r="10457" spans="1:2" x14ac:dyDescent="0.25">
      <c r="A10457">
        <v>29372931000</v>
      </c>
      <c r="B10457" t="s">
        <v>4371</v>
      </c>
    </row>
    <row r="10458" spans="1:2" x14ac:dyDescent="0.25">
      <c r="A10458">
        <v>29372939000</v>
      </c>
      <c r="B10458" t="s">
        <v>10</v>
      </c>
    </row>
    <row r="10459" spans="1:2" x14ac:dyDescent="0.25">
      <c r="A10459">
        <v>29372940000</v>
      </c>
      <c r="B10459" t="s">
        <v>4372</v>
      </c>
    </row>
    <row r="10460" spans="1:2" x14ac:dyDescent="0.25">
      <c r="A10460">
        <v>29372950000</v>
      </c>
      <c r="B10460" t="s">
        <v>4373</v>
      </c>
    </row>
    <row r="10461" spans="1:2" x14ac:dyDescent="0.25">
      <c r="A10461">
        <v>29372960000</v>
      </c>
      <c r="B10461" t="s">
        <v>4374</v>
      </c>
    </row>
    <row r="10462" spans="1:2" x14ac:dyDescent="0.25">
      <c r="A10462">
        <v>29372990</v>
      </c>
      <c r="B10462" t="s">
        <v>10</v>
      </c>
    </row>
    <row r="10463" spans="1:2" x14ac:dyDescent="0.25">
      <c r="A10463">
        <v>29372990100</v>
      </c>
      <c r="B10463" t="s">
        <v>4375</v>
      </c>
    </row>
    <row r="10464" spans="1:2" x14ac:dyDescent="0.25">
      <c r="A10464">
        <v>29372990900</v>
      </c>
      <c r="B10464" t="s">
        <v>10</v>
      </c>
    </row>
    <row r="10465" spans="1:2" x14ac:dyDescent="0.25">
      <c r="A10465">
        <v>29375000000</v>
      </c>
      <c r="B10465" t="e">
        <f>-Prostaglandinas. tromboxanos y leucotrienos. sus derivados y analogos estructurales</f>
        <v>#NAME?</v>
      </c>
    </row>
    <row r="10466" spans="1:2" x14ac:dyDescent="0.25">
      <c r="A10466">
        <v>293790</v>
      </c>
      <c r="B10466" t="e">
        <f>- Los demas</f>
        <v>#NAME?</v>
      </c>
    </row>
    <row r="10467" spans="1:2" x14ac:dyDescent="0.25">
      <c r="A10467">
        <v>29379010000</v>
      </c>
      <c r="B10467" t="s">
        <v>4376</v>
      </c>
    </row>
    <row r="10468" spans="1:2" x14ac:dyDescent="0.25">
      <c r="A10468">
        <v>29379030000</v>
      </c>
      <c r="B10468" t="s">
        <v>4377</v>
      </c>
    </row>
    <row r="10469" spans="1:2" x14ac:dyDescent="0.25">
      <c r="A10469">
        <v>29379040000</v>
      </c>
      <c r="B10469" t="s">
        <v>4378</v>
      </c>
    </row>
    <row r="10470" spans="1:2" x14ac:dyDescent="0.25">
      <c r="A10470">
        <v>29379090000</v>
      </c>
      <c r="B10470" t="s">
        <v>10</v>
      </c>
    </row>
    <row r="10471" spans="1:2" x14ac:dyDescent="0.25">
      <c r="A10471">
        <v>2938</v>
      </c>
      <c r="B10471" t="s">
        <v>4379</v>
      </c>
    </row>
    <row r="10472" spans="1:2" x14ac:dyDescent="0.25">
      <c r="A10472">
        <v>29381000000</v>
      </c>
      <c r="B10472" t="e">
        <f>-Rutosido (rutina) y sus derivados</f>
        <v>#NAME?</v>
      </c>
    </row>
    <row r="10473" spans="1:2" x14ac:dyDescent="0.25">
      <c r="A10473">
        <v>293890</v>
      </c>
      <c r="B10473" t="e">
        <f>- Los demas</f>
        <v>#NAME?</v>
      </c>
    </row>
    <row r="10474" spans="1:2" x14ac:dyDescent="0.25">
      <c r="A10474">
        <v>29389010000</v>
      </c>
      <c r="B10474" t="s">
        <v>4380</v>
      </c>
    </row>
    <row r="10475" spans="1:2" x14ac:dyDescent="0.25">
      <c r="A10475">
        <v>29389020000</v>
      </c>
      <c r="B10475" t="s">
        <v>4381</v>
      </c>
    </row>
    <row r="10476" spans="1:2" x14ac:dyDescent="0.25">
      <c r="A10476">
        <v>29389090</v>
      </c>
      <c r="B10476" t="s">
        <v>10</v>
      </c>
    </row>
    <row r="10477" spans="1:2" x14ac:dyDescent="0.25">
      <c r="A10477">
        <v>29389090100</v>
      </c>
      <c r="B10477" t="s">
        <v>4382</v>
      </c>
    </row>
    <row r="10478" spans="1:2" x14ac:dyDescent="0.25">
      <c r="A10478">
        <v>29389090200</v>
      </c>
      <c r="B10478" t="s">
        <v>4383</v>
      </c>
    </row>
    <row r="10479" spans="1:2" x14ac:dyDescent="0.25">
      <c r="A10479">
        <v>29389090300</v>
      </c>
      <c r="B10479" t="s">
        <v>4384</v>
      </c>
    </row>
    <row r="10480" spans="1:2" x14ac:dyDescent="0.25">
      <c r="A10480">
        <v>29389090900</v>
      </c>
      <c r="B10480" t="s">
        <v>10</v>
      </c>
    </row>
    <row r="10481" spans="1:2" x14ac:dyDescent="0.25">
      <c r="A10481">
        <v>2939</v>
      </c>
      <c r="B10481" t="s">
        <v>4385</v>
      </c>
    </row>
    <row r="10482" spans="1:2" x14ac:dyDescent="0.25">
      <c r="A10482">
        <v>29391</v>
      </c>
      <c r="B10482" t="s">
        <v>4386</v>
      </c>
    </row>
    <row r="10483" spans="1:2" x14ac:dyDescent="0.25">
      <c r="A10483">
        <v>293911</v>
      </c>
      <c r="B10483" t="s">
        <v>4387</v>
      </c>
    </row>
    <row r="10484" spans="1:2" x14ac:dyDescent="0.25">
      <c r="A10484">
        <v>29391110000</v>
      </c>
      <c r="B10484" t="s">
        <v>1169</v>
      </c>
    </row>
    <row r="10485" spans="1:2" x14ac:dyDescent="0.25">
      <c r="A10485">
        <v>2939112</v>
      </c>
      <c r="B10485" t="s">
        <v>4388</v>
      </c>
    </row>
    <row r="10486" spans="1:2" x14ac:dyDescent="0.25">
      <c r="A10486">
        <v>29391121000</v>
      </c>
      <c r="B10486" t="s">
        <v>4389</v>
      </c>
    </row>
    <row r="10487" spans="1:2" x14ac:dyDescent="0.25">
      <c r="A10487">
        <v>29391122000</v>
      </c>
      <c r="B10487" t="s">
        <v>4390</v>
      </c>
    </row>
    <row r="10488" spans="1:2" x14ac:dyDescent="0.25">
      <c r="A10488">
        <v>29391123000</v>
      </c>
      <c r="B10488" t="s">
        <v>4391</v>
      </c>
    </row>
    <row r="10489" spans="1:2" x14ac:dyDescent="0.25">
      <c r="A10489">
        <v>2939113</v>
      </c>
      <c r="B10489" t="s">
        <v>4392</v>
      </c>
    </row>
    <row r="10490" spans="1:2" x14ac:dyDescent="0.25">
      <c r="A10490">
        <v>29391131000</v>
      </c>
      <c r="B10490" t="s">
        <v>4393</v>
      </c>
    </row>
    <row r="10491" spans="1:2" x14ac:dyDescent="0.25">
      <c r="A10491">
        <v>29391132000</v>
      </c>
      <c r="B10491" t="s">
        <v>4394</v>
      </c>
    </row>
    <row r="10492" spans="1:2" x14ac:dyDescent="0.25">
      <c r="A10492">
        <v>29391140000</v>
      </c>
      <c r="B10492" t="s">
        <v>4395</v>
      </c>
    </row>
    <row r="10493" spans="1:2" x14ac:dyDescent="0.25">
      <c r="A10493">
        <v>2939115</v>
      </c>
      <c r="B10493" t="s">
        <v>4396</v>
      </c>
    </row>
    <row r="10494" spans="1:2" x14ac:dyDescent="0.25">
      <c r="A10494">
        <v>29391151000</v>
      </c>
      <c r="B10494" t="s">
        <v>4397</v>
      </c>
    </row>
    <row r="10495" spans="1:2" x14ac:dyDescent="0.25">
      <c r="A10495">
        <v>29391152000</v>
      </c>
      <c r="B10495" t="s">
        <v>4398</v>
      </c>
    </row>
    <row r="10496" spans="1:2" x14ac:dyDescent="0.25">
      <c r="A10496">
        <v>29391153000</v>
      </c>
      <c r="B10496" t="s">
        <v>4399</v>
      </c>
    </row>
    <row r="10497" spans="1:2" x14ac:dyDescent="0.25">
      <c r="A10497">
        <v>2939116</v>
      </c>
      <c r="B10497" t="s">
        <v>4400</v>
      </c>
    </row>
    <row r="10498" spans="1:2" x14ac:dyDescent="0.25">
      <c r="A10498">
        <v>29391161000</v>
      </c>
      <c r="B10498" t="s">
        <v>4401</v>
      </c>
    </row>
    <row r="10499" spans="1:2" x14ac:dyDescent="0.25">
      <c r="A10499">
        <v>29391162000</v>
      </c>
      <c r="B10499" t="s">
        <v>4402</v>
      </c>
    </row>
    <row r="10500" spans="1:2" x14ac:dyDescent="0.25">
      <c r="A10500">
        <v>29391169</v>
      </c>
      <c r="B10500" t="s">
        <v>10</v>
      </c>
    </row>
    <row r="10501" spans="1:2" x14ac:dyDescent="0.25">
      <c r="A10501">
        <v>293911691</v>
      </c>
      <c r="B10501" t="s">
        <v>3361</v>
      </c>
    </row>
    <row r="10502" spans="1:2" x14ac:dyDescent="0.25">
      <c r="A10502">
        <v>29391169110</v>
      </c>
      <c r="B10502" t="s">
        <v>3913</v>
      </c>
    </row>
    <row r="10503" spans="1:2" x14ac:dyDescent="0.25">
      <c r="A10503">
        <v>29391169190</v>
      </c>
      <c r="B10503" t="s">
        <v>3914</v>
      </c>
    </row>
    <row r="10504" spans="1:2" x14ac:dyDescent="0.25">
      <c r="A10504">
        <v>29391169900</v>
      </c>
      <c r="B10504" t="s">
        <v>10</v>
      </c>
    </row>
    <row r="10505" spans="1:2" x14ac:dyDescent="0.25">
      <c r="A10505">
        <v>29391170000</v>
      </c>
      <c r="B10505" t="s">
        <v>4403</v>
      </c>
    </row>
    <row r="10506" spans="1:2" x14ac:dyDescent="0.25">
      <c r="A10506">
        <v>2939118</v>
      </c>
      <c r="B10506" t="s">
        <v>4404</v>
      </c>
    </row>
    <row r="10507" spans="1:2" x14ac:dyDescent="0.25">
      <c r="A10507">
        <v>29391181000</v>
      </c>
      <c r="B10507" t="s">
        <v>4405</v>
      </c>
    </row>
    <row r="10508" spans="1:2" x14ac:dyDescent="0.25">
      <c r="A10508">
        <v>29391182000</v>
      </c>
      <c r="B10508" t="s">
        <v>4406</v>
      </c>
    </row>
    <row r="10509" spans="1:2" x14ac:dyDescent="0.25">
      <c r="A10509">
        <v>2939119</v>
      </c>
      <c r="B10509" t="s">
        <v>4407</v>
      </c>
    </row>
    <row r="10510" spans="1:2" x14ac:dyDescent="0.25">
      <c r="A10510">
        <v>29391191000</v>
      </c>
      <c r="B10510" t="s">
        <v>4408</v>
      </c>
    </row>
    <row r="10511" spans="1:2" x14ac:dyDescent="0.25">
      <c r="A10511">
        <v>29391192000</v>
      </c>
      <c r="B10511" t="s">
        <v>4409</v>
      </c>
    </row>
    <row r="10512" spans="1:2" x14ac:dyDescent="0.25">
      <c r="A10512">
        <v>29391900</v>
      </c>
      <c r="B10512" t="e">
        <f>- - Los demas</f>
        <v>#NAME?</v>
      </c>
    </row>
    <row r="10513" spans="1:2" x14ac:dyDescent="0.25">
      <c r="A10513">
        <v>293919001</v>
      </c>
      <c r="B10513" t="s">
        <v>3361</v>
      </c>
    </row>
    <row r="10514" spans="1:2" x14ac:dyDescent="0.25">
      <c r="A10514">
        <v>29391900110</v>
      </c>
      <c r="B10514" t="s">
        <v>3913</v>
      </c>
    </row>
    <row r="10515" spans="1:2" x14ac:dyDescent="0.25">
      <c r="A10515">
        <v>2939190019</v>
      </c>
      <c r="B10515" t="s">
        <v>3914</v>
      </c>
    </row>
    <row r="10516" spans="1:2" x14ac:dyDescent="0.25">
      <c r="A10516">
        <v>29391900191</v>
      </c>
      <c r="B10516" t="s">
        <v>4410</v>
      </c>
    </row>
    <row r="10517" spans="1:2" x14ac:dyDescent="0.25">
      <c r="A10517">
        <v>29391900199</v>
      </c>
      <c r="B10517" t="s">
        <v>10</v>
      </c>
    </row>
    <row r="10518" spans="1:2" x14ac:dyDescent="0.25">
      <c r="A10518">
        <v>29391900200</v>
      </c>
      <c r="B10518" t="s">
        <v>2740</v>
      </c>
    </row>
    <row r="10519" spans="1:2" x14ac:dyDescent="0.25">
      <c r="A10519">
        <v>29391900900</v>
      </c>
      <c r="B10519" t="s">
        <v>10</v>
      </c>
    </row>
    <row r="10520" spans="1:2" x14ac:dyDescent="0.25">
      <c r="A10520">
        <v>29392000</v>
      </c>
      <c r="B10520" t="e">
        <f>- Alcaloides de la quina (chinchona) y sus derivados, sales de estos Productos</f>
        <v>#NAME?</v>
      </c>
    </row>
    <row r="10521" spans="1:2" x14ac:dyDescent="0.25">
      <c r="A10521">
        <v>29392000100</v>
      </c>
      <c r="B10521" t="s">
        <v>4411</v>
      </c>
    </row>
    <row r="10522" spans="1:2" x14ac:dyDescent="0.25">
      <c r="A10522">
        <v>29392000900</v>
      </c>
      <c r="B10522" t="s">
        <v>10</v>
      </c>
    </row>
    <row r="10523" spans="1:2" x14ac:dyDescent="0.25">
      <c r="A10523">
        <v>293930</v>
      </c>
      <c r="B10523" t="e">
        <f>- Cafeina y sus sales</f>
        <v>#NAME?</v>
      </c>
    </row>
    <row r="10524" spans="1:2" x14ac:dyDescent="0.25">
      <c r="A10524">
        <v>29393010000</v>
      </c>
      <c r="B10524" t="s">
        <v>4412</v>
      </c>
    </row>
    <row r="10525" spans="1:2" x14ac:dyDescent="0.25">
      <c r="A10525">
        <v>29393020000</v>
      </c>
      <c r="B10525" t="s">
        <v>2195</v>
      </c>
    </row>
    <row r="10526" spans="1:2" x14ac:dyDescent="0.25">
      <c r="A10526">
        <v>29394</v>
      </c>
      <c r="B10526" t="s">
        <v>4413</v>
      </c>
    </row>
    <row r="10527" spans="1:2" x14ac:dyDescent="0.25">
      <c r="A10527">
        <v>29394100</v>
      </c>
      <c r="B10527" t="e">
        <f>- - Efedrina y sus sales</f>
        <v>#NAME?</v>
      </c>
    </row>
    <row r="10528" spans="1:2" x14ac:dyDescent="0.25">
      <c r="A10528">
        <v>29394100100</v>
      </c>
      <c r="B10528" t="s">
        <v>2490</v>
      </c>
    </row>
    <row r="10529" spans="1:2" x14ac:dyDescent="0.25">
      <c r="A10529">
        <v>29394100900</v>
      </c>
      <c r="B10529" t="s">
        <v>57</v>
      </c>
    </row>
    <row r="10530" spans="1:2" x14ac:dyDescent="0.25">
      <c r="A10530">
        <v>29394200</v>
      </c>
      <c r="B10530" t="e">
        <f>- - Seudoefedrina (DCI) y sus sales</f>
        <v>#NAME?</v>
      </c>
    </row>
    <row r="10531" spans="1:2" x14ac:dyDescent="0.25">
      <c r="A10531">
        <v>29394200100</v>
      </c>
      <c r="B10531" t="s">
        <v>2490</v>
      </c>
    </row>
    <row r="10532" spans="1:2" x14ac:dyDescent="0.25">
      <c r="A10532">
        <v>29394200900</v>
      </c>
      <c r="B10532" t="s">
        <v>57</v>
      </c>
    </row>
    <row r="10533" spans="1:2" x14ac:dyDescent="0.25">
      <c r="A10533">
        <v>29394300</v>
      </c>
      <c r="B10533" t="e">
        <f>- - Catina (DCI) y sus sales</f>
        <v>#NAME?</v>
      </c>
    </row>
    <row r="10534" spans="1:2" x14ac:dyDescent="0.25">
      <c r="A10534">
        <v>29394300100</v>
      </c>
      <c r="B10534" t="s">
        <v>2490</v>
      </c>
    </row>
    <row r="10535" spans="1:2" x14ac:dyDescent="0.25">
      <c r="A10535">
        <v>29394300900</v>
      </c>
      <c r="B10535" t="s">
        <v>57</v>
      </c>
    </row>
    <row r="10536" spans="1:2" x14ac:dyDescent="0.25">
      <c r="A10536">
        <v>29394400</v>
      </c>
      <c r="B10536" t="e">
        <f>- - Norefedrina y sus sales</f>
        <v>#NAME?</v>
      </c>
    </row>
    <row r="10537" spans="1:2" x14ac:dyDescent="0.25">
      <c r="A10537">
        <v>29394400100</v>
      </c>
      <c r="B10537" t="s">
        <v>2287</v>
      </c>
    </row>
    <row r="10538" spans="1:2" x14ac:dyDescent="0.25">
      <c r="A10538">
        <v>29394400900</v>
      </c>
      <c r="B10538" t="s">
        <v>57</v>
      </c>
    </row>
    <row r="10539" spans="1:2" x14ac:dyDescent="0.25">
      <c r="A10539">
        <v>29394900</v>
      </c>
      <c r="B10539" t="e">
        <f>- - las demas</f>
        <v>#NAME?</v>
      </c>
    </row>
    <row r="10540" spans="1:2" x14ac:dyDescent="0.25">
      <c r="A10540">
        <v>29394900100</v>
      </c>
      <c r="B10540" t="s">
        <v>4204</v>
      </c>
    </row>
    <row r="10541" spans="1:2" x14ac:dyDescent="0.25">
      <c r="A10541">
        <v>293949002</v>
      </c>
      <c r="B10541" t="s">
        <v>4414</v>
      </c>
    </row>
    <row r="10542" spans="1:2" x14ac:dyDescent="0.25">
      <c r="A10542">
        <v>29394900210</v>
      </c>
      <c r="B10542" t="s">
        <v>2490</v>
      </c>
    </row>
    <row r="10543" spans="1:2" x14ac:dyDescent="0.25">
      <c r="A10543">
        <v>29394900290</v>
      </c>
      <c r="B10543" t="s">
        <v>10</v>
      </c>
    </row>
    <row r="10544" spans="1:2" x14ac:dyDescent="0.25">
      <c r="A10544">
        <v>293949003</v>
      </c>
      <c r="B10544" t="s">
        <v>4415</v>
      </c>
    </row>
    <row r="10545" spans="1:2" x14ac:dyDescent="0.25">
      <c r="A10545">
        <v>29394900310</v>
      </c>
      <c r="B10545" t="s">
        <v>2490</v>
      </c>
    </row>
    <row r="10546" spans="1:2" x14ac:dyDescent="0.25">
      <c r="A10546">
        <v>29394900390</v>
      </c>
      <c r="B10546" t="s">
        <v>10</v>
      </c>
    </row>
    <row r="10547" spans="1:2" x14ac:dyDescent="0.25">
      <c r="A10547">
        <v>29395</v>
      </c>
      <c r="B10547" t="s">
        <v>4416</v>
      </c>
    </row>
    <row r="10548" spans="1:2" x14ac:dyDescent="0.25">
      <c r="A10548">
        <v>29395100000</v>
      </c>
      <c r="B10548" t="e">
        <f>--Fenetilina (DCI) y sus sales</f>
        <v>#NAME?</v>
      </c>
    </row>
    <row r="10549" spans="1:2" x14ac:dyDescent="0.25">
      <c r="A10549">
        <v>293959</v>
      </c>
      <c r="B10549" t="e">
        <f>- - Los demas</f>
        <v>#NAME?</v>
      </c>
    </row>
    <row r="10550" spans="1:2" x14ac:dyDescent="0.25">
      <c r="A10550">
        <v>29395910000</v>
      </c>
      <c r="B10550" t="s">
        <v>4417</v>
      </c>
    </row>
    <row r="10551" spans="1:2" x14ac:dyDescent="0.25">
      <c r="A10551">
        <v>29395920000</v>
      </c>
      <c r="B10551" t="s">
        <v>4418</v>
      </c>
    </row>
    <row r="10552" spans="1:2" x14ac:dyDescent="0.25">
      <c r="A10552">
        <v>29395990</v>
      </c>
      <c r="B10552" t="s">
        <v>10</v>
      </c>
    </row>
    <row r="10553" spans="1:2" x14ac:dyDescent="0.25">
      <c r="A10553">
        <v>29395990100</v>
      </c>
      <c r="B10553" t="s">
        <v>4204</v>
      </c>
    </row>
    <row r="10554" spans="1:2" x14ac:dyDescent="0.25">
      <c r="A10554">
        <v>29395990900</v>
      </c>
      <c r="B10554" t="s">
        <v>10</v>
      </c>
    </row>
    <row r="10555" spans="1:2" x14ac:dyDescent="0.25">
      <c r="A10555">
        <v>29396</v>
      </c>
      <c r="B10555" t="s">
        <v>4419</v>
      </c>
    </row>
    <row r="10556" spans="1:2" x14ac:dyDescent="0.25">
      <c r="A10556">
        <v>29396100</v>
      </c>
      <c r="B10556" t="e">
        <f>- - Ergometrina (DCI) y sus sales</f>
        <v>#NAME?</v>
      </c>
    </row>
    <row r="10557" spans="1:2" x14ac:dyDescent="0.25">
      <c r="A10557">
        <v>29396100100</v>
      </c>
      <c r="B10557" t="s">
        <v>2490</v>
      </c>
    </row>
    <row r="10558" spans="1:2" x14ac:dyDescent="0.25">
      <c r="A10558">
        <v>29396100900</v>
      </c>
      <c r="B10558" t="s">
        <v>57</v>
      </c>
    </row>
    <row r="10559" spans="1:2" x14ac:dyDescent="0.25">
      <c r="A10559">
        <v>29396200</v>
      </c>
      <c r="B10559" t="e">
        <f>- - Ergotamina (DCI) y sus sales</f>
        <v>#NAME?</v>
      </c>
    </row>
    <row r="10560" spans="1:2" x14ac:dyDescent="0.25">
      <c r="A10560">
        <v>29396200100</v>
      </c>
      <c r="B10560" t="s">
        <v>1131</v>
      </c>
    </row>
    <row r="10561" spans="1:2" x14ac:dyDescent="0.25">
      <c r="A10561">
        <v>29396200900</v>
      </c>
      <c r="B10561" t="s">
        <v>57</v>
      </c>
    </row>
    <row r="10562" spans="1:2" x14ac:dyDescent="0.25">
      <c r="A10562">
        <v>29396300</v>
      </c>
      <c r="B10562" t="e">
        <f>- - acido lisergico y sus sales</f>
        <v>#NAME?</v>
      </c>
    </row>
    <row r="10563" spans="1:2" x14ac:dyDescent="0.25">
      <c r="A10563">
        <v>29396300100</v>
      </c>
      <c r="B10563" t="s">
        <v>1131</v>
      </c>
    </row>
    <row r="10564" spans="1:2" x14ac:dyDescent="0.25">
      <c r="A10564">
        <v>29396300900</v>
      </c>
      <c r="B10564" t="s">
        <v>10</v>
      </c>
    </row>
    <row r="10565" spans="1:2" x14ac:dyDescent="0.25">
      <c r="A10565">
        <v>293969</v>
      </c>
      <c r="B10565" t="e">
        <f>- - Los demas</f>
        <v>#NAME?</v>
      </c>
    </row>
    <row r="10566" spans="1:2" x14ac:dyDescent="0.25">
      <c r="A10566">
        <v>2939691</v>
      </c>
      <c r="B10566" t="s">
        <v>4420</v>
      </c>
    </row>
    <row r="10567" spans="1:2" x14ac:dyDescent="0.25">
      <c r="A10567">
        <v>29396911000</v>
      </c>
      <c r="B10567" t="s">
        <v>4421</v>
      </c>
    </row>
    <row r="10568" spans="1:2" x14ac:dyDescent="0.25">
      <c r="A10568">
        <v>29396919000</v>
      </c>
      <c r="B10568" t="s">
        <v>10</v>
      </c>
    </row>
    <row r="10569" spans="1:2" x14ac:dyDescent="0.25">
      <c r="A10569">
        <v>2939692</v>
      </c>
      <c r="B10569" t="s">
        <v>4422</v>
      </c>
    </row>
    <row r="10570" spans="1:2" x14ac:dyDescent="0.25">
      <c r="A10570">
        <v>29396921000</v>
      </c>
      <c r="B10570" t="s">
        <v>4423</v>
      </c>
    </row>
    <row r="10571" spans="1:2" x14ac:dyDescent="0.25">
      <c r="A10571">
        <v>29396929000</v>
      </c>
      <c r="B10571" t="s">
        <v>10</v>
      </c>
    </row>
    <row r="10572" spans="1:2" x14ac:dyDescent="0.25">
      <c r="A10572">
        <v>2939693</v>
      </c>
      <c r="B10572" t="s">
        <v>4424</v>
      </c>
    </row>
    <row r="10573" spans="1:2" x14ac:dyDescent="0.25">
      <c r="A10573">
        <v>29396931000</v>
      </c>
      <c r="B10573" t="s">
        <v>4425</v>
      </c>
    </row>
    <row r="10574" spans="1:2" x14ac:dyDescent="0.25">
      <c r="A10574">
        <v>29396939000</v>
      </c>
      <c r="B10574" t="s">
        <v>10</v>
      </c>
    </row>
    <row r="10575" spans="1:2" x14ac:dyDescent="0.25">
      <c r="A10575">
        <v>2939694</v>
      </c>
      <c r="B10575" t="s">
        <v>4426</v>
      </c>
    </row>
    <row r="10576" spans="1:2" x14ac:dyDescent="0.25">
      <c r="A10576">
        <v>29396941000</v>
      </c>
      <c r="B10576" t="s">
        <v>4427</v>
      </c>
    </row>
    <row r="10577" spans="1:2" x14ac:dyDescent="0.25">
      <c r="A10577">
        <v>29396942000</v>
      </c>
      <c r="B10577" t="s">
        <v>4428</v>
      </c>
    </row>
    <row r="10578" spans="1:2" x14ac:dyDescent="0.25">
      <c r="A10578">
        <v>29396949000</v>
      </c>
      <c r="B10578" t="s">
        <v>10</v>
      </c>
    </row>
    <row r="10579" spans="1:2" x14ac:dyDescent="0.25">
      <c r="A10579">
        <v>2939695</v>
      </c>
      <c r="B10579" t="s">
        <v>4429</v>
      </c>
    </row>
    <row r="10580" spans="1:2" x14ac:dyDescent="0.25">
      <c r="A10580">
        <v>29396951</v>
      </c>
      <c r="B10580" t="s">
        <v>4430</v>
      </c>
    </row>
    <row r="10581" spans="1:2" x14ac:dyDescent="0.25">
      <c r="A10581">
        <v>29396951100</v>
      </c>
      <c r="B10581" t="s">
        <v>1131</v>
      </c>
    </row>
    <row r="10582" spans="1:2" x14ac:dyDescent="0.25">
      <c r="A10582">
        <v>29396951900</v>
      </c>
      <c r="B10582" t="s">
        <v>57</v>
      </c>
    </row>
    <row r="10583" spans="1:2" x14ac:dyDescent="0.25">
      <c r="A10583">
        <v>29396952</v>
      </c>
      <c r="B10583" t="s">
        <v>4431</v>
      </c>
    </row>
    <row r="10584" spans="1:2" x14ac:dyDescent="0.25">
      <c r="A10584">
        <v>29396952100</v>
      </c>
      <c r="B10584" t="s">
        <v>1131</v>
      </c>
    </row>
    <row r="10585" spans="1:2" x14ac:dyDescent="0.25">
      <c r="A10585">
        <v>29396952900</v>
      </c>
      <c r="B10585" t="s">
        <v>57</v>
      </c>
    </row>
    <row r="10586" spans="1:2" x14ac:dyDescent="0.25">
      <c r="A10586">
        <v>29396959</v>
      </c>
      <c r="B10586" t="s">
        <v>10</v>
      </c>
    </row>
    <row r="10587" spans="1:2" x14ac:dyDescent="0.25">
      <c r="A10587">
        <v>29396959100</v>
      </c>
      <c r="B10587" t="s">
        <v>1131</v>
      </c>
    </row>
    <row r="10588" spans="1:2" x14ac:dyDescent="0.25">
      <c r="A10588">
        <v>29396959900</v>
      </c>
      <c r="B10588" t="s">
        <v>57</v>
      </c>
    </row>
    <row r="10589" spans="1:2" x14ac:dyDescent="0.25">
      <c r="A10589">
        <v>29396990</v>
      </c>
      <c r="B10589" t="s">
        <v>10</v>
      </c>
    </row>
    <row r="10590" spans="1:2" x14ac:dyDescent="0.25">
      <c r="A10590">
        <v>29396990100</v>
      </c>
      <c r="B10590" t="s">
        <v>4432</v>
      </c>
    </row>
    <row r="10591" spans="1:2" x14ac:dyDescent="0.25">
      <c r="A10591">
        <v>29396990200</v>
      </c>
      <c r="B10591" t="s">
        <v>3935</v>
      </c>
    </row>
    <row r="10592" spans="1:2" x14ac:dyDescent="0.25">
      <c r="A10592">
        <v>29396990900</v>
      </c>
      <c r="B10592" t="s">
        <v>10</v>
      </c>
    </row>
    <row r="10593" spans="1:2" x14ac:dyDescent="0.25">
      <c r="A10593">
        <v>29397</v>
      </c>
      <c r="B10593" t="s">
        <v>4433</v>
      </c>
    </row>
    <row r="10594" spans="1:2" x14ac:dyDescent="0.25">
      <c r="A10594">
        <v>293971</v>
      </c>
      <c r="B10594" t="s">
        <v>4434</v>
      </c>
    </row>
    <row r="10595" spans="1:2" x14ac:dyDescent="0.25">
      <c r="A10595">
        <v>2939711</v>
      </c>
      <c r="B10595" t="s">
        <v>4435</v>
      </c>
    </row>
    <row r="10596" spans="1:2" x14ac:dyDescent="0.25">
      <c r="A10596">
        <v>29397111000</v>
      </c>
      <c r="B10596" t="s">
        <v>4436</v>
      </c>
    </row>
    <row r="10597" spans="1:2" x14ac:dyDescent="0.25">
      <c r="A10597">
        <v>29397112000</v>
      </c>
      <c r="B10597" t="s">
        <v>4437</v>
      </c>
    </row>
    <row r="10598" spans="1:2" x14ac:dyDescent="0.25">
      <c r="A10598">
        <v>29397119000</v>
      </c>
      <c r="B10598" t="s">
        <v>10</v>
      </c>
    </row>
    <row r="10599" spans="1:2" x14ac:dyDescent="0.25">
      <c r="A10599">
        <v>29397120000</v>
      </c>
      <c r="B10599" t="s">
        <v>4438</v>
      </c>
    </row>
    <row r="10600" spans="1:2" x14ac:dyDescent="0.25">
      <c r="A10600">
        <v>29397130000</v>
      </c>
      <c r="B10600" t="s">
        <v>4439</v>
      </c>
    </row>
    <row r="10601" spans="1:2" x14ac:dyDescent="0.25">
      <c r="A10601">
        <v>29397140000</v>
      </c>
      <c r="B10601" t="s">
        <v>4440</v>
      </c>
    </row>
    <row r="10602" spans="1:2" x14ac:dyDescent="0.25">
      <c r="A10602">
        <v>293979</v>
      </c>
      <c r="B10602" t="e">
        <f>- - Los demas</f>
        <v>#NAME?</v>
      </c>
    </row>
    <row r="10603" spans="1:2" x14ac:dyDescent="0.25">
      <c r="A10603">
        <v>2939791</v>
      </c>
      <c r="B10603" t="s">
        <v>4441</v>
      </c>
    </row>
    <row r="10604" spans="1:2" x14ac:dyDescent="0.25">
      <c r="A10604">
        <v>29397911000</v>
      </c>
      <c r="B10604" t="s">
        <v>4442</v>
      </c>
    </row>
    <row r="10605" spans="1:2" x14ac:dyDescent="0.25">
      <c r="A10605">
        <v>29397919000</v>
      </c>
      <c r="B10605" t="s">
        <v>10</v>
      </c>
    </row>
    <row r="10606" spans="1:2" x14ac:dyDescent="0.25">
      <c r="A10606">
        <v>29397920000</v>
      </c>
      <c r="B10606" t="s">
        <v>4443</v>
      </c>
    </row>
    <row r="10607" spans="1:2" x14ac:dyDescent="0.25">
      <c r="A10607">
        <v>2939793</v>
      </c>
      <c r="B10607" t="s">
        <v>4444</v>
      </c>
    </row>
    <row r="10608" spans="1:2" x14ac:dyDescent="0.25">
      <c r="A10608">
        <v>29397931000</v>
      </c>
      <c r="B10608" t="s">
        <v>4445</v>
      </c>
    </row>
    <row r="10609" spans="1:2" x14ac:dyDescent="0.25">
      <c r="A10609">
        <v>29397939000</v>
      </c>
      <c r="B10609" t="s">
        <v>10</v>
      </c>
    </row>
    <row r="10610" spans="1:2" x14ac:dyDescent="0.25">
      <c r="A10610">
        <v>29397940000</v>
      </c>
      <c r="B10610" t="s">
        <v>4446</v>
      </c>
    </row>
    <row r="10611" spans="1:2" x14ac:dyDescent="0.25">
      <c r="A10611">
        <v>29397990</v>
      </c>
      <c r="B10611" t="s">
        <v>10</v>
      </c>
    </row>
    <row r="10612" spans="1:2" x14ac:dyDescent="0.25">
      <c r="A10612">
        <v>29397990100</v>
      </c>
      <c r="B10612" t="s">
        <v>4447</v>
      </c>
    </row>
    <row r="10613" spans="1:2" x14ac:dyDescent="0.25">
      <c r="A10613">
        <v>29397990200</v>
      </c>
      <c r="B10613" t="s">
        <v>4448</v>
      </c>
    </row>
    <row r="10614" spans="1:2" x14ac:dyDescent="0.25">
      <c r="A10614">
        <v>29397990300</v>
      </c>
      <c r="B10614" t="s">
        <v>3361</v>
      </c>
    </row>
    <row r="10615" spans="1:2" x14ac:dyDescent="0.25">
      <c r="A10615">
        <v>293979904</v>
      </c>
      <c r="B10615" t="s">
        <v>4204</v>
      </c>
    </row>
    <row r="10616" spans="1:2" x14ac:dyDescent="0.25">
      <c r="A10616">
        <v>29397990410</v>
      </c>
      <c r="B10616" t="s">
        <v>3336</v>
      </c>
    </row>
    <row r="10617" spans="1:2" x14ac:dyDescent="0.25">
      <c r="A10617">
        <v>29397990490</v>
      </c>
      <c r="B10617" t="s">
        <v>3337</v>
      </c>
    </row>
    <row r="10618" spans="1:2" x14ac:dyDescent="0.25">
      <c r="A10618">
        <v>293979905</v>
      </c>
      <c r="B10618" t="s">
        <v>4449</v>
      </c>
    </row>
    <row r="10619" spans="1:2" x14ac:dyDescent="0.25">
      <c r="A10619">
        <v>29397990510</v>
      </c>
      <c r="B10619" t="s">
        <v>4450</v>
      </c>
    </row>
    <row r="10620" spans="1:2" x14ac:dyDescent="0.25">
      <c r="A10620">
        <v>29397990520</v>
      </c>
      <c r="B10620" t="s">
        <v>4451</v>
      </c>
    </row>
    <row r="10621" spans="1:2" x14ac:dyDescent="0.25">
      <c r="A10621">
        <v>2939799053</v>
      </c>
      <c r="B10621" t="s">
        <v>4452</v>
      </c>
    </row>
    <row r="10622" spans="1:2" x14ac:dyDescent="0.25">
      <c r="A10622">
        <v>29397990531</v>
      </c>
      <c r="B10622" t="s">
        <v>1131</v>
      </c>
    </row>
    <row r="10623" spans="1:2" x14ac:dyDescent="0.25">
      <c r="A10623">
        <v>29397990539</v>
      </c>
      <c r="B10623" t="s">
        <v>57</v>
      </c>
    </row>
    <row r="10624" spans="1:2" x14ac:dyDescent="0.25">
      <c r="A10624">
        <v>2939799054</v>
      </c>
      <c r="B10624" t="s">
        <v>4453</v>
      </c>
    </row>
    <row r="10625" spans="1:2" x14ac:dyDescent="0.25">
      <c r="A10625">
        <v>29397990541</v>
      </c>
      <c r="B10625" t="s">
        <v>1131</v>
      </c>
    </row>
    <row r="10626" spans="1:2" x14ac:dyDescent="0.25">
      <c r="A10626">
        <v>29397990549</v>
      </c>
      <c r="B10626" t="s">
        <v>57</v>
      </c>
    </row>
    <row r="10627" spans="1:2" x14ac:dyDescent="0.25">
      <c r="A10627">
        <v>29397990600</v>
      </c>
      <c r="B10627" t="s">
        <v>3088</v>
      </c>
    </row>
    <row r="10628" spans="1:2" x14ac:dyDescent="0.25">
      <c r="A10628">
        <v>293979909</v>
      </c>
      <c r="B10628" t="s">
        <v>10</v>
      </c>
    </row>
    <row r="10629" spans="1:2" x14ac:dyDescent="0.25">
      <c r="A10629">
        <v>2939799091</v>
      </c>
      <c r="B10629" t="s">
        <v>4454</v>
      </c>
    </row>
    <row r="10630" spans="1:2" x14ac:dyDescent="0.25">
      <c r="A10630">
        <v>29397990911</v>
      </c>
      <c r="B10630" t="s">
        <v>4455</v>
      </c>
    </row>
    <row r="10631" spans="1:2" x14ac:dyDescent="0.25">
      <c r="A10631">
        <v>29397990912</v>
      </c>
      <c r="B10631" t="s">
        <v>4456</v>
      </c>
    </row>
    <row r="10632" spans="1:2" x14ac:dyDescent="0.25">
      <c r="A10632">
        <v>29397990913</v>
      </c>
      <c r="B10632" t="s">
        <v>4457</v>
      </c>
    </row>
    <row r="10633" spans="1:2" x14ac:dyDescent="0.25">
      <c r="A10633">
        <v>29397990914</v>
      </c>
      <c r="B10633" t="s">
        <v>4458</v>
      </c>
    </row>
    <row r="10634" spans="1:2" x14ac:dyDescent="0.25">
      <c r="A10634">
        <v>29397990915</v>
      </c>
      <c r="B10634" t="s">
        <v>4459</v>
      </c>
    </row>
    <row r="10635" spans="1:2" x14ac:dyDescent="0.25">
      <c r="A10635">
        <v>29397990990</v>
      </c>
      <c r="B10635" t="s">
        <v>10</v>
      </c>
    </row>
    <row r="10636" spans="1:2" x14ac:dyDescent="0.25">
      <c r="A10636">
        <v>29398000000</v>
      </c>
      <c r="B10636" t="e">
        <f>-Los demas</f>
        <v>#NAME?</v>
      </c>
    </row>
    <row r="10637" spans="1:2" x14ac:dyDescent="0.25">
      <c r="A10637">
        <v>294000</v>
      </c>
      <c r="B10637" t="s">
        <v>4460</v>
      </c>
    </row>
    <row r="10638" spans="1:2" x14ac:dyDescent="0.25">
      <c r="A10638">
        <v>2940001</v>
      </c>
      <c r="B10638" t="s">
        <v>4461</v>
      </c>
    </row>
    <row r="10639" spans="1:2" x14ac:dyDescent="0.25">
      <c r="A10639">
        <v>29400011000</v>
      </c>
      <c r="B10639" t="s">
        <v>4462</v>
      </c>
    </row>
    <row r="10640" spans="1:2" x14ac:dyDescent="0.25">
      <c r="A10640">
        <v>29400012000</v>
      </c>
      <c r="B10640" t="s">
        <v>4463</v>
      </c>
    </row>
    <row r="10641" spans="1:2" x14ac:dyDescent="0.25">
      <c r="A10641">
        <v>29400013000</v>
      </c>
      <c r="B10641" t="s">
        <v>4464</v>
      </c>
    </row>
    <row r="10642" spans="1:2" x14ac:dyDescent="0.25">
      <c r="A10642">
        <v>29400019</v>
      </c>
      <c r="B10642" t="s">
        <v>10</v>
      </c>
    </row>
    <row r="10643" spans="1:2" x14ac:dyDescent="0.25">
      <c r="A10643">
        <v>29400019100</v>
      </c>
      <c r="B10643" t="s">
        <v>4465</v>
      </c>
    </row>
    <row r="10644" spans="1:2" x14ac:dyDescent="0.25">
      <c r="A10644">
        <v>29400019200</v>
      </c>
      <c r="B10644" t="s">
        <v>4466</v>
      </c>
    </row>
    <row r="10645" spans="1:2" x14ac:dyDescent="0.25">
      <c r="A10645">
        <v>29400019300</v>
      </c>
      <c r="B10645" t="s">
        <v>4467</v>
      </c>
    </row>
    <row r="10646" spans="1:2" x14ac:dyDescent="0.25">
      <c r="A10646">
        <v>29400019400</v>
      </c>
      <c r="B10646" t="s">
        <v>4468</v>
      </c>
    </row>
    <row r="10647" spans="1:2" x14ac:dyDescent="0.25">
      <c r="A10647">
        <v>29400019500</v>
      </c>
      <c r="B10647" t="s">
        <v>4469</v>
      </c>
    </row>
    <row r="10648" spans="1:2" x14ac:dyDescent="0.25">
      <c r="A10648">
        <v>29400019900</v>
      </c>
      <c r="B10648" t="s">
        <v>10</v>
      </c>
    </row>
    <row r="10649" spans="1:2" x14ac:dyDescent="0.25">
      <c r="A10649">
        <v>2940002</v>
      </c>
      <c r="B10649" t="s">
        <v>4470</v>
      </c>
    </row>
    <row r="10650" spans="1:2" x14ac:dyDescent="0.25">
      <c r="A10650">
        <v>29400021000</v>
      </c>
      <c r="B10650" t="s">
        <v>4471</v>
      </c>
    </row>
    <row r="10651" spans="1:2" x14ac:dyDescent="0.25">
      <c r="A10651">
        <v>29400022000</v>
      </c>
      <c r="B10651" t="s">
        <v>4472</v>
      </c>
    </row>
    <row r="10652" spans="1:2" x14ac:dyDescent="0.25">
      <c r="A10652">
        <v>29400023000</v>
      </c>
      <c r="B10652" t="s">
        <v>4473</v>
      </c>
    </row>
    <row r="10653" spans="1:2" x14ac:dyDescent="0.25">
      <c r="A10653">
        <v>29400029000</v>
      </c>
      <c r="B10653" t="s">
        <v>10</v>
      </c>
    </row>
    <row r="10654" spans="1:2" x14ac:dyDescent="0.25">
      <c r="A10654">
        <v>2940009</v>
      </c>
      <c r="B10654" t="s">
        <v>10</v>
      </c>
    </row>
    <row r="10655" spans="1:2" x14ac:dyDescent="0.25">
      <c r="A10655">
        <v>29400092000</v>
      </c>
      <c r="B10655" t="s">
        <v>4474</v>
      </c>
    </row>
    <row r="10656" spans="1:2" x14ac:dyDescent="0.25">
      <c r="A10656">
        <v>29400093000</v>
      </c>
      <c r="B10656" t="s">
        <v>4475</v>
      </c>
    </row>
    <row r="10657" spans="1:2" x14ac:dyDescent="0.25">
      <c r="A10657">
        <v>29400094000</v>
      </c>
      <c r="B10657" t="s">
        <v>4476</v>
      </c>
    </row>
    <row r="10658" spans="1:2" x14ac:dyDescent="0.25">
      <c r="A10658">
        <v>29400099</v>
      </c>
      <c r="B10658" t="s">
        <v>10</v>
      </c>
    </row>
    <row r="10659" spans="1:2" x14ac:dyDescent="0.25">
      <c r="A10659">
        <v>29400099100</v>
      </c>
      <c r="B10659" t="s">
        <v>4477</v>
      </c>
    </row>
    <row r="10660" spans="1:2" x14ac:dyDescent="0.25">
      <c r="A10660">
        <v>29400099200</v>
      </c>
      <c r="B10660" t="s">
        <v>4478</v>
      </c>
    </row>
    <row r="10661" spans="1:2" x14ac:dyDescent="0.25">
      <c r="A10661">
        <v>29400099300</v>
      </c>
      <c r="B10661" t="s">
        <v>4479</v>
      </c>
    </row>
    <row r="10662" spans="1:2" x14ac:dyDescent="0.25">
      <c r="A10662">
        <v>29400099400</v>
      </c>
      <c r="B10662" t="s">
        <v>4480</v>
      </c>
    </row>
    <row r="10663" spans="1:2" x14ac:dyDescent="0.25">
      <c r="A10663">
        <v>29400099500</v>
      </c>
      <c r="B10663" t="s">
        <v>4481</v>
      </c>
    </row>
    <row r="10664" spans="1:2" x14ac:dyDescent="0.25">
      <c r="A10664">
        <v>29400099900</v>
      </c>
      <c r="B10664" t="s">
        <v>10</v>
      </c>
    </row>
    <row r="10665" spans="1:2" x14ac:dyDescent="0.25">
      <c r="A10665">
        <v>2941</v>
      </c>
      <c r="B10665" t="s">
        <v>4482</v>
      </c>
    </row>
    <row r="10666" spans="1:2" x14ac:dyDescent="0.25">
      <c r="A10666">
        <v>294110</v>
      </c>
      <c r="B10666" t="e">
        <f>- Penicilinas ysus derivados Con la estructura del acido penicilanico, sales de estos Productos</f>
        <v>#NAME?</v>
      </c>
    </row>
    <row r="10667" spans="1:2" x14ac:dyDescent="0.25">
      <c r="A10667">
        <v>29411010000</v>
      </c>
      <c r="B10667" t="s">
        <v>4483</v>
      </c>
    </row>
    <row r="10668" spans="1:2" x14ac:dyDescent="0.25">
      <c r="A10668">
        <v>29411020000</v>
      </c>
      <c r="B10668" t="s">
        <v>4484</v>
      </c>
    </row>
    <row r="10669" spans="1:2" x14ac:dyDescent="0.25">
      <c r="A10669">
        <v>2941103</v>
      </c>
      <c r="B10669" t="s">
        <v>4485</v>
      </c>
    </row>
    <row r="10670" spans="1:2" x14ac:dyDescent="0.25">
      <c r="A10670">
        <v>29411031000</v>
      </c>
      <c r="B10670" t="s">
        <v>4486</v>
      </c>
    </row>
    <row r="10671" spans="1:2" x14ac:dyDescent="0.25">
      <c r="A10671">
        <v>29411039000</v>
      </c>
      <c r="B10671" t="s">
        <v>10</v>
      </c>
    </row>
    <row r="10672" spans="1:2" x14ac:dyDescent="0.25">
      <c r="A10672">
        <v>2941104</v>
      </c>
      <c r="B10672" t="s">
        <v>4487</v>
      </c>
    </row>
    <row r="10673" spans="1:2" x14ac:dyDescent="0.25">
      <c r="A10673">
        <v>29411041000</v>
      </c>
      <c r="B10673" t="s">
        <v>4488</v>
      </c>
    </row>
    <row r="10674" spans="1:2" x14ac:dyDescent="0.25">
      <c r="A10674">
        <v>29411042000</v>
      </c>
      <c r="B10674" t="s">
        <v>4489</v>
      </c>
    </row>
    <row r="10675" spans="1:2" x14ac:dyDescent="0.25">
      <c r="A10675">
        <v>29411043000</v>
      </c>
      <c r="B10675" t="s">
        <v>4490</v>
      </c>
    </row>
    <row r="10676" spans="1:2" x14ac:dyDescent="0.25">
      <c r="A10676">
        <v>29411049000</v>
      </c>
      <c r="B10676" t="s">
        <v>10</v>
      </c>
    </row>
    <row r="10677" spans="1:2" x14ac:dyDescent="0.25">
      <c r="A10677">
        <v>29411090000</v>
      </c>
      <c r="B10677" t="s">
        <v>10</v>
      </c>
    </row>
    <row r="10678" spans="1:2" x14ac:dyDescent="0.25">
      <c r="A10678">
        <v>294120</v>
      </c>
      <c r="B10678" t="e">
        <f>- Estreptomicinas y sus derivados, sales de estos Productos</f>
        <v>#NAME?</v>
      </c>
    </row>
    <row r="10679" spans="1:2" x14ac:dyDescent="0.25">
      <c r="A10679">
        <v>29412010000</v>
      </c>
      <c r="B10679" t="s">
        <v>3176</v>
      </c>
    </row>
    <row r="10680" spans="1:2" x14ac:dyDescent="0.25">
      <c r="A10680">
        <v>29412090</v>
      </c>
      <c r="B10680" t="s">
        <v>10</v>
      </c>
    </row>
    <row r="10681" spans="1:2" x14ac:dyDescent="0.25">
      <c r="A10681">
        <v>29412090100</v>
      </c>
      <c r="B10681" t="s">
        <v>4491</v>
      </c>
    </row>
    <row r="10682" spans="1:2" x14ac:dyDescent="0.25">
      <c r="A10682">
        <v>29412090200</v>
      </c>
      <c r="B10682" t="s">
        <v>4492</v>
      </c>
    </row>
    <row r="10683" spans="1:2" x14ac:dyDescent="0.25">
      <c r="A10683">
        <v>29412090900</v>
      </c>
      <c r="B10683" t="s">
        <v>10</v>
      </c>
    </row>
    <row r="10684" spans="1:2" x14ac:dyDescent="0.25">
      <c r="A10684">
        <v>294130</v>
      </c>
      <c r="B10684" t="e">
        <f>- Tetraciclinas y sus derivados, sales de estos Productos</f>
        <v>#NAME?</v>
      </c>
    </row>
    <row r="10685" spans="1:2" x14ac:dyDescent="0.25">
      <c r="A10685">
        <v>29413010000</v>
      </c>
      <c r="B10685" t="s">
        <v>4493</v>
      </c>
    </row>
    <row r="10686" spans="1:2" x14ac:dyDescent="0.25">
      <c r="A10686">
        <v>29413020000</v>
      </c>
      <c r="B10686" t="s">
        <v>4494</v>
      </c>
    </row>
    <row r="10687" spans="1:2" x14ac:dyDescent="0.25">
      <c r="A10687">
        <v>2941303</v>
      </c>
      <c r="B10687" t="s">
        <v>4495</v>
      </c>
    </row>
    <row r="10688" spans="1:2" x14ac:dyDescent="0.25">
      <c r="A10688">
        <v>29413031000</v>
      </c>
      <c r="B10688" t="s">
        <v>4496</v>
      </c>
    </row>
    <row r="10689" spans="1:2" x14ac:dyDescent="0.25">
      <c r="A10689">
        <v>29413032000</v>
      </c>
      <c r="B10689" t="s">
        <v>2195</v>
      </c>
    </row>
    <row r="10690" spans="1:2" x14ac:dyDescent="0.25">
      <c r="A10690">
        <v>29413090</v>
      </c>
      <c r="B10690" t="s">
        <v>10</v>
      </c>
    </row>
    <row r="10691" spans="1:2" x14ac:dyDescent="0.25">
      <c r="A10691">
        <v>29413090100</v>
      </c>
      <c r="B10691" t="s">
        <v>4497</v>
      </c>
    </row>
    <row r="10692" spans="1:2" x14ac:dyDescent="0.25">
      <c r="A10692">
        <v>29413090200</v>
      </c>
      <c r="B10692" t="s">
        <v>4498</v>
      </c>
    </row>
    <row r="10693" spans="1:2" x14ac:dyDescent="0.25">
      <c r="A10693">
        <v>29413090900</v>
      </c>
      <c r="B10693" t="s">
        <v>10</v>
      </c>
    </row>
    <row r="10694" spans="1:2" x14ac:dyDescent="0.25">
      <c r="A10694">
        <v>294140</v>
      </c>
      <c r="B10694" t="e">
        <f>- Cloranfenicol y sus derivados, sales de estos Productos</f>
        <v>#NAME?</v>
      </c>
    </row>
    <row r="10695" spans="1:2" x14ac:dyDescent="0.25">
      <c r="A10695">
        <v>2941401</v>
      </c>
      <c r="B10695" t="s">
        <v>4499</v>
      </c>
    </row>
    <row r="10696" spans="1:2" x14ac:dyDescent="0.25">
      <c r="A10696">
        <v>29414011</v>
      </c>
      <c r="B10696" t="s">
        <v>4500</v>
      </c>
    </row>
    <row r="10697" spans="1:2" x14ac:dyDescent="0.25">
      <c r="A10697">
        <v>29414011100</v>
      </c>
      <c r="B10697" t="s">
        <v>4501</v>
      </c>
    </row>
    <row r="10698" spans="1:2" x14ac:dyDescent="0.25">
      <c r="A10698">
        <v>29414011200</v>
      </c>
      <c r="B10698" t="s">
        <v>4297</v>
      </c>
    </row>
    <row r="10699" spans="1:2" x14ac:dyDescent="0.25">
      <c r="A10699">
        <v>29414011300</v>
      </c>
      <c r="B10699" t="s">
        <v>4502</v>
      </c>
    </row>
    <row r="10700" spans="1:2" x14ac:dyDescent="0.25">
      <c r="A10700">
        <v>29414011400</v>
      </c>
      <c r="B10700" t="s">
        <v>4503</v>
      </c>
    </row>
    <row r="10701" spans="1:2" x14ac:dyDescent="0.25">
      <c r="A10701">
        <v>29414019000</v>
      </c>
      <c r="B10701" t="s">
        <v>10</v>
      </c>
    </row>
    <row r="10702" spans="1:2" x14ac:dyDescent="0.25">
      <c r="A10702">
        <v>29414020000</v>
      </c>
      <c r="B10702" t="s">
        <v>4504</v>
      </c>
    </row>
    <row r="10703" spans="1:2" x14ac:dyDescent="0.25">
      <c r="A10703">
        <v>29414090000</v>
      </c>
      <c r="B10703" t="s">
        <v>10</v>
      </c>
    </row>
    <row r="10704" spans="1:2" x14ac:dyDescent="0.25">
      <c r="A10704">
        <v>294150</v>
      </c>
      <c r="B10704" t="e">
        <f>- Eritromicina y sus derivados, sales de estos Productos</f>
        <v>#NAME?</v>
      </c>
    </row>
    <row r="10705" spans="1:2" x14ac:dyDescent="0.25">
      <c r="A10705">
        <v>29415010000</v>
      </c>
      <c r="B10705" t="s">
        <v>4505</v>
      </c>
    </row>
    <row r="10706" spans="1:2" x14ac:dyDescent="0.25">
      <c r="A10706">
        <v>29415020</v>
      </c>
      <c r="B10706" t="s">
        <v>4506</v>
      </c>
    </row>
    <row r="10707" spans="1:2" x14ac:dyDescent="0.25">
      <c r="A10707">
        <v>29415020100</v>
      </c>
      <c r="B10707" t="s">
        <v>4507</v>
      </c>
    </row>
    <row r="10708" spans="1:2" x14ac:dyDescent="0.25">
      <c r="A10708">
        <v>29415020200</v>
      </c>
      <c r="B10708" t="s">
        <v>2195</v>
      </c>
    </row>
    <row r="10709" spans="1:2" x14ac:dyDescent="0.25">
      <c r="A10709">
        <v>29415090000</v>
      </c>
      <c r="B10709" t="s">
        <v>10</v>
      </c>
    </row>
    <row r="10710" spans="1:2" x14ac:dyDescent="0.25">
      <c r="A10710">
        <v>294190</v>
      </c>
      <c r="B10710" t="e">
        <f>- Los demas</f>
        <v>#NAME?</v>
      </c>
    </row>
    <row r="10711" spans="1:2" x14ac:dyDescent="0.25">
      <c r="A10711">
        <v>2941901</v>
      </c>
      <c r="B10711" t="s">
        <v>4508</v>
      </c>
    </row>
    <row r="10712" spans="1:2" x14ac:dyDescent="0.25">
      <c r="A10712">
        <v>29419011000</v>
      </c>
      <c r="B10712" t="s">
        <v>4509</v>
      </c>
    </row>
    <row r="10713" spans="1:2" x14ac:dyDescent="0.25">
      <c r="A10713">
        <v>29419012000</v>
      </c>
      <c r="B10713" t="s">
        <v>4510</v>
      </c>
    </row>
    <row r="10714" spans="1:2" x14ac:dyDescent="0.25">
      <c r="A10714">
        <v>29419013000</v>
      </c>
      <c r="B10714" t="s">
        <v>4511</v>
      </c>
    </row>
    <row r="10715" spans="1:2" x14ac:dyDescent="0.25">
      <c r="A10715">
        <v>29419019000</v>
      </c>
      <c r="B10715" t="s">
        <v>10</v>
      </c>
    </row>
    <row r="10716" spans="1:2" x14ac:dyDescent="0.25">
      <c r="A10716">
        <v>2941902</v>
      </c>
      <c r="B10716" t="s">
        <v>4512</v>
      </c>
    </row>
    <row r="10717" spans="1:2" x14ac:dyDescent="0.25">
      <c r="A10717">
        <v>29419021000</v>
      </c>
      <c r="B10717" t="s">
        <v>4513</v>
      </c>
    </row>
    <row r="10718" spans="1:2" x14ac:dyDescent="0.25">
      <c r="A10718">
        <v>29419022000</v>
      </c>
      <c r="B10718" t="s">
        <v>4514</v>
      </c>
    </row>
    <row r="10719" spans="1:2" x14ac:dyDescent="0.25">
      <c r="A10719">
        <v>29419029000</v>
      </c>
      <c r="B10719" t="s">
        <v>10</v>
      </c>
    </row>
    <row r="10720" spans="1:2" x14ac:dyDescent="0.25">
      <c r="A10720">
        <v>2941903</v>
      </c>
      <c r="B10720" t="s">
        <v>4515</v>
      </c>
    </row>
    <row r="10721" spans="1:2" x14ac:dyDescent="0.25">
      <c r="A10721">
        <v>29419031000</v>
      </c>
      <c r="B10721" t="s">
        <v>4516</v>
      </c>
    </row>
    <row r="10722" spans="1:2" x14ac:dyDescent="0.25">
      <c r="A10722">
        <v>29419032</v>
      </c>
      <c r="B10722" t="s">
        <v>4517</v>
      </c>
    </row>
    <row r="10723" spans="1:2" x14ac:dyDescent="0.25">
      <c r="A10723">
        <v>29419032100</v>
      </c>
      <c r="B10723" t="s">
        <v>4518</v>
      </c>
    </row>
    <row r="10724" spans="1:2" x14ac:dyDescent="0.25">
      <c r="A10724">
        <v>29419032200</v>
      </c>
      <c r="B10724" t="s">
        <v>4519</v>
      </c>
    </row>
    <row r="10725" spans="1:2" x14ac:dyDescent="0.25">
      <c r="A10725">
        <v>29419033</v>
      </c>
      <c r="B10725" t="s">
        <v>4520</v>
      </c>
    </row>
    <row r="10726" spans="1:2" x14ac:dyDescent="0.25">
      <c r="A10726">
        <v>29419033100</v>
      </c>
      <c r="B10726" t="s">
        <v>4521</v>
      </c>
    </row>
    <row r="10727" spans="1:2" x14ac:dyDescent="0.25">
      <c r="A10727">
        <v>29419033200</v>
      </c>
      <c r="B10727" t="s">
        <v>4522</v>
      </c>
    </row>
    <row r="10728" spans="1:2" x14ac:dyDescent="0.25">
      <c r="A10728">
        <v>29419033300</v>
      </c>
      <c r="B10728" t="s">
        <v>4523</v>
      </c>
    </row>
    <row r="10729" spans="1:2" x14ac:dyDescent="0.25">
      <c r="A10729">
        <v>29419034000</v>
      </c>
      <c r="B10729" t="s">
        <v>4524</v>
      </c>
    </row>
    <row r="10730" spans="1:2" x14ac:dyDescent="0.25">
      <c r="A10730">
        <v>29419035000</v>
      </c>
      <c r="B10730" t="s">
        <v>4525</v>
      </c>
    </row>
    <row r="10731" spans="1:2" x14ac:dyDescent="0.25">
      <c r="A10731">
        <v>29419036000</v>
      </c>
      <c r="B10731" t="s">
        <v>4526</v>
      </c>
    </row>
    <row r="10732" spans="1:2" x14ac:dyDescent="0.25">
      <c r="A10732">
        <v>29419037000</v>
      </c>
      <c r="B10732" t="s">
        <v>4527</v>
      </c>
    </row>
    <row r="10733" spans="1:2" x14ac:dyDescent="0.25">
      <c r="A10733">
        <v>29419039</v>
      </c>
      <c r="B10733" t="s">
        <v>10</v>
      </c>
    </row>
    <row r="10734" spans="1:2" x14ac:dyDescent="0.25">
      <c r="A10734">
        <v>294190391</v>
      </c>
      <c r="B10734" t="s">
        <v>4528</v>
      </c>
    </row>
    <row r="10735" spans="1:2" x14ac:dyDescent="0.25">
      <c r="A10735">
        <v>29419039110</v>
      </c>
      <c r="B10735" t="s">
        <v>4529</v>
      </c>
    </row>
    <row r="10736" spans="1:2" x14ac:dyDescent="0.25">
      <c r="A10736">
        <v>29419039190</v>
      </c>
      <c r="B10736" t="s">
        <v>10</v>
      </c>
    </row>
    <row r="10737" spans="1:2" x14ac:dyDescent="0.25">
      <c r="A10737">
        <v>29419039200</v>
      </c>
      <c r="B10737" t="s">
        <v>4530</v>
      </c>
    </row>
    <row r="10738" spans="1:2" x14ac:dyDescent="0.25">
      <c r="A10738">
        <v>2941904</v>
      </c>
      <c r="B10738" t="s">
        <v>4531</v>
      </c>
    </row>
    <row r="10739" spans="1:2" x14ac:dyDescent="0.25">
      <c r="A10739">
        <v>29419041000</v>
      </c>
      <c r="B10739" t="s">
        <v>4532</v>
      </c>
    </row>
    <row r="10740" spans="1:2" x14ac:dyDescent="0.25">
      <c r="A10740">
        <v>29419042000</v>
      </c>
      <c r="B10740" t="s">
        <v>4533</v>
      </c>
    </row>
    <row r="10741" spans="1:2" x14ac:dyDescent="0.25">
      <c r="A10741">
        <v>29419043000</v>
      </c>
      <c r="B10741" t="s">
        <v>4534</v>
      </c>
    </row>
    <row r="10742" spans="1:2" x14ac:dyDescent="0.25">
      <c r="A10742">
        <v>29419049</v>
      </c>
      <c r="B10742" t="s">
        <v>10</v>
      </c>
    </row>
    <row r="10743" spans="1:2" x14ac:dyDescent="0.25">
      <c r="A10743">
        <v>29419049100</v>
      </c>
      <c r="B10743" t="s">
        <v>4535</v>
      </c>
    </row>
    <row r="10744" spans="1:2" x14ac:dyDescent="0.25">
      <c r="A10744">
        <v>29419049900</v>
      </c>
      <c r="B10744" t="s">
        <v>10</v>
      </c>
    </row>
    <row r="10745" spans="1:2" x14ac:dyDescent="0.25">
      <c r="A10745">
        <v>2941905</v>
      </c>
      <c r="B10745" t="s">
        <v>4536</v>
      </c>
    </row>
    <row r="10746" spans="1:2" x14ac:dyDescent="0.25">
      <c r="A10746">
        <v>29419051000</v>
      </c>
      <c r="B10746" t="s">
        <v>4537</v>
      </c>
    </row>
    <row r="10747" spans="1:2" x14ac:dyDescent="0.25">
      <c r="A10747">
        <v>29419059</v>
      </c>
      <c r="B10747" t="s">
        <v>10</v>
      </c>
    </row>
    <row r="10748" spans="1:2" x14ac:dyDescent="0.25">
      <c r="A10748">
        <v>29419059100</v>
      </c>
      <c r="B10748" t="s">
        <v>4538</v>
      </c>
    </row>
    <row r="10749" spans="1:2" x14ac:dyDescent="0.25">
      <c r="A10749">
        <v>29419059200</v>
      </c>
      <c r="B10749" t="s">
        <v>4539</v>
      </c>
    </row>
    <row r="10750" spans="1:2" x14ac:dyDescent="0.25">
      <c r="A10750">
        <v>29419059900</v>
      </c>
      <c r="B10750" t="s">
        <v>10</v>
      </c>
    </row>
    <row r="10751" spans="1:2" x14ac:dyDescent="0.25">
      <c r="A10751">
        <v>2941906</v>
      </c>
      <c r="B10751" t="s">
        <v>4540</v>
      </c>
    </row>
    <row r="10752" spans="1:2" x14ac:dyDescent="0.25">
      <c r="A10752">
        <v>29419061000</v>
      </c>
      <c r="B10752" t="s">
        <v>4541</v>
      </c>
    </row>
    <row r="10753" spans="1:2" x14ac:dyDescent="0.25">
      <c r="A10753">
        <v>29419062000</v>
      </c>
      <c r="B10753" t="s">
        <v>4542</v>
      </c>
    </row>
    <row r="10754" spans="1:2" x14ac:dyDescent="0.25">
      <c r="A10754">
        <v>29419069000</v>
      </c>
      <c r="B10754" t="s">
        <v>10</v>
      </c>
    </row>
    <row r="10755" spans="1:2" x14ac:dyDescent="0.25">
      <c r="A10755">
        <v>2941907</v>
      </c>
      <c r="B10755" t="s">
        <v>4543</v>
      </c>
    </row>
    <row r="10756" spans="1:2" x14ac:dyDescent="0.25">
      <c r="A10756">
        <v>29419071000</v>
      </c>
      <c r="B10756" t="s">
        <v>4544</v>
      </c>
    </row>
    <row r="10757" spans="1:2" x14ac:dyDescent="0.25">
      <c r="A10757">
        <v>29419072000</v>
      </c>
      <c r="B10757" t="s">
        <v>4545</v>
      </c>
    </row>
    <row r="10758" spans="1:2" x14ac:dyDescent="0.25">
      <c r="A10758">
        <v>29419073000</v>
      </c>
      <c r="B10758" t="s">
        <v>4546</v>
      </c>
    </row>
    <row r="10759" spans="1:2" x14ac:dyDescent="0.25">
      <c r="A10759">
        <v>29419079000</v>
      </c>
      <c r="B10759" t="s">
        <v>10</v>
      </c>
    </row>
    <row r="10760" spans="1:2" x14ac:dyDescent="0.25">
      <c r="A10760">
        <v>2941908</v>
      </c>
      <c r="B10760" t="s">
        <v>4547</v>
      </c>
    </row>
    <row r="10761" spans="1:2" x14ac:dyDescent="0.25">
      <c r="A10761">
        <v>29419081000</v>
      </c>
      <c r="B10761" t="s">
        <v>4548</v>
      </c>
    </row>
    <row r="10762" spans="1:2" x14ac:dyDescent="0.25">
      <c r="A10762">
        <v>29419082000</v>
      </c>
      <c r="B10762" t="s">
        <v>4549</v>
      </c>
    </row>
    <row r="10763" spans="1:2" x14ac:dyDescent="0.25">
      <c r="A10763">
        <v>29419083000</v>
      </c>
      <c r="B10763" t="s">
        <v>4550</v>
      </c>
    </row>
    <row r="10764" spans="1:2" x14ac:dyDescent="0.25">
      <c r="A10764">
        <v>29419089000</v>
      </c>
      <c r="B10764" t="s">
        <v>10</v>
      </c>
    </row>
    <row r="10765" spans="1:2" x14ac:dyDescent="0.25">
      <c r="A10765">
        <v>2941909</v>
      </c>
      <c r="B10765" t="s">
        <v>10</v>
      </c>
    </row>
    <row r="10766" spans="1:2" x14ac:dyDescent="0.25">
      <c r="A10766">
        <v>29419091</v>
      </c>
      <c r="B10766" t="s">
        <v>4551</v>
      </c>
    </row>
    <row r="10767" spans="1:2" x14ac:dyDescent="0.25">
      <c r="A10767">
        <v>29419091100</v>
      </c>
      <c r="B10767" t="s">
        <v>4552</v>
      </c>
    </row>
    <row r="10768" spans="1:2" x14ac:dyDescent="0.25">
      <c r="A10768">
        <v>29419091900</v>
      </c>
      <c r="B10768" t="s">
        <v>10</v>
      </c>
    </row>
    <row r="10769" spans="1:2" x14ac:dyDescent="0.25">
      <c r="A10769">
        <v>29419092000</v>
      </c>
      <c r="B10769" t="s">
        <v>4553</v>
      </c>
    </row>
    <row r="10770" spans="1:2" x14ac:dyDescent="0.25">
      <c r="A10770">
        <v>29419099</v>
      </c>
      <c r="B10770" t="s">
        <v>10</v>
      </c>
    </row>
    <row r="10771" spans="1:2" x14ac:dyDescent="0.25">
      <c r="A10771">
        <v>294190991</v>
      </c>
      <c r="B10771" t="s">
        <v>4554</v>
      </c>
    </row>
    <row r="10772" spans="1:2" x14ac:dyDescent="0.25">
      <c r="A10772">
        <v>29419099110</v>
      </c>
      <c r="B10772" t="s">
        <v>4555</v>
      </c>
    </row>
    <row r="10773" spans="1:2" x14ac:dyDescent="0.25">
      <c r="A10773">
        <v>29419099120</v>
      </c>
      <c r="B10773" t="s">
        <v>4556</v>
      </c>
    </row>
    <row r="10774" spans="1:2" x14ac:dyDescent="0.25">
      <c r="A10774">
        <v>29419099130</v>
      </c>
      <c r="B10774" t="s">
        <v>4557</v>
      </c>
    </row>
    <row r="10775" spans="1:2" x14ac:dyDescent="0.25">
      <c r="A10775">
        <v>29419099140</v>
      </c>
      <c r="B10775" t="s">
        <v>4558</v>
      </c>
    </row>
    <row r="10776" spans="1:2" x14ac:dyDescent="0.25">
      <c r="A10776">
        <v>29419099150</v>
      </c>
      <c r="B10776" t="s">
        <v>4559</v>
      </c>
    </row>
    <row r="10777" spans="1:2" x14ac:dyDescent="0.25">
      <c r="A10777">
        <v>29419099160</v>
      </c>
      <c r="B10777" t="s">
        <v>4560</v>
      </c>
    </row>
    <row r="10778" spans="1:2" x14ac:dyDescent="0.25">
      <c r="A10778">
        <v>29419099170</v>
      </c>
      <c r="B10778" t="s">
        <v>4561</v>
      </c>
    </row>
    <row r="10779" spans="1:2" x14ac:dyDescent="0.25">
      <c r="A10779">
        <v>29419099900</v>
      </c>
      <c r="B10779" t="s">
        <v>10</v>
      </c>
    </row>
    <row r="10780" spans="1:2" x14ac:dyDescent="0.25">
      <c r="A10780">
        <v>29420000000</v>
      </c>
      <c r="B10780" t="s">
        <v>4562</v>
      </c>
    </row>
    <row r="10781" spans="1:2" x14ac:dyDescent="0.25">
      <c r="A10781">
        <v>3001</v>
      </c>
      <c r="B10781" t="s">
        <v>4563</v>
      </c>
    </row>
    <row r="10782" spans="1:2" x14ac:dyDescent="0.25">
      <c r="A10782">
        <v>300120</v>
      </c>
      <c r="B10782" t="e">
        <f>- extractos de glandulas o de otros organos o de sus secreciones</f>
        <v>#NAME?</v>
      </c>
    </row>
    <row r="10783" spans="1:2" x14ac:dyDescent="0.25">
      <c r="A10783">
        <v>30012010000</v>
      </c>
      <c r="B10783" t="s">
        <v>4564</v>
      </c>
    </row>
    <row r="10784" spans="1:2" x14ac:dyDescent="0.25">
      <c r="A10784">
        <v>30012090</v>
      </c>
      <c r="B10784" t="s">
        <v>10</v>
      </c>
    </row>
    <row r="10785" spans="1:2" x14ac:dyDescent="0.25">
      <c r="A10785">
        <v>30012090100</v>
      </c>
      <c r="B10785" t="s">
        <v>4565</v>
      </c>
    </row>
    <row r="10786" spans="1:2" x14ac:dyDescent="0.25">
      <c r="A10786">
        <v>30012090900</v>
      </c>
      <c r="B10786" t="s">
        <v>10</v>
      </c>
    </row>
    <row r="10787" spans="1:2" x14ac:dyDescent="0.25">
      <c r="A10787">
        <v>300190</v>
      </c>
      <c r="B10787" t="e">
        <f>- las demas</f>
        <v>#NAME?</v>
      </c>
    </row>
    <row r="10788" spans="1:2" x14ac:dyDescent="0.25">
      <c r="A10788">
        <v>30019010000</v>
      </c>
      <c r="B10788" t="s">
        <v>4566</v>
      </c>
    </row>
    <row r="10789" spans="1:2" x14ac:dyDescent="0.25">
      <c r="A10789">
        <v>30019020000</v>
      </c>
      <c r="B10789" t="s">
        <v>4567</v>
      </c>
    </row>
    <row r="10790" spans="1:2" x14ac:dyDescent="0.25">
      <c r="A10790">
        <v>3001903</v>
      </c>
      <c r="B10790" t="s">
        <v>4568</v>
      </c>
    </row>
    <row r="10791" spans="1:2" x14ac:dyDescent="0.25">
      <c r="A10791">
        <v>30019031000</v>
      </c>
      <c r="B10791" t="s">
        <v>4569</v>
      </c>
    </row>
    <row r="10792" spans="1:2" x14ac:dyDescent="0.25">
      <c r="A10792">
        <v>30019039000</v>
      </c>
      <c r="B10792" t="s">
        <v>10</v>
      </c>
    </row>
    <row r="10793" spans="1:2" x14ac:dyDescent="0.25">
      <c r="A10793">
        <v>30019090</v>
      </c>
      <c r="B10793" t="s">
        <v>10</v>
      </c>
    </row>
    <row r="10794" spans="1:2" x14ac:dyDescent="0.25">
      <c r="A10794">
        <v>30019090100</v>
      </c>
      <c r="B10794" t="s">
        <v>4570</v>
      </c>
    </row>
    <row r="10795" spans="1:2" x14ac:dyDescent="0.25">
      <c r="A10795">
        <v>300190902</v>
      </c>
      <c r="B10795" t="s">
        <v>4571</v>
      </c>
    </row>
    <row r="10796" spans="1:2" x14ac:dyDescent="0.25">
      <c r="A10796">
        <v>30019090210</v>
      </c>
      <c r="B10796" t="s">
        <v>609</v>
      </c>
    </row>
    <row r="10797" spans="1:2" x14ac:dyDescent="0.25">
      <c r="A10797">
        <v>30019090220</v>
      </c>
      <c r="B10797" t="s">
        <v>4572</v>
      </c>
    </row>
    <row r="10798" spans="1:2" x14ac:dyDescent="0.25">
      <c r="A10798">
        <v>30019090290</v>
      </c>
      <c r="B10798" t="s">
        <v>10</v>
      </c>
    </row>
    <row r="10799" spans="1:2" x14ac:dyDescent="0.25">
      <c r="A10799">
        <v>30019090300</v>
      </c>
      <c r="B10799" t="s">
        <v>4573</v>
      </c>
    </row>
    <row r="10800" spans="1:2" x14ac:dyDescent="0.25">
      <c r="A10800">
        <v>30019090400</v>
      </c>
      <c r="B10800" t="s">
        <v>4574</v>
      </c>
    </row>
    <row r="10801" spans="1:2" x14ac:dyDescent="0.25">
      <c r="A10801">
        <v>30019090900</v>
      </c>
      <c r="B10801" t="s">
        <v>57</v>
      </c>
    </row>
    <row r="10802" spans="1:2" x14ac:dyDescent="0.25">
      <c r="A10802">
        <v>3002</v>
      </c>
      <c r="B10802" t="s">
        <v>4575</v>
      </c>
    </row>
    <row r="10803" spans="1:2" x14ac:dyDescent="0.25">
      <c r="A10803">
        <v>30021</v>
      </c>
      <c r="B10803" t="s">
        <v>4576</v>
      </c>
    </row>
    <row r="10804" spans="1:2" x14ac:dyDescent="0.25">
      <c r="A10804">
        <v>30021100000</v>
      </c>
      <c r="B10804" t="e">
        <f>--Kit para el diagnostico de la malaria (paludismo)</f>
        <v>#NAME?</v>
      </c>
    </row>
    <row r="10805" spans="1:2" x14ac:dyDescent="0.25">
      <c r="A10805">
        <v>300212</v>
      </c>
      <c r="B10805" t="e">
        <f>- - Antisueros (sueros Con anticuerpos) y demas fracciones de la sangre.</f>
        <v>#NAME?</v>
      </c>
    </row>
    <row r="10806" spans="1:2" x14ac:dyDescent="0.25">
      <c r="A10806">
        <v>3002121</v>
      </c>
      <c r="B10806" t="s">
        <v>4577</v>
      </c>
    </row>
    <row r="10807" spans="1:2" x14ac:dyDescent="0.25">
      <c r="A10807">
        <v>30021211000</v>
      </c>
      <c r="B10807" t="s">
        <v>4578</v>
      </c>
    </row>
    <row r="10808" spans="1:2" x14ac:dyDescent="0.25">
      <c r="A10808">
        <v>30021212000</v>
      </c>
      <c r="B10808" t="s">
        <v>4579</v>
      </c>
    </row>
    <row r="10809" spans="1:2" x14ac:dyDescent="0.25">
      <c r="A10809">
        <v>30021213000</v>
      </c>
      <c r="B10809" t="s">
        <v>4580</v>
      </c>
    </row>
    <row r="10810" spans="1:2" x14ac:dyDescent="0.25">
      <c r="A10810">
        <v>30021214000</v>
      </c>
      <c r="B10810" t="s">
        <v>4581</v>
      </c>
    </row>
    <row r="10811" spans="1:2" x14ac:dyDescent="0.25">
      <c r="A10811">
        <v>30021215000</v>
      </c>
      <c r="B10811" t="s">
        <v>4582</v>
      </c>
    </row>
    <row r="10812" spans="1:2" x14ac:dyDescent="0.25">
      <c r="A10812">
        <v>30021216000</v>
      </c>
      <c r="B10812" t="s">
        <v>4583</v>
      </c>
    </row>
    <row r="10813" spans="1:2" x14ac:dyDescent="0.25">
      <c r="A10813">
        <v>30021219</v>
      </c>
      <c r="B10813" t="s">
        <v>10</v>
      </c>
    </row>
    <row r="10814" spans="1:2" x14ac:dyDescent="0.25">
      <c r="A10814">
        <v>30021219100</v>
      </c>
      <c r="B10814" t="s">
        <v>4584</v>
      </c>
    </row>
    <row r="10815" spans="1:2" x14ac:dyDescent="0.25">
      <c r="A10815">
        <v>30021219200</v>
      </c>
      <c r="B10815" t="s">
        <v>4585</v>
      </c>
    </row>
    <row r="10816" spans="1:2" x14ac:dyDescent="0.25">
      <c r="A10816">
        <v>30021219300</v>
      </c>
      <c r="B10816" t="s">
        <v>4586</v>
      </c>
    </row>
    <row r="10817" spans="1:2" x14ac:dyDescent="0.25">
      <c r="A10817">
        <v>30021219400</v>
      </c>
      <c r="B10817" t="s">
        <v>4587</v>
      </c>
    </row>
    <row r="10818" spans="1:2" x14ac:dyDescent="0.25">
      <c r="A10818">
        <v>30021219900</v>
      </c>
      <c r="B10818" t="s">
        <v>10</v>
      </c>
    </row>
    <row r="10819" spans="1:2" x14ac:dyDescent="0.25">
      <c r="A10819">
        <v>3002122</v>
      </c>
      <c r="B10819" t="s">
        <v>4588</v>
      </c>
    </row>
    <row r="10820" spans="1:2" x14ac:dyDescent="0.25">
      <c r="A10820">
        <v>30021221000</v>
      </c>
      <c r="B10820" t="s">
        <v>4589</v>
      </c>
    </row>
    <row r="10821" spans="1:2" x14ac:dyDescent="0.25">
      <c r="A10821">
        <v>30021222</v>
      </c>
      <c r="B10821" t="s">
        <v>4590</v>
      </c>
    </row>
    <row r="10822" spans="1:2" x14ac:dyDescent="0.25">
      <c r="A10822">
        <v>30021222100</v>
      </c>
      <c r="B10822" t="s">
        <v>4591</v>
      </c>
    </row>
    <row r="10823" spans="1:2" x14ac:dyDescent="0.25">
      <c r="A10823">
        <v>30021222900</v>
      </c>
      <c r="B10823" t="s">
        <v>10</v>
      </c>
    </row>
    <row r="10824" spans="1:2" x14ac:dyDescent="0.25">
      <c r="A10824">
        <v>30021223000</v>
      </c>
      <c r="B10824" t="s">
        <v>4592</v>
      </c>
    </row>
    <row r="10825" spans="1:2" x14ac:dyDescent="0.25">
      <c r="A10825">
        <v>30021224000</v>
      </c>
      <c r="B10825" t="s">
        <v>4593</v>
      </c>
    </row>
    <row r="10826" spans="1:2" x14ac:dyDescent="0.25">
      <c r="A10826">
        <v>30021229</v>
      </c>
      <c r="B10826" t="s">
        <v>10</v>
      </c>
    </row>
    <row r="10827" spans="1:2" x14ac:dyDescent="0.25">
      <c r="A10827">
        <v>30021229100</v>
      </c>
      <c r="B10827" t="s">
        <v>4594</v>
      </c>
    </row>
    <row r="10828" spans="1:2" x14ac:dyDescent="0.25">
      <c r="A10828">
        <v>30021229200</v>
      </c>
      <c r="B10828" t="s">
        <v>4595</v>
      </c>
    </row>
    <row r="10829" spans="1:2" x14ac:dyDescent="0.25">
      <c r="A10829">
        <v>30021229300</v>
      </c>
      <c r="B10829" t="s">
        <v>4596</v>
      </c>
    </row>
    <row r="10830" spans="1:2" x14ac:dyDescent="0.25">
      <c r="A10830">
        <v>30021229900</v>
      </c>
      <c r="B10830" t="s">
        <v>10</v>
      </c>
    </row>
    <row r="10831" spans="1:2" x14ac:dyDescent="0.25">
      <c r="A10831">
        <v>3002123</v>
      </c>
      <c r="B10831" t="s">
        <v>4597</v>
      </c>
    </row>
    <row r="10832" spans="1:2" x14ac:dyDescent="0.25">
      <c r="A10832">
        <v>30021231000</v>
      </c>
      <c r="B10832" t="s">
        <v>4598</v>
      </c>
    </row>
    <row r="10833" spans="1:2" x14ac:dyDescent="0.25">
      <c r="A10833">
        <v>30021232000</v>
      </c>
      <c r="B10833" t="s">
        <v>4599</v>
      </c>
    </row>
    <row r="10834" spans="1:2" x14ac:dyDescent="0.25">
      <c r="A10834">
        <v>30021233000</v>
      </c>
      <c r="B10834" t="s">
        <v>4600</v>
      </c>
    </row>
    <row r="10835" spans="1:2" x14ac:dyDescent="0.25">
      <c r="A10835">
        <v>30021234000</v>
      </c>
      <c r="B10835" t="s">
        <v>4601</v>
      </c>
    </row>
    <row r="10836" spans="1:2" x14ac:dyDescent="0.25">
      <c r="A10836">
        <v>30021235000</v>
      </c>
      <c r="B10836" t="s">
        <v>4602</v>
      </c>
    </row>
    <row r="10837" spans="1:2" x14ac:dyDescent="0.25">
      <c r="A10837">
        <v>30021236000</v>
      </c>
      <c r="B10837" t="s">
        <v>4603</v>
      </c>
    </row>
    <row r="10838" spans="1:2" x14ac:dyDescent="0.25">
      <c r="A10838">
        <v>30021239</v>
      </c>
      <c r="B10838" t="s">
        <v>10</v>
      </c>
    </row>
    <row r="10839" spans="1:2" x14ac:dyDescent="0.25">
      <c r="A10839">
        <v>30021239100</v>
      </c>
      <c r="B10839" t="s">
        <v>4604</v>
      </c>
    </row>
    <row r="10840" spans="1:2" x14ac:dyDescent="0.25">
      <c r="A10840">
        <v>30021239900</v>
      </c>
      <c r="B10840" t="s">
        <v>10</v>
      </c>
    </row>
    <row r="10841" spans="1:2" x14ac:dyDescent="0.25">
      <c r="A10841">
        <v>30021300</v>
      </c>
      <c r="B10841" t="e">
        <f>--Productos inmunologicos sin mezclar. sin dosificar ni acondicionar para la venta al por menor</f>
        <v>#NAME?</v>
      </c>
    </row>
    <row r="10842" spans="1:2" x14ac:dyDescent="0.25">
      <c r="A10842">
        <v>30021300100</v>
      </c>
      <c r="B10842" t="s">
        <v>4605</v>
      </c>
    </row>
    <row r="10843" spans="1:2" x14ac:dyDescent="0.25">
      <c r="A10843">
        <v>30021300900</v>
      </c>
      <c r="B10843" t="s">
        <v>10</v>
      </c>
    </row>
    <row r="10844" spans="1:2" x14ac:dyDescent="0.25">
      <c r="A10844">
        <v>300214</v>
      </c>
      <c r="B10844" t="e">
        <f>- - Productos inmunologicos mezclados. sin dosificar ni acondicionar para la venta al por menor.</f>
        <v>#NAME?</v>
      </c>
    </row>
    <row r="10845" spans="1:2" x14ac:dyDescent="0.25">
      <c r="A10845">
        <v>30021410000</v>
      </c>
      <c r="B10845" t="s">
        <v>4606</v>
      </c>
    </row>
    <row r="10846" spans="1:2" x14ac:dyDescent="0.25">
      <c r="A10846">
        <v>30021490</v>
      </c>
      <c r="B10846" t="s">
        <v>10</v>
      </c>
    </row>
    <row r="10847" spans="1:2" x14ac:dyDescent="0.25">
      <c r="A10847">
        <v>300214901</v>
      </c>
      <c r="B10847" t="s">
        <v>4607</v>
      </c>
    </row>
    <row r="10848" spans="1:2" x14ac:dyDescent="0.25">
      <c r="A10848">
        <v>30021490110</v>
      </c>
      <c r="B10848" t="s">
        <v>4608</v>
      </c>
    </row>
    <row r="10849" spans="1:2" x14ac:dyDescent="0.25">
      <c r="A10849">
        <v>30021490120</v>
      </c>
      <c r="B10849" t="s">
        <v>4609</v>
      </c>
    </row>
    <row r="10850" spans="1:2" x14ac:dyDescent="0.25">
      <c r="A10850">
        <v>30021490190</v>
      </c>
      <c r="B10850" t="s">
        <v>10</v>
      </c>
    </row>
    <row r="10851" spans="1:2" x14ac:dyDescent="0.25">
      <c r="A10851">
        <v>30021490400</v>
      </c>
      <c r="B10851" t="s">
        <v>4610</v>
      </c>
    </row>
    <row r="10852" spans="1:2" x14ac:dyDescent="0.25">
      <c r="A10852">
        <v>30021490500</v>
      </c>
      <c r="B10852" t="s">
        <v>4605</v>
      </c>
    </row>
    <row r="10853" spans="1:2" x14ac:dyDescent="0.25">
      <c r="A10853">
        <v>30021490900</v>
      </c>
      <c r="B10853" t="s">
        <v>10</v>
      </c>
    </row>
    <row r="10854" spans="1:2" x14ac:dyDescent="0.25">
      <c r="A10854">
        <v>300215</v>
      </c>
      <c r="B10854" t="e">
        <f>- - Productos inmunologicos dosificados o acondicionados para la venta al por menor.</f>
        <v>#NAME?</v>
      </c>
    </row>
    <row r="10855" spans="1:2" x14ac:dyDescent="0.25">
      <c r="A10855">
        <v>30021510</v>
      </c>
      <c r="B10855" t="s">
        <v>4611</v>
      </c>
    </row>
    <row r="10856" spans="1:2" x14ac:dyDescent="0.25">
      <c r="A10856">
        <v>300215101</v>
      </c>
      <c r="B10856" t="s">
        <v>4612</v>
      </c>
    </row>
    <row r="10857" spans="1:2" x14ac:dyDescent="0.25">
      <c r="A10857">
        <v>30021510110</v>
      </c>
      <c r="B10857" t="s">
        <v>4613</v>
      </c>
    </row>
    <row r="10858" spans="1:2" x14ac:dyDescent="0.25">
      <c r="A10858">
        <v>30021510190</v>
      </c>
      <c r="B10858" t="s">
        <v>10</v>
      </c>
    </row>
    <row r="10859" spans="1:2" x14ac:dyDescent="0.25">
      <c r="A10859">
        <v>30021510200</v>
      </c>
      <c r="B10859" t="s">
        <v>4614</v>
      </c>
    </row>
    <row r="10860" spans="1:2" x14ac:dyDescent="0.25">
      <c r="A10860">
        <v>30021520</v>
      </c>
      <c r="B10860" t="s">
        <v>4615</v>
      </c>
    </row>
    <row r="10861" spans="1:2" x14ac:dyDescent="0.25">
      <c r="A10861">
        <v>300215201</v>
      </c>
      <c r="B10861" t="s">
        <v>4616</v>
      </c>
    </row>
    <row r="10862" spans="1:2" x14ac:dyDescent="0.25">
      <c r="A10862">
        <v>30021520110</v>
      </c>
      <c r="B10862" t="s">
        <v>4617</v>
      </c>
    </row>
    <row r="10863" spans="1:2" x14ac:dyDescent="0.25">
      <c r="A10863">
        <v>30021520190</v>
      </c>
      <c r="B10863" t="s">
        <v>10</v>
      </c>
    </row>
    <row r="10864" spans="1:2" x14ac:dyDescent="0.25">
      <c r="A10864">
        <v>30021520200</v>
      </c>
      <c r="B10864" t="s">
        <v>4618</v>
      </c>
    </row>
    <row r="10865" spans="1:2" x14ac:dyDescent="0.25">
      <c r="A10865">
        <v>30021520300</v>
      </c>
      <c r="B10865" t="s">
        <v>4619</v>
      </c>
    </row>
    <row r="10866" spans="1:2" x14ac:dyDescent="0.25">
      <c r="A10866">
        <v>30021520900</v>
      </c>
      <c r="B10866" t="s">
        <v>10</v>
      </c>
    </row>
    <row r="10867" spans="1:2" x14ac:dyDescent="0.25">
      <c r="A10867">
        <v>30021590</v>
      </c>
      <c r="B10867" t="s">
        <v>10</v>
      </c>
    </row>
    <row r="10868" spans="1:2" x14ac:dyDescent="0.25">
      <c r="A10868">
        <v>300215901</v>
      </c>
      <c r="B10868" t="s">
        <v>4607</v>
      </c>
    </row>
    <row r="10869" spans="1:2" x14ac:dyDescent="0.25">
      <c r="A10869">
        <v>30021590110</v>
      </c>
      <c r="B10869" t="s">
        <v>4608</v>
      </c>
    </row>
    <row r="10870" spans="1:2" x14ac:dyDescent="0.25">
      <c r="A10870">
        <v>30021590120</v>
      </c>
      <c r="B10870" t="s">
        <v>4609</v>
      </c>
    </row>
    <row r="10871" spans="1:2" x14ac:dyDescent="0.25">
      <c r="A10871">
        <v>30021590190</v>
      </c>
      <c r="B10871" t="s">
        <v>10</v>
      </c>
    </row>
    <row r="10872" spans="1:2" x14ac:dyDescent="0.25">
      <c r="A10872">
        <v>30021590300</v>
      </c>
      <c r="B10872" t="s">
        <v>4620</v>
      </c>
    </row>
    <row r="10873" spans="1:2" x14ac:dyDescent="0.25">
      <c r="A10873">
        <v>30021590400</v>
      </c>
      <c r="B10873" t="s">
        <v>4621</v>
      </c>
    </row>
    <row r="10874" spans="1:2" x14ac:dyDescent="0.25">
      <c r="A10874">
        <v>300215905</v>
      </c>
      <c r="B10874" t="s">
        <v>4622</v>
      </c>
    </row>
    <row r="10875" spans="1:2" x14ac:dyDescent="0.25">
      <c r="A10875">
        <v>3002159051</v>
      </c>
      <c r="B10875" t="s">
        <v>4623</v>
      </c>
    </row>
    <row r="10876" spans="1:2" x14ac:dyDescent="0.25">
      <c r="A10876">
        <v>30021590511</v>
      </c>
      <c r="B10876" t="s">
        <v>4591</v>
      </c>
    </row>
    <row r="10877" spans="1:2" x14ac:dyDescent="0.25">
      <c r="A10877">
        <v>30021590512</v>
      </c>
      <c r="B10877" t="s">
        <v>4624</v>
      </c>
    </row>
    <row r="10878" spans="1:2" x14ac:dyDescent="0.25">
      <c r="A10878">
        <v>30021590519</v>
      </c>
      <c r="B10878" t="s">
        <v>10</v>
      </c>
    </row>
    <row r="10879" spans="1:2" x14ac:dyDescent="0.25">
      <c r="A10879">
        <v>30021590520</v>
      </c>
      <c r="B10879" t="s">
        <v>4625</v>
      </c>
    </row>
    <row r="10880" spans="1:2" x14ac:dyDescent="0.25">
      <c r="A10880">
        <v>30021590590</v>
      </c>
      <c r="B10880" t="s">
        <v>10</v>
      </c>
    </row>
    <row r="10881" spans="1:2" x14ac:dyDescent="0.25">
      <c r="A10881">
        <v>30021590900</v>
      </c>
      <c r="B10881" t="s">
        <v>10</v>
      </c>
    </row>
    <row r="10882" spans="1:2" x14ac:dyDescent="0.25">
      <c r="A10882">
        <v>30021900000</v>
      </c>
      <c r="B10882" t="e">
        <f>--Los demas</f>
        <v>#NAME?</v>
      </c>
    </row>
    <row r="10883" spans="1:2" x14ac:dyDescent="0.25">
      <c r="A10883">
        <v>300220</v>
      </c>
      <c r="B10883" t="e">
        <f>- Vacunas para la medicina humana</f>
        <v>#NAME?</v>
      </c>
    </row>
    <row r="10884" spans="1:2" x14ac:dyDescent="0.25">
      <c r="A10884">
        <v>3002201</v>
      </c>
      <c r="B10884" t="s">
        <v>4626</v>
      </c>
    </row>
    <row r="10885" spans="1:2" x14ac:dyDescent="0.25">
      <c r="A10885">
        <v>30022011000</v>
      </c>
      <c r="B10885" t="s">
        <v>4627</v>
      </c>
    </row>
    <row r="10886" spans="1:2" x14ac:dyDescent="0.25">
      <c r="A10886">
        <v>30022012000</v>
      </c>
      <c r="B10886" t="s">
        <v>4628</v>
      </c>
    </row>
    <row r="10887" spans="1:2" x14ac:dyDescent="0.25">
      <c r="A10887">
        <v>30022013000</v>
      </c>
      <c r="B10887" t="s">
        <v>4629</v>
      </c>
    </row>
    <row r="10888" spans="1:2" x14ac:dyDescent="0.25">
      <c r="A10888">
        <v>30022014000</v>
      </c>
      <c r="B10888" t="s">
        <v>4630</v>
      </c>
    </row>
    <row r="10889" spans="1:2" x14ac:dyDescent="0.25">
      <c r="A10889">
        <v>30022015000</v>
      </c>
      <c r="B10889" t="s">
        <v>4631</v>
      </c>
    </row>
    <row r="10890" spans="1:2" x14ac:dyDescent="0.25">
      <c r="A10890">
        <v>30022016000</v>
      </c>
      <c r="B10890" t="s">
        <v>4632</v>
      </c>
    </row>
    <row r="10891" spans="1:2" x14ac:dyDescent="0.25">
      <c r="A10891">
        <v>30022017000</v>
      </c>
      <c r="B10891" t="s">
        <v>4633</v>
      </c>
    </row>
    <row r="10892" spans="1:2" x14ac:dyDescent="0.25">
      <c r="A10892">
        <v>30022018000</v>
      </c>
      <c r="B10892" t="s">
        <v>4634</v>
      </c>
    </row>
    <row r="10893" spans="1:2" x14ac:dyDescent="0.25">
      <c r="A10893">
        <v>30022019</v>
      </c>
      <c r="B10893" t="s">
        <v>57</v>
      </c>
    </row>
    <row r="10894" spans="1:2" x14ac:dyDescent="0.25">
      <c r="A10894">
        <v>30022019100</v>
      </c>
      <c r="B10894" t="s">
        <v>4635</v>
      </c>
    </row>
    <row r="10895" spans="1:2" x14ac:dyDescent="0.25">
      <c r="A10895">
        <v>30022019200</v>
      </c>
      <c r="B10895" t="s">
        <v>4636</v>
      </c>
    </row>
    <row r="10896" spans="1:2" x14ac:dyDescent="0.25">
      <c r="A10896">
        <v>30022019300</v>
      </c>
      <c r="B10896" t="s">
        <v>4637</v>
      </c>
    </row>
    <row r="10897" spans="1:2" x14ac:dyDescent="0.25">
      <c r="A10897">
        <v>30022019400</v>
      </c>
      <c r="B10897" t="s">
        <v>4638</v>
      </c>
    </row>
    <row r="10898" spans="1:2" x14ac:dyDescent="0.25">
      <c r="A10898">
        <v>30022019900</v>
      </c>
      <c r="B10898" t="s">
        <v>10</v>
      </c>
    </row>
    <row r="10899" spans="1:2" x14ac:dyDescent="0.25">
      <c r="A10899">
        <v>3002202</v>
      </c>
      <c r="B10899" t="s">
        <v>4639</v>
      </c>
    </row>
    <row r="10900" spans="1:2" x14ac:dyDescent="0.25">
      <c r="A10900">
        <v>30022021</v>
      </c>
      <c r="B10900" t="s">
        <v>4627</v>
      </c>
    </row>
    <row r="10901" spans="1:2" x14ac:dyDescent="0.25">
      <c r="A10901">
        <v>30022021100</v>
      </c>
      <c r="B10901" t="s">
        <v>4640</v>
      </c>
    </row>
    <row r="10902" spans="1:2" x14ac:dyDescent="0.25">
      <c r="A10902">
        <v>30022021900</v>
      </c>
      <c r="B10902" t="s">
        <v>10</v>
      </c>
    </row>
    <row r="10903" spans="1:2" x14ac:dyDescent="0.25">
      <c r="A10903">
        <v>30022022</v>
      </c>
      <c r="B10903" t="s">
        <v>4628</v>
      </c>
    </row>
    <row r="10904" spans="1:2" x14ac:dyDescent="0.25">
      <c r="A10904">
        <v>30022022100</v>
      </c>
      <c r="B10904" t="s">
        <v>4641</v>
      </c>
    </row>
    <row r="10905" spans="1:2" x14ac:dyDescent="0.25">
      <c r="A10905">
        <v>30022022200</v>
      </c>
      <c r="B10905" t="s">
        <v>4642</v>
      </c>
    </row>
    <row r="10906" spans="1:2" x14ac:dyDescent="0.25">
      <c r="A10906">
        <v>30022023000</v>
      </c>
      <c r="B10906" t="s">
        <v>4629</v>
      </c>
    </row>
    <row r="10907" spans="1:2" x14ac:dyDescent="0.25">
      <c r="A10907">
        <v>30022024000</v>
      </c>
      <c r="B10907" t="s">
        <v>4630</v>
      </c>
    </row>
    <row r="10908" spans="1:2" x14ac:dyDescent="0.25">
      <c r="A10908">
        <v>30022025</v>
      </c>
      <c r="B10908" t="s">
        <v>4631</v>
      </c>
    </row>
    <row r="10909" spans="1:2" x14ac:dyDescent="0.25">
      <c r="A10909">
        <v>30022025100</v>
      </c>
      <c r="B10909" t="s">
        <v>4643</v>
      </c>
    </row>
    <row r="10910" spans="1:2" x14ac:dyDescent="0.25">
      <c r="A10910">
        <v>30022025900</v>
      </c>
      <c r="B10910" t="s">
        <v>57</v>
      </c>
    </row>
    <row r="10911" spans="1:2" x14ac:dyDescent="0.25">
      <c r="A10911">
        <v>30022026000</v>
      </c>
      <c r="B10911" t="s">
        <v>4632</v>
      </c>
    </row>
    <row r="10912" spans="1:2" x14ac:dyDescent="0.25">
      <c r="A10912">
        <v>30022027</v>
      </c>
      <c r="B10912" t="s">
        <v>4633</v>
      </c>
    </row>
    <row r="10913" spans="1:2" x14ac:dyDescent="0.25">
      <c r="A10913">
        <v>30022027100</v>
      </c>
      <c r="B10913" t="s">
        <v>4644</v>
      </c>
    </row>
    <row r="10914" spans="1:2" x14ac:dyDescent="0.25">
      <c r="A10914">
        <v>30022027900</v>
      </c>
      <c r="B10914" t="s">
        <v>57</v>
      </c>
    </row>
    <row r="10915" spans="1:2" x14ac:dyDescent="0.25">
      <c r="A10915">
        <v>30022028000</v>
      </c>
      <c r="B10915" t="s">
        <v>4634</v>
      </c>
    </row>
    <row r="10916" spans="1:2" x14ac:dyDescent="0.25">
      <c r="A10916">
        <v>30022029</v>
      </c>
      <c r="B10916" t="s">
        <v>57</v>
      </c>
    </row>
    <row r="10917" spans="1:2" x14ac:dyDescent="0.25">
      <c r="A10917">
        <v>30022029100</v>
      </c>
      <c r="B10917" t="s">
        <v>4635</v>
      </c>
    </row>
    <row r="10918" spans="1:2" x14ac:dyDescent="0.25">
      <c r="A10918">
        <v>30022029200</v>
      </c>
      <c r="B10918" t="s">
        <v>4636</v>
      </c>
    </row>
    <row r="10919" spans="1:2" x14ac:dyDescent="0.25">
      <c r="A10919">
        <v>30022029300</v>
      </c>
      <c r="B10919" t="s">
        <v>4637</v>
      </c>
    </row>
    <row r="10920" spans="1:2" x14ac:dyDescent="0.25">
      <c r="A10920">
        <v>300220294</v>
      </c>
      <c r="B10920" t="s">
        <v>4645</v>
      </c>
    </row>
    <row r="10921" spans="1:2" x14ac:dyDescent="0.25">
      <c r="A10921">
        <v>3002202941</v>
      </c>
      <c r="B10921" t="s">
        <v>4646</v>
      </c>
    </row>
    <row r="10922" spans="1:2" x14ac:dyDescent="0.25">
      <c r="A10922">
        <v>30022029411</v>
      </c>
      <c r="B10922" t="s">
        <v>4647</v>
      </c>
    </row>
    <row r="10923" spans="1:2" x14ac:dyDescent="0.25">
      <c r="A10923">
        <v>30022029412</v>
      </c>
      <c r="B10923" t="s">
        <v>4648</v>
      </c>
    </row>
    <row r="10924" spans="1:2" x14ac:dyDescent="0.25">
      <c r="A10924">
        <v>30022029419</v>
      </c>
      <c r="B10924" t="s">
        <v>57</v>
      </c>
    </row>
    <row r="10925" spans="1:2" x14ac:dyDescent="0.25">
      <c r="A10925">
        <v>30022029420</v>
      </c>
      <c r="B10925" t="s">
        <v>4649</v>
      </c>
    </row>
    <row r="10926" spans="1:2" x14ac:dyDescent="0.25">
      <c r="A10926">
        <v>30022029430</v>
      </c>
      <c r="B10926" t="s">
        <v>4650</v>
      </c>
    </row>
    <row r="10927" spans="1:2" x14ac:dyDescent="0.25">
      <c r="A10927">
        <v>30022029490</v>
      </c>
      <c r="B10927" t="s">
        <v>57</v>
      </c>
    </row>
    <row r="10928" spans="1:2" x14ac:dyDescent="0.25">
      <c r="A10928">
        <v>300220295</v>
      </c>
      <c r="B10928" t="s">
        <v>4651</v>
      </c>
    </row>
    <row r="10929" spans="1:2" x14ac:dyDescent="0.25">
      <c r="A10929">
        <v>30022029510</v>
      </c>
      <c r="B10929" t="s">
        <v>4652</v>
      </c>
    </row>
    <row r="10930" spans="1:2" x14ac:dyDescent="0.25">
      <c r="A10930">
        <v>30022029520</v>
      </c>
      <c r="B10930" t="s">
        <v>4653</v>
      </c>
    </row>
    <row r="10931" spans="1:2" x14ac:dyDescent="0.25">
      <c r="A10931">
        <v>30022029530</v>
      </c>
      <c r="B10931" t="s">
        <v>4654</v>
      </c>
    </row>
    <row r="10932" spans="1:2" x14ac:dyDescent="0.25">
      <c r="A10932">
        <v>30022029540</v>
      </c>
      <c r="B10932" t="s">
        <v>4655</v>
      </c>
    </row>
    <row r="10933" spans="1:2" x14ac:dyDescent="0.25">
      <c r="A10933">
        <v>300220296</v>
      </c>
      <c r="B10933" t="s">
        <v>4656</v>
      </c>
    </row>
    <row r="10934" spans="1:2" x14ac:dyDescent="0.25">
      <c r="A10934">
        <v>30022029610</v>
      </c>
      <c r="B10934" t="s">
        <v>4657</v>
      </c>
    </row>
    <row r="10935" spans="1:2" x14ac:dyDescent="0.25">
      <c r="A10935">
        <v>30022029620</v>
      </c>
      <c r="B10935" t="s">
        <v>4658</v>
      </c>
    </row>
    <row r="10936" spans="1:2" x14ac:dyDescent="0.25">
      <c r="A10936">
        <v>30022029630</v>
      </c>
      <c r="B10936" t="s">
        <v>4659</v>
      </c>
    </row>
    <row r="10937" spans="1:2" x14ac:dyDescent="0.25">
      <c r="A10937">
        <v>30022029700</v>
      </c>
      <c r="B10937" t="s">
        <v>4660</v>
      </c>
    </row>
    <row r="10938" spans="1:2" x14ac:dyDescent="0.25">
      <c r="A10938">
        <v>30022029800</v>
      </c>
      <c r="B10938" t="s">
        <v>4638</v>
      </c>
    </row>
    <row r="10939" spans="1:2" x14ac:dyDescent="0.25">
      <c r="A10939">
        <v>300220299</v>
      </c>
      <c r="B10939" t="s">
        <v>57</v>
      </c>
    </row>
    <row r="10940" spans="1:2" x14ac:dyDescent="0.25">
      <c r="A10940">
        <v>3002202991</v>
      </c>
      <c r="B10940" t="s">
        <v>4661</v>
      </c>
    </row>
    <row r="10941" spans="1:2" x14ac:dyDescent="0.25">
      <c r="A10941">
        <v>30022029911</v>
      </c>
      <c r="B10941" t="s">
        <v>4662</v>
      </c>
    </row>
    <row r="10942" spans="1:2" x14ac:dyDescent="0.25">
      <c r="A10942">
        <v>30022029912</v>
      </c>
      <c r="B10942" t="s">
        <v>4663</v>
      </c>
    </row>
    <row r="10943" spans="1:2" x14ac:dyDescent="0.25">
      <c r="A10943">
        <v>30022029990</v>
      </c>
      <c r="B10943" t="s">
        <v>57</v>
      </c>
    </row>
    <row r="10944" spans="1:2" x14ac:dyDescent="0.25">
      <c r="A10944">
        <v>300230</v>
      </c>
      <c r="B10944" t="e">
        <f>- Vacunas para la medicina veterinaria</f>
        <v>#NAME?</v>
      </c>
    </row>
    <row r="10945" spans="1:2" x14ac:dyDescent="0.25">
      <c r="A10945">
        <v>30023010</v>
      </c>
      <c r="B10945" t="s">
        <v>4660</v>
      </c>
    </row>
    <row r="10946" spans="1:2" x14ac:dyDescent="0.25">
      <c r="A10946">
        <v>30023010100</v>
      </c>
      <c r="B10946" t="s">
        <v>4664</v>
      </c>
    </row>
    <row r="10947" spans="1:2" x14ac:dyDescent="0.25">
      <c r="A10947">
        <v>30023010900</v>
      </c>
      <c r="B10947" t="s">
        <v>57</v>
      </c>
    </row>
    <row r="10948" spans="1:2" x14ac:dyDescent="0.25">
      <c r="A10948">
        <v>30023020000</v>
      </c>
      <c r="B10948" t="s">
        <v>4665</v>
      </c>
    </row>
    <row r="10949" spans="1:2" x14ac:dyDescent="0.25">
      <c r="A10949">
        <v>30023030000</v>
      </c>
      <c r="B10949" t="s">
        <v>4666</v>
      </c>
    </row>
    <row r="10950" spans="1:2" x14ac:dyDescent="0.25">
      <c r="A10950">
        <v>30023040</v>
      </c>
      <c r="B10950" t="s">
        <v>4667</v>
      </c>
    </row>
    <row r="10951" spans="1:2" x14ac:dyDescent="0.25">
      <c r="A10951">
        <v>30023040100</v>
      </c>
      <c r="B10951" t="s">
        <v>4668</v>
      </c>
    </row>
    <row r="10952" spans="1:2" x14ac:dyDescent="0.25">
      <c r="A10952">
        <v>30023040900</v>
      </c>
      <c r="B10952" t="s">
        <v>57</v>
      </c>
    </row>
    <row r="10953" spans="1:2" x14ac:dyDescent="0.25">
      <c r="A10953">
        <v>30023050</v>
      </c>
      <c r="B10953" t="s">
        <v>4669</v>
      </c>
    </row>
    <row r="10954" spans="1:2" x14ac:dyDescent="0.25">
      <c r="A10954">
        <v>30023050100</v>
      </c>
      <c r="B10954" t="s">
        <v>4668</v>
      </c>
    </row>
    <row r="10955" spans="1:2" x14ac:dyDescent="0.25">
      <c r="A10955">
        <v>30023050900</v>
      </c>
      <c r="B10955" t="s">
        <v>57</v>
      </c>
    </row>
    <row r="10956" spans="1:2" x14ac:dyDescent="0.25">
      <c r="A10956">
        <v>30023060000</v>
      </c>
      <c r="B10956" t="s">
        <v>4670</v>
      </c>
    </row>
    <row r="10957" spans="1:2" x14ac:dyDescent="0.25">
      <c r="A10957">
        <v>30023070</v>
      </c>
      <c r="B10957" t="s">
        <v>4671</v>
      </c>
    </row>
    <row r="10958" spans="1:2" x14ac:dyDescent="0.25">
      <c r="A10958">
        <v>30023070100</v>
      </c>
      <c r="B10958" t="s">
        <v>4672</v>
      </c>
    </row>
    <row r="10959" spans="1:2" x14ac:dyDescent="0.25">
      <c r="A10959">
        <v>30023070200</v>
      </c>
      <c r="B10959" t="s">
        <v>4673</v>
      </c>
    </row>
    <row r="10960" spans="1:2" x14ac:dyDescent="0.25">
      <c r="A10960">
        <v>30023070300</v>
      </c>
      <c r="B10960" t="s">
        <v>4674</v>
      </c>
    </row>
    <row r="10961" spans="1:2" x14ac:dyDescent="0.25">
      <c r="A10961">
        <v>30023070400</v>
      </c>
      <c r="B10961" t="s">
        <v>4675</v>
      </c>
    </row>
    <row r="10962" spans="1:2" x14ac:dyDescent="0.25">
      <c r="A10962">
        <v>30023070500</v>
      </c>
      <c r="B10962" t="s">
        <v>4676</v>
      </c>
    </row>
    <row r="10963" spans="1:2" x14ac:dyDescent="0.25">
      <c r="A10963">
        <v>30023070600</v>
      </c>
      <c r="B10963" t="s">
        <v>4677</v>
      </c>
    </row>
    <row r="10964" spans="1:2" x14ac:dyDescent="0.25">
      <c r="A10964">
        <v>30023070700</v>
      </c>
      <c r="B10964" t="s">
        <v>4678</v>
      </c>
    </row>
    <row r="10965" spans="1:2" x14ac:dyDescent="0.25">
      <c r="A10965">
        <v>30023080000</v>
      </c>
      <c r="B10965" t="s">
        <v>4679</v>
      </c>
    </row>
    <row r="10966" spans="1:2" x14ac:dyDescent="0.25">
      <c r="A10966">
        <v>30023090</v>
      </c>
      <c r="B10966" t="s">
        <v>57</v>
      </c>
    </row>
    <row r="10967" spans="1:2" x14ac:dyDescent="0.25">
      <c r="A10967">
        <v>30023090100</v>
      </c>
      <c r="B10967" t="s">
        <v>4680</v>
      </c>
    </row>
    <row r="10968" spans="1:2" x14ac:dyDescent="0.25">
      <c r="A10968">
        <v>30023090900</v>
      </c>
      <c r="B10968" t="s">
        <v>57</v>
      </c>
    </row>
    <row r="10969" spans="1:2" x14ac:dyDescent="0.25">
      <c r="A10969">
        <v>300290</v>
      </c>
      <c r="B10969" t="e">
        <f>- Los demas</f>
        <v>#NAME?</v>
      </c>
    </row>
    <row r="10970" spans="1:2" x14ac:dyDescent="0.25">
      <c r="A10970">
        <v>30029010</v>
      </c>
      <c r="B10970" t="s">
        <v>4681</v>
      </c>
    </row>
    <row r="10971" spans="1:2" x14ac:dyDescent="0.25">
      <c r="A10971">
        <v>300290101</v>
      </c>
      <c r="B10971" t="s">
        <v>4682</v>
      </c>
    </row>
    <row r="10972" spans="1:2" x14ac:dyDescent="0.25">
      <c r="A10972">
        <v>30029010110</v>
      </c>
      <c r="B10972" t="s">
        <v>2399</v>
      </c>
    </row>
    <row r="10973" spans="1:2" x14ac:dyDescent="0.25">
      <c r="A10973">
        <v>30029010190</v>
      </c>
      <c r="B10973" t="s">
        <v>10</v>
      </c>
    </row>
    <row r="10974" spans="1:2" x14ac:dyDescent="0.25">
      <c r="A10974">
        <v>30029010200</v>
      </c>
      <c r="B10974" t="s">
        <v>4683</v>
      </c>
    </row>
    <row r="10975" spans="1:2" x14ac:dyDescent="0.25">
      <c r="A10975">
        <v>30029010900</v>
      </c>
      <c r="B10975" t="s">
        <v>10</v>
      </c>
    </row>
    <row r="10976" spans="1:2" x14ac:dyDescent="0.25">
      <c r="A10976">
        <v>30029020000</v>
      </c>
      <c r="B10976" t="s">
        <v>4684</v>
      </c>
    </row>
    <row r="10977" spans="1:2" x14ac:dyDescent="0.25">
      <c r="A10977">
        <v>30029030000</v>
      </c>
      <c r="B10977" t="s">
        <v>4685</v>
      </c>
    </row>
    <row r="10978" spans="1:2" x14ac:dyDescent="0.25">
      <c r="A10978">
        <v>3002909</v>
      </c>
      <c r="B10978" t="s">
        <v>10</v>
      </c>
    </row>
    <row r="10979" spans="1:2" x14ac:dyDescent="0.25">
      <c r="A10979">
        <v>30029091</v>
      </c>
      <c r="B10979" t="s">
        <v>4686</v>
      </c>
    </row>
    <row r="10980" spans="1:2" x14ac:dyDescent="0.25">
      <c r="A10980">
        <v>30029091100</v>
      </c>
      <c r="B10980" t="s">
        <v>4687</v>
      </c>
    </row>
    <row r="10981" spans="1:2" x14ac:dyDescent="0.25">
      <c r="A10981">
        <v>30029091200</v>
      </c>
      <c r="B10981" t="s">
        <v>4688</v>
      </c>
    </row>
    <row r="10982" spans="1:2" x14ac:dyDescent="0.25">
      <c r="A10982">
        <v>30029091300</v>
      </c>
      <c r="B10982" t="s">
        <v>4689</v>
      </c>
    </row>
    <row r="10983" spans="1:2" x14ac:dyDescent="0.25">
      <c r="A10983">
        <v>30029091900</v>
      </c>
      <c r="B10983" t="s">
        <v>1760</v>
      </c>
    </row>
    <row r="10984" spans="1:2" x14ac:dyDescent="0.25">
      <c r="A10984">
        <v>30029092</v>
      </c>
      <c r="B10984" t="s">
        <v>4690</v>
      </c>
    </row>
    <row r="10985" spans="1:2" x14ac:dyDescent="0.25">
      <c r="A10985">
        <v>30029092100</v>
      </c>
      <c r="B10985" t="s">
        <v>4691</v>
      </c>
    </row>
    <row r="10986" spans="1:2" x14ac:dyDescent="0.25">
      <c r="A10986">
        <v>30029092200</v>
      </c>
      <c r="B10986" t="s">
        <v>4692</v>
      </c>
    </row>
    <row r="10987" spans="1:2" x14ac:dyDescent="0.25">
      <c r="A10987">
        <v>300290923</v>
      </c>
      <c r="B10987" t="s">
        <v>4693</v>
      </c>
    </row>
    <row r="10988" spans="1:2" x14ac:dyDescent="0.25">
      <c r="A10988">
        <v>30029092310</v>
      </c>
      <c r="B10988" t="s">
        <v>4694</v>
      </c>
    </row>
    <row r="10989" spans="1:2" x14ac:dyDescent="0.25">
      <c r="A10989">
        <v>30029092390</v>
      </c>
      <c r="B10989" t="s">
        <v>57</v>
      </c>
    </row>
    <row r="10990" spans="1:2" x14ac:dyDescent="0.25">
      <c r="A10990">
        <v>30029092400</v>
      </c>
      <c r="B10990" t="s">
        <v>4695</v>
      </c>
    </row>
    <row r="10991" spans="1:2" x14ac:dyDescent="0.25">
      <c r="A10991">
        <v>30029092900</v>
      </c>
      <c r="B10991" t="s">
        <v>10</v>
      </c>
    </row>
    <row r="10992" spans="1:2" x14ac:dyDescent="0.25">
      <c r="A10992">
        <v>30029093000</v>
      </c>
      <c r="B10992" t="s">
        <v>4696</v>
      </c>
    </row>
    <row r="10993" spans="1:2" x14ac:dyDescent="0.25">
      <c r="A10993">
        <v>30029094000</v>
      </c>
      <c r="B10993" t="s">
        <v>4697</v>
      </c>
    </row>
    <row r="10994" spans="1:2" x14ac:dyDescent="0.25">
      <c r="A10994">
        <v>30029099</v>
      </c>
      <c r="B10994" t="s">
        <v>10</v>
      </c>
    </row>
    <row r="10995" spans="1:2" x14ac:dyDescent="0.25">
      <c r="A10995">
        <v>300290991</v>
      </c>
      <c r="B10995" t="s">
        <v>4698</v>
      </c>
    </row>
    <row r="10996" spans="1:2" x14ac:dyDescent="0.25">
      <c r="A10996">
        <v>30029099110</v>
      </c>
      <c r="B10996" t="s">
        <v>4699</v>
      </c>
    </row>
    <row r="10997" spans="1:2" x14ac:dyDescent="0.25">
      <c r="A10997">
        <v>30029099120</v>
      </c>
      <c r="B10997" t="s">
        <v>4700</v>
      </c>
    </row>
    <row r="10998" spans="1:2" x14ac:dyDescent="0.25">
      <c r="A10998">
        <v>30029099130</v>
      </c>
      <c r="B10998" t="s">
        <v>4701</v>
      </c>
    </row>
    <row r="10999" spans="1:2" x14ac:dyDescent="0.25">
      <c r="A10999">
        <v>30029099140</v>
      </c>
      <c r="B10999" t="s">
        <v>4702</v>
      </c>
    </row>
    <row r="11000" spans="1:2" x14ac:dyDescent="0.25">
      <c r="A11000">
        <v>30029099150</v>
      </c>
      <c r="B11000" t="s">
        <v>4703</v>
      </c>
    </row>
    <row r="11001" spans="1:2" x14ac:dyDescent="0.25">
      <c r="A11001">
        <v>30029099160</v>
      </c>
      <c r="B11001" t="s">
        <v>4704</v>
      </c>
    </row>
    <row r="11002" spans="1:2" x14ac:dyDescent="0.25">
      <c r="A11002">
        <v>30029099170</v>
      </c>
      <c r="B11002" t="s">
        <v>699</v>
      </c>
    </row>
    <row r="11003" spans="1:2" x14ac:dyDescent="0.25">
      <c r="A11003">
        <v>30029099190</v>
      </c>
      <c r="B11003" t="s">
        <v>10</v>
      </c>
    </row>
    <row r="11004" spans="1:2" x14ac:dyDescent="0.25">
      <c r="A11004">
        <v>30029099200</v>
      </c>
      <c r="B11004" t="s">
        <v>4591</v>
      </c>
    </row>
    <row r="11005" spans="1:2" x14ac:dyDescent="0.25">
      <c r="A11005">
        <v>30029099900</v>
      </c>
      <c r="B11005" t="s">
        <v>10</v>
      </c>
    </row>
    <row r="11006" spans="1:2" x14ac:dyDescent="0.25">
      <c r="A11006">
        <v>3003</v>
      </c>
      <c r="B11006" t="s">
        <v>4705</v>
      </c>
    </row>
    <row r="11007" spans="1:2" x14ac:dyDescent="0.25">
      <c r="A11007">
        <v>300310</v>
      </c>
      <c r="B11007" t="e">
        <f>- que contengan Penicilinas o derivados de estos Productos Con la estructura del acido penicilanico. o Estreptomicinas o derivados de estos Productos</f>
        <v>#NAME?</v>
      </c>
    </row>
    <row r="11008" spans="1:2" x14ac:dyDescent="0.25">
      <c r="A11008">
        <v>3003101</v>
      </c>
      <c r="B11008" t="s">
        <v>4706</v>
      </c>
    </row>
    <row r="11009" spans="1:2" x14ac:dyDescent="0.25">
      <c r="A11009">
        <v>30031011000</v>
      </c>
      <c r="B11009" t="s">
        <v>4707</v>
      </c>
    </row>
    <row r="11010" spans="1:2" x14ac:dyDescent="0.25">
      <c r="A11010">
        <v>30031012000</v>
      </c>
      <c r="B11010" t="s">
        <v>4708</v>
      </c>
    </row>
    <row r="11011" spans="1:2" x14ac:dyDescent="0.25">
      <c r="A11011">
        <v>30031013000</v>
      </c>
      <c r="B11011" t="s">
        <v>4489</v>
      </c>
    </row>
    <row r="11012" spans="1:2" x14ac:dyDescent="0.25">
      <c r="A11012">
        <v>30031014000</v>
      </c>
      <c r="B11012" t="s">
        <v>4488</v>
      </c>
    </row>
    <row r="11013" spans="1:2" x14ac:dyDescent="0.25">
      <c r="A11013">
        <v>30031015000</v>
      </c>
      <c r="B11013" t="s">
        <v>4490</v>
      </c>
    </row>
    <row r="11014" spans="1:2" x14ac:dyDescent="0.25">
      <c r="A11014">
        <v>30031019000</v>
      </c>
      <c r="B11014" t="s">
        <v>10</v>
      </c>
    </row>
    <row r="11015" spans="1:2" x14ac:dyDescent="0.25">
      <c r="A11015">
        <v>30031020000</v>
      </c>
      <c r="B11015" t="s">
        <v>4709</v>
      </c>
    </row>
    <row r="11016" spans="1:2" x14ac:dyDescent="0.25">
      <c r="A11016">
        <v>300320</v>
      </c>
      <c r="B11016" t="e">
        <f>- Los demas. que contengan antibioticos</f>
        <v>#NAME?</v>
      </c>
    </row>
    <row r="11017" spans="1:2" x14ac:dyDescent="0.25">
      <c r="A11017">
        <v>3003201</v>
      </c>
      <c r="B11017" t="s">
        <v>4710</v>
      </c>
    </row>
    <row r="11018" spans="1:2" x14ac:dyDescent="0.25">
      <c r="A11018">
        <v>30032011</v>
      </c>
      <c r="B11018" t="s">
        <v>4711</v>
      </c>
    </row>
    <row r="11019" spans="1:2" x14ac:dyDescent="0.25">
      <c r="A11019">
        <v>30032011100</v>
      </c>
      <c r="B11019" t="s">
        <v>4712</v>
      </c>
    </row>
    <row r="11020" spans="1:2" x14ac:dyDescent="0.25">
      <c r="A11020">
        <v>30032011900</v>
      </c>
      <c r="B11020" t="s">
        <v>10</v>
      </c>
    </row>
    <row r="11021" spans="1:2" x14ac:dyDescent="0.25">
      <c r="A11021">
        <v>30032019000</v>
      </c>
      <c r="B11021" t="s">
        <v>10</v>
      </c>
    </row>
    <row r="11022" spans="1:2" x14ac:dyDescent="0.25">
      <c r="A11022">
        <v>3003202</v>
      </c>
      <c r="B11022" t="s">
        <v>4713</v>
      </c>
    </row>
    <row r="11023" spans="1:2" x14ac:dyDescent="0.25">
      <c r="A11023">
        <v>30032021000</v>
      </c>
      <c r="B11023" t="s">
        <v>4714</v>
      </c>
    </row>
    <row r="11024" spans="1:2" x14ac:dyDescent="0.25">
      <c r="A11024">
        <v>30032029</v>
      </c>
      <c r="B11024" t="s">
        <v>10</v>
      </c>
    </row>
    <row r="11025" spans="1:2" x14ac:dyDescent="0.25">
      <c r="A11025">
        <v>30032029100</v>
      </c>
      <c r="B11025" t="s">
        <v>4715</v>
      </c>
    </row>
    <row r="11026" spans="1:2" x14ac:dyDescent="0.25">
      <c r="A11026">
        <v>30032029200</v>
      </c>
      <c r="B11026" t="s">
        <v>4716</v>
      </c>
    </row>
    <row r="11027" spans="1:2" x14ac:dyDescent="0.25">
      <c r="A11027">
        <v>30032029900</v>
      </c>
      <c r="B11027" t="s">
        <v>10</v>
      </c>
    </row>
    <row r="11028" spans="1:2" x14ac:dyDescent="0.25">
      <c r="A11028">
        <v>3003203</v>
      </c>
      <c r="B11028" t="s">
        <v>4717</v>
      </c>
    </row>
    <row r="11029" spans="1:2" x14ac:dyDescent="0.25">
      <c r="A11029">
        <v>30032031000</v>
      </c>
      <c r="B11029" t="s">
        <v>4511</v>
      </c>
    </row>
    <row r="11030" spans="1:2" x14ac:dyDescent="0.25">
      <c r="A11030">
        <v>30032032000</v>
      </c>
      <c r="B11030" t="s">
        <v>4718</v>
      </c>
    </row>
    <row r="11031" spans="1:2" x14ac:dyDescent="0.25">
      <c r="A11031">
        <v>30032039000</v>
      </c>
      <c r="B11031" t="s">
        <v>10</v>
      </c>
    </row>
    <row r="11032" spans="1:2" x14ac:dyDescent="0.25">
      <c r="A11032">
        <v>3003204</v>
      </c>
      <c r="B11032" t="s">
        <v>4719</v>
      </c>
    </row>
    <row r="11033" spans="1:2" x14ac:dyDescent="0.25">
      <c r="A11033">
        <v>30032041000</v>
      </c>
      <c r="B11033" t="s">
        <v>4513</v>
      </c>
    </row>
    <row r="11034" spans="1:2" x14ac:dyDescent="0.25">
      <c r="A11034">
        <v>30032049000</v>
      </c>
      <c r="B11034" t="s">
        <v>10</v>
      </c>
    </row>
    <row r="11035" spans="1:2" x14ac:dyDescent="0.25">
      <c r="A11035">
        <v>3003205</v>
      </c>
      <c r="B11035" t="s">
        <v>4720</v>
      </c>
    </row>
    <row r="11036" spans="1:2" x14ac:dyDescent="0.25">
      <c r="A11036">
        <v>30032051000</v>
      </c>
      <c r="B11036" t="s">
        <v>4523</v>
      </c>
    </row>
    <row r="11037" spans="1:2" x14ac:dyDescent="0.25">
      <c r="A11037">
        <v>30032052</v>
      </c>
      <c r="B11037" t="s">
        <v>4721</v>
      </c>
    </row>
    <row r="11038" spans="1:2" x14ac:dyDescent="0.25">
      <c r="A11038">
        <v>30032052100</v>
      </c>
      <c r="B11038" t="s">
        <v>4521</v>
      </c>
    </row>
    <row r="11039" spans="1:2" x14ac:dyDescent="0.25">
      <c r="A11039">
        <v>30032052200</v>
      </c>
      <c r="B11039" t="s">
        <v>4722</v>
      </c>
    </row>
    <row r="11040" spans="1:2" x14ac:dyDescent="0.25">
      <c r="A11040">
        <v>30032059</v>
      </c>
      <c r="B11040" t="s">
        <v>10</v>
      </c>
    </row>
    <row r="11041" spans="1:2" x14ac:dyDescent="0.25">
      <c r="A11041">
        <v>30032059100</v>
      </c>
      <c r="B11041" t="s">
        <v>4723</v>
      </c>
    </row>
    <row r="11042" spans="1:2" x14ac:dyDescent="0.25">
      <c r="A11042">
        <v>30032059200</v>
      </c>
      <c r="B11042" t="s">
        <v>4724</v>
      </c>
    </row>
    <row r="11043" spans="1:2" x14ac:dyDescent="0.25">
      <c r="A11043">
        <v>30032059900</v>
      </c>
      <c r="B11043" t="s">
        <v>10</v>
      </c>
    </row>
    <row r="11044" spans="1:2" x14ac:dyDescent="0.25">
      <c r="A11044">
        <v>3003206</v>
      </c>
      <c r="B11044" t="s">
        <v>4725</v>
      </c>
    </row>
    <row r="11045" spans="1:2" x14ac:dyDescent="0.25">
      <c r="A11045">
        <v>30032061000</v>
      </c>
      <c r="B11045" t="s">
        <v>4534</v>
      </c>
    </row>
    <row r="11046" spans="1:2" x14ac:dyDescent="0.25">
      <c r="A11046">
        <v>30032062000</v>
      </c>
      <c r="B11046" t="s">
        <v>4726</v>
      </c>
    </row>
    <row r="11047" spans="1:2" x14ac:dyDescent="0.25">
      <c r="A11047">
        <v>30032063000</v>
      </c>
      <c r="B11047" t="s">
        <v>4727</v>
      </c>
    </row>
    <row r="11048" spans="1:2" x14ac:dyDescent="0.25">
      <c r="A11048">
        <v>30032069000</v>
      </c>
      <c r="B11048" t="s">
        <v>10</v>
      </c>
    </row>
    <row r="11049" spans="1:2" x14ac:dyDescent="0.25">
      <c r="A11049">
        <v>3003207</v>
      </c>
      <c r="B11049" t="s">
        <v>4728</v>
      </c>
    </row>
    <row r="11050" spans="1:2" x14ac:dyDescent="0.25">
      <c r="A11050">
        <v>30032071000</v>
      </c>
      <c r="B11050" t="s">
        <v>4729</v>
      </c>
    </row>
    <row r="11051" spans="1:2" x14ac:dyDescent="0.25">
      <c r="A11051">
        <v>30032072000</v>
      </c>
      <c r="B11051" t="s">
        <v>4730</v>
      </c>
    </row>
    <row r="11052" spans="1:2" x14ac:dyDescent="0.25">
      <c r="A11052">
        <v>30032073000</v>
      </c>
      <c r="B11052" t="s">
        <v>4731</v>
      </c>
    </row>
    <row r="11053" spans="1:2" x14ac:dyDescent="0.25">
      <c r="A11053">
        <v>30032079000</v>
      </c>
      <c r="B11053" t="s">
        <v>10</v>
      </c>
    </row>
    <row r="11054" spans="1:2" x14ac:dyDescent="0.25">
      <c r="A11054">
        <v>3003209</v>
      </c>
      <c r="B11054" t="s">
        <v>10</v>
      </c>
    </row>
    <row r="11055" spans="1:2" x14ac:dyDescent="0.25">
      <c r="A11055">
        <v>30032091000</v>
      </c>
      <c r="B11055" t="s">
        <v>4732</v>
      </c>
    </row>
    <row r="11056" spans="1:2" x14ac:dyDescent="0.25">
      <c r="A11056">
        <v>30032092000</v>
      </c>
      <c r="B11056" t="s">
        <v>4553</v>
      </c>
    </row>
    <row r="11057" spans="1:2" x14ac:dyDescent="0.25">
      <c r="A11057">
        <v>30032093000</v>
      </c>
      <c r="B11057" t="s">
        <v>4733</v>
      </c>
    </row>
    <row r="11058" spans="1:2" x14ac:dyDescent="0.25">
      <c r="A11058">
        <v>30032094000</v>
      </c>
      <c r="B11058" t="s">
        <v>4734</v>
      </c>
    </row>
    <row r="11059" spans="1:2" x14ac:dyDescent="0.25">
      <c r="A11059">
        <v>30032095000</v>
      </c>
      <c r="B11059" t="s">
        <v>4735</v>
      </c>
    </row>
    <row r="11060" spans="1:2" x14ac:dyDescent="0.25">
      <c r="A11060">
        <v>30032099000</v>
      </c>
      <c r="B11060" t="s">
        <v>10</v>
      </c>
    </row>
    <row r="11061" spans="1:2" x14ac:dyDescent="0.25">
      <c r="A11061">
        <v>30033</v>
      </c>
      <c r="B11061" t="s">
        <v>4736</v>
      </c>
    </row>
    <row r="11062" spans="1:2" x14ac:dyDescent="0.25">
      <c r="A11062">
        <v>30033100000</v>
      </c>
      <c r="B11062" t="e">
        <f>--que contengan Insulina</f>
        <v>#NAME?</v>
      </c>
    </row>
    <row r="11063" spans="1:2" x14ac:dyDescent="0.25">
      <c r="A11063">
        <v>300339</v>
      </c>
      <c r="B11063" t="e">
        <f>- - Los demas</f>
        <v>#NAME?</v>
      </c>
    </row>
    <row r="11064" spans="1:2" x14ac:dyDescent="0.25">
      <c r="A11064">
        <v>3003391</v>
      </c>
      <c r="B11064" t="s">
        <v>4737</v>
      </c>
    </row>
    <row r="11065" spans="1:2" x14ac:dyDescent="0.25">
      <c r="A11065">
        <v>30033911000</v>
      </c>
      <c r="B11065" t="s">
        <v>4738</v>
      </c>
    </row>
    <row r="11066" spans="1:2" x14ac:dyDescent="0.25">
      <c r="A11066">
        <v>30033912000</v>
      </c>
      <c r="B11066" t="s">
        <v>4739</v>
      </c>
    </row>
    <row r="11067" spans="1:2" x14ac:dyDescent="0.25">
      <c r="A11067">
        <v>30033913000</v>
      </c>
      <c r="B11067" t="s">
        <v>4337</v>
      </c>
    </row>
    <row r="11068" spans="1:2" x14ac:dyDescent="0.25">
      <c r="A11068">
        <v>30033914000</v>
      </c>
      <c r="B11068" t="s">
        <v>4740</v>
      </c>
    </row>
    <row r="11069" spans="1:2" x14ac:dyDescent="0.25">
      <c r="A11069">
        <v>30033915000</v>
      </c>
      <c r="B11069" t="s">
        <v>4741</v>
      </c>
    </row>
    <row r="11070" spans="1:2" x14ac:dyDescent="0.25">
      <c r="A11070">
        <v>30033916000</v>
      </c>
      <c r="B11070" t="s">
        <v>4742</v>
      </c>
    </row>
    <row r="11071" spans="1:2" x14ac:dyDescent="0.25">
      <c r="A11071">
        <v>30033917000</v>
      </c>
      <c r="B11071" t="s">
        <v>4743</v>
      </c>
    </row>
    <row r="11072" spans="1:2" x14ac:dyDescent="0.25">
      <c r="A11072">
        <v>30033918000</v>
      </c>
      <c r="B11072" t="s">
        <v>4744</v>
      </c>
    </row>
    <row r="11073" spans="1:2" x14ac:dyDescent="0.25">
      <c r="A11073">
        <v>30033919000</v>
      </c>
      <c r="B11073" t="s">
        <v>4745</v>
      </c>
    </row>
    <row r="11074" spans="1:2" x14ac:dyDescent="0.25">
      <c r="A11074">
        <v>3003392</v>
      </c>
      <c r="B11074" t="s">
        <v>4746</v>
      </c>
    </row>
    <row r="11075" spans="1:2" x14ac:dyDescent="0.25">
      <c r="A11075">
        <v>30033921000</v>
      </c>
      <c r="B11075" t="s">
        <v>4747</v>
      </c>
    </row>
    <row r="11076" spans="1:2" x14ac:dyDescent="0.25">
      <c r="A11076">
        <v>30033922000</v>
      </c>
      <c r="B11076" t="s">
        <v>4338</v>
      </c>
    </row>
    <row r="11077" spans="1:2" x14ac:dyDescent="0.25">
      <c r="A11077">
        <v>30033923000</v>
      </c>
      <c r="B11077" t="s">
        <v>4748</v>
      </c>
    </row>
    <row r="11078" spans="1:2" x14ac:dyDescent="0.25">
      <c r="A11078">
        <v>30033924000</v>
      </c>
      <c r="B11078" t="s">
        <v>4749</v>
      </c>
    </row>
    <row r="11079" spans="1:2" x14ac:dyDescent="0.25">
      <c r="A11079">
        <v>30033925000</v>
      </c>
      <c r="B11079" t="s">
        <v>4750</v>
      </c>
    </row>
    <row r="11080" spans="1:2" x14ac:dyDescent="0.25">
      <c r="A11080">
        <v>30033926000</v>
      </c>
      <c r="B11080" t="s">
        <v>4751</v>
      </c>
    </row>
    <row r="11081" spans="1:2" x14ac:dyDescent="0.25">
      <c r="A11081">
        <v>30033927000</v>
      </c>
      <c r="B11081" t="s">
        <v>4752</v>
      </c>
    </row>
    <row r="11082" spans="1:2" x14ac:dyDescent="0.25">
      <c r="A11082">
        <v>30033929000</v>
      </c>
      <c r="B11082" t="s">
        <v>10</v>
      </c>
    </row>
    <row r="11083" spans="1:2" x14ac:dyDescent="0.25">
      <c r="A11083">
        <v>3003393</v>
      </c>
      <c r="B11083" t="s">
        <v>4753</v>
      </c>
    </row>
    <row r="11084" spans="1:2" x14ac:dyDescent="0.25">
      <c r="A11084">
        <v>30033931000</v>
      </c>
      <c r="B11084" t="s">
        <v>4358</v>
      </c>
    </row>
    <row r="11085" spans="1:2" x14ac:dyDescent="0.25">
      <c r="A11085">
        <v>30033932000</v>
      </c>
      <c r="B11085" t="s">
        <v>4754</v>
      </c>
    </row>
    <row r="11086" spans="1:2" x14ac:dyDescent="0.25">
      <c r="A11086">
        <v>30033933000</v>
      </c>
      <c r="B11086" t="s">
        <v>4755</v>
      </c>
    </row>
    <row r="11087" spans="1:2" x14ac:dyDescent="0.25">
      <c r="A11087">
        <v>30033934000</v>
      </c>
      <c r="B11087" t="s">
        <v>4361</v>
      </c>
    </row>
    <row r="11088" spans="1:2" x14ac:dyDescent="0.25">
      <c r="A11088">
        <v>30033935000</v>
      </c>
      <c r="B11088" t="s">
        <v>4363</v>
      </c>
    </row>
    <row r="11089" spans="1:2" x14ac:dyDescent="0.25">
      <c r="A11089">
        <v>30033936</v>
      </c>
      <c r="B11089" t="s">
        <v>4756</v>
      </c>
    </row>
    <row r="11090" spans="1:2" x14ac:dyDescent="0.25">
      <c r="A11090">
        <v>30033936100</v>
      </c>
      <c r="B11090" t="s">
        <v>4757</v>
      </c>
    </row>
    <row r="11091" spans="1:2" x14ac:dyDescent="0.25">
      <c r="A11091">
        <v>30033936200</v>
      </c>
      <c r="B11091" t="s">
        <v>4758</v>
      </c>
    </row>
    <row r="11092" spans="1:2" x14ac:dyDescent="0.25">
      <c r="A11092">
        <v>30033936300</v>
      </c>
      <c r="B11092" t="s">
        <v>4759</v>
      </c>
    </row>
    <row r="11093" spans="1:2" x14ac:dyDescent="0.25">
      <c r="A11093">
        <v>30033937000</v>
      </c>
      <c r="B11093" t="s">
        <v>4362</v>
      </c>
    </row>
    <row r="11094" spans="1:2" x14ac:dyDescent="0.25">
      <c r="A11094">
        <v>30033939000</v>
      </c>
      <c r="B11094" t="s">
        <v>10</v>
      </c>
    </row>
    <row r="11095" spans="1:2" x14ac:dyDescent="0.25">
      <c r="A11095">
        <v>3003398</v>
      </c>
      <c r="B11095" t="s">
        <v>4760</v>
      </c>
    </row>
    <row r="11096" spans="1:2" x14ac:dyDescent="0.25">
      <c r="A11096">
        <v>30033981000</v>
      </c>
      <c r="B11096" t="s">
        <v>4377</v>
      </c>
    </row>
    <row r="11097" spans="1:2" x14ac:dyDescent="0.25">
      <c r="A11097">
        <v>30033982000</v>
      </c>
      <c r="B11097" t="s">
        <v>4378</v>
      </c>
    </row>
    <row r="11098" spans="1:2" x14ac:dyDescent="0.25">
      <c r="A11098">
        <v>3003399</v>
      </c>
      <c r="B11098" t="s">
        <v>10</v>
      </c>
    </row>
    <row r="11099" spans="1:2" x14ac:dyDescent="0.25">
      <c r="A11099">
        <v>30033991000</v>
      </c>
      <c r="B11099" t="s">
        <v>4761</v>
      </c>
    </row>
    <row r="11100" spans="1:2" x14ac:dyDescent="0.25">
      <c r="A11100">
        <v>30033992000</v>
      </c>
      <c r="B11100" t="s">
        <v>4762</v>
      </c>
    </row>
    <row r="11101" spans="1:2" x14ac:dyDescent="0.25">
      <c r="A11101">
        <v>30033994000</v>
      </c>
      <c r="B11101" t="s">
        <v>4373</v>
      </c>
    </row>
    <row r="11102" spans="1:2" x14ac:dyDescent="0.25">
      <c r="A11102">
        <v>30033995000</v>
      </c>
      <c r="B11102" t="s">
        <v>4763</v>
      </c>
    </row>
    <row r="11103" spans="1:2" x14ac:dyDescent="0.25">
      <c r="A11103">
        <v>30033999000</v>
      </c>
      <c r="B11103" t="s">
        <v>10</v>
      </c>
    </row>
    <row r="11104" spans="1:2" x14ac:dyDescent="0.25">
      <c r="A11104">
        <v>30034</v>
      </c>
      <c r="B11104" t="s">
        <v>4764</v>
      </c>
    </row>
    <row r="11105" spans="1:2" x14ac:dyDescent="0.25">
      <c r="A11105">
        <v>30034100000</v>
      </c>
      <c r="B11105" t="e">
        <f>--que contengan Efedrina o sus sales</f>
        <v>#NAME?</v>
      </c>
    </row>
    <row r="11106" spans="1:2" x14ac:dyDescent="0.25">
      <c r="A11106">
        <v>30034200000</v>
      </c>
      <c r="B11106" t="e">
        <f>--que contengan Seudoefedrina (DCI) o sus sales</f>
        <v>#NAME?</v>
      </c>
    </row>
    <row r="11107" spans="1:2" x14ac:dyDescent="0.25">
      <c r="A11107">
        <v>30034300000</v>
      </c>
      <c r="B11107" t="e">
        <f>--que contengan Norefedrina o sus sales</f>
        <v>#NAME?</v>
      </c>
    </row>
    <row r="11108" spans="1:2" x14ac:dyDescent="0.25">
      <c r="A11108">
        <v>300349</v>
      </c>
      <c r="B11108" t="e">
        <f>- - Los demas.</f>
        <v>#NAME?</v>
      </c>
    </row>
    <row r="11109" spans="1:2" x14ac:dyDescent="0.25">
      <c r="A11109">
        <v>30034910000</v>
      </c>
      <c r="B11109" t="s">
        <v>4765</v>
      </c>
    </row>
    <row r="11110" spans="1:2" x14ac:dyDescent="0.25">
      <c r="A11110">
        <v>30034920000</v>
      </c>
      <c r="B11110" t="s">
        <v>4766</v>
      </c>
    </row>
    <row r="11111" spans="1:2" x14ac:dyDescent="0.25">
      <c r="A11111">
        <v>30034930000</v>
      </c>
      <c r="B11111" t="s">
        <v>4431</v>
      </c>
    </row>
    <row r="11112" spans="1:2" x14ac:dyDescent="0.25">
      <c r="A11112">
        <v>30034940000</v>
      </c>
      <c r="B11112" t="s">
        <v>4767</v>
      </c>
    </row>
    <row r="11113" spans="1:2" x14ac:dyDescent="0.25">
      <c r="A11113">
        <v>30034950000</v>
      </c>
      <c r="B11113" t="s">
        <v>4768</v>
      </c>
    </row>
    <row r="11114" spans="1:2" x14ac:dyDescent="0.25">
      <c r="A11114">
        <v>30034990</v>
      </c>
      <c r="B11114" t="s">
        <v>10</v>
      </c>
    </row>
    <row r="11115" spans="1:2" x14ac:dyDescent="0.25">
      <c r="A11115">
        <v>300349901</v>
      </c>
      <c r="B11115" t="s">
        <v>4769</v>
      </c>
    </row>
    <row r="11116" spans="1:2" x14ac:dyDescent="0.25">
      <c r="A11116">
        <v>3003499011</v>
      </c>
      <c r="B11116" t="s">
        <v>4770</v>
      </c>
    </row>
    <row r="11117" spans="1:2" x14ac:dyDescent="0.25">
      <c r="A11117">
        <v>30034990111</v>
      </c>
      <c r="B11117" t="s">
        <v>4771</v>
      </c>
    </row>
    <row r="11118" spans="1:2" x14ac:dyDescent="0.25">
      <c r="A11118">
        <v>30034990112</v>
      </c>
      <c r="B11118" t="s">
        <v>4772</v>
      </c>
    </row>
    <row r="11119" spans="1:2" x14ac:dyDescent="0.25">
      <c r="A11119">
        <v>30034990113</v>
      </c>
      <c r="B11119" t="s">
        <v>4773</v>
      </c>
    </row>
    <row r="11120" spans="1:2" x14ac:dyDescent="0.25">
      <c r="A11120">
        <v>30034990114</v>
      </c>
      <c r="B11120" t="s">
        <v>4774</v>
      </c>
    </row>
    <row r="11121" spans="1:2" x14ac:dyDescent="0.25">
      <c r="A11121">
        <v>30034990115</v>
      </c>
      <c r="B11121" t="s">
        <v>4775</v>
      </c>
    </row>
    <row r="11122" spans="1:2" x14ac:dyDescent="0.25">
      <c r="A11122">
        <v>30034990116</v>
      </c>
      <c r="B11122" t="s">
        <v>4776</v>
      </c>
    </row>
    <row r="11123" spans="1:2" x14ac:dyDescent="0.25">
      <c r="A11123">
        <v>30034990117</v>
      </c>
      <c r="B11123" t="s">
        <v>4777</v>
      </c>
    </row>
    <row r="11124" spans="1:2" x14ac:dyDescent="0.25">
      <c r="A11124">
        <v>30034990118</v>
      </c>
      <c r="B11124" t="s">
        <v>4778</v>
      </c>
    </row>
    <row r="11125" spans="1:2" x14ac:dyDescent="0.25">
      <c r="A11125">
        <v>30034990119</v>
      </c>
      <c r="B11125" t="s">
        <v>4779</v>
      </c>
    </row>
    <row r="11126" spans="1:2" x14ac:dyDescent="0.25">
      <c r="A11126">
        <v>30034990190</v>
      </c>
      <c r="B11126" t="s">
        <v>10</v>
      </c>
    </row>
    <row r="11127" spans="1:2" x14ac:dyDescent="0.25">
      <c r="A11127">
        <v>300349902</v>
      </c>
      <c r="B11127" t="s">
        <v>4780</v>
      </c>
    </row>
    <row r="11128" spans="1:2" x14ac:dyDescent="0.25">
      <c r="A11128">
        <v>30034990210</v>
      </c>
      <c r="B11128" t="s">
        <v>4781</v>
      </c>
    </row>
    <row r="11129" spans="1:2" x14ac:dyDescent="0.25">
      <c r="A11129">
        <v>30034990220</v>
      </c>
      <c r="B11129" t="s">
        <v>4782</v>
      </c>
    </row>
    <row r="11130" spans="1:2" x14ac:dyDescent="0.25">
      <c r="A11130">
        <v>30034990230</v>
      </c>
      <c r="B11130" t="s">
        <v>4783</v>
      </c>
    </row>
    <row r="11131" spans="1:2" x14ac:dyDescent="0.25">
      <c r="A11131">
        <v>30034990240</v>
      </c>
      <c r="B11131" t="s">
        <v>4784</v>
      </c>
    </row>
    <row r="11132" spans="1:2" x14ac:dyDescent="0.25">
      <c r="A11132">
        <v>30034990290</v>
      </c>
      <c r="B11132" t="s">
        <v>10</v>
      </c>
    </row>
    <row r="11133" spans="1:2" x14ac:dyDescent="0.25">
      <c r="A11133">
        <v>300349903</v>
      </c>
      <c r="B11133" t="s">
        <v>4785</v>
      </c>
    </row>
    <row r="11134" spans="1:2" x14ac:dyDescent="0.25">
      <c r="A11134">
        <v>30034990310</v>
      </c>
      <c r="B11134" t="s">
        <v>4786</v>
      </c>
    </row>
    <row r="11135" spans="1:2" x14ac:dyDescent="0.25">
      <c r="A11135">
        <v>30034990320</v>
      </c>
      <c r="B11135" t="s">
        <v>4787</v>
      </c>
    </row>
    <row r="11136" spans="1:2" x14ac:dyDescent="0.25">
      <c r="A11136">
        <v>30034990330</v>
      </c>
      <c r="B11136" t="s">
        <v>4788</v>
      </c>
    </row>
    <row r="11137" spans="1:2" x14ac:dyDescent="0.25">
      <c r="A11137">
        <v>30034990340</v>
      </c>
      <c r="B11137" t="s">
        <v>4789</v>
      </c>
    </row>
    <row r="11138" spans="1:2" x14ac:dyDescent="0.25">
      <c r="A11138">
        <v>30034990350</v>
      </c>
      <c r="B11138" t="s">
        <v>4790</v>
      </c>
    </row>
    <row r="11139" spans="1:2" x14ac:dyDescent="0.25">
      <c r="A11139">
        <v>30034990390</v>
      </c>
      <c r="B11139" t="s">
        <v>10</v>
      </c>
    </row>
    <row r="11140" spans="1:2" x14ac:dyDescent="0.25">
      <c r="A11140">
        <v>300349904</v>
      </c>
      <c r="B11140" t="s">
        <v>4791</v>
      </c>
    </row>
    <row r="11141" spans="1:2" x14ac:dyDescent="0.25">
      <c r="A11141">
        <v>3003499041</v>
      </c>
      <c r="B11141" t="s">
        <v>4792</v>
      </c>
    </row>
    <row r="11142" spans="1:2" x14ac:dyDescent="0.25">
      <c r="A11142">
        <v>30034990411</v>
      </c>
      <c r="B11142" t="s">
        <v>4793</v>
      </c>
    </row>
    <row r="11143" spans="1:2" x14ac:dyDescent="0.25">
      <c r="A11143">
        <v>30034990412</v>
      </c>
      <c r="B11143" t="s">
        <v>4794</v>
      </c>
    </row>
    <row r="11144" spans="1:2" x14ac:dyDescent="0.25">
      <c r="A11144">
        <v>30034990413</v>
      </c>
      <c r="B11144" t="s">
        <v>4795</v>
      </c>
    </row>
    <row r="11145" spans="1:2" x14ac:dyDescent="0.25">
      <c r="A11145">
        <v>30034990414</v>
      </c>
      <c r="B11145" t="s">
        <v>4796</v>
      </c>
    </row>
    <row r="11146" spans="1:2" x14ac:dyDescent="0.25">
      <c r="A11146">
        <v>30034990415</v>
      </c>
      <c r="B11146" t="s">
        <v>4797</v>
      </c>
    </row>
    <row r="11147" spans="1:2" x14ac:dyDescent="0.25">
      <c r="A11147">
        <v>30034990416</v>
      </c>
      <c r="B11147" t="s">
        <v>4798</v>
      </c>
    </row>
    <row r="11148" spans="1:2" x14ac:dyDescent="0.25">
      <c r="A11148">
        <v>30034990417</v>
      </c>
      <c r="B11148" t="s">
        <v>4799</v>
      </c>
    </row>
    <row r="11149" spans="1:2" x14ac:dyDescent="0.25">
      <c r="A11149">
        <v>30034990418</v>
      </c>
      <c r="B11149" t="s">
        <v>4800</v>
      </c>
    </row>
    <row r="11150" spans="1:2" x14ac:dyDescent="0.25">
      <c r="A11150">
        <v>30034990419</v>
      </c>
      <c r="B11150" t="s">
        <v>4801</v>
      </c>
    </row>
    <row r="11151" spans="1:2" x14ac:dyDescent="0.25">
      <c r="A11151">
        <v>3003499042</v>
      </c>
      <c r="B11151" t="s">
        <v>4802</v>
      </c>
    </row>
    <row r="11152" spans="1:2" x14ac:dyDescent="0.25">
      <c r="A11152">
        <v>30034990421</v>
      </c>
      <c r="B11152" t="s">
        <v>4803</v>
      </c>
    </row>
    <row r="11153" spans="1:2" x14ac:dyDescent="0.25">
      <c r="A11153">
        <v>30034990422</v>
      </c>
      <c r="B11153" t="s">
        <v>4804</v>
      </c>
    </row>
    <row r="11154" spans="1:2" x14ac:dyDescent="0.25">
      <c r="A11154">
        <v>30034990423</v>
      </c>
      <c r="B11154" t="s">
        <v>4805</v>
      </c>
    </row>
    <row r="11155" spans="1:2" x14ac:dyDescent="0.25">
      <c r="A11155">
        <v>30034990424</v>
      </c>
      <c r="B11155" t="s">
        <v>4806</v>
      </c>
    </row>
    <row r="11156" spans="1:2" x14ac:dyDescent="0.25">
      <c r="A11156">
        <v>30034990425</v>
      </c>
      <c r="B11156" t="s">
        <v>4401</v>
      </c>
    </row>
    <row r="11157" spans="1:2" x14ac:dyDescent="0.25">
      <c r="A11157">
        <v>30034990426</v>
      </c>
      <c r="B11157" t="s">
        <v>4807</v>
      </c>
    </row>
    <row r="11158" spans="1:2" x14ac:dyDescent="0.25">
      <c r="A11158">
        <v>30034990427</v>
      </c>
      <c r="B11158" t="s">
        <v>4808</v>
      </c>
    </row>
    <row r="11159" spans="1:2" x14ac:dyDescent="0.25">
      <c r="A11159">
        <v>30034990428</v>
      </c>
      <c r="B11159" t="s">
        <v>4809</v>
      </c>
    </row>
    <row r="11160" spans="1:2" x14ac:dyDescent="0.25">
      <c r="A11160">
        <v>3003499043</v>
      </c>
      <c r="B11160" t="s">
        <v>4810</v>
      </c>
    </row>
    <row r="11161" spans="1:2" x14ac:dyDescent="0.25">
      <c r="A11161">
        <v>30034990431</v>
      </c>
      <c r="B11161" t="s">
        <v>4811</v>
      </c>
    </row>
    <row r="11162" spans="1:2" x14ac:dyDescent="0.25">
      <c r="A11162">
        <v>30034990432</v>
      </c>
      <c r="B11162" t="s">
        <v>4812</v>
      </c>
    </row>
    <row r="11163" spans="1:2" x14ac:dyDescent="0.25">
      <c r="A11163">
        <v>30034990433</v>
      </c>
      <c r="B11163" t="s">
        <v>4813</v>
      </c>
    </row>
    <row r="11164" spans="1:2" x14ac:dyDescent="0.25">
      <c r="A11164">
        <v>30034990434</v>
      </c>
      <c r="B11164" t="s">
        <v>4814</v>
      </c>
    </row>
    <row r="11165" spans="1:2" x14ac:dyDescent="0.25">
      <c r="A11165">
        <v>30034990435</v>
      </c>
      <c r="B11165" t="s">
        <v>4815</v>
      </c>
    </row>
    <row r="11166" spans="1:2" x14ac:dyDescent="0.25">
      <c r="A11166">
        <v>30034990436</v>
      </c>
      <c r="B11166" t="s">
        <v>4816</v>
      </c>
    </row>
    <row r="11167" spans="1:2" x14ac:dyDescent="0.25">
      <c r="A11167">
        <v>30034990437</v>
      </c>
      <c r="B11167" t="s">
        <v>4817</v>
      </c>
    </row>
    <row r="11168" spans="1:2" x14ac:dyDescent="0.25">
      <c r="A11168">
        <v>30034990438</v>
      </c>
      <c r="B11168" t="s">
        <v>4818</v>
      </c>
    </row>
    <row r="11169" spans="1:2" x14ac:dyDescent="0.25">
      <c r="A11169">
        <v>3003499044</v>
      </c>
      <c r="B11169" t="s">
        <v>4819</v>
      </c>
    </row>
    <row r="11170" spans="1:2" x14ac:dyDescent="0.25">
      <c r="A11170">
        <v>30034990441</v>
      </c>
      <c r="B11170" t="s">
        <v>4820</v>
      </c>
    </row>
    <row r="11171" spans="1:2" x14ac:dyDescent="0.25">
      <c r="A11171">
        <v>30034990442</v>
      </c>
      <c r="B11171" t="s">
        <v>4821</v>
      </c>
    </row>
    <row r="11172" spans="1:2" x14ac:dyDescent="0.25">
      <c r="A11172">
        <v>30034990444</v>
      </c>
      <c r="B11172" t="s">
        <v>4822</v>
      </c>
    </row>
    <row r="11173" spans="1:2" x14ac:dyDescent="0.25">
      <c r="A11173">
        <v>30034990445</v>
      </c>
      <c r="B11173" t="s">
        <v>4823</v>
      </c>
    </row>
    <row r="11174" spans="1:2" x14ac:dyDescent="0.25">
      <c r="A11174">
        <v>30034990446</v>
      </c>
      <c r="B11174" t="s">
        <v>4824</v>
      </c>
    </row>
    <row r="11175" spans="1:2" x14ac:dyDescent="0.25">
      <c r="A11175">
        <v>30034990447</v>
      </c>
      <c r="B11175" t="s">
        <v>4825</v>
      </c>
    </row>
    <row r="11176" spans="1:2" x14ac:dyDescent="0.25">
      <c r="A11176">
        <v>30034990448</v>
      </c>
      <c r="B11176" t="s">
        <v>4826</v>
      </c>
    </row>
    <row r="11177" spans="1:2" x14ac:dyDescent="0.25">
      <c r="A11177">
        <v>30034990449</v>
      </c>
      <c r="B11177" t="s">
        <v>4827</v>
      </c>
    </row>
    <row r="11178" spans="1:2" x14ac:dyDescent="0.25">
      <c r="A11178">
        <v>3003499045</v>
      </c>
      <c r="B11178" t="s">
        <v>4828</v>
      </c>
    </row>
    <row r="11179" spans="1:2" x14ac:dyDescent="0.25">
      <c r="A11179">
        <v>30034990451</v>
      </c>
      <c r="B11179" t="s">
        <v>4829</v>
      </c>
    </row>
    <row r="11180" spans="1:2" x14ac:dyDescent="0.25">
      <c r="A11180">
        <v>30034990452</v>
      </c>
      <c r="B11180" t="s">
        <v>4830</v>
      </c>
    </row>
    <row r="11181" spans="1:2" x14ac:dyDescent="0.25">
      <c r="A11181">
        <v>30034990490</v>
      </c>
      <c r="B11181" t="s">
        <v>10</v>
      </c>
    </row>
    <row r="11182" spans="1:2" x14ac:dyDescent="0.25">
      <c r="A11182">
        <v>30034990500</v>
      </c>
      <c r="B11182" t="s">
        <v>4831</v>
      </c>
    </row>
    <row r="11183" spans="1:2" x14ac:dyDescent="0.25">
      <c r="A11183">
        <v>30034990600</v>
      </c>
      <c r="B11183" t="s">
        <v>4832</v>
      </c>
    </row>
    <row r="11184" spans="1:2" x14ac:dyDescent="0.25">
      <c r="A11184">
        <v>30034990700</v>
      </c>
      <c r="B11184" t="s">
        <v>4833</v>
      </c>
    </row>
    <row r="11185" spans="1:2" x14ac:dyDescent="0.25">
      <c r="A11185">
        <v>30034990900</v>
      </c>
      <c r="B11185" t="s">
        <v>10</v>
      </c>
    </row>
    <row r="11186" spans="1:2" x14ac:dyDescent="0.25">
      <c r="A11186">
        <v>30036000000</v>
      </c>
      <c r="B11186" t="s">
        <v>4834</v>
      </c>
    </row>
    <row r="11187" spans="1:2" x14ac:dyDescent="0.25">
      <c r="A11187">
        <v>300390</v>
      </c>
      <c r="B11187" t="e">
        <f>- Los demas</f>
        <v>#NAME?</v>
      </c>
    </row>
    <row r="11188" spans="1:2" x14ac:dyDescent="0.25">
      <c r="A11188">
        <v>3003901</v>
      </c>
      <c r="B11188" t="s">
        <v>4835</v>
      </c>
    </row>
    <row r="11189" spans="1:2" x14ac:dyDescent="0.25">
      <c r="A11189">
        <v>30039011000</v>
      </c>
      <c r="B11189" t="s">
        <v>4836</v>
      </c>
    </row>
    <row r="11190" spans="1:2" x14ac:dyDescent="0.25">
      <c r="A11190">
        <v>30039012000</v>
      </c>
      <c r="B11190" t="s">
        <v>4328</v>
      </c>
    </row>
    <row r="11191" spans="1:2" x14ac:dyDescent="0.25">
      <c r="A11191">
        <v>30039013</v>
      </c>
      <c r="B11191" t="s">
        <v>4837</v>
      </c>
    </row>
    <row r="11192" spans="1:2" x14ac:dyDescent="0.25">
      <c r="A11192">
        <v>30039013100</v>
      </c>
      <c r="B11192" t="s">
        <v>4838</v>
      </c>
    </row>
    <row r="11193" spans="1:2" x14ac:dyDescent="0.25">
      <c r="A11193">
        <v>30039013200</v>
      </c>
      <c r="B11193" t="s">
        <v>4839</v>
      </c>
    </row>
    <row r="11194" spans="1:2" x14ac:dyDescent="0.25">
      <c r="A11194">
        <v>30039014000</v>
      </c>
      <c r="B11194" t="s">
        <v>4840</v>
      </c>
    </row>
    <row r="11195" spans="1:2" x14ac:dyDescent="0.25">
      <c r="A11195">
        <v>30039015</v>
      </c>
      <c r="B11195" t="s">
        <v>4841</v>
      </c>
    </row>
    <row r="11196" spans="1:2" x14ac:dyDescent="0.25">
      <c r="A11196">
        <v>30039015100</v>
      </c>
      <c r="B11196" t="s">
        <v>4842</v>
      </c>
    </row>
    <row r="11197" spans="1:2" x14ac:dyDescent="0.25">
      <c r="A11197">
        <v>30039015200</v>
      </c>
      <c r="B11197" t="s">
        <v>4322</v>
      </c>
    </row>
    <row r="11198" spans="1:2" x14ac:dyDescent="0.25">
      <c r="A11198">
        <v>30039016000</v>
      </c>
      <c r="B11198" t="s">
        <v>4843</v>
      </c>
    </row>
    <row r="11199" spans="1:2" x14ac:dyDescent="0.25">
      <c r="A11199">
        <v>30039017000</v>
      </c>
      <c r="B11199" t="s">
        <v>4844</v>
      </c>
    </row>
    <row r="11200" spans="1:2" x14ac:dyDescent="0.25">
      <c r="A11200">
        <v>30039019000</v>
      </c>
      <c r="B11200" t="s">
        <v>10</v>
      </c>
    </row>
    <row r="11201" spans="1:2" x14ac:dyDescent="0.25">
      <c r="A11201">
        <v>3003902</v>
      </c>
      <c r="B11201" t="s">
        <v>4845</v>
      </c>
    </row>
    <row r="11202" spans="1:2" x14ac:dyDescent="0.25">
      <c r="A11202">
        <v>30039021000</v>
      </c>
      <c r="B11202" t="s">
        <v>4846</v>
      </c>
    </row>
    <row r="11203" spans="1:2" x14ac:dyDescent="0.25">
      <c r="A11203">
        <v>30039022000</v>
      </c>
      <c r="B11203" t="s">
        <v>4847</v>
      </c>
    </row>
    <row r="11204" spans="1:2" x14ac:dyDescent="0.25">
      <c r="A11204">
        <v>30039023000</v>
      </c>
      <c r="B11204" t="s">
        <v>4848</v>
      </c>
    </row>
    <row r="11205" spans="1:2" x14ac:dyDescent="0.25">
      <c r="A11205">
        <v>30039024000</v>
      </c>
      <c r="B11205" t="s">
        <v>4849</v>
      </c>
    </row>
    <row r="11206" spans="1:2" x14ac:dyDescent="0.25">
      <c r="A11206">
        <v>30039029000</v>
      </c>
      <c r="B11206" t="s">
        <v>10</v>
      </c>
    </row>
    <row r="11207" spans="1:2" x14ac:dyDescent="0.25">
      <c r="A11207">
        <v>3003903</v>
      </c>
      <c r="B11207" t="s">
        <v>4850</v>
      </c>
    </row>
    <row r="11208" spans="1:2" x14ac:dyDescent="0.25">
      <c r="A11208">
        <v>30039031</v>
      </c>
      <c r="B11208" t="s">
        <v>4851</v>
      </c>
    </row>
    <row r="11209" spans="1:2" x14ac:dyDescent="0.25">
      <c r="A11209">
        <v>30039031100</v>
      </c>
      <c r="B11209" t="s">
        <v>3025</v>
      </c>
    </row>
    <row r="11210" spans="1:2" x14ac:dyDescent="0.25">
      <c r="A11210">
        <v>30039031200</v>
      </c>
      <c r="B11210" t="s">
        <v>4852</v>
      </c>
    </row>
    <row r="11211" spans="1:2" x14ac:dyDescent="0.25">
      <c r="A11211">
        <v>30039031300</v>
      </c>
      <c r="B11211" t="s">
        <v>4853</v>
      </c>
    </row>
    <row r="11212" spans="1:2" x14ac:dyDescent="0.25">
      <c r="A11212">
        <v>30039031400</v>
      </c>
      <c r="B11212" t="s">
        <v>3052</v>
      </c>
    </row>
    <row r="11213" spans="1:2" x14ac:dyDescent="0.25">
      <c r="A11213">
        <v>30039032</v>
      </c>
      <c r="B11213" t="s">
        <v>4854</v>
      </c>
    </row>
    <row r="11214" spans="1:2" x14ac:dyDescent="0.25">
      <c r="A11214">
        <v>30039032200</v>
      </c>
      <c r="B11214" t="s">
        <v>4855</v>
      </c>
    </row>
    <row r="11215" spans="1:2" x14ac:dyDescent="0.25">
      <c r="A11215">
        <v>30039032300</v>
      </c>
      <c r="B11215" t="s">
        <v>4856</v>
      </c>
    </row>
    <row r="11216" spans="1:2" x14ac:dyDescent="0.25">
      <c r="A11216">
        <v>30039032400</v>
      </c>
      <c r="B11216" t="s">
        <v>4857</v>
      </c>
    </row>
    <row r="11217" spans="1:2" x14ac:dyDescent="0.25">
      <c r="A11217">
        <v>30039033000</v>
      </c>
      <c r="B11217" t="s">
        <v>4858</v>
      </c>
    </row>
    <row r="11218" spans="1:2" x14ac:dyDescent="0.25">
      <c r="A11218">
        <v>30039034</v>
      </c>
      <c r="B11218" t="s">
        <v>4859</v>
      </c>
    </row>
    <row r="11219" spans="1:2" x14ac:dyDescent="0.25">
      <c r="A11219">
        <v>30039034100</v>
      </c>
      <c r="B11219" t="s">
        <v>4860</v>
      </c>
    </row>
    <row r="11220" spans="1:2" x14ac:dyDescent="0.25">
      <c r="A11220">
        <v>30039034200</v>
      </c>
      <c r="B11220" t="s">
        <v>3093</v>
      </c>
    </row>
    <row r="11221" spans="1:2" x14ac:dyDescent="0.25">
      <c r="A11221">
        <v>30039034300</v>
      </c>
      <c r="B11221" t="s">
        <v>3094</v>
      </c>
    </row>
    <row r="11222" spans="1:2" x14ac:dyDescent="0.25">
      <c r="A11222">
        <v>30039034400</v>
      </c>
      <c r="B11222" t="s">
        <v>4861</v>
      </c>
    </row>
    <row r="11223" spans="1:2" x14ac:dyDescent="0.25">
      <c r="A11223">
        <v>30039035000</v>
      </c>
      <c r="B11223" t="s">
        <v>3144</v>
      </c>
    </row>
    <row r="11224" spans="1:2" x14ac:dyDescent="0.25">
      <c r="A11224">
        <v>30039036</v>
      </c>
      <c r="B11224" t="s">
        <v>4862</v>
      </c>
    </row>
    <row r="11225" spans="1:2" x14ac:dyDescent="0.25">
      <c r="A11225">
        <v>30039036100</v>
      </c>
      <c r="B11225" t="s">
        <v>4863</v>
      </c>
    </row>
    <row r="11226" spans="1:2" x14ac:dyDescent="0.25">
      <c r="A11226">
        <v>30039036200</v>
      </c>
      <c r="B11226" t="s">
        <v>4864</v>
      </c>
    </row>
    <row r="11227" spans="1:2" x14ac:dyDescent="0.25">
      <c r="A11227">
        <v>30039037000</v>
      </c>
      <c r="B11227" t="s">
        <v>4865</v>
      </c>
    </row>
    <row r="11228" spans="1:2" x14ac:dyDescent="0.25">
      <c r="A11228">
        <v>30039038</v>
      </c>
      <c r="B11228" t="s">
        <v>4866</v>
      </c>
    </row>
    <row r="11229" spans="1:2" x14ac:dyDescent="0.25">
      <c r="A11229">
        <v>30039038200</v>
      </c>
      <c r="B11229" t="s">
        <v>4867</v>
      </c>
    </row>
    <row r="11230" spans="1:2" x14ac:dyDescent="0.25">
      <c r="A11230">
        <v>30039038400</v>
      </c>
      <c r="B11230" t="s">
        <v>4868</v>
      </c>
    </row>
    <row r="11231" spans="1:2" x14ac:dyDescent="0.25">
      <c r="A11231">
        <v>30039039</v>
      </c>
      <c r="B11231" t="s">
        <v>10</v>
      </c>
    </row>
    <row r="11232" spans="1:2" x14ac:dyDescent="0.25">
      <c r="A11232">
        <v>300390391</v>
      </c>
      <c r="B11232" t="s">
        <v>4869</v>
      </c>
    </row>
    <row r="11233" spans="1:2" x14ac:dyDescent="0.25">
      <c r="A11233">
        <v>30039039110</v>
      </c>
      <c r="B11233" t="s">
        <v>4870</v>
      </c>
    </row>
    <row r="11234" spans="1:2" x14ac:dyDescent="0.25">
      <c r="A11234">
        <v>30039039190</v>
      </c>
      <c r="B11234" t="s">
        <v>2776</v>
      </c>
    </row>
    <row r="11235" spans="1:2" x14ac:dyDescent="0.25">
      <c r="A11235">
        <v>300390392</v>
      </c>
      <c r="B11235" t="s">
        <v>4871</v>
      </c>
    </row>
    <row r="11236" spans="1:2" x14ac:dyDescent="0.25">
      <c r="A11236">
        <v>30039039210</v>
      </c>
      <c r="B11236" t="s">
        <v>3913</v>
      </c>
    </row>
    <row r="11237" spans="1:2" x14ac:dyDescent="0.25">
      <c r="A11237">
        <v>30039039290</v>
      </c>
      <c r="B11237" t="s">
        <v>3914</v>
      </c>
    </row>
    <row r="11238" spans="1:2" x14ac:dyDescent="0.25">
      <c r="A11238">
        <v>300390393</v>
      </c>
      <c r="B11238" t="s">
        <v>4872</v>
      </c>
    </row>
    <row r="11239" spans="1:2" x14ac:dyDescent="0.25">
      <c r="A11239">
        <v>30039039310</v>
      </c>
      <c r="B11239" t="s">
        <v>3336</v>
      </c>
    </row>
    <row r="11240" spans="1:2" x14ac:dyDescent="0.25">
      <c r="A11240">
        <v>30039039390</v>
      </c>
      <c r="B11240" t="s">
        <v>3337</v>
      </c>
    </row>
    <row r="11241" spans="1:2" x14ac:dyDescent="0.25">
      <c r="A11241">
        <v>30039039900</v>
      </c>
      <c r="B11241" t="s">
        <v>10</v>
      </c>
    </row>
    <row r="11242" spans="1:2" x14ac:dyDescent="0.25">
      <c r="A11242">
        <v>3003904</v>
      </c>
      <c r="B11242" t="s">
        <v>4873</v>
      </c>
    </row>
    <row r="11243" spans="1:2" x14ac:dyDescent="0.25">
      <c r="A11243">
        <v>30039041</v>
      </c>
      <c r="B11243" t="s">
        <v>4874</v>
      </c>
    </row>
    <row r="11244" spans="1:2" x14ac:dyDescent="0.25">
      <c r="A11244">
        <v>30039041100</v>
      </c>
      <c r="B11244" t="s">
        <v>3277</v>
      </c>
    </row>
    <row r="11245" spans="1:2" x14ac:dyDescent="0.25">
      <c r="A11245">
        <v>30039041200</v>
      </c>
      <c r="B11245" t="s">
        <v>4875</v>
      </c>
    </row>
    <row r="11246" spans="1:2" x14ac:dyDescent="0.25">
      <c r="A11246">
        <v>30039042000</v>
      </c>
      <c r="B11246" t="s">
        <v>4876</v>
      </c>
    </row>
    <row r="11247" spans="1:2" x14ac:dyDescent="0.25">
      <c r="A11247">
        <v>30039043000</v>
      </c>
      <c r="B11247" t="s">
        <v>4877</v>
      </c>
    </row>
    <row r="11248" spans="1:2" x14ac:dyDescent="0.25">
      <c r="A11248">
        <v>30039044000</v>
      </c>
      <c r="B11248" t="s">
        <v>4878</v>
      </c>
    </row>
    <row r="11249" spans="1:2" x14ac:dyDescent="0.25">
      <c r="A11249">
        <v>30039045</v>
      </c>
      <c r="B11249" t="s">
        <v>4879</v>
      </c>
    </row>
    <row r="11250" spans="1:2" x14ac:dyDescent="0.25">
      <c r="A11250">
        <v>30039045100</v>
      </c>
      <c r="B11250" t="s">
        <v>3393</v>
      </c>
    </row>
    <row r="11251" spans="1:2" x14ac:dyDescent="0.25">
      <c r="A11251">
        <v>30039045200</v>
      </c>
      <c r="B11251" t="s">
        <v>4880</v>
      </c>
    </row>
    <row r="11252" spans="1:2" x14ac:dyDescent="0.25">
      <c r="A11252">
        <v>30039046</v>
      </c>
      <c r="B11252" t="s">
        <v>4881</v>
      </c>
    </row>
    <row r="11253" spans="1:2" x14ac:dyDescent="0.25">
      <c r="A11253">
        <v>30039046100</v>
      </c>
      <c r="B11253" t="s">
        <v>4882</v>
      </c>
    </row>
    <row r="11254" spans="1:2" x14ac:dyDescent="0.25">
      <c r="A11254">
        <v>30039046200</v>
      </c>
      <c r="B11254" t="s">
        <v>3333</v>
      </c>
    </row>
    <row r="11255" spans="1:2" x14ac:dyDescent="0.25">
      <c r="A11255">
        <v>30039046300</v>
      </c>
      <c r="B11255" t="s">
        <v>4883</v>
      </c>
    </row>
    <row r="11256" spans="1:2" x14ac:dyDescent="0.25">
      <c r="A11256">
        <v>30039047</v>
      </c>
      <c r="B11256" t="s">
        <v>4884</v>
      </c>
    </row>
    <row r="11257" spans="1:2" x14ac:dyDescent="0.25">
      <c r="A11257">
        <v>30039047100</v>
      </c>
      <c r="B11257" t="s">
        <v>3385</v>
      </c>
    </row>
    <row r="11258" spans="1:2" x14ac:dyDescent="0.25">
      <c r="A11258">
        <v>30039047200</v>
      </c>
      <c r="B11258" t="s">
        <v>3386</v>
      </c>
    </row>
    <row r="11259" spans="1:2" x14ac:dyDescent="0.25">
      <c r="A11259">
        <v>30039047300</v>
      </c>
      <c r="B11259" t="s">
        <v>3387</v>
      </c>
    </row>
    <row r="11260" spans="1:2" x14ac:dyDescent="0.25">
      <c r="A11260">
        <v>30039048</v>
      </c>
      <c r="B11260" t="s">
        <v>4885</v>
      </c>
    </row>
    <row r="11261" spans="1:2" x14ac:dyDescent="0.25">
      <c r="A11261">
        <v>30039048100</v>
      </c>
      <c r="B11261" t="s">
        <v>4886</v>
      </c>
    </row>
    <row r="11262" spans="1:2" x14ac:dyDescent="0.25">
      <c r="A11262">
        <v>30039048200</v>
      </c>
      <c r="B11262" t="s">
        <v>4887</v>
      </c>
    </row>
    <row r="11263" spans="1:2" x14ac:dyDescent="0.25">
      <c r="A11263">
        <v>30039048300</v>
      </c>
      <c r="B11263" t="s">
        <v>4888</v>
      </c>
    </row>
    <row r="11264" spans="1:2" x14ac:dyDescent="0.25">
      <c r="A11264">
        <v>30039048400</v>
      </c>
      <c r="B11264" t="s">
        <v>4889</v>
      </c>
    </row>
    <row r="11265" spans="1:2" x14ac:dyDescent="0.25">
      <c r="A11265">
        <v>30039049</v>
      </c>
      <c r="B11265" t="s">
        <v>10</v>
      </c>
    </row>
    <row r="11266" spans="1:2" x14ac:dyDescent="0.25">
      <c r="A11266">
        <v>300390491</v>
      </c>
      <c r="B11266" t="s">
        <v>4769</v>
      </c>
    </row>
    <row r="11267" spans="1:2" x14ac:dyDescent="0.25">
      <c r="A11267">
        <v>30039049110</v>
      </c>
      <c r="B11267" t="s">
        <v>4890</v>
      </c>
    </row>
    <row r="11268" spans="1:2" x14ac:dyDescent="0.25">
      <c r="A11268">
        <v>30039049120</v>
      </c>
      <c r="B11268" t="s">
        <v>4891</v>
      </c>
    </row>
    <row r="11269" spans="1:2" x14ac:dyDescent="0.25">
      <c r="A11269">
        <v>30039049130</v>
      </c>
      <c r="B11269" t="s">
        <v>4892</v>
      </c>
    </row>
    <row r="11270" spans="1:2" x14ac:dyDescent="0.25">
      <c r="A11270">
        <v>30039049140</v>
      </c>
      <c r="B11270" t="s">
        <v>4893</v>
      </c>
    </row>
    <row r="11271" spans="1:2" x14ac:dyDescent="0.25">
      <c r="A11271">
        <v>30039049150</v>
      </c>
      <c r="B11271" t="s">
        <v>4894</v>
      </c>
    </row>
    <row r="11272" spans="1:2" x14ac:dyDescent="0.25">
      <c r="A11272">
        <v>30039049160</v>
      </c>
      <c r="B11272" t="s">
        <v>4895</v>
      </c>
    </row>
    <row r="11273" spans="1:2" x14ac:dyDescent="0.25">
      <c r="A11273">
        <v>30039049170</v>
      </c>
      <c r="B11273" t="s">
        <v>4896</v>
      </c>
    </row>
    <row r="11274" spans="1:2" x14ac:dyDescent="0.25">
      <c r="A11274">
        <v>30039049190</v>
      </c>
      <c r="B11274" t="s">
        <v>10</v>
      </c>
    </row>
    <row r="11275" spans="1:2" x14ac:dyDescent="0.25">
      <c r="A11275">
        <v>300390492</v>
      </c>
      <c r="B11275" t="s">
        <v>4897</v>
      </c>
    </row>
    <row r="11276" spans="1:2" x14ac:dyDescent="0.25">
      <c r="A11276">
        <v>3003904921</v>
      </c>
      <c r="B11276" t="s">
        <v>4898</v>
      </c>
    </row>
    <row r="11277" spans="1:2" x14ac:dyDescent="0.25">
      <c r="A11277">
        <v>30039049211</v>
      </c>
      <c r="B11277" t="s">
        <v>4899</v>
      </c>
    </row>
    <row r="11278" spans="1:2" x14ac:dyDescent="0.25">
      <c r="A11278">
        <v>30039049212</v>
      </c>
      <c r="B11278" t="s">
        <v>4900</v>
      </c>
    </row>
    <row r="11279" spans="1:2" x14ac:dyDescent="0.25">
      <c r="A11279">
        <v>30039049213</v>
      </c>
      <c r="B11279" t="s">
        <v>4901</v>
      </c>
    </row>
    <row r="11280" spans="1:2" x14ac:dyDescent="0.25">
      <c r="A11280">
        <v>30039049214</v>
      </c>
      <c r="B11280" t="s">
        <v>4902</v>
      </c>
    </row>
    <row r="11281" spans="1:2" x14ac:dyDescent="0.25">
      <c r="A11281">
        <v>30039049215</v>
      </c>
      <c r="B11281" t="s">
        <v>4903</v>
      </c>
    </row>
    <row r="11282" spans="1:2" x14ac:dyDescent="0.25">
      <c r="A11282">
        <v>30039049216</v>
      </c>
      <c r="B11282" t="s">
        <v>4904</v>
      </c>
    </row>
    <row r="11283" spans="1:2" x14ac:dyDescent="0.25">
      <c r="A11283">
        <v>30039049217</v>
      </c>
      <c r="B11283" t="s">
        <v>4905</v>
      </c>
    </row>
    <row r="11284" spans="1:2" x14ac:dyDescent="0.25">
      <c r="A11284">
        <v>30039049218</v>
      </c>
      <c r="B11284" t="s">
        <v>4906</v>
      </c>
    </row>
    <row r="11285" spans="1:2" x14ac:dyDescent="0.25">
      <c r="A11285">
        <v>30039049219</v>
      </c>
      <c r="B11285" t="s">
        <v>4907</v>
      </c>
    </row>
    <row r="11286" spans="1:2" x14ac:dyDescent="0.25">
      <c r="A11286">
        <v>3003904922</v>
      </c>
      <c r="B11286" t="s">
        <v>4908</v>
      </c>
    </row>
    <row r="11287" spans="1:2" x14ac:dyDescent="0.25">
      <c r="A11287">
        <v>30039049221</v>
      </c>
      <c r="B11287" t="s">
        <v>4909</v>
      </c>
    </row>
    <row r="11288" spans="1:2" x14ac:dyDescent="0.25">
      <c r="A11288">
        <v>30039049222</v>
      </c>
      <c r="B11288" t="s">
        <v>4910</v>
      </c>
    </row>
    <row r="11289" spans="1:2" x14ac:dyDescent="0.25">
      <c r="A11289">
        <v>30039049223</v>
      </c>
      <c r="B11289" t="s">
        <v>3356</v>
      </c>
    </row>
    <row r="11290" spans="1:2" x14ac:dyDescent="0.25">
      <c r="A11290">
        <v>30039049224</v>
      </c>
      <c r="B11290" t="s">
        <v>4911</v>
      </c>
    </row>
    <row r="11291" spans="1:2" x14ac:dyDescent="0.25">
      <c r="A11291">
        <v>30039049225</v>
      </c>
      <c r="B11291" t="s">
        <v>3233</v>
      </c>
    </row>
    <row r="11292" spans="1:2" x14ac:dyDescent="0.25">
      <c r="A11292">
        <v>30039049226</v>
      </c>
      <c r="B11292" t="s">
        <v>4912</v>
      </c>
    </row>
    <row r="11293" spans="1:2" x14ac:dyDescent="0.25">
      <c r="A11293">
        <v>30039049227</v>
      </c>
      <c r="B11293" t="s">
        <v>4913</v>
      </c>
    </row>
    <row r="11294" spans="1:2" x14ac:dyDescent="0.25">
      <c r="A11294">
        <v>30039049228</v>
      </c>
      <c r="B11294" t="s">
        <v>4914</v>
      </c>
    </row>
    <row r="11295" spans="1:2" x14ac:dyDescent="0.25">
      <c r="A11295">
        <v>30039049229</v>
      </c>
      <c r="B11295" t="s">
        <v>4915</v>
      </c>
    </row>
    <row r="11296" spans="1:2" x14ac:dyDescent="0.25">
      <c r="A11296">
        <v>3003904923</v>
      </c>
      <c r="B11296" t="s">
        <v>4916</v>
      </c>
    </row>
    <row r="11297" spans="1:2" x14ac:dyDescent="0.25">
      <c r="A11297">
        <v>30039049231</v>
      </c>
      <c r="B11297" t="s">
        <v>4917</v>
      </c>
    </row>
    <row r="11298" spans="1:2" x14ac:dyDescent="0.25">
      <c r="A11298">
        <v>30039049232</v>
      </c>
      <c r="B11298" t="s">
        <v>4918</v>
      </c>
    </row>
    <row r="11299" spans="1:2" x14ac:dyDescent="0.25">
      <c r="A11299">
        <v>30039049233</v>
      </c>
      <c r="B11299" t="s">
        <v>4919</v>
      </c>
    </row>
    <row r="11300" spans="1:2" x14ac:dyDescent="0.25">
      <c r="A11300">
        <v>30039049234</v>
      </c>
      <c r="B11300" t="s">
        <v>4920</v>
      </c>
    </row>
    <row r="11301" spans="1:2" x14ac:dyDescent="0.25">
      <c r="A11301">
        <v>30039049235</v>
      </c>
      <c r="B11301" t="s">
        <v>4921</v>
      </c>
    </row>
    <row r="11302" spans="1:2" x14ac:dyDescent="0.25">
      <c r="A11302">
        <v>30039049236</v>
      </c>
      <c r="B11302" t="s">
        <v>4922</v>
      </c>
    </row>
    <row r="11303" spans="1:2" x14ac:dyDescent="0.25">
      <c r="A11303">
        <v>30039049237</v>
      </c>
      <c r="B11303" t="s">
        <v>4923</v>
      </c>
    </row>
    <row r="11304" spans="1:2" x14ac:dyDescent="0.25">
      <c r="A11304">
        <v>30039049238</v>
      </c>
      <c r="B11304" t="s">
        <v>4924</v>
      </c>
    </row>
    <row r="11305" spans="1:2" x14ac:dyDescent="0.25">
      <c r="A11305">
        <v>30039049239</v>
      </c>
      <c r="B11305" t="s">
        <v>4925</v>
      </c>
    </row>
    <row r="11306" spans="1:2" x14ac:dyDescent="0.25">
      <c r="A11306">
        <v>30039049240</v>
      </c>
      <c r="B11306" t="s">
        <v>4926</v>
      </c>
    </row>
    <row r="11307" spans="1:2" x14ac:dyDescent="0.25">
      <c r="A11307">
        <v>30039049250</v>
      </c>
      <c r="B11307" t="s">
        <v>4927</v>
      </c>
    </row>
    <row r="11308" spans="1:2" x14ac:dyDescent="0.25">
      <c r="A11308">
        <v>30039049260</v>
      </c>
      <c r="B11308" t="s">
        <v>4928</v>
      </c>
    </row>
    <row r="11309" spans="1:2" x14ac:dyDescent="0.25">
      <c r="A11309">
        <v>30039049290</v>
      </c>
      <c r="B11309" t="s">
        <v>10</v>
      </c>
    </row>
    <row r="11310" spans="1:2" x14ac:dyDescent="0.25">
      <c r="A11310">
        <v>300390493</v>
      </c>
      <c r="B11310" t="s">
        <v>4929</v>
      </c>
    </row>
    <row r="11311" spans="1:2" x14ac:dyDescent="0.25">
      <c r="A11311">
        <v>3003904931</v>
      </c>
      <c r="B11311" t="s">
        <v>4930</v>
      </c>
    </row>
    <row r="11312" spans="1:2" x14ac:dyDescent="0.25">
      <c r="A11312">
        <v>30039049311</v>
      </c>
      <c r="B11312" t="s">
        <v>4931</v>
      </c>
    </row>
    <row r="11313" spans="1:2" x14ac:dyDescent="0.25">
      <c r="A11313">
        <v>30039049312</v>
      </c>
      <c r="B11313" t="s">
        <v>4932</v>
      </c>
    </row>
    <row r="11314" spans="1:2" x14ac:dyDescent="0.25">
      <c r="A11314">
        <v>30039049313</v>
      </c>
      <c r="B11314" t="s">
        <v>4933</v>
      </c>
    </row>
    <row r="11315" spans="1:2" x14ac:dyDescent="0.25">
      <c r="A11315">
        <v>30039049314</v>
      </c>
      <c r="B11315" t="s">
        <v>4934</v>
      </c>
    </row>
    <row r="11316" spans="1:2" x14ac:dyDescent="0.25">
      <c r="A11316">
        <v>30039049315</v>
      </c>
      <c r="B11316" t="s">
        <v>4935</v>
      </c>
    </row>
    <row r="11317" spans="1:2" x14ac:dyDescent="0.25">
      <c r="A11317">
        <v>30039049316</v>
      </c>
      <c r="B11317" t="s">
        <v>4936</v>
      </c>
    </row>
    <row r="11318" spans="1:2" x14ac:dyDescent="0.25">
      <c r="A11318">
        <v>30039049317</v>
      </c>
      <c r="B11318" t="s">
        <v>4937</v>
      </c>
    </row>
    <row r="11319" spans="1:2" x14ac:dyDescent="0.25">
      <c r="A11319">
        <v>30039049318</v>
      </c>
      <c r="B11319" t="s">
        <v>4938</v>
      </c>
    </row>
    <row r="11320" spans="1:2" x14ac:dyDescent="0.25">
      <c r="A11320">
        <v>30039049319</v>
      </c>
      <c r="B11320" t="s">
        <v>4939</v>
      </c>
    </row>
    <row r="11321" spans="1:2" x14ac:dyDescent="0.25">
      <c r="A11321">
        <v>30039049320</v>
      </c>
      <c r="B11321" t="s">
        <v>4940</v>
      </c>
    </row>
    <row r="11322" spans="1:2" x14ac:dyDescent="0.25">
      <c r="A11322">
        <v>30039049330</v>
      </c>
      <c r="B11322" t="s">
        <v>4941</v>
      </c>
    </row>
    <row r="11323" spans="1:2" x14ac:dyDescent="0.25">
      <c r="A11323">
        <v>30039049340</v>
      </c>
      <c r="B11323" t="s">
        <v>3367</v>
      </c>
    </row>
    <row r="11324" spans="1:2" x14ac:dyDescent="0.25">
      <c r="A11324">
        <v>30039049350</v>
      </c>
      <c r="B11324" t="s">
        <v>4942</v>
      </c>
    </row>
    <row r="11325" spans="1:2" x14ac:dyDescent="0.25">
      <c r="A11325">
        <v>30039049360</v>
      </c>
      <c r="B11325" t="s">
        <v>4943</v>
      </c>
    </row>
    <row r="11326" spans="1:2" x14ac:dyDescent="0.25">
      <c r="A11326">
        <v>30039049390</v>
      </c>
      <c r="B11326" t="s">
        <v>10</v>
      </c>
    </row>
    <row r="11327" spans="1:2" x14ac:dyDescent="0.25">
      <c r="A11327">
        <v>30039049900</v>
      </c>
      <c r="B11327" t="s">
        <v>10</v>
      </c>
    </row>
    <row r="11328" spans="1:2" x14ac:dyDescent="0.25">
      <c r="A11328">
        <v>3003905</v>
      </c>
      <c r="B11328" t="s">
        <v>4944</v>
      </c>
    </row>
    <row r="11329" spans="1:2" x14ac:dyDescent="0.25">
      <c r="A11329">
        <v>30039051</v>
      </c>
      <c r="B11329" t="s">
        <v>4945</v>
      </c>
    </row>
    <row r="11330" spans="1:2" x14ac:dyDescent="0.25">
      <c r="A11330">
        <v>30039051100</v>
      </c>
      <c r="B11330" t="s">
        <v>4946</v>
      </c>
    </row>
    <row r="11331" spans="1:2" x14ac:dyDescent="0.25">
      <c r="A11331">
        <v>30039051200</v>
      </c>
      <c r="B11331" t="s">
        <v>3526</v>
      </c>
    </row>
    <row r="11332" spans="1:2" x14ac:dyDescent="0.25">
      <c r="A11332">
        <v>30039052</v>
      </c>
      <c r="B11332" t="s">
        <v>4947</v>
      </c>
    </row>
    <row r="11333" spans="1:2" x14ac:dyDescent="0.25">
      <c r="A11333">
        <v>30039052100</v>
      </c>
      <c r="B11333" t="s">
        <v>3452</v>
      </c>
    </row>
    <row r="11334" spans="1:2" x14ac:dyDescent="0.25">
      <c r="A11334">
        <v>30039052200</v>
      </c>
      <c r="B11334" t="s">
        <v>4948</v>
      </c>
    </row>
    <row r="11335" spans="1:2" x14ac:dyDescent="0.25">
      <c r="A11335">
        <v>30039052300</v>
      </c>
      <c r="B11335" t="s">
        <v>3487</v>
      </c>
    </row>
    <row r="11336" spans="1:2" x14ac:dyDescent="0.25">
      <c r="A11336">
        <v>30039053</v>
      </c>
      <c r="B11336" t="s">
        <v>4949</v>
      </c>
    </row>
    <row r="11337" spans="1:2" x14ac:dyDescent="0.25">
      <c r="A11337">
        <v>30039053100</v>
      </c>
      <c r="B11337" t="s">
        <v>4950</v>
      </c>
    </row>
    <row r="11338" spans="1:2" x14ac:dyDescent="0.25">
      <c r="A11338">
        <v>30039053200</v>
      </c>
      <c r="B11338" t="s">
        <v>3468</v>
      </c>
    </row>
    <row r="11339" spans="1:2" x14ac:dyDescent="0.25">
      <c r="A11339">
        <v>30039054</v>
      </c>
      <c r="B11339" t="s">
        <v>4951</v>
      </c>
    </row>
    <row r="11340" spans="1:2" x14ac:dyDescent="0.25">
      <c r="A11340">
        <v>300390541</v>
      </c>
      <c r="B11340" t="s">
        <v>4952</v>
      </c>
    </row>
    <row r="11341" spans="1:2" x14ac:dyDescent="0.25">
      <c r="A11341">
        <v>30039054110</v>
      </c>
      <c r="B11341" t="s">
        <v>4951</v>
      </c>
    </row>
    <row r="11342" spans="1:2" x14ac:dyDescent="0.25">
      <c r="A11342">
        <v>30039055</v>
      </c>
      <c r="B11342" t="s">
        <v>4953</v>
      </c>
    </row>
    <row r="11343" spans="1:2" x14ac:dyDescent="0.25">
      <c r="A11343">
        <v>30039055100</v>
      </c>
      <c r="B11343" t="s">
        <v>4954</v>
      </c>
    </row>
    <row r="11344" spans="1:2" x14ac:dyDescent="0.25">
      <c r="A11344">
        <v>30039055200</v>
      </c>
      <c r="B11344" t="s">
        <v>3464</v>
      </c>
    </row>
    <row r="11345" spans="1:2" x14ac:dyDescent="0.25">
      <c r="A11345">
        <v>30039056</v>
      </c>
      <c r="B11345" t="s">
        <v>4955</v>
      </c>
    </row>
    <row r="11346" spans="1:2" x14ac:dyDescent="0.25">
      <c r="A11346">
        <v>30039056100</v>
      </c>
      <c r="B11346" t="s">
        <v>3499</v>
      </c>
    </row>
    <row r="11347" spans="1:2" x14ac:dyDescent="0.25">
      <c r="A11347">
        <v>30039056200</v>
      </c>
      <c r="B11347" t="s">
        <v>3515</v>
      </c>
    </row>
    <row r="11348" spans="1:2" x14ac:dyDescent="0.25">
      <c r="A11348">
        <v>30039057</v>
      </c>
      <c r="B11348" t="s">
        <v>4956</v>
      </c>
    </row>
    <row r="11349" spans="1:2" x14ac:dyDescent="0.25">
      <c r="A11349">
        <v>30039057100</v>
      </c>
      <c r="B11349" t="s">
        <v>4957</v>
      </c>
    </row>
    <row r="11350" spans="1:2" x14ac:dyDescent="0.25">
      <c r="A11350">
        <v>30039057200</v>
      </c>
      <c r="B11350" t="s">
        <v>3500</v>
      </c>
    </row>
    <row r="11351" spans="1:2" x14ac:dyDescent="0.25">
      <c r="A11351">
        <v>30039058</v>
      </c>
      <c r="B11351" t="s">
        <v>4958</v>
      </c>
    </row>
    <row r="11352" spans="1:2" x14ac:dyDescent="0.25">
      <c r="A11352">
        <v>30039058100</v>
      </c>
      <c r="B11352" t="s">
        <v>4959</v>
      </c>
    </row>
    <row r="11353" spans="1:2" x14ac:dyDescent="0.25">
      <c r="A11353">
        <v>30039058200</v>
      </c>
      <c r="B11353" t="s">
        <v>4960</v>
      </c>
    </row>
    <row r="11354" spans="1:2" x14ac:dyDescent="0.25">
      <c r="A11354">
        <v>30039058400</v>
      </c>
      <c r="B11354" t="s">
        <v>4961</v>
      </c>
    </row>
    <row r="11355" spans="1:2" x14ac:dyDescent="0.25">
      <c r="A11355">
        <v>30039058500</v>
      </c>
      <c r="B11355" t="s">
        <v>4962</v>
      </c>
    </row>
    <row r="11356" spans="1:2" x14ac:dyDescent="0.25">
      <c r="A11356">
        <v>30039059</v>
      </c>
      <c r="B11356" t="s">
        <v>10</v>
      </c>
    </row>
    <row r="11357" spans="1:2" x14ac:dyDescent="0.25">
      <c r="A11357">
        <v>300390591</v>
      </c>
      <c r="B11357" t="s">
        <v>4963</v>
      </c>
    </row>
    <row r="11358" spans="1:2" x14ac:dyDescent="0.25">
      <c r="A11358">
        <v>30039059110</v>
      </c>
      <c r="B11358" t="s">
        <v>4964</v>
      </c>
    </row>
    <row r="11359" spans="1:2" x14ac:dyDescent="0.25">
      <c r="A11359">
        <v>30039059120</v>
      </c>
      <c r="B11359" t="s">
        <v>4965</v>
      </c>
    </row>
    <row r="11360" spans="1:2" x14ac:dyDescent="0.25">
      <c r="A11360">
        <v>30039059130</v>
      </c>
      <c r="B11360" t="s">
        <v>4966</v>
      </c>
    </row>
    <row r="11361" spans="1:2" x14ac:dyDescent="0.25">
      <c r="A11361">
        <v>30039059140</v>
      </c>
      <c r="B11361" t="s">
        <v>4967</v>
      </c>
    </row>
    <row r="11362" spans="1:2" x14ac:dyDescent="0.25">
      <c r="A11362">
        <v>30039059150</v>
      </c>
      <c r="B11362" t="s">
        <v>4968</v>
      </c>
    </row>
    <row r="11363" spans="1:2" x14ac:dyDescent="0.25">
      <c r="A11363">
        <v>30039059160</v>
      </c>
      <c r="B11363" t="s">
        <v>4969</v>
      </c>
    </row>
    <row r="11364" spans="1:2" x14ac:dyDescent="0.25">
      <c r="A11364">
        <v>30039059170</v>
      </c>
      <c r="B11364" t="s">
        <v>4970</v>
      </c>
    </row>
    <row r="11365" spans="1:2" x14ac:dyDescent="0.25">
      <c r="A11365">
        <v>30039059190</v>
      </c>
      <c r="B11365" t="s">
        <v>10</v>
      </c>
    </row>
    <row r="11366" spans="1:2" x14ac:dyDescent="0.25">
      <c r="A11366">
        <v>300390592</v>
      </c>
      <c r="B11366" t="s">
        <v>4929</v>
      </c>
    </row>
    <row r="11367" spans="1:2" x14ac:dyDescent="0.25">
      <c r="A11367">
        <v>30039059210</v>
      </c>
      <c r="B11367" t="s">
        <v>4971</v>
      </c>
    </row>
    <row r="11368" spans="1:2" x14ac:dyDescent="0.25">
      <c r="A11368">
        <v>30039059220</v>
      </c>
      <c r="B11368" t="s">
        <v>4972</v>
      </c>
    </row>
    <row r="11369" spans="1:2" x14ac:dyDescent="0.25">
      <c r="A11369">
        <v>30039059290</v>
      </c>
      <c r="B11369" t="s">
        <v>10</v>
      </c>
    </row>
    <row r="11370" spans="1:2" x14ac:dyDescent="0.25">
      <c r="A11370">
        <v>30039059900</v>
      </c>
      <c r="B11370" t="s">
        <v>10</v>
      </c>
    </row>
    <row r="11371" spans="1:2" x14ac:dyDescent="0.25">
      <c r="A11371">
        <v>3003906</v>
      </c>
      <c r="B11371" t="s">
        <v>4973</v>
      </c>
    </row>
    <row r="11372" spans="1:2" x14ac:dyDescent="0.25">
      <c r="A11372">
        <v>30039061000</v>
      </c>
      <c r="B11372" t="s">
        <v>3797</v>
      </c>
    </row>
    <row r="11373" spans="1:2" x14ac:dyDescent="0.25">
      <c r="A11373">
        <v>30039062000</v>
      </c>
      <c r="B11373" t="s">
        <v>3652</v>
      </c>
    </row>
    <row r="11374" spans="1:2" x14ac:dyDescent="0.25">
      <c r="A11374">
        <v>30039063000</v>
      </c>
      <c r="B11374" t="s">
        <v>3690</v>
      </c>
    </row>
    <row r="11375" spans="1:2" x14ac:dyDescent="0.25">
      <c r="A11375">
        <v>30039064000</v>
      </c>
      <c r="B11375" t="s">
        <v>3800</v>
      </c>
    </row>
    <row r="11376" spans="1:2" x14ac:dyDescent="0.25">
      <c r="A11376">
        <v>30039065</v>
      </c>
      <c r="B11376" t="s">
        <v>4974</v>
      </c>
    </row>
    <row r="11377" spans="1:2" x14ac:dyDescent="0.25">
      <c r="A11377">
        <v>30039065100</v>
      </c>
      <c r="B11377" t="s">
        <v>3766</v>
      </c>
    </row>
    <row r="11378" spans="1:2" x14ac:dyDescent="0.25">
      <c r="A11378">
        <v>30039065200</v>
      </c>
      <c r="B11378" t="s">
        <v>3781</v>
      </c>
    </row>
    <row r="11379" spans="1:2" x14ac:dyDescent="0.25">
      <c r="A11379">
        <v>30039066000</v>
      </c>
      <c r="B11379" t="s">
        <v>4975</v>
      </c>
    </row>
    <row r="11380" spans="1:2" x14ac:dyDescent="0.25">
      <c r="A11380">
        <v>30039067</v>
      </c>
      <c r="B11380" t="s">
        <v>4976</v>
      </c>
    </row>
    <row r="11381" spans="1:2" x14ac:dyDescent="0.25">
      <c r="A11381">
        <v>30039067100</v>
      </c>
      <c r="B11381" t="s">
        <v>3622</v>
      </c>
    </row>
    <row r="11382" spans="1:2" x14ac:dyDescent="0.25">
      <c r="A11382">
        <v>30039067200</v>
      </c>
      <c r="B11382" t="s">
        <v>3593</v>
      </c>
    </row>
    <row r="11383" spans="1:2" x14ac:dyDescent="0.25">
      <c r="A11383">
        <v>30039069</v>
      </c>
      <c r="B11383" t="s">
        <v>10</v>
      </c>
    </row>
    <row r="11384" spans="1:2" x14ac:dyDescent="0.25">
      <c r="A11384">
        <v>300390691</v>
      </c>
      <c r="B11384" t="s">
        <v>4977</v>
      </c>
    </row>
    <row r="11385" spans="1:2" x14ac:dyDescent="0.25">
      <c r="A11385">
        <v>30039069110</v>
      </c>
      <c r="B11385" t="s">
        <v>2775</v>
      </c>
    </row>
    <row r="11386" spans="1:2" x14ac:dyDescent="0.25">
      <c r="A11386">
        <v>30039069190</v>
      </c>
      <c r="B11386" t="s">
        <v>2776</v>
      </c>
    </row>
    <row r="11387" spans="1:2" x14ac:dyDescent="0.25">
      <c r="A11387">
        <v>300390692</v>
      </c>
      <c r="B11387" t="s">
        <v>4963</v>
      </c>
    </row>
    <row r="11388" spans="1:2" x14ac:dyDescent="0.25">
      <c r="A11388">
        <v>3003906921</v>
      </c>
      <c r="B11388" t="s">
        <v>3336</v>
      </c>
    </row>
    <row r="11389" spans="1:2" x14ac:dyDescent="0.25">
      <c r="A11389">
        <v>30039069211</v>
      </c>
      <c r="B11389" t="s">
        <v>4978</v>
      </c>
    </row>
    <row r="11390" spans="1:2" x14ac:dyDescent="0.25">
      <c r="A11390">
        <v>30039069212</v>
      </c>
      <c r="B11390" t="s">
        <v>4979</v>
      </c>
    </row>
    <row r="11391" spans="1:2" x14ac:dyDescent="0.25">
      <c r="A11391">
        <v>30039069213</v>
      </c>
      <c r="B11391" t="s">
        <v>4980</v>
      </c>
    </row>
    <row r="11392" spans="1:2" x14ac:dyDescent="0.25">
      <c r="A11392">
        <v>30039069214</v>
      </c>
      <c r="B11392" t="s">
        <v>4981</v>
      </c>
    </row>
    <row r="11393" spans="1:2" x14ac:dyDescent="0.25">
      <c r="A11393">
        <v>30039069215</v>
      </c>
      <c r="B11393" t="s">
        <v>4982</v>
      </c>
    </row>
    <row r="11394" spans="1:2" x14ac:dyDescent="0.25">
      <c r="A11394">
        <v>30039069216</v>
      </c>
      <c r="B11394" t="s">
        <v>4983</v>
      </c>
    </row>
    <row r="11395" spans="1:2" x14ac:dyDescent="0.25">
      <c r="A11395">
        <v>30039069217</v>
      </c>
      <c r="B11395" t="s">
        <v>4984</v>
      </c>
    </row>
    <row r="11396" spans="1:2" x14ac:dyDescent="0.25">
      <c r="A11396">
        <v>30039069218</v>
      </c>
      <c r="B11396" t="s">
        <v>4985</v>
      </c>
    </row>
    <row r="11397" spans="1:2" x14ac:dyDescent="0.25">
      <c r="A11397">
        <v>30039069219</v>
      </c>
      <c r="B11397" t="s">
        <v>10</v>
      </c>
    </row>
    <row r="11398" spans="1:2" x14ac:dyDescent="0.25">
      <c r="A11398">
        <v>3003906929</v>
      </c>
      <c r="B11398" t="s">
        <v>3337</v>
      </c>
    </row>
    <row r="11399" spans="1:2" x14ac:dyDescent="0.25">
      <c r="A11399">
        <v>30039069291</v>
      </c>
      <c r="B11399" t="s">
        <v>4986</v>
      </c>
    </row>
    <row r="11400" spans="1:2" x14ac:dyDescent="0.25">
      <c r="A11400">
        <v>30039069292</v>
      </c>
      <c r="B11400" t="s">
        <v>4987</v>
      </c>
    </row>
    <row r="11401" spans="1:2" x14ac:dyDescent="0.25">
      <c r="A11401">
        <v>30039069293</v>
      </c>
      <c r="B11401" t="s">
        <v>4988</v>
      </c>
    </row>
    <row r="11402" spans="1:2" x14ac:dyDescent="0.25">
      <c r="A11402">
        <v>30039069299</v>
      </c>
      <c r="B11402" t="s">
        <v>10</v>
      </c>
    </row>
    <row r="11403" spans="1:2" x14ac:dyDescent="0.25">
      <c r="A11403">
        <v>30039069300</v>
      </c>
      <c r="B11403" t="s">
        <v>3730</v>
      </c>
    </row>
    <row r="11404" spans="1:2" x14ac:dyDescent="0.25">
      <c r="A11404">
        <v>30039069900</v>
      </c>
      <c r="B11404" t="s">
        <v>10</v>
      </c>
    </row>
    <row r="11405" spans="1:2" x14ac:dyDescent="0.25">
      <c r="A11405">
        <v>3003907</v>
      </c>
      <c r="B11405" t="s">
        <v>4989</v>
      </c>
    </row>
    <row r="11406" spans="1:2" x14ac:dyDescent="0.25">
      <c r="A11406">
        <v>30039071</v>
      </c>
      <c r="B11406" t="s">
        <v>4990</v>
      </c>
    </row>
    <row r="11407" spans="1:2" x14ac:dyDescent="0.25">
      <c r="A11407">
        <v>30039071100</v>
      </c>
      <c r="B11407" t="s">
        <v>3906</v>
      </c>
    </row>
    <row r="11408" spans="1:2" x14ac:dyDescent="0.25">
      <c r="A11408">
        <v>30039071200</v>
      </c>
      <c r="B11408" t="s">
        <v>4220</v>
      </c>
    </row>
    <row r="11409" spans="1:2" x14ac:dyDescent="0.25">
      <c r="A11409">
        <v>30039071300</v>
      </c>
      <c r="B11409" t="s">
        <v>4991</v>
      </c>
    </row>
    <row r="11410" spans="1:2" x14ac:dyDescent="0.25">
      <c r="A11410">
        <v>30039071400</v>
      </c>
      <c r="B11410" t="s">
        <v>4992</v>
      </c>
    </row>
    <row r="11411" spans="1:2" x14ac:dyDescent="0.25">
      <c r="A11411">
        <v>30039071500</v>
      </c>
      <c r="B11411" t="s">
        <v>3833</v>
      </c>
    </row>
    <row r="11412" spans="1:2" x14ac:dyDescent="0.25">
      <c r="A11412">
        <v>30039071600</v>
      </c>
      <c r="B11412" t="s">
        <v>4116</v>
      </c>
    </row>
    <row r="11413" spans="1:2" x14ac:dyDescent="0.25">
      <c r="A11413">
        <v>30039071700</v>
      </c>
      <c r="B11413" t="s">
        <v>3928</v>
      </c>
    </row>
    <row r="11414" spans="1:2" x14ac:dyDescent="0.25">
      <c r="A11414">
        <v>30039071800</v>
      </c>
      <c r="B11414" t="s">
        <v>4011</v>
      </c>
    </row>
    <row r="11415" spans="1:2" x14ac:dyDescent="0.25">
      <c r="A11415">
        <v>30039071900</v>
      </c>
      <c r="B11415" t="s">
        <v>3929</v>
      </c>
    </row>
    <row r="11416" spans="1:2" x14ac:dyDescent="0.25">
      <c r="A11416">
        <v>30039072</v>
      </c>
      <c r="B11416" t="s">
        <v>4993</v>
      </c>
    </row>
    <row r="11417" spans="1:2" x14ac:dyDescent="0.25">
      <c r="A11417">
        <v>30039072100</v>
      </c>
      <c r="B11417" t="s">
        <v>3920</v>
      </c>
    </row>
    <row r="11418" spans="1:2" x14ac:dyDescent="0.25">
      <c r="A11418">
        <v>30039072200</v>
      </c>
      <c r="B11418" t="s">
        <v>3921</v>
      </c>
    </row>
    <row r="11419" spans="1:2" x14ac:dyDescent="0.25">
      <c r="A11419">
        <v>30039072400</v>
      </c>
      <c r="B11419" t="s">
        <v>4108</v>
      </c>
    </row>
    <row r="11420" spans="1:2" x14ac:dyDescent="0.25">
      <c r="A11420">
        <v>30039072600</v>
      </c>
      <c r="B11420" t="s">
        <v>4117</v>
      </c>
    </row>
    <row r="11421" spans="1:2" x14ac:dyDescent="0.25">
      <c r="A11421">
        <v>30039072700</v>
      </c>
      <c r="B11421" t="s">
        <v>3898</v>
      </c>
    </row>
    <row r="11422" spans="1:2" x14ac:dyDescent="0.25">
      <c r="A11422">
        <v>30039072800</v>
      </c>
      <c r="B11422" t="s">
        <v>3925</v>
      </c>
    </row>
    <row r="11423" spans="1:2" x14ac:dyDescent="0.25">
      <c r="A11423">
        <v>30039073</v>
      </c>
      <c r="B11423" t="s">
        <v>4994</v>
      </c>
    </row>
    <row r="11424" spans="1:2" x14ac:dyDescent="0.25">
      <c r="A11424">
        <v>30039073100</v>
      </c>
      <c r="B11424" t="s">
        <v>4111</v>
      </c>
    </row>
    <row r="11425" spans="1:2" x14ac:dyDescent="0.25">
      <c r="A11425">
        <v>30039073200</v>
      </c>
      <c r="B11425" t="s">
        <v>4995</v>
      </c>
    </row>
    <row r="11426" spans="1:2" x14ac:dyDescent="0.25">
      <c r="A11426">
        <v>30039073300</v>
      </c>
      <c r="B11426" t="s">
        <v>4115</v>
      </c>
    </row>
    <row r="11427" spans="1:2" x14ac:dyDescent="0.25">
      <c r="A11427">
        <v>30039073600</v>
      </c>
      <c r="B11427" t="s">
        <v>4007</v>
      </c>
    </row>
    <row r="11428" spans="1:2" x14ac:dyDescent="0.25">
      <c r="A11428">
        <v>30039073700</v>
      </c>
      <c r="B11428" t="s">
        <v>3980</v>
      </c>
    </row>
    <row r="11429" spans="1:2" x14ac:dyDescent="0.25">
      <c r="A11429">
        <v>30039073800</v>
      </c>
      <c r="B11429" t="s">
        <v>4141</v>
      </c>
    </row>
    <row r="11430" spans="1:2" x14ac:dyDescent="0.25">
      <c r="A11430">
        <v>30039074</v>
      </c>
      <c r="B11430" t="s">
        <v>4996</v>
      </c>
    </row>
    <row r="11431" spans="1:2" x14ac:dyDescent="0.25">
      <c r="A11431">
        <v>300390741</v>
      </c>
      <c r="B11431" t="s">
        <v>1157</v>
      </c>
    </row>
    <row r="11432" spans="1:2" x14ac:dyDescent="0.25">
      <c r="A11432">
        <v>30039074110</v>
      </c>
      <c r="B11432" t="s">
        <v>3878</v>
      </c>
    </row>
    <row r="11433" spans="1:2" x14ac:dyDescent="0.25">
      <c r="A11433">
        <v>300390742</v>
      </c>
      <c r="B11433" t="s">
        <v>2740</v>
      </c>
    </row>
    <row r="11434" spans="1:2" x14ac:dyDescent="0.25">
      <c r="A11434">
        <v>30039074210</v>
      </c>
      <c r="B11434" t="s">
        <v>4089</v>
      </c>
    </row>
    <row r="11435" spans="1:2" x14ac:dyDescent="0.25">
      <c r="A11435">
        <v>30039074220</v>
      </c>
      <c r="B11435" t="s">
        <v>4055</v>
      </c>
    </row>
    <row r="11436" spans="1:2" x14ac:dyDescent="0.25">
      <c r="A11436">
        <v>30039074230</v>
      </c>
      <c r="B11436" t="s">
        <v>4062</v>
      </c>
    </row>
    <row r="11437" spans="1:2" x14ac:dyDescent="0.25">
      <c r="A11437">
        <v>30039074240</v>
      </c>
      <c r="B11437" t="s">
        <v>4997</v>
      </c>
    </row>
    <row r="11438" spans="1:2" x14ac:dyDescent="0.25">
      <c r="A11438">
        <v>30039074260</v>
      </c>
      <c r="B11438" t="s">
        <v>3854</v>
      </c>
    </row>
    <row r="11439" spans="1:2" x14ac:dyDescent="0.25">
      <c r="A11439">
        <v>30039074280</v>
      </c>
      <c r="B11439" t="s">
        <v>4074</v>
      </c>
    </row>
    <row r="11440" spans="1:2" x14ac:dyDescent="0.25">
      <c r="A11440">
        <v>30039074290</v>
      </c>
      <c r="B11440" t="s">
        <v>3884</v>
      </c>
    </row>
    <row r="11441" spans="1:2" x14ac:dyDescent="0.25">
      <c r="A11441">
        <v>30039075</v>
      </c>
      <c r="B11441" t="s">
        <v>4998</v>
      </c>
    </row>
    <row r="11442" spans="1:2" x14ac:dyDescent="0.25">
      <c r="A11442">
        <v>30039075100</v>
      </c>
      <c r="B11442" t="s">
        <v>4999</v>
      </c>
    </row>
    <row r="11443" spans="1:2" x14ac:dyDescent="0.25">
      <c r="A11443">
        <v>30039075200</v>
      </c>
      <c r="B11443" t="s">
        <v>5000</v>
      </c>
    </row>
    <row r="11444" spans="1:2" x14ac:dyDescent="0.25">
      <c r="A11444">
        <v>30039075500</v>
      </c>
      <c r="B11444" t="s">
        <v>4091</v>
      </c>
    </row>
    <row r="11445" spans="1:2" x14ac:dyDescent="0.25">
      <c r="A11445">
        <v>30039075600</v>
      </c>
      <c r="B11445" t="s">
        <v>3937</v>
      </c>
    </row>
    <row r="11446" spans="1:2" x14ac:dyDescent="0.25">
      <c r="A11446">
        <v>30039076</v>
      </c>
      <c r="B11446" t="s">
        <v>5001</v>
      </c>
    </row>
    <row r="11447" spans="1:2" x14ac:dyDescent="0.25">
      <c r="A11447">
        <v>30039076100</v>
      </c>
      <c r="B11447" t="s">
        <v>5002</v>
      </c>
    </row>
    <row r="11448" spans="1:2" x14ac:dyDescent="0.25">
      <c r="A11448">
        <v>30039076200</v>
      </c>
      <c r="B11448" t="s">
        <v>5003</v>
      </c>
    </row>
    <row r="11449" spans="1:2" x14ac:dyDescent="0.25">
      <c r="A11449">
        <v>30039076400</v>
      </c>
      <c r="B11449" t="s">
        <v>3831</v>
      </c>
    </row>
    <row r="11450" spans="1:2" x14ac:dyDescent="0.25">
      <c r="A11450">
        <v>30039077</v>
      </c>
      <c r="B11450" t="s">
        <v>5004</v>
      </c>
    </row>
    <row r="11451" spans="1:2" x14ac:dyDescent="0.25">
      <c r="A11451">
        <v>30039077100</v>
      </c>
      <c r="B11451" t="s">
        <v>4014</v>
      </c>
    </row>
    <row r="11452" spans="1:2" x14ac:dyDescent="0.25">
      <c r="A11452">
        <v>30039077200</v>
      </c>
      <c r="B11452" t="s">
        <v>3982</v>
      </c>
    </row>
    <row r="11453" spans="1:2" x14ac:dyDescent="0.25">
      <c r="A11453">
        <v>30039077400</v>
      </c>
      <c r="B11453" t="s">
        <v>4107</v>
      </c>
    </row>
    <row r="11454" spans="1:2" x14ac:dyDescent="0.25">
      <c r="A11454">
        <v>30039077500</v>
      </c>
      <c r="B11454" t="s">
        <v>5005</v>
      </c>
    </row>
    <row r="11455" spans="1:2" x14ac:dyDescent="0.25">
      <c r="A11455">
        <v>30039077600</v>
      </c>
      <c r="B11455" t="s">
        <v>3922</v>
      </c>
    </row>
    <row r="11456" spans="1:2" x14ac:dyDescent="0.25">
      <c r="A11456">
        <v>30039077700</v>
      </c>
      <c r="B11456" t="s">
        <v>5006</v>
      </c>
    </row>
    <row r="11457" spans="1:2" x14ac:dyDescent="0.25">
      <c r="A11457">
        <v>30039078</v>
      </c>
      <c r="B11457" t="s">
        <v>5007</v>
      </c>
    </row>
    <row r="11458" spans="1:2" x14ac:dyDescent="0.25">
      <c r="A11458">
        <v>300390781</v>
      </c>
      <c r="B11458" t="s">
        <v>2740</v>
      </c>
    </row>
    <row r="11459" spans="1:2" x14ac:dyDescent="0.25">
      <c r="A11459">
        <v>30039078110</v>
      </c>
      <c r="B11459" t="s">
        <v>5008</v>
      </c>
    </row>
    <row r="11460" spans="1:2" x14ac:dyDescent="0.25">
      <c r="A11460">
        <v>30039078120</v>
      </c>
      <c r="B11460" t="s">
        <v>5009</v>
      </c>
    </row>
    <row r="11461" spans="1:2" x14ac:dyDescent="0.25">
      <c r="A11461">
        <v>30039078200</v>
      </c>
      <c r="B11461" t="s">
        <v>5010</v>
      </c>
    </row>
    <row r="11462" spans="1:2" x14ac:dyDescent="0.25">
      <c r="A11462">
        <v>30039078300</v>
      </c>
      <c r="B11462" t="s">
        <v>5011</v>
      </c>
    </row>
    <row r="11463" spans="1:2" x14ac:dyDescent="0.25">
      <c r="A11463">
        <v>30039078400</v>
      </c>
      <c r="B11463" t="s">
        <v>5012</v>
      </c>
    </row>
    <row r="11464" spans="1:2" x14ac:dyDescent="0.25">
      <c r="A11464">
        <v>30039078600</v>
      </c>
      <c r="B11464" t="s">
        <v>5013</v>
      </c>
    </row>
    <row r="11465" spans="1:2" x14ac:dyDescent="0.25">
      <c r="A11465">
        <v>300390787</v>
      </c>
      <c r="B11465" t="s">
        <v>5014</v>
      </c>
    </row>
    <row r="11466" spans="1:2" x14ac:dyDescent="0.25">
      <c r="A11466">
        <v>30039078720</v>
      </c>
      <c r="B11466" t="s">
        <v>5015</v>
      </c>
    </row>
    <row r="11467" spans="1:2" x14ac:dyDescent="0.25">
      <c r="A11467">
        <v>30039078730</v>
      </c>
      <c r="B11467" t="s">
        <v>5016</v>
      </c>
    </row>
    <row r="11468" spans="1:2" x14ac:dyDescent="0.25">
      <c r="A11468">
        <v>30039078740</v>
      </c>
      <c r="B11468" t="s">
        <v>5017</v>
      </c>
    </row>
    <row r="11469" spans="1:2" x14ac:dyDescent="0.25">
      <c r="A11469">
        <v>30039078750</v>
      </c>
      <c r="B11469" t="s">
        <v>5018</v>
      </c>
    </row>
    <row r="11470" spans="1:2" x14ac:dyDescent="0.25">
      <c r="A11470">
        <v>30039078760</v>
      </c>
      <c r="B11470" t="s">
        <v>5019</v>
      </c>
    </row>
    <row r="11471" spans="1:2" x14ac:dyDescent="0.25">
      <c r="A11471">
        <v>30039078770</v>
      </c>
      <c r="B11471" t="s">
        <v>5020</v>
      </c>
    </row>
    <row r="11472" spans="1:2" x14ac:dyDescent="0.25">
      <c r="A11472">
        <v>30039078780</v>
      </c>
      <c r="B11472" t="s">
        <v>5021</v>
      </c>
    </row>
    <row r="11473" spans="1:2" x14ac:dyDescent="0.25">
      <c r="A11473">
        <v>30039078790</v>
      </c>
      <c r="B11473" t="s">
        <v>5022</v>
      </c>
    </row>
    <row r="11474" spans="1:2" x14ac:dyDescent="0.25">
      <c r="A11474">
        <v>300390788</v>
      </c>
      <c r="B11474" t="s">
        <v>5023</v>
      </c>
    </row>
    <row r="11475" spans="1:2" x14ac:dyDescent="0.25">
      <c r="A11475">
        <v>3003907881</v>
      </c>
      <c r="B11475" t="s">
        <v>5024</v>
      </c>
    </row>
    <row r="11476" spans="1:2" x14ac:dyDescent="0.25">
      <c r="A11476">
        <v>30039078811</v>
      </c>
      <c r="B11476" t="s">
        <v>5025</v>
      </c>
    </row>
    <row r="11477" spans="1:2" x14ac:dyDescent="0.25">
      <c r="A11477">
        <v>30039078812</v>
      </c>
      <c r="B11477" t="s">
        <v>5026</v>
      </c>
    </row>
    <row r="11478" spans="1:2" x14ac:dyDescent="0.25">
      <c r="A11478">
        <v>30039078813</v>
      </c>
      <c r="B11478" t="s">
        <v>5027</v>
      </c>
    </row>
    <row r="11479" spans="1:2" x14ac:dyDescent="0.25">
      <c r="A11479">
        <v>30039078814</v>
      </c>
      <c r="B11479" t="s">
        <v>5028</v>
      </c>
    </row>
    <row r="11480" spans="1:2" x14ac:dyDescent="0.25">
      <c r="A11480">
        <v>30039078815</v>
      </c>
      <c r="B11480" t="s">
        <v>5029</v>
      </c>
    </row>
    <row r="11481" spans="1:2" x14ac:dyDescent="0.25">
      <c r="A11481">
        <v>30039078816</v>
      </c>
      <c r="B11481" t="s">
        <v>5030</v>
      </c>
    </row>
    <row r="11482" spans="1:2" x14ac:dyDescent="0.25">
      <c r="A11482">
        <v>30039078817</v>
      </c>
      <c r="B11482" t="s">
        <v>5031</v>
      </c>
    </row>
    <row r="11483" spans="1:2" x14ac:dyDescent="0.25">
      <c r="A11483">
        <v>30039078818</v>
      </c>
      <c r="B11483" t="s">
        <v>5032</v>
      </c>
    </row>
    <row r="11484" spans="1:2" x14ac:dyDescent="0.25">
      <c r="A11484">
        <v>30039078819</v>
      </c>
      <c r="B11484" t="s">
        <v>5033</v>
      </c>
    </row>
    <row r="11485" spans="1:2" x14ac:dyDescent="0.25">
      <c r="A11485">
        <v>30039078820</v>
      </c>
      <c r="B11485" t="s">
        <v>5034</v>
      </c>
    </row>
    <row r="11486" spans="1:2" x14ac:dyDescent="0.25">
      <c r="A11486">
        <v>30039079</v>
      </c>
      <c r="B11486" t="s">
        <v>10</v>
      </c>
    </row>
    <row r="11487" spans="1:2" x14ac:dyDescent="0.25">
      <c r="A11487">
        <v>300390791</v>
      </c>
      <c r="B11487" t="s">
        <v>4769</v>
      </c>
    </row>
    <row r="11488" spans="1:2" x14ac:dyDescent="0.25">
      <c r="A11488">
        <v>30039079110</v>
      </c>
      <c r="B11488" t="s">
        <v>5035</v>
      </c>
    </row>
    <row r="11489" spans="1:2" x14ac:dyDescent="0.25">
      <c r="A11489">
        <v>30039079120</v>
      </c>
      <c r="B11489" t="s">
        <v>5036</v>
      </c>
    </row>
    <row r="11490" spans="1:2" x14ac:dyDescent="0.25">
      <c r="A11490">
        <v>30039079130</v>
      </c>
      <c r="B11490" t="s">
        <v>5037</v>
      </c>
    </row>
    <row r="11491" spans="1:2" x14ac:dyDescent="0.25">
      <c r="A11491">
        <v>30039079140</v>
      </c>
      <c r="B11491" t="s">
        <v>5038</v>
      </c>
    </row>
    <row r="11492" spans="1:2" x14ac:dyDescent="0.25">
      <c r="A11492">
        <v>30039079150</v>
      </c>
      <c r="B11492" t="s">
        <v>5039</v>
      </c>
    </row>
    <row r="11493" spans="1:2" x14ac:dyDescent="0.25">
      <c r="A11493">
        <v>30039079190</v>
      </c>
      <c r="B11493" t="s">
        <v>10</v>
      </c>
    </row>
    <row r="11494" spans="1:2" x14ac:dyDescent="0.25">
      <c r="A11494">
        <v>300390792</v>
      </c>
      <c r="B11494" t="s">
        <v>5040</v>
      </c>
    </row>
    <row r="11495" spans="1:2" x14ac:dyDescent="0.25">
      <c r="A11495">
        <v>3003907921</v>
      </c>
      <c r="B11495" t="s">
        <v>5041</v>
      </c>
    </row>
    <row r="11496" spans="1:2" x14ac:dyDescent="0.25">
      <c r="A11496">
        <v>30039079211</v>
      </c>
      <c r="B11496" t="s">
        <v>3872</v>
      </c>
    </row>
    <row r="11497" spans="1:2" x14ac:dyDescent="0.25">
      <c r="A11497">
        <v>30039079212</v>
      </c>
      <c r="B11497" t="s">
        <v>3865</v>
      </c>
    </row>
    <row r="11498" spans="1:2" x14ac:dyDescent="0.25">
      <c r="A11498">
        <v>30039079213</v>
      </c>
      <c r="B11498" t="s">
        <v>5042</v>
      </c>
    </row>
    <row r="11499" spans="1:2" x14ac:dyDescent="0.25">
      <c r="A11499">
        <v>30039079214</v>
      </c>
      <c r="B11499" t="s">
        <v>5043</v>
      </c>
    </row>
    <row r="11500" spans="1:2" x14ac:dyDescent="0.25">
      <c r="A11500">
        <v>30039079215</v>
      </c>
      <c r="B11500" t="s">
        <v>3873</v>
      </c>
    </row>
    <row r="11501" spans="1:2" x14ac:dyDescent="0.25">
      <c r="A11501">
        <v>30039079216</v>
      </c>
      <c r="B11501" t="s">
        <v>5044</v>
      </c>
    </row>
    <row r="11502" spans="1:2" x14ac:dyDescent="0.25">
      <c r="A11502">
        <v>30039079217</v>
      </c>
      <c r="B11502" t="s">
        <v>5045</v>
      </c>
    </row>
    <row r="11503" spans="1:2" x14ac:dyDescent="0.25">
      <c r="A11503">
        <v>30039079218</v>
      </c>
      <c r="B11503" t="s">
        <v>5046</v>
      </c>
    </row>
    <row r="11504" spans="1:2" x14ac:dyDescent="0.25">
      <c r="A11504">
        <v>30039079219</v>
      </c>
      <c r="B11504" t="s">
        <v>5047</v>
      </c>
    </row>
    <row r="11505" spans="1:2" x14ac:dyDescent="0.25">
      <c r="A11505">
        <v>3003907922</v>
      </c>
      <c r="B11505" t="s">
        <v>5048</v>
      </c>
    </row>
    <row r="11506" spans="1:2" x14ac:dyDescent="0.25">
      <c r="A11506">
        <v>30039079221</v>
      </c>
      <c r="B11506" t="s">
        <v>5049</v>
      </c>
    </row>
    <row r="11507" spans="1:2" x14ac:dyDescent="0.25">
      <c r="A11507">
        <v>30039079222</v>
      </c>
      <c r="B11507" t="s">
        <v>5050</v>
      </c>
    </row>
    <row r="11508" spans="1:2" x14ac:dyDescent="0.25">
      <c r="A11508">
        <v>30039079223</v>
      </c>
      <c r="B11508" t="s">
        <v>5051</v>
      </c>
    </row>
    <row r="11509" spans="1:2" x14ac:dyDescent="0.25">
      <c r="A11509">
        <v>30039079224</v>
      </c>
      <c r="B11509" t="s">
        <v>5052</v>
      </c>
    </row>
    <row r="11510" spans="1:2" x14ac:dyDescent="0.25">
      <c r="A11510">
        <v>30039079225</v>
      </c>
      <c r="B11510" t="s">
        <v>5053</v>
      </c>
    </row>
    <row r="11511" spans="1:2" x14ac:dyDescent="0.25">
      <c r="A11511">
        <v>30039079226</v>
      </c>
      <c r="B11511" t="s">
        <v>5054</v>
      </c>
    </row>
    <row r="11512" spans="1:2" x14ac:dyDescent="0.25">
      <c r="A11512">
        <v>30039079227</v>
      </c>
      <c r="B11512" t="s">
        <v>5055</v>
      </c>
    </row>
    <row r="11513" spans="1:2" x14ac:dyDescent="0.25">
      <c r="A11513">
        <v>30039079228</v>
      </c>
      <c r="B11513" t="s">
        <v>5056</v>
      </c>
    </row>
    <row r="11514" spans="1:2" x14ac:dyDescent="0.25">
      <c r="A11514">
        <v>30039079229</v>
      </c>
      <c r="B11514" t="s">
        <v>5057</v>
      </c>
    </row>
    <row r="11515" spans="1:2" x14ac:dyDescent="0.25">
      <c r="A11515">
        <v>3003907923</v>
      </c>
      <c r="B11515" t="s">
        <v>5058</v>
      </c>
    </row>
    <row r="11516" spans="1:2" x14ac:dyDescent="0.25">
      <c r="A11516">
        <v>30039079231</v>
      </c>
      <c r="B11516" t="s">
        <v>5059</v>
      </c>
    </row>
    <row r="11517" spans="1:2" x14ac:dyDescent="0.25">
      <c r="A11517">
        <v>30039079232</v>
      </c>
      <c r="B11517" t="s">
        <v>5060</v>
      </c>
    </row>
    <row r="11518" spans="1:2" x14ac:dyDescent="0.25">
      <c r="A11518">
        <v>30039079233</v>
      </c>
      <c r="B11518" t="s">
        <v>5061</v>
      </c>
    </row>
    <row r="11519" spans="1:2" x14ac:dyDescent="0.25">
      <c r="A11519">
        <v>30039079234</v>
      </c>
      <c r="B11519" t="s">
        <v>5062</v>
      </c>
    </row>
    <row r="11520" spans="1:2" x14ac:dyDescent="0.25">
      <c r="A11520">
        <v>30039079235</v>
      </c>
      <c r="B11520" t="s">
        <v>5063</v>
      </c>
    </row>
    <row r="11521" spans="1:2" x14ac:dyDescent="0.25">
      <c r="A11521">
        <v>30039079236</v>
      </c>
      <c r="B11521" t="s">
        <v>4066</v>
      </c>
    </row>
    <row r="11522" spans="1:2" x14ac:dyDescent="0.25">
      <c r="A11522">
        <v>30039079237</v>
      </c>
      <c r="B11522" t="s">
        <v>5064</v>
      </c>
    </row>
    <row r="11523" spans="1:2" x14ac:dyDescent="0.25">
      <c r="A11523">
        <v>30039079238</v>
      </c>
      <c r="B11523" t="s">
        <v>5065</v>
      </c>
    </row>
    <row r="11524" spans="1:2" x14ac:dyDescent="0.25">
      <c r="A11524">
        <v>3003907924</v>
      </c>
      <c r="B11524" t="s">
        <v>5066</v>
      </c>
    </row>
    <row r="11525" spans="1:2" x14ac:dyDescent="0.25">
      <c r="A11525">
        <v>30039079241</v>
      </c>
      <c r="B11525" t="s">
        <v>5067</v>
      </c>
    </row>
    <row r="11526" spans="1:2" x14ac:dyDescent="0.25">
      <c r="A11526">
        <v>30039079242</v>
      </c>
      <c r="B11526" t="s">
        <v>3887</v>
      </c>
    </row>
    <row r="11527" spans="1:2" x14ac:dyDescent="0.25">
      <c r="A11527">
        <v>30039079243</v>
      </c>
      <c r="B11527" t="s">
        <v>5068</v>
      </c>
    </row>
    <row r="11528" spans="1:2" x14ac:dyDescent="0.25">
      <c r="A11528">
        <v>30039079244</v>
      </c>
      <c r="B11528" t="s">
        <v>5069</v>
      </c>
    </row>
    <row r="11529" spans="1:2" x14ac:dyDescent="0.25">
      <c r="A11529">
        <v>30039079245</v>
      </c>
      <c r="B11529" t="s">
        <v>5070</v>
      </c>
    </row>
    <row r="11530" spans="1:2" x14ac:dyDescent="0.25">
      <c r="A11530">
        <v>30039079246</v>
      </c>
      <c r="B11530" t="s">
        <v>5071</v>
      </c>
    </row>
    <row r="11531" spans="1:2" x14ac:dyDescent="0.25">
      <c r="A11531">
        <v>30039079247</v>
      </c>
      <c r="B11531" t="s">
        <v>5072</v>
      </c>
    </row>
    <row r="11532" spans="1:2" x14ac:dyDescent="0.25">
      <c r="A11532">
        <v>30039079248</v>
      </c>
      <c r="B11532" t="s">
        <v>5073</v>
      </c>
    </row>
    <row r="11533" spans="1:2" x14ac:dyDescent="0.25">
      <c r="A11533">
        <v>30039079249</v>
      </c>
      <c r="B11533" t="s">
        <v>5074</v>
      </c>
    </row>
    <row r="11534" spans="1:2" x14ac:dyDescent="0.25">
      <c r="A11534">
        <v>3003907925</v>
      </c>
      <c r="B11534" t="s">
        <v>5075</v>
      </c>
    </row>
    <row r="11535" spans="1:2" x14ac:dyDescent="0.25">
      <c r="A11535">
        <v>30039079251</v>
      </c>
      <c r="B11535" t="s">
        <v>5076</v>
      </c>
    </row>
    <row r="11536" spans="1:2" x14ac:dyDescent="0.25">
      <c r="A11536">
        <v>30039079252</v>
      </c>
      <c r="B11536" t="s">
        <v>5077</v>
      </c>
    </row>
    <row r="11537" spans="1:2" x14ac:dyDescent="0.25">
      <c r="A11537">
        <v>30039079253</v>
      </c>
      <c r="B11537" t="s">
        <v>5078</v>
      </c>
    </row>
    <row r="11538" spans="1:2" x14ac:dyDescent="0.25">
      <c r="A11538">
        <v>30039079254</v>
      </c>
      <c r="B11538" t="s">
        <v>5079</v>
      </c>
    </row>
    <row r="11539" spans="1:2" x14ac:dyDescent="0.25">
      <c r="A11539">
        <v>30039079255</v>
      </c>
      <c r="B11539" t="s">
        <v>5080</v>
      </c>
    </row>
    <row r="11540" spans="1:2" x14ac:dyDescent="0.25">
      <c r="A11540">
        <v>30039079256</v>
      </c>
      <c r="B11540" t="s">
        <v>5081</v>
      </c>
    </row>
    <row r="11541" spans="1:2" x14ac:dyDescent="0.25">
      <c r="A11541">
        <v>30039079257</v>
      </c>
      <c r="B11541" t="s">
        <v>4048</v>
      </c>
    </row>
    <row r="11542" spans="1:2" x14ac:dyDescent="0.25">
      <c r="A11542">
        <v>30039079258</v>
      </c>
      <c r="B11542" t="s">
        <v>5082</v>
      </c>
    </row>
    <row r="11543" spans="1:2" x14ac:dyDescent="0.25">
      <c r="A11543">
        <v>30039079259</v>
      </c>
      <c r="B11543" t="s">
        <v>5083</v>
      </c>
    </row>
    <row r="11544" spans="1:2" x14ac:dyDescent="0.25">
      <c r="A11544">
        <v>3003907926</v>
      </c>
      <c r="B11544" t="s">
        <v>5084</v>
      </c>
    </row>
    <row r="11545" spans="1:2" x14ac:dyDescent="0.25">
      <c r="A11545">
        <v>30039079261</v>
      </c>
      <c r="B11545" t="s">
        <v>5085</v>
      </c>
    </row>
    <row r="11546" spans="1:2" x14ac:dyDescent="0.25">
      <c r="A11546">
        <v>30039079262</v>
      </c>
      <c r="B11546" t="s">
        <v>5086</v>
      </c>
    </row>
    <row r="11547" spans="1:2" x14ac:dyDescent="0.25">
      <c r="A11547">
        <v>30039079263</v>
      </c>
      <c r="B11547" t="s">
        <v>4056</v>
      </c>
    </row>
    <row r="11548" spans="1:2" x14ac:dyDescent="0.25">
      <c r="A11548">
        <v>30039079264</v>
      </c>
      <c r="B11548" t="s">
        <v>4047</v>
      </c>
    </row>
    <row r="11549" spans="1:2" x14ac:dyDescent="0.25">
      <c r="A11549">
        <v>30039079265</v>
      </c>
      <c r="B11549" t="s">
        <v>4057</v>
      </c>
    </row>
    <row r="11550" spans="1:2" x14ac:dyDescent="0.25">
      <c r="A11550">
        <v>30039079266</v>
      </c>
      <c r="B11550" t="s">
        <v>5087</v>
      </c>
    </row>
    <row r="11551" spans="1:2" x14ac:dyDescent="0.25">
      <c r="A11551">
        <v>30039079267</v>
      </c>
      <c r="B11551" t="s">
        <v>5088</v>
      </c>
    </row>
    <row r="11552" spans="1:2" x14ac:dyDescent="0.25">
      <c r="A11552">
        <v>30039079268</v>
      </c>
      <c r="B11552" t="s">
        <v>4061</v>
      </c>
    </row>
    <row r="11553" spans="1:2" x14ac:dyDescent="0.25">
      <c r="A11553">
        <v>30039079269</v>
      </c>
      <c r="B11553" t="s">
        <v>5089</v>
      </c>
    </row>
    <row r="11554" spans="1:2" x14ac:dyDescent="0.25">
      <c r="A11554">
        <v>3003907927</v>
      </c>
      <c r="B11554" t="s">
        <v>5090</v>
      </c>
    </row>
    <row r="11555" spans="1:2" x14ac:dyDescent="0.25">
      <c r="A11555">
        <v>30039079271</v>
      </c>
      <c r="B11555" t="s">
        <v>5091</v>
      </c>
    </row>
    <row r="11556" spans="1:2" x14ac:dyDescent="0.25">
      <c r="A11556">
        <v>30039079272</v>
      </c>
      <c r="B11556" t="s">
        <v>4065</v>
      </c>
    </row>
    <row r="11557" spans="1:2" x14ac:dyDescent="0.25">
      <c r="A11557">
        <v>30039079273</v>
      </c>
      <c r="B11557" t="s">
        <v>4067</v>
      </c>
    </row>
    <row r="11558" spans="1:2" x14ac:dyDescent="0.25">
      <c r="A11558">
        <v>30039079274</v>
      </c>
      <c r="B11558" t="s">
        <v>4068</v>
      </c>
    </row>
    <row r="11559" spans="1:2" x14ac:dyDescent="0.25">
      <c r="A11559">
        <v>30039079275</v>
      </c>
      <c r="B11559" t="s">
        <v>5092</v>
      </c>
    </row>
    <row r="11560" spans="1:2" x14ac:dyDescent="0.25">
      <c r="A11560">
        <v>30039079276</v>
      </c>
      <c r="B11560" t="s">
        <v>4070</v>
      </c>
    </row>
    <row r="11561" spans="1:2" x14ac:dyDescent="0.25">
      <c r="A11561">
        <v>30039079277</v>
      </c>
      <c r="B11561" t="s">
        <v>4071</v>
      </c>
    </row>
    <row r="11562" spans="1:2" x14ac:dyDescent="0.25">
      <c r="A11562">
        <v>30039079278</v>
      </c>
      <c r="B11562" t="s">
        <v>4072</v>
      </c>
    </row>
    <row r="11563" spans="1:2" x14ac:dyDescent="0.25">
      <c r="A11563">
        <v>30039079279</v>
      </c>
      <c r="B11563" t="s">
        <v>4075</v>
      </c>
    </row>
    <row r="11564" spans="1:2" x14ac:dyDescent="0.25">
      <c r="A11564">
        <v>3003907928</v>
      </c>
      <c r="B11564" t="s">
        <v>5093</v>
      </c>
    </row>
    <row r="11565" spans="1:2" x14ac:dyDescent="0.25">
      <c r="A11565">
        <v>30039079281</v>
      </c>
      <c r="B11565" t="s">
        <v>5094</v>
      </c>
    </row>
    <row r="11566" spans="1:2" x14ac:dyDescent="0.25">
      <c r="A11566">
        <v>30039079282</v>
      </c>
      <c r="B11566" t="s">
        <v>4078</v>
      </c>
    </row>
    <row r="11567" spans="1:2" x14ac:dyDescent="0.25">
      <c r="A11567">
        <v>30039079283</v>
      </c>
      <c r="B11567" t="s">
        <v>4079</v>
      </c>
    </row>
    <row r="11568" spans="1:2" x14ac:dyDescent="0.25">
      <c r="A11568">
        <v>30039079284</v>
      </c>
      <c r="B11568" t="s">
        <v>5095</v>
      </c>
    </row>
    <row r="11569" spans="1:2" x14ac:dyDescent="0.25">
      <c r="A11569">
        <v>30039079285</v>
      </c>
      <c r="B11569" t="s">
        <v>4083</v>
      </c>
    </row>
    <row r="11570" spans="1:2" x14ac:dyDescent="0.25">
      <c r="A11570">
        <v>30039079286</v>
      </c>
      <c r="B11570" t="s">
        <v>4085</v>
      </c>
    </row>
    <row r="11571" spans="1:2" x14ac:dyDescent="0.25">
      <c r="A11571">
        <v>30039079287</v>
      </c>
      <c r="B11571" t="s">
        <v>5096</v>
      </c>
    </row>
    <row r="11572" spans="1:2" x14ac:dyDescent="0.25">
      <c r="A11572">
        <v>30039079288</v>
      </c>
      <c r="B11572" t="s">
        <v>4087</v>
      </c>
    </row>
    <row r="11573" spans="1:2" x14ac:dyDescent="0.25">
      <c r="A11573">
        <v>30039079289</v>
      </c>
      <c r="B11573" t="s">
        <v>4088</v>
      </c>
    </row>
    <row r="11574" spans="1:2" x14ac:dyDescent="0.25">
      <c r="A11574">
        <v>3003907929</v>
      </c>
      <c r="B11574" t="s">
        <v>10</v>
      </c>
    </row>
    <row r="11575" spans="1:2" x14ac:dyDescent="0.25">
      <c r="A11575">
        <v>30039079291</v>
      </c>
      <c r="B11575" t="s">
        <v>5097</v>
      </c>
    </row>
    <row r="11576" spans="1:2" x14ac:dyDescent="0.25">
      <c r="A11576">
        <v>30039079292</v>
      </c>
      <c r="B11576" t="s">
        <v>5098</v>
      </c>
    </row>
    <row r="11577" spans="1:2" x14ac:dyDescent="0.25">
      <c r="A11577">
        <v>30039079293</v>
      </c>
      <c r="B11577" t="s">
        <v>4049</v>
      </c>
    </row>
    <row r="11578" spans="1:2" x14ac:dyDescent="0.25">
      <c r="A11578">
        <v>30039079294</v>
      </c>
      <c r="B11578" t="s">
        <v>4084</v>
      </c>
    </row>
    <row r="11579" spans="1:2" x14ac:dyDescent="0.25">
      <c r="A11579">
        <v>30039079295</v>
      </c>
      <c r="B11579" t="s">
        <v>5099</v>
      </c>
    </row>
    <row r="11580" spans="1:2" x14ac:dyDescent="0.25">
      <c r="A11580">
        <v>30039079296</v>
      </c>
      <c r="B11580" t="s">
        <v>5100</v>
      </c>
    </row>
    <row r="11581" spans="1:2" x14ac:dyDescent="0.25">
      <c r="A11581">
        <v>30039079297</v>
      </c>
      <c r="B11581" t="s">
        <v>4063</v>
      </c>
    </row>
    <row r="11582" spans="1:2" x14ac:dyDescent="0.25">
      <c r="A11582">
        <v>30039079299</v>
      </c>
      <c r="B11582" t="s">
        <v>10</v>
      </c>
    </row>
    <row r="11583" spans="1:2" x14ac:dyDescent="0.25">
      <c r="A11583">
        <v>300390793</v>
      </c>
      <c r="B11583" t="s">
        <v>4785</v>
      </c>
    </row>
    <row r="11584" spans="1:2" x14ac:dyDescent="0.25">
      <c r="A11584">
        <v>30039079310</v>
      </c>
      <c r="B11584" t="s">
        <v>5101</v>
      </c>
    </row>
    <row r="11585" spans="1:2" x14ac:dyDescent="0.25">
      <c r="A11585">
        <v>30039079320</v>
      </c>
      <c r="B11585" t="s">
        <v>5102</v>
      </c>
    </row>
    <row r="11586" spans="1:2" x14ac:dyDescent="0.25">
      <c r="A11586">
        <v>30039079330</v>
      </c>
      <c r="B11586" t="s">
        <v>5103</v>
      </c>
    </row>
    <row r="11587" spans="1:2" x14ac:dyDescent="0.25">
      <c r="A11587">
        <v>30039079340</v>
      </c>
      <c r="B11587" t="s">
        <v>5104</v>
      </c>
    </row>
    <row r="11588" spans="1:2" x14ac:dyDescent="0.25">
      <c r="A11588">
        <v>30039079350</v>
      </c>
      <c r="B11588" t="s">
        <v>5105</v>
      </c>
    </row>
    <row r="11589" spans="1:2" x14ac:dyDescent="0.25">
      <c r="A11589">
        <v>30039079360</v>
      </c>
      <c r="B11589" t="s">
        <v>5106</v>
      </c>
    </row>
    <row r="11590" spans="1:2" x14ac:dyDescent="0.25">
      <c r="A11590">
        <v>30039079370</v>
      </c>
      <c r="B11590" t="s">
        <v>5107</v>
      </c>
    </row>
    <row r="11591" spans="1:2" x14ac:dyDescent="0.25">
      <c r="A11591">
        <v>3003907939</v>
      </c>
      <c r="B11591" t="s">
        <v>10</v>
      </c>
    </row>
    <row r="11592" spans="1:2" x14ac:dyDescent="0.25">
      <c r="A11592">
        <v>30039079391</v>
      </c>
      <c r="B11592" t="s">
        <v>5108</v>
      </c>
    </row>
    <row r="11593" spans="1:2" x14ac:dyDescent="0.25">
      <c r="A11593">
        <v>30039079392</v>
      </c>
      <c r="B11593" t="s">
        <v>5109</v>
      </c>
    </row>
    <row r="11594" spans="1:2" x14ac:dyDescent="0.25">
      <c r="A11594">
        <v>30039079399</v>
      </c>
      <c r="B11594" t="s">
        <v>10</v>
      </c>
    </row>
    <row r="11595" spans="1:2" x14ac:dyDescent="0.25">
      <c r="A11595">
        <v>300390794</v>
      </c>
      <c r="B11595" t="s">
        <v>4791</v>
      </c>
    </row>
    <row r="11596" spans="1:2" x14ac:dyDescent="0.25">
      <c r="A11596">
        <v>3003907941</v>
      </c>
      <c r="B11596" t="s">
        <v>5110</v>
      </c>
    </row>
    <row r="11597" spans="1:2" x14ac:dyDescent="0.25">
      <c r="A11597">
        <v>30039079411</v>
      </c>
      <c r="B11597" t="s">
        <v>3862</v>
      </c>
    </row>
    <row r="11598" spans="1:2" x14ac:dyDescent="0.25">
      <c r="A11598">
        <v>30039079412</v>
      </c>
      <c r="B11598" t="s">
        <v>5111</v>
      </c>
    </row>
    <row r="11599" spans="1:2" x14ac:dyDescent="0.25">
      <c r="A11599">
        <v>30039079413</v>
      </c>
      <c r="B11599" t="s">
        <v>3866</v>
      </c>
    </row>
    <row r="11600" spans="1:2" x14ac:dyDescent="0.25">
      <c r="A11600">
        <v>30039079414</v>
      </c>
      <c r="B11600" t="s">
        <v>5112</v>
      </c>
    </row>
    <row r="11601" spans="1:2" x14ac:dyDescent="0.25">
      <c r="A11601">
        <v>30039079415</v>
      </c>
      <c r="B11601" t="s">
        <v>3860</v>
      </c>
    </row>
    <row r="11602" spans="1:2" x14ac:dyDescent="0.25">
      <c r="A11602">
        <v>30039079416</v>
      </c>
      <c r="B11602" t="s">
        <v>3851</v>
      </c>
    </row>
    <row r="11603" spans="1:2" x14ac:dyDescent="0.25">
      <c r="A11603">
        <v>30039079417</v>
      </c>
      <c r="B11603" t="s">
        <v>5113</v>
      </c>
    </row>
    <row r="11604" spans="1:2" x14ac:dyDescent="0.25">
      <c r="A11604">
        <v>30039079418</v>
      </c>
      <c r="B11604" t="s">
        <v>5114</v>
      </c>
    </row>
    <row r="11605" spans="1:2" x14ac:dyDescent="0.25">
      <c r="A11605">
        <v>30039079419</v>
      </c>
      <c r="B11605" t="s">
        <v>5115</v>
      </c>
    </row>
    <row r="11606" spans="1:2" x14ac:dyDescent="0.25">
      <c r="A11606">
        <v>3003907942</v>
      </c>
      <c r="B11606" t="s">
        <v>5116</v>
      </c>
    </row>
    <row r="11607" spans="1:2" x14ac:dyDescent="0.25">
      <c r="A11607">
        <v>30039079421</v>
      </c>
      <c r="B11607" t="s">
        <v>3859</v>
      </c>
    </row>
    <row r="11608" spans="1:2" x14ac:dyDescent="0.25">
      <c r="A11608">
        <v>30039079422</v>
      </c>
      <c r="B11608" t="s">
        <v>5117</v>
      </c>
    </row>
    <row r="11609" spans="1:2" x14ac:dyDescent="0.25">
      <c r="A11609">
        <v>30039079423</v>
      </c>
      <c r="B11609" t="s">
        <v>5118</v>
      </c>
    </row>
    <row r="11610" spans="1:2" x14ac:dyDescent="0.25">
      <c r="A11610">
        <v>30039079424</v>
      </c>
      <c r="B11610" t="s">
        <v>5119</v>
      </c>
    </row>
    <row r="11611" spans="1:2" x14ac:dyDescent="0.25">
      <c r="A11611">
        <v>30039079425</v>
      </c>
      <c r="B11611" t="s">
        <v>5120</v>
      </c>
    </row>
    <row r="11612" spans="1:2" x14ac:dyDescent="0.25">
      <c r="A11612">
        <v>30039079426</v>
      </c>
      <c r="B11612" t="s">
        <v>3882</v>
      </c>
    </row>
    <row r="11613" spans="1:2" x14ac:dyDescent="0.25">
      <c r="A11613">
        <v>30039079427</v>
      </c>
      <c r="B11613" t="s">
        <v>3863</v>
      </c>
    </row>
    <row r="11614" spans="1:2" x14ac:dyDescent="0.25">
      <c r="A11614">
        <v>30039079428</v>
      </c>
      <c r="B11614" t="s">
        <v>5121</v>
      </c>
    </row>
    <row r="11615" spans="1:2" x14ac:dyDescent="0.25">
      <c r="A11615">
        <v>30039079429</v>
      </c>
      <c r="B11615" t="s">
        <v>5122</v>
      </c>
    </row>
    <row r="11616" spans="1:2" x14ac:dyDescent="0.25">
      <c r="A11616">
        <v>3003907943</v>
      </c>
      <c r="B11616" t="s">
        <v>5123</v>
      </c>
    </row>
    <row r="11617" spans="1:2" x14ac:dyDescent="0.25">
      <c r="A11617">
        <v>30039079431</v>
      </c>
      <c r="B11617" t="s">
        <v>5124</v>
      </c>
    </row>
    <row r="11618" spans="1:2" x14ac:dyDescent="0.25">
      <c r="A11618">
        <v>30039079432</v>
      </c>
      <c r="B11618" t="s">
        <v>3880</v>
      </c>
    </row>
    <row r="11619" spans="1:2" x14ac:dyDescent="0.25">
      <c r="A11619">
        <v>30039079433</v>
      </c>
      <c r="B11619" t="s">
        <v>5125</v>
      </c>
    </row>
    <row r="11620" spans="1:2" x14ac:dyDescent="0.25">
      <c r="A11620">
        <v>30039079434</v>
      </c>
      <c r="B11620" t="s">
        <v>5126</v>
      </c>
    </row>
    <row r="11621" spans="1:2" x14ac:dyDescent="0.25">
      <c r="A11621">
        <v>30039079435</v>
      </c>
      <c r="B11621" t="s">
        <v>5127</v>
      </c>
    </row>
    <row r="11622" spans="1:2" x14ac:dyDescent="0.25">
      <c r="A11622">
        <v>30039079436</v>
      </c>
      <c r="B11622" t="s">
        <v>5128</v>
      </c>
    </row>
    <row r="11623" spans="1:2" x14ac:dyDescent="0.25">
      <c r="A11623">
        <v>30039079437</v>
      </c>
      <c r="B11623" t="s">
        <v>5129</v>
      </c>
    </row>
    <row r="11624" spans="1:2" x14ac:dyDescent="0.25">
      <c r="A11624">
        <v>30039079438</v>
      </c>
      <c r="B11624" t="s">
        <v>5130</v>
      </c>
    </row>
    <row r="11625" spans="1:2" x14ac:dyDescent="0.25">
      <c r="A11625">
        <v>30039079439</v>
      </c>
      <c r="B11625" t="s">
        <v>5131</v>
      </c>
    </row>
    <row r="11626" spans="1:2" x14ac:dyDescent="0.25">
      <c r="A11626">
        <v>3003907944</v>
      </c>
      <c r="B11626" t="s">
        <v>5132</v>
      </c>
    </row>
    <row r="11627" spans="1:2" x14ac:dyDescent="0.25">
      <c r="A11627">
        <v>30039079441</v>
      </c>
      <c r="B11627" t="s">
        <v>5133</v>
      </c>
    </row>
    <row r="11628" spans="1:2" x14ac:dyDescent="0.25">
      <c r="A11628">
        <v>30039079442</v>
      </c>
      <c r="B11628" t="s">
        <v>5134</v>
      </c>
    </row>
    <row r="11629" spans="1:2" x14ac:dyDescent="0.25">
      <c r="A11629">
        <v>30039079443</v>
      </c>
      <c r="B11629" t="s">
        <v>5135</v>
      </c>
    </row>
    <row r="11630" spans="1:2" x14ac:dyDescent="0.25">
      <c r="A11630">
        <v>30039079444</v>
      </c>
      <c r="B11630" t="s">
        <v>5136</v>
      </c>
    </row>
    <row r="11631" spans="1:2" x14ac:dyDescent="0.25">
      <c r="A11631">
        <v>30039079445</v>
      </c>
      <c r="B11631" t="s">
        <v>5137</v>
      </c>
    </row>
    <row r="11632" spans="1:2" x14ac:dyDescent="0.25">
      <c r="A11632">
        <v>30039079446</v>
      </c>
      <c r="B11632" t="s">
        <v>3943</v>
      </c>
    </row>
    <row r="11633" spans="1:2" x14ac:dyDescent="0.25">
      <c r="A11633">
        <v>30039079447</v>
      </c>
      <c r="B11633" t="s">
        <v>5138</v>
      </c>
    </row>
    <row r="11634" spans="1:2" x14ac:dyDescent="0.25">
      <c r="A11634">
        <v>30039079448</v>
      </c>
      <c r="B11634" t="s">
        <v>5139</v>
      </c>
    </row>
    <row r="11635" spans="1:2" x14ac:dyDescent="0.25">
      <c r="A11635">
        <v>30039079449</v>
      </c>
      <c r="B11635" t="s">
        <v>5140</v>
      </c>
    </row>
    <row r="11636" spans="1:2" x14ac:dyDescent="0.25">
      <c r="A11636">
        <v>3003907945</v>
      </c>
      <c r="B11636" t="s">
        <v>5141</v>
      </c>
    </row>
    <row r="11637" spans="1:2" x14ac:dyDescent="0.25">
      <c r="A11637">
        <v>30039079451</v>
      </c>
      <c r="B11637" t="s">
        <v>5142</v>
      </c>
    </row>
    <row r="11638" spans="1:2" x14ac:dyDescent="0.25">
      <c r="A11638">
        <v>30039079452</v>
      </c>
      <c r="B11638" t="s">
        <v>5143</v>
      </c>
    </row>
    <row r="11639" spans="1:2" x14ac:dyDescent="0.25">
      <c r="A11639">
        <v>30039079453</v>
      </c>
      <c r="B11639" t="s">
        <v>5144</v>
      </c>
    </row>
    <row r="11640" spans="1:2" x14ac:dyDescent="0.25">
      <c r="A11640">
        <v>30039079454</v>
      </c>
      <c r="B11640" t="s">
        <v>5145</v>
      </c>
    </row>
    <row r="11641" spans="1:2" x14ac:dyDescent="0.25">
      <c r="A11641">
        <v>30039079455</v>
      </c>
      <c r="B11641" t="s">
        <v>5146</v>
      </c>
    </row>
    <row r="11642" spans="1:2" x14ac:dyDescent="0.25">
      <c r="A11642">
        <v>30039079490</v>
      </c>
      <c r="B11642" t="s">
        <v>10</v>
      </c>
    </row>
    <row r="11643" spans="1:2" x14ac:dyDescent="0.25">
      <c r="A11643">
        <v>300390795</v>
      </c>
      <c r="B11643" t="s">
        <v>5147</v>
      </c>
    </row>
    <row r="11644" spans="1:2" x14ac:dyDescent="0.25">
      <c r="A11644">
        <v>30039079510</v>
      </c>
      <c r="B11644" t="s">
        <v>5148</v>
      </c>
    </row>
    <row r="11645" spans="1:2" x14ac:dyDescent="0.25">
      <c r="A11645">
        <v>30039079520</v>
      </c>
      <c r="B11645" t="s">
        <v>5149</v>
      </c>
    </row>
    <row r="11646" spans="1:2" x14ac:dyDescent="0.25">
      <c r="A11646">
        <v>30039079530</v>
      </c>
      <c r="B11646" t="s">
        <v>5150</v>
      </c>
    </row>
    <row r="11647" spans="1:2" x14ac:dyDescent="0.25">
      <c r="A11647">
        <v>30039079540</v>
      </c>
      <c r="B11647" t="s">
        <v>5151</v>
      </c>
    </row>
    <row r="11648" spans="1:2" x14ac:dyDescent="0.25">
      <c r="A11648">
        <v>30039079600</v>
      </c>
      <c r="B11648" t="s">
        <v>3844</v>
      </c>
    </row>
    <row r="11649" spans="1:2" x14ac:dyDescent="0.25">
      <c r="A11649">
        <v>300390799</v>
      </c>
      <c r="B11649" t="s">
        <v>10</v>
      </c>
    </row>
    <row r="11650" spans="1:2" x14ac:dyDescent="0.25">
      <c r="A11650">
        <v>3003907991</v>
      </c>
      <c r="B11650" t="s">
        <v>5152</v>
      </c>
    </row>
    <row r="11651" spans="1:2" x14ac:dyDescent="0.25">
      <c r="A11651">
        <v>30039079911</v>
      </c>
      <c r="B11651" t="s">
        <v>1762</v>
      </c>
    </row>
    <row r="11652" spans="1:2" x14ac:dyDescent="0.25">
      <c r="A11652">
        <v>30039079919</v>
      </c>
      <c r="B11652" t="s">
        <v>10</v>
      </c>
    </row>
    <row r="11653" spans="1:2" x14ac:dyDescent="0.25">
      <c r="A11653">
        <v>30039079990</v>
      </c>
      <c r="B11653" t="s">
        <v>10</v>
      </c>
    </row>
    <row r="11654" spans="1:2" x14ac:dyDescent="0.25">
      <c r="A11654">
        <v>3003908</v>
      </c>
      <c r="B11654" t="s">
        <v>5153</v>
      </c>
    </row>
    <row r="11655" spans="1:2" x14ac:dyDescent="0.25">
      <c r="A11655">
        <v>30039081</v>
      </c>
      <c r="B11655" t="s">
        <v>5154</v>
      </c>
    </row>
    <row r="11656" spans="1:2" x14ac:dyDescent="0.25">
      <c r="A11656">
        <v>30039081100</v>
      </c>
      <c r="B11656" t="s">
        <v>5155</v>
      </c>
    </row>
    <row r="11657" spans="1:2" x14ac:dyDescent="0.25">
      <c r="A11657">
        <v>30039081200</v>
      </c>
      <c r="B11657" t="s">
        <v>4241</v>
      </c>
    </row>
    <row r="11658" spans="1:2" x14ac:dyDescent="0.25">
      <c r="A11658">
        <v>30039082</v>
      </c>
      <c r="B11658" t="s">
        <v>5156</v>
      </c>
    </row>
    <row r="11659" spans="1:2" x14ac:dyDescent="0.25">
      <c r="A11659">
        <v>30039082100</v>
      </c>
      <c r="B11659" t="s">
        <v>5157</v>
      </c>
    </row>
    <row r="11660" spans="1:2" x14ac:dyDescent="0.25">
      <c r="A11660">
        <v>30039082300</v>
      </c>
      <c r="B11660" t="s">
        <v>4278</v>
      </c>
    </row>
    <row r="11661" spans="1:2" x14ac:dyDescent="0.25">
      <c r="A11661">
        <v>30039083</v>
      </c>
      <c r="B11661" t="s">
        <v>5158</v>
      </c>
    </row>
    <row r="11662" spans="1:2" x14ac:dyDescent="0.25">
      <c r="A11662">
        <v>300390831</v>
      </c>
      <c r="B11662" t="s">
        <v>2740</v>
      </c>
    </row>
    <row r="11663" spans="1:2" x14ac:dyDescent="0.25">
      <c r="A11663">
        <v>30039083110</v>
      </c>
      <c r="B11663" t="s">
        <v>4192</v>
      </c>
    </row>
    <row r="11664" spans="1:2" x14ac:dyDescent="0.25">
      <c r="A11664">
        <v>30039083130</v>
      </c>
      <c r="B11664" t="s">
        <v>4182</v>
      </c>
    </row>
    <row r="11665" spans="1:2" x14ac:dyDescent="0.25">
      <c r="A11665">
        <v>30039083300</v>
      </c>
      <c r="B11665" t="s">
        <v>4277</v>
      </c>
    </row>
    <row r="11666" spans="1:2" x14ac:dyDescent="0.25">
      <c r="A11666">
        <v>30039083400</v>
      </c>
      <c r="B11666" t="s">
        <v>4276</v>
      </c>
    </row>
    <row r="11667" spans="1:2" x14ac:dyDescent="0.25">
      <c r="A11667">
        <v>30039084</v>
      </c>
      <c r="B11667" t="s">
        <v>5159</v>
      </c>
    </row>
    <row r="11668" spans="1:2" x14ac:dyDescent="0.25">
      <c r="A11668">
        <v>30039084100</v>
      </c>
      <c r="B11668" t="s">
        <v>4275</v>
      </c>
    </row>
    <row r="11669" spans="1:2" x14ac:dyDescent="0.25">
      <c r="A11669">
        <v>30039084300</v>
      </c>
      <c r="B11669" t="s">
        <v>5160</v>
      </c>
    </row>
    <row r="11670" spans="1:2" x14ac:dyDescent="0.25">
      <c r="A11670">
        <v>30039085</v>
      </c>
      <c r="B11670" t="s">
        <v>5161</v>
      </c>
    </row>
    <row r="11671" spans="1:2" x14ac:dyDescent="0.25">
      <c r="A11671">
        <v>300390851</v>
      </c>
      <c r="B11671" t="s">
        <v>4952</v>
      </c>
    </row>
    <row r="11672" spans="1:2" x14ac:dyDescent="0.25">
      <c r="A11672">
        <v>30039085110</v>
      </c>
      <c r="B11672" t="s">
        <v>5162</v>
      </c>
    </row>
    <row r="11673" spans="1:2" x14ac:dyDescent="0.25">
      <c r="A11673">
        <v>30039085120</v>
      </c>
      <c r="B11673" t="s">
        <v>4174</v>
      </c>
    </row>
    <row r="11674" spans="1:2" x14ac:dyDescent="0.25">
      <c r="A11674">
        <v>30039085200</v>
      </c>
      <c r="B11674" t="s">
        <v>4282</v>
      </c>
    </row>
    <row r="11675" spans="1:2" x14ac:dyDescent="0.25">
      <c r="A11675">
        <v>30039085300</v>
      </c>
      <c r="B11675" t="s">
        <v>5163</v>
      </c>
    </row>
    <row r="11676" spans="1:2" x14ac:dyDescent="0.25">
      <c r="A11676">
        <v>30039085400</v>
      </c>
      <c r="B11676" t="s">
        <v>4380</v>
      </c>
    </row>
    <row r="11677" spans="1:2" x14ac:dyDescent="0.25">
      <c r="A11677">
        <v>30039086</v>
      </c>
      <c r="B11677" t="s">
        <v>5164</v>
      </c>
    </row>
    <row r="11678" spans="1:2" x14ac:dyDescent="0.25">
      <c r="A11678">
        <v>30039086100</v>
      </c>
      <c r="B11678" t="s">
        <v>4274</v>
      </c>
    </row>
    <row r="11679" spans="1:2" x14ac:dyDescent="0.25">
      <c r="A11679">
        <v>30039086200</v>
      </c>
      <c r="B11679" t="s">
        <v>4262</v>
      </c>
    </row>
    <row r="11680" spans="1:2" x14ac:dyDescent="0.25">
      <c r="A11680">
        <v>30039087</v>
      </c>
      <c r="B11680" t="s">
        <v>5165</v>
      </c>
    </row>
    <row r="11681" spans="1:2" x14ac:dyDescent="0.25">
      <c r="A11681">
        <v>30039087100</v>
      </c>
      <c r="B11681" t="s">
        <v>4251</v>
      </c>
    </row>
    <row r="11682" spans="1:2" x14ac:dyDescent="0.25">
      <c r="A11682">
        <v>30039087300</v>
      </c>
      <c r="B11682" t="s">
        <v>4210</v>
      </c>
    </row>
    <row r="11683" spans="1:2" x14ac:dyDescent="0.25">
      <c r="A11683">
        <v>30039087400</v>
      </c>
      <c r="B11683" t="s">
        <v>4218</v>
      </c>
    </row>
    <row r="11684" spans="1:2" x14ac:dyDescent="0.25">
      <c r="A11684">
        <v>30039088</v>
      </c>
      <c r="B11684" t="s">
        <v>5166</v>
      </c>
    </row>
    <row r="11685" spans="1:2" x14ac:dyDescent="0.25">
      <c r="A11685">
        <v>30039088100</v>
      </c>
      <c r="B11685" t="s">
        <v>5167</v>
      </c>
    </row>
    <row r="11686" spans="1:2" x14ac:dyDescent="0.25">
      <c r="A11686">
        <v>30039088300</v>
      </c>
      <c r="B11686" t="s">
        <v>5168</v>
      </c>
    </row>
    <row r="11687" spans="1:2" x14ac:dyDescent="0.25">
      <c r="A11687">
        <v>30039088400</v>
      </c>
      <c r="B11687" t="s">
        <v>5169</v>
      </c>
    </row>
    <row r="11688" spans="1:2" x14ac:dyDescent="0.25">
      <c r="A11688">
        <v>30039088500</v>
      </c>
      <c r="B11688" t="s">
        <v>5170</v>
      </c>
    </row>
    <row r="11689" spans="1:2" x14ac:dyDescent="0.25">
      <c r="A11689">
        <v>30039088600</v>
      </c>
      <c r="B11689" t="s">
        <v>5171</v>
      </c>
    </row>
    <row r="11690" spans="1:2" x14ac:dyDescent="0.25">
      <c r="A11690">
        <v>30039088700</v>
      </c>
      <c r="B11690" t="s">
        <v>5172</v>
      </c>
    </row>
    <row r="11691" spans="1:2" x14ac:dyDescent="0.25">
      <c r="A11691">
        <v>300390888</v>
      </c>
      <c r="B11691" t="s">
        <v>5173</v>
      </c>
    </row>
    <row r="11692" spans="1:2" x14ac:dyDescent="0.25">
      <c r="A11692">
        <v>30039088810</v>
      </c>
      <c r="B11692" t="s">
        <v>5174</v>
      </c>
    </row>
    <row r="11693" spans="1:2" x14ac:dyDescent="0.25">
      <c r="A11693">
        <v>30039088820</v>
      </c>
      <c r="B11693" t="s">
        <v>5175</v>
      </c>
    </row>
    <row r="11694" spans="1:2" x14ac:dyDescent="0.25">
      <c r="A11694">
        <v>30039088830</v>
      </c>
      <c r="B11694" t="s">
        <v>5176</v>
      </c>
    </row>
    <row r="11695" spans="1:2" x14ac:dyDescent="0.25">
      <c r="A11695">
        <v>30039088840</v>
      </c>
      <c r="B11695" t="s">
        <v>5177</v>
      </c>
    </row>
    <row r="11696" spans="1:2" x14ac:dyDescent="0.25">
      <c r="A11696">
        <v>30039088850</v>
      </c>
      <c r="B11696" t="s">
        <v>5178</v>
      </c>
    </row>
    <row r="11697" spans="1:2" x14ac:dyDescent="0.25">
      <c r="A11697">
        <v>30039088860</v>
      </c>
      <c r="B11697" t="s">
        <v>5179</v>
      </c>
    </row>
    <row r="11698" spans="1:2" x14ac:dyDescent="0.25">
      <c r="A11698">
        <v>30039088870</v>
      </c>
      <c r="B11698" t="s">
        <v>4384</v>
      </c>
    </row>
    <row r="11699" spans="1:2" x14ac:dyDescent="0.25">
      <c r="A11699">
        <v>30039088880</v>
      </c>
      <c r="B11699" t="s">
        <v>5180</v>
      </c>
    </row>
    <row r="11700" spans="1:2" x14ac:dyDescent="0.25">
      <c r="A11700">
        <v>3003908889</v>
      </c>
      <c r="B11700" t="s">
        <v>5181</v>
      </c>
    </row>
    <row r="11701" spans="1:2" x14ac:dyDescent="0.25">
      <c r="A11701">
        <v>30039088891</v>
      </c>
      <c r="B11701" t="s">
        <v>5182</v>
      </c>
    </row>
    <row r="11702" spans="1:2" x14ac:dyDescent="0.25">
      <c r="A11702">
        <v>30039088892</v>
      </c>
      <c r="B11702" t="s">
        <v>5183</v>
      </c>
    </row>
    <row r="11703" spans="1:2" x14ac:dyDescent="0.25">
      <c r="A11703">
        <v>30039089</v>
      </c>
      <c r="B11703" t="s">
        <v>10</v>
      </c>
    </row>
    <row r="11704" spans="1:2" x14ac:dyDescent="0.25">
      <c r="A11704">
        <v>300390891</v>
      </c>
      <c r="B11704" t="s">
        <v>5184</v>
      </c>
    </row>
    <row r="11705" spans="1:2" x14ac:dyDescent="0.25">
      <c r="A11705">
        <v>30039089110</v>
      </c>
      <c r="B11705" t="s">
        <v>5185</v>
      </c>
    </row>
    <row r="11706" spans="1:2" x14ac:dyDescent="0.25">
      <c r="A11706">
        <v>30039089120</v>
      </c>
      <c r="B11706" t="s">
        <v>5186</v>
      </c>
    </row>
    <row r="11707" spans="1:2" x14ac:dyDescent="0.25">
      <c r="A11707">
        <v>30039089190</v>
      </c>
      <c r="B11707" t="s">
        <v>10</v>
      </c>
    </row>
    <row r="11708" spans="1:2" x14ac:dyDescent="0.25">
      <c r="A11708">
        <v>300390892</v>
      </c>
      <c r="B11708" t="s">
        <v>4897</v>
      </c>
    </row>
    <row r="11709" spans="1:2" x14ac:dyDescent="0.25">
      <c r="A11709">
        <v>3003908921</v>
      </c>
      <c r="B11709" t="s">
        <v>5187</v>
      </c>
    </row>
    <row r="11710" spans="1:2" x14ac:dyDescent="0.25">
      <c r="A11710">
        <v>30039089211</v>
      </c>
      <c r="B11710" t="s">
        <v>5188</v>
      </c>
    </row>
    <row r="11711" spans="1:2" x14ac:dyDescent="0.25">
      <c r="A11711">
        <v>30039089212</v>
      </c>
      <c r="B11711" t="s">
        <v>5189</v>
      </c>
    </row>
    <row r="11712" spans="1:2" x14ac:dyDescent="0.25">
      <c r="A11712">
        <v>30039089213</v>
      </c>
      <c r="B11712" t="s">
        <v>5190</v>
      </c>
    </row>
    <row r="11713" spans="1:2" x14ac:dyDescent="0.25">
      <c r="A11713">
        <v>30039089214</v>
      </c>
      <c r="B11713" t="s">
        <v>5191</v>
      </c>
    </row>
    <row r="11714" spans="1:2" x14ac:dyDescent="0.25">
      <c r="A11714">
        <v>30039089215</v>
      </c>
      <c r="B11714" t="s">
        <v>5192</v>
      </c>
    </row>
    <row r="11715" spans="1:2" x14ac:dyDescent="0.25">
      <c r="A11715">
        <v>30039089216</v>
      </c>
      <c r="B11715" t="s">
        <v>5193</v>
      </c>
    </row>
    <row r="11716" spans="1:2" x14ac:dyDescent="0.25">
      <c r="A11716">
        <v>30039089217</v>
      </c>
      <c r="B11716" t="s">
        <v>5194</v>
      </c>
    </row>
    <row r="11717" spans="1:2" x14ac:dyDescent="0.25">
      <c r="A11717">
        <v>30039089218</v>
      </c>
      <c r="B11717" t="s">
        <v>5195</v>
      </c>
    </row>
    <row r="11718" spans="1:2" x14ac:dyDescent="0.25">
      <c r="A11718">
        <v>30039089219</v>
      </c>
      <c r="B11718" t="s">
        <v>5196</v>
      </c>
    </row>
    <row r="11719" spans="1:2" x14ac:dyDescent="0.25">
      <c r="A11719">
        <v>3003908922</v>
      </c>
      <c r="B11719" t="s">
        <v>5197</v>
      </c>
    </row>
    <row r="11720" spans="1:2" x14ac:dyDescent="0.25">
      <c r="A11720">
        <v>30039089221</v>
      </c>
      <c r="B11720" t="s">
        <v>5198</v>
      </c>
    </row>
    <row r="11721" spans="1:2" x14ac:dyDescent="0.25">
      <c r="A11721">
        <v>30039089222</v>
      </c>
      <c r="B11721" t="s">
        <v>5199</v>
      </c>
    </row>
    <row r="11722" spans="1:2" x14ac:dyDescent="0.25">
      <c r="A11722">
        <v>30039089223</v>
      </c>
      <c r="B11722" t="s">
        <v>5200</v>
      </c>
    </row>
    <row r="11723" spans="1:2" x14ac:dyDescent="0.25">
      <c r="A11723">
        <v>30039089224</v>
      </c>
      <c r="B11723" t="s">
        <v>5201</v>
      </c>
    </row>
    <row r="11724" spans="1:2" x14ac:dyDescent="0.25">
      <c r="A11724">
        <v>30039089225</v>
      </c>
      <c r="B11724" t="s">
        <v>5202</v>
      </c>
    </row>
    <row r="11725" spans="1:2" x14ac:dyDescent="0.25">
      <c r="A11725">
        <v>30039089226</v>
      </c>
      <c r="B11725" t="s">
        <v>5203</v>
      </c>
    </row>
    <row r="11726" spans="1:2" x14ac:dyDescent="0.25">
      <c r="A11726">
        <v>30039089227</v>
      </c>
      <c r="B11726" t="s">
        <v>5204</v>
      </c>
    </row>
    <row r="11727" spans="1:2" x14ac:dyDescent="0.25">
      <c r="A11727">
        <v>30039089228</v>
      </c>
      <c r="B11727" t="s">
        <v>5205</v>
      </c>
    </row>
    <row r="11728" spans="1:2" x14ac:dyDescent="0.25">
      <c r="A11728">
        <v>30039089229</v>
      </c>
      <c r="B11728" t="s">
        <v>5206</v>
      </c>
    </row>
    <row r="11729" spans="1:2" x14ac:dyDescent="0.25">
      <c r="A11729">
        <v>3003908923</v>
      </c>
      <c r="B11729" t="s">
        <v>5207</v>
      </c>
    </row>
    <row r="11730" spans="1:2" x14ac:dyDescent="0.25">
      <c r="A11730">
        <v>30039089231</v>
      </c>
      <c r="B11730" t="s">
        <v>5208</v>
      </c>
    </row>
    <row r="11731" spans="1:2" x14ac:dyDescent="0.25">
      <c r="A11731">
        <v>30039089232</v>
      </c>
      <c r="B11731" t="s">
        <v>5209</v>
      </c>
    </row>
    <row r="11732" spans="1:2" x14ac:dyDescent="0.25">
      <c r="A11732">
        <v>30039089233</v>
      </c>
      <c r="B11732" t="s">
        <v>5210</v>
      </c>
    </row>
    <row r="11733" spans="1:2" x14ac:dyDescent="0.25">
      <c r="A11733">
        <v>30039089234</v>
      </c>
      <c r="B11733" t="s">
        <v>5211</v>
      </c>
    </row>
    <row r="11734" spans="1:2" x14ac:dyDescent="0.25">
      <c r="A11734">
        <v>30039089235</v>
      </c>
      <c r="B11734" t="s">
        <v>5212</v>
      </c>
    </row>
    <row r="11735" spans="1:2" x14ac:dyDescent="0.25">
      <c r="A11735">
        <v>30039089236</v>
      </c>
      <c r="B11735" t="s">
        <v>5213</v>
      </c>
    </row>
    <row r="11736" spans="1:2" x14ac:dyDescent="0.25">
      <c r="A11736">
        <v>30039089237</v>
      </c>
      <c r="B11736" t="s">
        <v>5214</v>
      </c>
    </row>
    <row r="11737" spans="1:2" x14ac:dyDescent="0.25">
      <c r="A11737">
        <v>30039089238</v>
      </c>
      <c r="B11737" t="s">
        <v>5215</v>
      </c>
    </row>
    <row r="11738" spans="1:2" x14ac:dyDescent="0.25">
      <c r="A11738">
        <v>30039089239</v>
      </c>
      <c r="B11738" t="s">
        <v>5216</v>
      </c>
    </row>
    <row r="11739" spans="1:2" x14ac:dyDescent="0.25">
      <c r="A11739">
        <v>3003908924</v>
      </c>
      <c r="B11739" t="s">
        <v>5217</v>
      </c>
    </row>
    <row r="11740" spans="1:2" x14ac:dyDescent="0.25">
      <c r="A11740">
        <v>30039089241</v>
      </c>
      <c r="B11740" t="s">
        <v>5218</v>
      </c>
    </row>
    <row r="11741" spans="1:2" x14ac:dyDescent="0.25">
      <c r="A11741">
        <v>30039089242</v>
      </c>
      <c r="B11741" t="s">
        <v>5219</v>
      </c>
    </row>
    <row r="11742" spans="1:2" x14ac:dyDescent="0.25">
      <c r="A11742">
        <v>30039089243</v>
      </c>
      <c r="B11742" t="s">
        <v>5220</v>
      </c>
    </row>
    <row r="11743" spans="1:2" x14ac:dyDescent="0.25">
      <c r="A11743">
        <v>30039089244</v>
      </c>
      <c r="B11743" t="s">
        <v>5221</v>
      </c>
    </row>
    <row r="11744" spans="1:2" x14ac:dyDescent="0.25">
      <c r="A11744">
        <v>30039089245</v>
      </c>
      <c r="B11744" t="s">
        <v>4181</v>
      </c>
    </row>
    <row r="11745" spans="1:2" x14ac:dyDescent="0.25">
      <c r="A11745">
        <v>30039089246</v>
      </c>
      <c r="B11745" t="s">
        <v>5222</v>
      </c>
    </row>
    <row r="11746" spans="1:2" x14ac:dyDescent="0.25">
      <c r="A11746">
        <v>30039089248</v>
      </c>
      <c r="B11746" t="s">
        <v>5223</v>
      </c>
    </row>
    <row r="11747" spans="1:2" x14ac:dyDescent="0.25">
      <c r="A11747">
        <v>30039089249</v>
      </c>
      <c r="B11747" t="s">
        <v>5224</v>
      </c>
    </row>
    <row r="11748" spans="1:2" x14ac:dyDescent="0.25">
      <c r="A11748">
        <v>3003908925</v>
      </c>
      <c r="B11748" t="s">
        <v>5225</v>
      </c>
    </row>
    <row r="11749" spans="1:2" x14ac:dyDescent="0.25">
      <c r="A11749">
        <v>30039089251</v>
      </c>
      <c r="B11749" t="s">
        <v>5226</v>
      </c>
    </row>
    <row r="11750" spans="1:2" x14ac:dyDescent="0.25">
      <c r="A11750">
        <v>30039089252</v>
      </c>
      <c r="B11750" t="s">
        <v>5227</v>
      </c>
    </row>
    <row r="11751" spans="1:2" x14ac:dyDescent="0.25">
      <c r="A11751">
        <v>30039089253</v>
      </c>
      <c r="B11751" t="s">
        <v>4195</v>
      </c>
    </row>
    <row r="11752" spans="1:2" x14ac:dyDescent="0.25">
      <c r="A11752">
        <v>30039089254</v>
      </c>
      <c r="B11752" t="s">
        <v>5228</v>
      </c>
    </row>
    <row r="11753" spans="1:2" x14ac:dyDescent="0.25">
      <c r="A11753">
        <v>30039089255</v>
      </c>
      <c r="B11753" t="s">
        <v>5229</v>
      </c>
    </row>
    <row r="11754" spans="1:2" x14ac:dyDescent="0.25">
      <c r="A11754">
        <v>30039089256</v>
      </c>
      <c r="B11754" t="s">
        <v>5230</v>
      </c>
    </row>
    <row r="11755" spans="1:2" x14ac:dyDescent="0.25">
      <c r="A11755">
        <v>30039089257</v>
      </c>
      <c r="B11755" t="s">
        <v>5231</v>
      </c>
    </row>
    <row r="11756" spans="1:2" x14ac:dyDescent="0.25">
      <c r="A11756">
        <v>30039089258</v>
      </c>
      <c r="B11756" t="s">
        <v>5232</v>
      </c>
    </row>
    <row r="11757" spans="1:2" x14ac:dyDescent="0.25">
      <c r="A11757">
        <v>30039089259</v>
      </c>
      <c r="B11757" t="s">
        <v>5233</v>
      </c>
    </row>
    <row r="11758" spans="1:2" x14ac:dyDescent="0.25">
      <c r="A11758">
        <v>30039089260</v>
      </c>
      <c r="B11758" t="s">
        <v>5234</v>
      </c>
    </row>
    <row r="11759" spans="1:2" x14ac:dyDescent="0.25">
      <c r="A11759">
        <v>30039089290</v>
      </c>
      <c r="B11759" t="s">
        <v>10</v>
      </c>
    </row>
    <row r="11760" spans="1:2" x14ac:dyDescent="0.25">
      <c r="A11760">
        <v>300390893</v>
      </c>
      <c r="B11760" t="s">
        <v>5235</v>
      </c>
    </row>
    <row r="11761" spans="1:2" x14ac:dyDescent="0.25">
      <c r="A11761">
        <v>30039089310</v>
      </c>
      <c r="B11761" t="s">
        <v>5236</v>
      </c>
    </row>
    <row r="11762" spans="1:2" x14ac:dyDescent="0.25">
      <c r="A11762">
        <v>30039089320</v>
      </c>
      <c r="B11762" t="s">
        <v>5237</v>
      </c>
    </row>
    <row r="11763" spans="1:2" x14ac:dyDescent="0.25">
      <c r="A11763">
        <v>30039089330</v>
      </c>
      <c r="B11763" t="s">
        <v>5238</v>
      </c>
    </row>
    <row r="11764" spans="1:2" x14ac:dyDescent="0.25">
      <c r="A11764">
        <v>30039089390</v>
      </c>
      <c r="B11764" t="s">
        <v>10</v>
      </c>
    </row>
    <row r="11765" spans="1:2" x14ac:dyDescent="0.25">
      <c r="A11765">
        <v>300390894</v>
      </c>
      <c r="B11765" t="s">
        <v>5239</v>
      </c>
    </row>
    <row r="11766" spans="1:2" x14ac:dyDescent="0.25">
      <c r="A11766">
        <v>3003908941</v>
      </c>
      <c r="B11766" t="s">
        <v>5240</v>
      </c>
    </row>
    <row r="11767" spans="1:2" x14ac:dyDescent="0.25">
      <c r="A11767">
        <v>30039089411</v>
      </c>
      <c r="B11767" t="s">
        <v>5241</v>
      </c>
    </row>
    <row r="11768" spans="1:2" x14ac:dyDescent="0.25">
      <c r="A11768">
        <v>30039089412</v>
      </c>
      <c r="B11768" t="s">
        <v>5242</v>
      </c>
    </row>
    <row r="11769" spans="1:2" x14ac:dyDescent="0.25">
      <c r="A11769">
        <v>30039089413</v>
      </c>
      <c r="B11769" t="s">
        <v>5243</v>
      </c>
    </row>
    <row r="11770" spans="1:2" x14ac:dyDescent="0.25">
      <c r="A11770">
        <v>30039089414</v>
      </c>
      <c r="B11770" t="s">
        <v>5244</v>
      </c>
    </row>
    <row r="11771" spans="1:2" x14ac:dyDescent="0.25">
      <c r="A11771">
        <v>30039089415</v>
      </c>
      <c r="B11771" t="s">
        <v>5245</v>
      </c>
    </row>
    <row r="11772" spans="1:2" x14ac:dyDescent="0.25">
      <c r="A11772">
        <v>30039089416</v>
      </c>
      <c r="B11772" t="s">
        <v>4183</v>
      </c>
    </row>
    <row r="11773" spans="1:2" x14ac:dyDescent="0.25">
      <c r="A11773">
        <v>30039089417</v>
      </c>
      <c r="B11773" t="s">
        <v>5246</v>
      </c>
    </row>
    <row r="11774" spans="1:2" x14ac:dyDescent="0.25">
      <c r="A11774">
        <v>30039089418</v>
      </c>
      <c r="B11774" t="s">
        <v>5247</v>
      </c>
    </row>
    <row r="11775" spans="1:2" x14ac:dyDescent="0.25">
      <c r="A11775">
        <v>30039089419</v>
      </c>
      <c r="B11775" t="s">
        <v>5248</v>
      </c>
    </row>
    <row r="11776" spans="1:2" x14ac:dyDescent="0.25">
      <c r="A11776">
        <v>3003908942</v>
      </c>
      <c r="B11776" t="s">
        <v>5249</v>
      </c>
    </row>
    <row r="11777" spans="1:2" x14ac:dyDescent="0.25">
      <c r="A11777">
        <v>30039089421</v>
      </c>
      <c r="B11777" t="s">
        <v>5250</v>
      </c>
    </row>
    <row r="11778" spans="1:2" x14ac:dyDescent="0.25">
      <c r="A11778">
        <v>30039089422</v>
      </c>
      <c r="B11778" t="s">
        <v>5251</v>
      </c>
    </row>
    <row r="11779" spans="1:2" x14ac:dyDescent="0.25">
      <c r="A11779">
        <v>30039089490</v>
      </c>
      <c r="B11779" t="s">
        <v>10</v>
      </c>
    </row>
    <row r="11780" spans="1:2" x14ac:dyDescent="0.25">
      <c r="A11780">
        <v>300390899</v>
      </c>
      <c r="B11780" t="s">
        <v>10</v>
      </c>
    </row>
    <row r="11781" spans="1:2" x14ac:dyDescent="0.25">
      <c r="A11781">
        <v>30039089920</v>
      </c>
      <c r="B11781" t="s">
        <v>5252</v>
      </c>
    </row>
    <row r="11782" spans="1:2" x14ac:dyDescent="0.25">
      <c r="A11782">
        <v>30039089930</v>
      </c>
      <c r="B11782" t="s">
        <v>4255</v>
      </c>
    </row>
    <row r="11783" spans="1:2" x14ac:dyDescent="0.25">
      <c r="A11783">
        <v>30039089940</v>
      </c>
      <c r="B11783" t="s">
        <v>5253</v>
      </c>
    </row>
    <row r="11784" spans="1:2" x14ac:dyDescent="0.25">
      <c r="A11784">
        <v>30039089950</v>
      </c>
      <c r="B11784" t="s">
        <v>5254</v>
      </c>
    </row>
    <row r="11785" spans="1:2" x14ac:dyDescent="0.25">
      <c r="A11785">
        <v>30039089960</v>
      </c>
      <c r="B11785" t="s">
        <v>5255</v>
      </c>
    </row>
    <row r="11786" spans="1:2" x14ac:dyDescent="0.25">
      <c r="A11786">
        <v>30039089970</v>
      </c>
      <c r="B11786" t="s">
        <v>5256</v>
      </c>
    </row>
    <row r="11787" spans="1:2" x14ac:dyDescent="0.25">
      <c r="A11787">
        <v>30039089990</v>
      </c>
      <c r="B11787" t="s">
        <v>10</v>
      </c>
    </row>
    <row r="11788" spans="1:2" x14ac:dyDescent="0.25">
      <c r="A11788">
        <v>3003909</v>
      </c>
      <c r="B11788" t="s">
        <v>10</v>
      </c>
    </row>
    <row r="11789" spans="1:2" x14ac:dyDescent="0.25">
      <c r="A11789">
        <v>30039091000</v>
      </c>
      <c r="B11789" t="s">
        <v>5257</v>
      </c>
    </row>
    <row r="11790" spans="1:2" x14ac:dyDescent="0.25">
      <c r="A11790">
        <v>30039092</v>
      </c>
      <c r="B11790" t="s">
        <v>5258</v>
      </c>
    </row>
    <row r="11791" spans="1:2" x14ac:dyDescent="0.25">
      <c r="A11791">
        <v>30039092100</v>
      </c>
      <c r="B11791" t="s">
        <v>2805</v>
      </c>
    </row>
    <row r="11792" spans="1:2" x14ac:dyDescent="0.25">
      <c r="A11792">
        <v>30039092200</v>
      </c>
      <c r="B11792" t="s">
        <v>5259</v>
      </c>
    </row>
    <row r="11793" spans="1:2" x14ac:dyDescent="0.25">
      <c r="A11793">
        <v>30039093000</v>
      </c>
      <c r="B11793" t="s">
        <v>5260</v>
      </c>
    </row>
    <row r="11794" spans="1:2" x14ac:dyDescent="0.25">
      <c r="A11794">
        <v>30039094000</v>
      </c>
      <c r="B11794" t="s">
        <v>1175</v>
      </c>
    </row>
    <row r="11795" spans="1:2" x14ac:dyDescent="0.25">
      <c r="A11795">
        <v>30039095</v>
      </c>
      <c r="B11795" t="s">
        <v>5261</v>
      </c>
    </row>
    <row r="11796" spans="1:2" x14ac:dyDescent="0.25">
      <c r="A11796">
        <v>30039095100</v>
      </c>
      <c r="B11796" t="s">
        <v>5262</v>
      </c>
    </row>
    <row r="11797" spans="1:2" x14ac:dyDescent="0.25">
      <c r="A11797">
        <v>30039095200</v>
      </c>
      <c r="B11797" t="s">
        <v>5263</v>
      </c>
    </row>
    <row r="11798" spans="1:2" x14ac:dyDescent="0.25">
      <c r="A11798">
        <v>30039095300</v>
      </c>
      <c r="B11798" t="s">
        <v>5264</v>
      </c>
    </row>
    <row r="11799" spans="1:2" x14ac:dyDescent="0.25">
      <c r="A11799">
        <v>30039095400</v>
      </c>
      <c r="B11799" t="s">
        <v>5265</v>
      </c>
    </row>
    <row r="11800" spans="1:2" x14ac:dyDescent="0.25">
      <c r="A11800">
        <v>300390955</v>
      </c>
      <c r="B11800" t="s">
        <v>5266</v>
      </c>
    </row>
    <row r="11801" spans="1:2" x14ac:dyDescent="0.25">
      <c r="A11801">
        <v>30039095510</v>
      </c>
      <c r="B11801" t="s">
        <v>2775</v>
      </c>
    </row>
    <row r="11802" spans="1:2" x14ac:dyDescent="0.25">
      <c r="A11802">
        <v>30039095590</v>
      </c>
      <c r="B11802" t="s">
        <v>5267</v>
      </c>
    </row>
    <row r="11803" spans="1:2" x14ac:dyDescent="0.25">
      <c r="A11803">
        <v>300390956</v>
      </c>
      <c r="B11803" t="s">
        <v>5268</v>
      </c>
    </row>
    <row r="11804" spans="1:2" x14ac:dyDescent="0.25">
      <c r="A11804">
        <v>30039095610</v>
      </c>
      <c r="B11804" t="s">
        <v>5269</v>
      </c>
    </row>
    <row r="11805" spans="1:2" x14ac:dyDescent="0.25">
      <c r="A11805">
        <v>30039095620</v>
      </c>
      <c r="B11805" t="s">
        <v>5270</v>
      </c>
    </row>
    <row r="11806" spans="1:2" x14ac:dyDescent="0.25">
      <c r="A11806">
        <v>30039096000</v>
      </c>
      <c r="B11806" t="s">
        <v>5271</v>
      </c>
    </row>
    <row r="11807" spans="1:2" x14ac:dyDescent="0.25">
      <c r="A11807">
        <v>30039097000</v>
      </c>
      <c r="B11807" t="s">
        <v>2812</v>
      </c>
    </row>
    <row r="11808" spans="1:2" x14ac:dyDescent="0.25">
      <c r="A11808">
        <v>30039099</v>
      </c>
      <c r="B11808" t="s">
        <v>10</v>
      </c>
    </row>
    <row r="11809" spans="1:2" x14ac:dyDescent="0.25">
      <c r="A11809">
        <v>300390991</v>
      </c>
      <c r="B11809" t="s">
        <v>4963</v>
      </c>
    </row>
    <row r="11810" spans="1:2" x14ac:dyDescent="0.25">
      <c r="A11810">
        <v>3003909911</v>
      </c>
      <c r="B11810" t="s">
        <v>5272</v>
      </c>
    </row>
    <row r="11811" spans="1:2" x14ac:dyDescent="0.25">
      <c r="A11811">
        <v>30039099111</v>
      </c>
      <c r="B11811" t="s">
        <v>5273</v>
      </c>
    </row>
    <row r="11812" spans="1:2" x14ac:dyDescent="0.25">
      <c r="A11812">
        <v>30039099112</v>
      </c>
      <c r="B11812" t="s">
        <v>5274</v>
      </c>
    </row>
    <row r="11813" spans="1:2" x14ac:dyDescent="0.25">
      <c r="A11813">
        <v>30039099113</v>
      </c>
      <c r="B11813" t="s">
        <v>5275</v>
      </c>
    </row>
    <row r="11814" spans="1:2" x14ac:dyDescent="0.25">
      <c r="A11814">
        <v>30039099114</v>
      </c>
      <c r="B11814" t="s">
        <v>5276</v>
      </c>
    </row>
    <row r="11815" spans="1:2" x14ac:dyDescent="0.25">
      <c r="A11815">
        <v>30039099115</v>
      </c>
      <c r="B11815" t="s">
        <v>5277</v>
      </c>
    </row>
    <row r="11816" spans="1:2" x14ac:dyDescent="0.25">
      <c r="A11816">
        <v>30039099116</v>
      </c>
      <c r="B11816" t="s">
        <v>5278</v>
      </c>
    </row>
    <row r="11817" spans="1:2" x14ac:dyDescent="0.25">
      <c r="A11817">
        <v>30039099117</v>
      </c>
      <c r="B11817" t="s">
        <v>5279</v>
      </c>
    </row>
    <row r="11818" spans="1:2" x14ac:dyDescent="0.25">
      <c r="A11818">
        <v>30039099118</v>
      </c>
      <c r="B11818" t="s">
        <v>5280</v>
      </c>
    </row>
    <row r="11819" spans="1:2" x14ac:dyDescent="0.25">
      <c r="A11819">
        <v>30039099119</v>
      </c>
      <c r="B11819" t="s">
        <v>5281</v>
      </c>
    </row>
    <row r="11820" spans="1:2" x14ac:dyDescent="0.25">
      <c r="A11820">
        <v>30039099190</v>
      </c>
      <c r="B11820" t="s">
        <v>10</v>
      </c>
    </row>
    <row r="11821" spans="1:2" x14ac:dyDescent="0.25">
      <c r="A11821">
        <v>300390992</v>
      </c>
      <c r="B11821" t="s">
        <v>5282</v>
      </c>
    </row>
    <row r="11822" spans="1:2" x14ac:dyDescent="0.25">
      <c r="A11822">
        <v>30039099210</v>
      </c>
      <c r="B11822" t="s">
        <v>3913</v>
      </c>
    </row>
    <row r="11823" spans="1:2" x14ac:dyDescent="0.25">
      <c r="A11823">
        <v>30039099290</v>
      </c>
      <c r="B11823" t="s">
        <v>3914</v>
      </c>
    </row>
    <row r="11824" spans="1:2" x14ac:dyDescent="0.25">
      <c r="A11824">
        <v>300390993</v>
      </c>
      <c r="B11824" t="s">
        <v>5283</v>
      </c>
    </row>
    <row r="11825" spans="1:2" x14ac:dyDescent="0.25">
      <c r="A11825">
        <v>30039099310</v>
      </c>
      <c r="B11825" t="s">
        <v>2775</v>
      </c>
    </row>
    <row r="11826" spans="1:2" x14ac:dyDescent="0.25">
      <c r="A11826">
        <v>30039099390</v>
      </c>
      <c r="B11826" t="s">
        <v>2776</v>
      </c>
    </row>
    <row r="11827" spans="1:2" x14ac:dyDescent="0.25">
      <c r="A11827">
        <v>300390994</v>
      </c>
      <c r="B11827" t="s">
        <v>5284</v>
      </c>
    </row>
    <row r="11828" spans="1:2" x14ac:dyDescent="0.25">
      <c r="A11828">
        <v>30039099410</v>
      </c>
      <c r="B11828" t="s">
        <v>5285</v>
      </c>
    </row>
    <row r="11829" spans="1:2" x14ac:dyDescent="0.25">
      <c r="A11829">
        <v>30039099490</v>
      </c>
      <c r="B11829" t="s">
        <v>1760</v>
      </c>
    </row>
    <row r="11830" spans="1:2" x14ac:dyDescent="0.25">
      <c r="A11830">
        <v>30039099900</v>
      </c>
      <c r="B11830" t="s">
        <v>10</v>
      </c>
    </row>
    <row r="11831" spans="1:2" x14ac:dyDescent="0.25">
      <c r="A11831">
        <v>3004</v>
      </c>
      <c r="B11831" t="s">
        <v>5286</v>
      </c>
    </row>
    <row r="11832" spans="1:2" x14ac:dyDescent="0.25">
      <c r="A11832">
        <v>300410</v>
      </c>
      <c r="B11832" t="e">
        <f>- que contengan Penicilinas o derivados de estos Productos Con la estructura del acido penicilanico. o Estreptomicinas o derivados de estos Productos</f>
        <v>#NAME?</v>
      </c>
    </row>
    <row r="11833" spans="1:2" x14ac:dyDescent="0.25">
      <c r="A11833">
        <v>3004101</v>
      </c>
      <c r="B11833" t="s">
        <v>4706</v>
      </c>
    </row>
    <row r="11834" spans="1:2" x14ac:dyDescent="0.25">
      <c r="A11834">
        <v>30041011000</v>
      </c>
      <c r="B11834" t="s">
        <v>4707</v>
      </c>
    </row>
    <row r="11835" spans="1:2" x14ac:dyDescent="0.25">
      <c r="A11835">
        <v>30041012000</v>
      </c>
      <c r="B11835" t="s">
        <v>4708</v>
      </c>
    </row>
    <row r="11836" spans="1:2" x14ac:dyDescent="0.25">
      <c r="A11836">
        <v>30041013000</v>
      </c>
      <c r="B11836" t="s">
        <v>4489</v>
      </c>
    </row>
    <row r="11837" spans="1:2" x14ac:dyDescent="0.25">
      <c r="A11837">
        <v>30041014000</v>
      </c>
      <c r="B11837" t="s">
        <v>4488</v>
      </c>
    </row>
    <row r="11838" spans="1:2" x14ac:dyDescent="0.25">
      <c r="A11838">
        <v>30041015000</v>
      </c>
      <c r="B11838" t="s">
        <v>4490</v>
      </c>
    </row>
    <row r="11839" spans="1:2" x14ac:dyDescent="0.25">
      <c r="A11839">
        <v>30041019000</v>
      </c>
      <c r="B11839" t="s">
        <v>10</v>
      </c>
    </row>
    <row r="11840" spans="1:2" x14ac:dyDescent="0.25">
      <c r="A11840">
        <v>30041020000</v>
      </c>
      <c r="B11840" t="s">
        <v>4709</v>
      </c>
    </row>
    <row r="11841" spans="1:2" x14ac:dyDescent="0.25">
      <c r="A11841">
        <v>300420</v>
      </c>
      <c r="B11841" t="e">
        <f>- Los demas. que contengan antibioticos</f>
        <v>#NAME?</v>
      </c>
    </row>
    <row r="11842" spans="1:2" x14ac:dyDescent="0.25">
      <c r="A11842">
        <v>3004201</v>
      </c>
      <c r="B11842" t="s">
        <v>4710</v>
      </c>
    </row>
    <row r="11843" spans="1:2" x14ac:dyDescent="0.25">
      <c r="A11843">
        <v>30042011</v>
      </c>
      <c r="B11843" t="s">
        <v>4711</v>
      </c>
    </row>
    <row r="11844" spans="1:2" x14ac:dyDescent="0.25">
      <c r="A11844">
        <v>30042011100</v>
      </c>
      <c r="B11844" t="s">
        <v>4712</v>
      </c>
    </row>
    <row r="11845" spans="1:2" x14ac:dyDescent="0.25">
      <c r="A11845">
        <v>30042011900</v>
      </c>
      <c r="B11845" t="s">
        <v>10</v>
      </c>
    </row>
    <row r="11846" spans="1:2" x14ac:dyDescent="0.25">
      <c r="A11846">
        <v>30042019000</v>
      </c>
      <c r="B11846" t="s">
        <v>10</v>
      </c>
    </row>
    <row r="11847" spans="1:2" x14ac:dyDescent="0.25">
      <c r="A11847">
        <v>3004202</v>
      </c>
      <c r="B11847" t="s">
        <v>4713</v>
      </c>
    </row>
    <row r="11848" spans="1:2" x14ac:dyDescent="0.25">
      <c r="A11848">
        <v>30042021000</v>
      </c>
      <c r="B11848" t="s">
        <v>4714</v>
      </c>
    </row>
    <row r="11849" spans="1:2" x14ac:dyDescent="0.25">
      <c r="A11849">
        <v>30042029</v>
      </c>
      <c r="B11849" t="s">
        <v>10</v>
      </c>
    </row>
    <row r="11850" spans="1:2" x14ac:dyDescent="0.25">
      <c r="A11850">
        <v>30042029100</v>
      </c>
      <c r="B11850" t="s">
        <v>4715</v>
      </c>
    </row>
    <row r="11851" spans="1:2" x14ac:dyDescent="0.25">
      <c r="A11851">
        <v>30042029200</v>
      </c>
      <c r="B11851" t="s">
        <v>4716</v>
      </c>
    </row>
    <row r="11852" spans="1:2" x14ac:dyDescent="0.25">
      <c r="A11852">
        <v>30042029900</v>
      </c>
      <c r="B11852" t="s">
        <v>10</v>
      </c>
    </row>
    <row r="11853" spans="1:2" x14ac:dyDescent="0.25">
      <c r="A11853">
        <v>3004203</v>
      </c>
      <c r="B11853" t="s">
        <v>4717</v>
      </c>
    </row>
    <row r="11854" spans="1:2" x14ac:dyDescent="0.25">
      <c r="A11854">
        <v>30042031000</v>
      </c>
      <c r="B11854" t="s">
        <v>4511</v>
      </c>
    </row>
    <row r="11855" spans="1:2" x14ac:dyDescent="0.25">
      <c r="A11855">
        <v>30042032000</v>
      </c>
      <c r="B11855" t="s">
        <v>4718</v>
      </c>
    </row>
    <row r="11856" spans="1:2" x14ac:dyDescent="0.25">
      <c r="A11856">
        <v>30042039000</v>
      </c>
      <c r="B11856" t="s">
        <v>10</v>
      </c>
    </row>
    <row r="11857" spans="1:2" x14ac:dyDescent="0.25">
      <c r="A11857">
        <v>3004204</v>
      </c>
      <c r="B11857" t="s">
        <v>4719</v>
      </c>
    </row>
    <row r="11858" spans="1:2" x14ac:dyDescent="0.25">
      <c r="A11858">
        <v>30042041000</v>
      </c>
      <c r="B11858" t="s">
        <v>4513</v>
      </c>
    </row>
    <row r="11859" spans="1:2" x14ac:dyDescent="0.25">
      <c r="A11859">
        <v>30042049000</v>
      </c>
      <c r="B11859" t="s">
        <v>10</v>
      </c>
    </row>
    <row r="11860" spans="1:2" x14ac:dyDescent="0.25">
      <c r="A11860">
        <v>3004205</v>
      </c>
      <c r="B11860" t="s">
        <v>4720</v>
      </c>
    </row>
    <row r="11861" spans="1:2" x14ac:dyDescent="0.25">
      <c r="A11861">
        <v>30042051000</v>
      </c>
      <c r="B11861" t="s">
        <v>4523</v>
      </c>
    </row>
    <row r="11862" spans="1:2" x14ac:dyDescent="0.25">
      <c r="A11862">
        <v>30042052</v>
      </c>
      <c r="B11862" t="s">
        <v>4721</v>
      </c>
    </row>
    <row r="11863" spans="1:2" x14ac:dyDescent="0.25">
      <c r="A11863">
        <v>30042052100</v>
      </c>
      <c r="B11863" t="s">
        <v>4521</v>
      </c>
    </row>
    <row r="11864" spans="1:2" x14ac:dyDescent="0.25">
      <c r="A11864">
        <v>30042052200</v>
      </c>
      <c r="B11864" t="s">
        <v>4722</v>
      </c>
    </row>
    <row r="11865" spans="1:2" x14ac:dyDescent="0.25">
      <c r="A11865">
        <v>30042059</v>
      </c>
      <c r="B11865" t="s">
        <v>10</v>
      </c>
    </row>
    <row r="11866" spans="1:2" x14ac:dyDescent="0.25">
      <c r="A11866">
        <v>30042059100</v>
      </c>
      <c r="B11866" t="s">
        <v>4723</v>
      </c>
    </row>
    <row r="11867" spans="1:2" x14ac:dyDescent="0.25">
      <c r="A11867">
        <v>30042059200</v>
      </c>
      <c r="B11867" t="s">
        <v>4724</v>
      </c>
    </row>
    <row r="11868" spans="1:2" x14ac:dyDescent="0.25">
      <c r="A11868">
        <v>30042059900</v>
      </c>
      <c r="B11868" t="s">
        <v>10</v>
      </c>
    </row>
    <row r="11869" spans="1:2" x14ac:dyDescent="0.25">
      <c r="A11869">
        <v>3004206</v>
      </c>
      <c r="B11869" t="s">
        <v>4725</v>
      </c>
    </row>
    <row r="11870" spans="1:2" x14ac:dyDescent="0.25">
      <c r="A11870">
        <v>30042061</v>
      </c>
      <c r="B11870" t="s">
        <v>4534</v>
      </c>
    </row>
    <row r="11871" spans="1:2" x14ac:dyDescent="0.25">
      <c r="A11871">
        <v>30042061100</v>
      </c>
      <c r="B11871" t="s">
        <v>5287</v>
      </c>
    </row>
    <row r="11872" spans="1:2" x14ac:dyDescent="0.25">
      <c r="A11872">
        <v>30042061900</v>
      </c>
      <c r="B11872" t="s">
        <v>10</v>
      </c>
    </row>
    <row r="11873" spans="1:2" x14ac:dyDescent="0.25">
      <c r="A11873">
        <v>30042062000</v>
      </c>
      <c r="B11873" t="s">
        <v>4726</v>
      </c>
    </row>
    <row r="11874" spans="1:2" x14ac:dyDescent="0.25">
      <c r="A11874">
        <v>30042063000</v>
      </c>
      <c r="B11874" t="s">
        <v>4727</v>
      </c>
    </row>
    <row r="11875" spans="1:2" x14ac:dyDescent="0.25">
      <c r="A11875">
        <v>30042069</v>
      </c>
      <c r="B11875" t="s">
        <v>10</v>
      </c>
    </row>
    <row r="11876" spans="1:2" x14ac:dyDescent="0.25">
      <c r="A11876">
        <v>30042069100</v>
      </c>
      <c r="B11876" t="s">
        <v>5288</v>
      </c>
    </row>
    <row r="11877" spans="1:2" x14ac:dyDescent="0.25">
      <c r="A11877">
        <v>30042069900</v>
      </c>
      <c r="B11877" t="s">
        <v>10</v>
      </c>
    </row>
    <row r="11878" spans="1:2" x14ac:dyDescent="0.25">
      <c r="A11878">
        <v>3004207</v>
      </c>
      <c r="B11878" t="s">
        <v>4728</v>
      </c>
    </row>
    <row r="11879" spans="1:2" x14ac:dyDescent="0.25">
      <c r="A11879">
        <v>30042071000</v>
      </c>
      <c r="B11879" t="s">
        <v>4729</v>
      </c>
    </row>
    <row r="11880" spans="1:2" x14ac:dyDescent="0.25">
      <c r="A11880">
        <v>30042072</v>
      </c>
      <c r="B11880" t="s">
        <v>4730</v>
      </c>
    </row>
    <row r="11881" spans="1:2" x14ac:dyDescent="0.25">
      <c r="A11881">
        <v>30042072100</v>
      </c>
      <c r="B11881" t="s">
        <v>5289</v>
      </c>
    </row>
    <row r="11882" spans="1:2" x14ac:dyDescent="0.25">
      <c r="A11882">
        <v>30042072900</v>
      </c>
      <c r="B11882" t="s">
        <v>57</v>
      </c>
    </row>
    <row r="11883" spans="1:2" x14ac:dyDescent="0.25">
      <c r="A11883">
        <v>30042073000</v>
      </c>
      <c r="B11883" t="s">
        <v>4731</v>
      </c>
    </row>
    <row r="11884" spans="1:2" x14ac:dyDescent="0.25">
      <c r="A11884">
        <v>30042079000</v>
      </c>
      <c r="B11884" t="s">
        <v>10</v>
      </c>
    </row>
    <row r="11885" spans="1:2" x14ac:dyDescent="0.25">
      <c r="A11885">
        <v>3004209</v>
      </c>
      <c r="B11885" t="s">
        <v>10</v>
      </c>
    </row>
    <row r="11886" spans="1:2" x14ac:dyDescent="0.25">
      <c r="A11886">
        <v>30042091000</v>
      </c>
      <c r="B11886" t="s">
        <v>4732</v>
      </c>
    </row>
    <row r="11887" spans="1:2" x14ac:dyDescent="0.25">
      <c r="A11887">
        <v>30042092000</v>
      </c>
      <c r="B11887" t="s">
        <v>4553</v>
      </c>
    </row>
    <row r="11888" spans="1:2" x14ac:dyDescent="0.25">
      <c r="A11888">
        <v>30042093000</v>
      </c>
      <c r="B11888" t="s">
        <v>4733</v>
      </c>
    </row>
    <row r="11889" spans="1:2" x14ac:dyDescent="0.25">
      <c r="A11889">
        <v>30042094000</v>
      </c>
      <c r="B11889" t="s">
        <v>4734</v>
      </c>
    </row>
    <row r="11890" spans="1:2" x14ac:dyDescent="0.25">
      <c r="A11890">
        <v>30042095000</v>
      </c>
      <c r="B11890" t="s">
        <v>4735</v>
      </c>
    </row>
    <row r="11891" spans="1:2" x14ac:dyDescent="0.25">
      <c r="A11891">
        <v>30042099</v>
      </c>
      <c r="B11891" t="s">
        <v>10</v>
      </c>
    </row>
    <row r="11892" spans="1:2" x14ac:dyDescent="0.25">
      <c r="A11892">
        <v>30042099100</v>
      </c>
      <c r="B11892" t="s">
        <v>5290</v>
      </c>
    </row>
    <row r="11893" spans="1:2" x14ac:dyDescent="0.25">
      <c r="A11893">
        <v>30042099900</v>
      </c>
      <c r="B11893" t="s">
        <v>10</v>
      </c>
    </row>
    <row r="11894" spans="1:2" x14ac:dyDescent="0.25">
      <c r="A11894">
        <v>30043</v>
      </c>
      <c r="B11894" t="s">
        <v>4736</v>
      </c>
    </row>
    <row r="11895" spans="1:2" x14ac:dyDescent="0.25">
      <c r="A11895">
        <v>30043100000</v>
      </c>
      <c r="B11895" t="e">
        <f>--que contengan Insulina</f>
        <v>#NAME?</v>
      </c>
    </row>
    <row r="11896" spans="1:2" x14ac:dyDescent="0.25">
      <c r="A11896">
        <v>300432</v>
      </c>
      <c r="B11896" t="e">
        <f>- - que contengan Hormonas corticosteroides. sus derivados o analogos estructurales</f>
        <v>#NAME?</v>
      </c>
    </row>
    <row r="11897" spans="1:2" x14ac:dyDescent="0.25">
      <c r="A11897">
        <v>30043210000</v>
      </c>
      <c r="B11897" t="s">
        <v>5291</v>
      </c>
    </row>
    <row r="11898" spans="1:2" x14ac:dyDescent="0.25">
      <c r="A11898">
        <v>30043220000</v>
      </c>
      <c r="B11898" t="s">
        <v>4373</v>
      </c>
    </row>
    <row r="11899" spans="1:2" x14ac:dyDescent="0.25">
      <c r="A11899">
        <v>30043290000</v>
      </c>
      <c r="B11899" t="s">
        <v>10</v>
      </c>
    </row>
    <row r="11900" spans="1:2" x14ac:dyDescent="0.25">
      <c r="A11900">
        <v>300439</v>
      </c>
      <c r="B11900" t="e">
        <f>- - Los demas</f>
        <v>#NAME?</v>
      </c>
    </row>
    <row r="11901" spans="1:2" x14ac:dyDescent="0.25">
      <c r="A11901">
        <v>3004391</v>
      </c>
      <c r="B11901" t="s">
        <v>4737</v>
      </c>
    </row>
    <row r="11902" spans="1:2" x14ac:dyDescent="0.25">
      <c r="A11902">
        <v>30043911000</v>
      </c>
      <c r="B11902" t="s">
        <v>4738</v>
      </c>
    </row>
    <row r="11903" spans="1:2" x14ac:dyDescent="0.25">
      <c r="A11903">
        <v>30043912000</v>
      </c>
      <c r="B11903" t="s">
        <v>4739</v>
      </c>
    </row>
    <row r="11904" spans="1:2" x14ac:dyDescent="0.25">
      <c r="A11904">
        <v>30043913000</v>
      </c>
      <c r="B11904" t="s">
        <v>4337</v>
      </c>
    </row>
    <row r="11905" spans="1:2" x14ac:dyDescent="0.25">
      <c r="A11905">
        <v>30043914000</v>
      </c>
      <c r="B11905" t="s">
        <v>4740</v>
      </c>
    </row>
    <row r="11906" spans="1:2" x14ac:dyDescent="0.25">
      <c r="A11906">
        <v>30043915000</v>
      </c>
      <c r="B11906" t="s">
        <v>4741</v>
      </c>
    </row>
    <row r="11907" spans="1:2" x14ac:dyDescent="0.25">
      <c r="A11907">
        <v>30043916000</v>
      </c>
      <c r="B11907" t="s">
        <v>4742</v>
      </c>
    </row>
    <row r="11908" spans="1:2" x14ac:dyDescent="0.25">
      <c r="A11908">
        <v>30043917</v>
      </c>
      <c r="B11908" t="s">
        <v>4743</v>
      </c>
    </row>
    <row r="11909" spans="1:2" x14ac:dyDescent="0.25">
      <c r="A11909">
        <v>300439173</v>
      </c>
      <c r="B11909" t="s">
        <v>5292</v>
      </c>
    </row>
    <row r="11910" spans="1:2" x14ac:dyDescent="0.25">
      <c r="A11910">
        <v>30043917310</v>
      </c>
      <c r="B11910" t="s">
        <v>5293</v>
      </c>
    </row>
    <row r="11911" spans="1:2" x14ac:dyDescent="0.25">
      <c r="A11911">
        <v>30043917320</v>
      </c>
      <c r="B11911" t="s">
        <v>5294</v>
      </c>
    </row>
    <row r="11912" spans="1:2" x14ac:dyDescent="0.25">
      <c r="A11912">
        <v>30043917400</v>
      </c>
      <c r="B11912" t="s">
        <v>5295</v>
      </c>
    </row>
    <row r="11913" spans="1:2" x14ac:dyDescent="0.25">
      <c r="A11913">
        <v>30043918000</v>
      </c>
      <c r="B11913" t="s">
        <v>4744</v>
      </c>
    </row>
    <row r="11914" spans="1:2" x14ac:dyDescent="0.25">
      <c r="A11914">
        <v>30043919000</v>
      </c>
      <c r="B11914" t="s">
        <v>4745</v>
      </c>
    </row>
    <row r="11915" spans="1:2" x14ac:dyDescent="0.25">
      <c r="A11915">
        <v>3004392</v>
      </c>
      <c r="B11915" t="s">
        <v>5296</v>
      </c>
    </row>
    <row r="11916" spans="1:2" x14ac:dyDescent="0.25">
      <c r="A11916">
        <v>30043921000</v>
      </c>
      <c r="B11916" t="s">
        <v>4747</v>
      </c>
    </row>
    <row r="11917" spans="1:2" x14ac:dyDescent="0.25">
      <c r="A11917">
        <v>30043922000</v>
      </c>
      <c r="B11917" t="s">
        <v>4338</v>
      </c>
    </row>
    <row r="11918" spans="1:2" x14ac:dyDescent="0.25">
      <c r="A11918">
        <v>30043923000</v>
      </c>
      <c r="B11918" t="s">
        <v>4748</v>
      </c>
    </row>
    <row r="11919" spans="1:2" x14ac:dyDescent="0.25">
      <c r="A11919">
        <v>30043924000</v>
      </c>
      <c r="B11919" t="s">
        <v>4749</v>
      </c>
    </row>
    <row r="11920" spans="1:2" x14ac:dyDescent="0.25">
      <c r="A11920">
        <v>30043925000</v>
      </c>
      <c r="B11920" t="s">
        <v>5297</v>
      </c>
    </row>
    <row r="11921" spans="1:2" x14ac:dyDescent="0.25">
      <c r="A11921">
        <v>30043926000</v>
      </c>
      <c r="B11921" t="s">
        <v>4750</v>
      </c>
    </row>
    <row r="11922" spans="1:2" x14ac:dyDescent="0.25">
      <c r="A11922">
        <v>30043927000</v>
      </c>
      <c r="B11922" t="s">
        <v>4751</v>
      </c>
    </row>
    <row r="11923" spans="1:2" x14ac:dyDescent="0.25">
      <c r="A11923">
        <v>30043928</v>
      </c>
      <c r="B11923" t="s">
        <v>4752</v>
      </c>
    </row>
    <row r="11924" spans="1:2" x14ac:dyDescent="0.25">
      <c r="A11924">
        <v>30043928100</v>
      </c>
      <c r="B11924" t="s">
        <v>5298</v>
      </c>
    </row>
    <row r="11925" spans="1:2" x14ac:dyDescent="0.25">
      <c r="A11925">
        <v>30043928200</v>
      </c>
      <c r="B11925" t="s">
        <v>5299</v>
      </c>
    </row>
    <row r="11926" spans="1:2" x14ac:dyDescent="0.25">
      <c r="A11926">
        <v>30043929</v>
      </c>
      <c r="B11926" t="s">
        <v>10</v>
      </c>
    </row>
    <row r="11927" spans="1:2" x14ac:dyDescent="0.25">
      <c r="A11927">
        <v>30043929200</v>
      </c>
      <c r="B11927" t="s">
        <v>5300</v>
      </c>
    </row>
    <row r="11928" spans="1:2" x14ac:dyDescent="0.25">
      <c r="A11928">
        <v>30043929300</v>
      </c>
      <c r="B11928" t="s">
        <v>5301</v>
      </c>
    </row>
    <row r="11929" spans="1:2" x14ac:dyDescent="0.25">
      <c r="A11929">
        <v>30043929900</v>
      </c>
      <c r="B11929" t="s">
        <v>10</v>
      </c>
    </row>
    <row r="11930" spans="1:2" x14ac:dyDescent="0.25">
      <c r="A11930">
        <v>3004393</v>
      </c>
      <c r="B11930" t="s">
        <v>4753</v>
      </c>
    </row>
    <row r="11931" spans="1:2" x14ac:dyDescent="0.25">
      <c r="A11931">
        <v>30043931000</v>
      </c>
      <c r="B11931" t="s">
        <v>4358</v>
      </c>
    </row>
    <row r="11932" spans="1:2" x14ac:dyDescent="0.25">
      <c r="A11932">
        <v>30043932000</v>
      </c>
      <c r="B11932" t="s">
        <v>4754</v>
      </c>
    </row>
    <row r="11933" spans="1:2" x14ac:dyDescent="0.25">
      <c r="A11933">
        <v>30043933000</v>
      </c>
      <c r="B11933" t="s">
        <v>4755</v>
      </c>
    </row>
    <row r="11934" spans="1:2" x14ac:dyDescent="0.25">
      <c r="A11934">
        <v>30043934000</v>
      </c>
      <c r="B11934" t="s">
        <v>4361</v>
      </c>
    </row>
    <row r="11935" spans="1:2" x14ac:dyDescent="0.25">
      <c r="A11935">
        <v>30043935000</v>
      </c>
      <c r="B11935" t="s">
        <v>4363</v>
      </c>
    </row>
    <row r="11936" spans="1:2" x14ac:dyDescent="0.25">
      <c r="A11936">
        <v>30043936</v>
      </c>
      <c r="B11936" t="s">
        <v>4756</v>
      </c>
    </row>
    <row r="11937" spans="1:2" x14ac:dyDescent="0.25">
      <c r="A11937">
        <v>30043936100</v>
      </c>
      <c r="B11937" t="s">
        <v>4757</v>
      </c>
    </row>
    <row r="11938" spans="1:2" x14ac:dyDescent="0.25">
      <c r="A11938">
        <v>30043936200</v>
      </c>
      <c r="B11938" t="s">
        <v>4758</v>
      </c>
    </row>
    <row r="11939" spans="1:2" x14ac:dyDescent="0.25">
      <c r="A11939">
        <v>30043936300</v>
      </c>
      <c r="B11939" t="s">
        <v>4759</v>
      </c>
    </row>
    <row r="11940" spans="1:2" x14ac:dyDescent="0.25">
      <c r="A11940">
        <v>30043937000</v>
      </c>
      <c r="B11940" t="s">
        <v>4362</v>
      </c>
    </row>
    <row r="11941" spans="1:2" x14ac:dyDescent="0.25">
      <c r="A11941">
        <v>30043939</v>
      </c>
      <c r="B11941" t="s">
        <v>10</v>
      </c>
    </row>
    <row r="11942" spans="1:2" x14ac:dyDescent="0.25">
      <c r="A11942">
        <v>30043939100</v>
      </c>
      <c r="B11942" t="s">
        <v>5302</v>
      </c>
    </row>
    <row r="11943" spans="1:2" x14ac:dyDescent="0.25">
      <c r="A11943">
        <v>30043939900</v>
      </c>
      <c r="B11943" t="s">
        <v>10</v>
      </c>
    </row>
    <row r="11944" spans="1:2" x14ac:dyDescent="0.25">
      <c r="A11944">
        <v>3004398</v>
      </c>
      <c r="B11944" t="s">
        <v>4760</v>
      </c>
    </row>
    <row r="11945" spans="1:2" x14ac:dyDescent="0.25">
      <c r="A11945">
        <v>30043981000</v>
      </c>
      <c r="B11945" t="s">
        <v>4377</v>
      </c>
    </row>
    <row r="11946" spans="1:2" x14ac:dyDescent="0.25">
      <c r="A11946">
        <v>30043982000</v>
      </c>
      <c r="B11946" t="s">
        <v>4378</v>
      </c>
    </row>
    <row r="11947" spans="1:2" x14ac:dyDescent="0.25">
      <c r="A11947">
        <v>3004399</v>
      </c>
      <c r="B11947" t="s">
        <v>10</v>
      </c>
    </row>
    <row r="11948" spans="1:2" x14ac:dyDescent="0.25">
      <c r="A11948">
        <v>30043991000</v>
      </c>
      <c r="B11948" t="s">
        <v>4761</v>
      </c>
    </row>
    <row r="11949" spans="1:2" x14ac:dyDescent="0.25">
      <c r="A11949">
        <v>30043992000</v>
      </c>
      <c r="B11949" t="s">
        <v>5303</v>
      </c>
    </row>
    <row r="11950" spans="1:2" x14ac:dyDescent="0.25">
      <c r="A11950">
        <v>30043994000</v>
      </c>
      <c r="B11950" t="s">
        <v>4763</v>
      </c>
    </row>
    <row r="11951" spans="1:2" x14ac:dyDescent="0.25">
      <c r="A11951">
        <v>30043999000</v>
      </c>
      <c r="B11951" t="s">
        <v>10</v>
      </c>
    </row>
    <row r="11952" spans="1:2" x14ac:dyDescent="0.25">
      <c r="A11952">
        <v>30044</v>
      </c>
      <c r="B11952" t="s">
        <v>4764</v>
      </c>
    </row>
    <row r="11953" spans="1:2" x14ac:dyDescent="0.25">
      <c r="A11953">
        <v>30044100000</v>
      </c>
      <c r="B11953" t="e">
        <f>--que contengan Efedrina o sus sales</f>
        <v>#NAME?</v>
      </c>
    </row>
    <row r="11954" spans="1:2" x14ac:dyDescent="0.25">
      <c r="A11954">
        <v>30044200000</v>
      </c>
      <c r="B11954" t="e">
        <f>--que contengan Seudoefedrina (DCI) o sus sales</f>
        <v>#NAME?</v>
      </c>
    </row>
    <row r="11955" spans="1:2" x14ac:dyDescent="0.25">
      <c r="A11955">
        <v>30044300000</v>
      </c>
      <c r="B11955" t="e">
        <f>--que contengan Norefedrina o sus sales</f>
        <v>#NAME?</v>
      </c>
    </row>
    <row r="11956" spans="1:2" x14ac:dyDescent="0.25">
      <c r="A11956">
        <v>300449</v>
      </c>
      <c r="B11956" t="e">
        <f>- - Los demas</f>
        <v>#NAME?</v>
      </c>
    </row>
    <row r="11957" spans="1:2" x14ac:dyDescent="0.25">
      <c r="A11957">
        <v>30044910</v>
      </c>
      <c r="B11957" t="s">
        <v>4765</v>
      </c>
    </row>
    <row r="11958" spans="1:2" x14ac:dyDescent="0.25">
      <c r="A11958">
        <v>30044910100</v>
      </c>
      <c r="B11958" t="s">
        <v>5304</v>
      </c>
    </row>
    <row r="11959" spans="1:2" x14ac:dyDescent="0.25">
      <c r="A11959">
        <v>30044910900</v>
      </c>
      <c r="B11959" t="s">
        <v>10</v>
      </c>
    </row>
    <row r="11960" spans="1:2" x14ac:dyDescent="0.25">
      <c r="A11960">
        <v>30044920000</v>
      </c>
      <c r="B11960" t="s">
        <v>4766</v>
      </c>
    </row>
    <row r="11961" spans="1:2" x14ac:dyDescent="0.25">
      <c r="A11961">
        <v>30044930000</v>
      </c>
      <c r="B11961" t="s">
        <v>4431</v>
      </c>
    </row>
    <row r="11962" spans="1:2" x14ac:dyDescent="0.25">
      <c r="A11962">
        <v>30044940000</v>
      </c>
      <c r="B11962" t="s">
        <v>4767</v>
      </c>
    </row>
    <row r="11963" spans="1:2" x14ac:dyDescent="0.25">
      <c r="A11963">
        <v>30044950000</v>
      </c>
      <c r="B11963" t="s">
        <v>4768</v>
      </c>
    </row>
    <row r="11964" spans="1:2" x14ac:dyDescent="0.25">
      <c r="A11964">
        <v>30044990</v>
      </c>
      <c r="B11964" t="s">
        <v>10</v>
      </c>
    </row>
    <row r="11965" spans="1:2" x14ac:dyDescent="0.25">
      <c r="A11965">
        <v>300449901</v>
      </c>
      <c r="B11965" t="s">
        <v>4769</v>
      </c>
    </row>
    <row r="11966" spans="1:2" x14ac:dyDescent="0.25">
      <c r="A11966">
        <v>3004499011</v>
      </c>
      <c r="B11966" t="s">
        <v>5305</v>
      </c>
    </row>
    <row r="11967" spans="1:2" x14ac:dyDescent="0.25">
      <c r="A11967">
        <v>30044990111</v>
      </c>
      <c r="B11967" t="s">
        <v>4771</v>
      </c>
    </row>
    <row r="11968" spans="1:2" x14ac:dyDescent="0.25">
      <c r="A11968">
        <v>30044990112</v>
      </c>
      <c r="B11968" t="s">
        <v>4772</v>
      </c>
    </row>
    <row r="11969" spans="1:2" x14ac:dyDescent="0.25">
      <c r="A11969">
        <v>30044990113</v>
      </c>
      <c r="B11969" t="s">
        <v>4773</v>
      </c>
    </row>
    <row r="11970" spans="1:2" x14ac:dyDescent="0.25">
      <c r="A11970">
        <v>30044990114</v>
      </c>
      <c r="B11970" t="s">
        <v>4774</v>
      </c>
    </row>
    <row r="11971" spans="1:2" x14ac:dyDescent="0.25">
      <c r="A11971">
        <v>30044990115</v>
      </c>
      <c r="B11971" t="s">
        <v>4775</v>
      </c>
    </row>
    <row r="11972" spans="1:2" x14ac:dyDescent="0.25">
      <c r="A11972">
        <v>30044990116</v>
      </c>
      <c r="B11972" t="s">
        <v>5306</v>
      </c>
    </row>
    <row r="11973" spans="1:2" x14ac:dyDescent="0.25">
      <c r="A11973">
        <v>30044990117</v>
      </c>
      <c r="B11973" t="s">
        <v>4777</v>
      </c>
    </row>
    <row r="11974" spans="1:2" x14ac:dyDescent="0.25">
      <c r="A11974">
        <v>30044990118</v>
      </c>
      <c r="B11974" t="s">
        <v>4778</v>
      </c>
    </row>
    <row r="11975" spans="1:2" x14ac:dyDescent="0.25">
      <c r="A11975">
        <v>30044990119</v>
      </c>
      <c r="B11975" t="s">
        <v>4779</v>
      </c>
    </row>
    <row r="11976" spans="1:2" x14ac:dyDescent="0.25">
      <c r="A11976">
        <v>30044990190</v>
      </c>
      <c r="B11976" t="s">
        <v>10</v>
      </c>
    </row>
    <row r="11977" spans="1:2" x14ac:dyDescent="0.25">
      <c r="A11977">
        <v>300449902</v>
      </c>
      <c r="B11977" t="s">
        <v>4780</v>
      </c>
    </row>
    <row r="11978" spans="1:2" x14ac:dyDescent="0.25">
      <c r="A11978">
        <v>30044990210</v>
      </c>
      <c r="B11978" t="s">
        <v>4781</v>
      </c>
    </row>
    <row r="11979" spans="1:2" x14ac:dyDescent="0.25">
      <c r="A11979">
        <v>30044990220</v>
      </c>
      <c r="B11979" t="s">
        <v>4782</v>
      </c>
    </row>
    <row r="11980" spans="1:2" x14ac:dyDescent="0.25">
      <c r="A11980">
        <v>30044990230</v>
      </c>
      <c r="B11980" t="s">
        <v>4783</v>
      </c>
    </row>
    <row r="11981" spans="1:2" x14ac:dyDescent="0.25">
      <c r="A11981">
        <v>30044990240</v>
      </c>
      <c r="B11981" t="s">
        <v>4784</v>
      </c>
    </row>
    <row r="11982" spans="1:2" x14ac:dyDescent="0.25">
      <c r="A11982">
        <v>30044990290</v>
      </c>
      <c r="B11982" t="s">
        <v>10</v>
      </c>
    </row>
    <row r="11983" spans="1:2" x14ac:dyDescent="0.25">
      <c r="A11983">
        <v>300449903</v>
      </c>
      <c r="B11983" t="s">
        <v>5307</v>
      </c>
    </row>
    <row r="11984" spans="1:2" x14ac:dyDescent="0.25">
      <c r="A11984">
        <v>30044990310</v>
      </c>
      <c r="B11984" t="s">
        <v>4786</v>
      </c>
    </row>
    <row r="11985" spans="1:2" x14ac:dyDescent="0.25">
      <c r="A11985">
        <v>30044990320</v>
      </c>
      <c r="B11985" t="s">
        <v>4787</v>
      </c>
    </row>
    <row r="11986" spans="1:2" x14ac:dyDescent="0.25">
      <c r="A11986">
        <v>30044990330</v>
      </c>
      <c r="B11986" t="s">
        <v>4788</v>
      </c>
    </row>
    <row r="11987" spans="1:2" x14ac:dyDescent="0.25">
      <c r="A11987">
        <v>30044990340</v>
      </c>
      <c r="B11987" t="s">
        <v>4789</v>
      </c>
    </row>
    <row r="11988" spans="1:2" x14ac:dyDescent="0.25">
      <c r="A11988">
        <v>30044990350</v>
      </c>
      <c r="B11988" t="s">
        <v>4790</v>
      </c>
    </row>
    <row r="11989" spans="1:2" x14ac:dyDescent="0.25">
      <c r="A11989">
        <v>30044990390</v>
      </c>
      <c r="B11989" t="s">
        <v>10</v>
      </c>
    </row>
    <row r="11990" spans="1:2" x14ac:dyDescent="0.25">
      <c r="A11990">
        <v>300449904</v>
      </c>
      <c r="B11990" t="s">
        <v>5308</v>
      </c>
    </row>
    <row r="11991" spans="1:2" x14ac:dyDescent="0.25">
      <c r="A11991">
        <v>3004499041</v>
      </c>
      <c r="B11991" t="s">
        <v>5309</v>
      </c>
    </row>
    <row r="11992" spans="1:2" x14ac:dyDescent="0.25">
      <c r="A11992">
        <v>30044990411</v>
      </c>
      <c r="B11992" t="s">
        <v>4793</v>
      </c>
    </row>
    <row r="11993" spans="1:2" x14ac:dyDescent="0.25">
      <c r="A11993">
        <v>30044990412</v>
      </c>
      <c r="B11993" t="s">
        <v>4794</v>
      </c>
    </row>
    <row r="11994" spans="1:2" x14ac:dyDescent="0.25">
      <c r="A11994">
        <v>30044990413</v>
      </c>
      <c r="B11994" t="s">
        <v>4795</v>
      </c>
    </row>
    <row r="11995" spans="1:2" x14ac:dyDescent="0.25">
      <c r="A11995">
        <v>30044990414</v>
      </c>
      <c r="B11995" t="s">
        <v>4796</v>
      </c>
    </row>
    <row r="11996" spans="1:2" x14ac:dyDescent="0.25">
      <c r="A11996">
        <v>30044990415</v>
      </c>
      <c r="B11996" t="s">
        <v>4797</v>
      </c>
    </row>
    <row r="11997" spans="1:2" x14ac:dyDescent="0.25">
      <c r="A11997">
        <v>30044990416</v>
      </c>
      <c r="B11997" t="s">
        <v>4798</v>
      </c>
    </row>
    <row r="11998" spans="1:2" x14ac:dyDescent="0.25">
      <c r="A11998">
        <v>30044990417</v>
      </c>
      <c r="B11998" t="s">
        <v>4799</v>
      </c>
    </row>
    <row r="11999" spans="1:2" x14ac:dyDescent="0.25">
      <c r="A11999">
        <v>30044990418</v>
      </c>
      <c r="B11999" t="s">
        <v>4800</v>
      </c>
    </row>
    <row r="12000" spans="1:2" x14ac:dyDescent="0.25">
      <c r="A12000">
        <v>30044990419</v>
      </c>
      <c r="B12000" t="s">
        <v>4801</v>
      </c>
    </row>
    <row r="12001" spans="1:2" x14ac:dyDescent="0.25">
      <c r="A12001">
        <v>3004499042</v>
      </c>
      <c r="B12001" t="s">
        <v>5310</v>
      </c>
    </row>
    <row r="12002" spans="1:2" x14ac:dyDescent="0.25">
      <c r="A12002">
        <v>30044990421</v>
      </c>
      <c r="B12002" t="s">
        <v>4803</v>
      </c>
    </row>
    <row r="12003" spans="1:2" x14ac:dyDescent="0.25">
      <c r="A12003">
        <v>30044990422</v>
      </c>
      <c r="B12003" t="s">
        <v>4804</v>
      </c>
    </row>
    <row r="12004" spans="1:2" x14ac:dyDescent="0.25">
      <c r="A12004">
        <v>30044990423</v>
      </c>
      <c r="B12004" t="s">
        <v>4805</v>
      </c>
    </row>
    <row r="12005" spans="1:2" x14ac:dyDescent="0.25">
      <c r="A12005">
        <v>30044990424</v>
      </c>
      <c r="B12005" t="s">
        <v>4806</v>
      </c>
    </row>
    <row r="12006" spans="1:2" x14ac:dyDescent="0.25">
      <c r="A12006">
        <v>30044990425</v>
      </c>
      <c r="B12006" t="s">
        <v>4401</v>
      </c>
    </row>
    <row r="12007" spans="1:2" x14ac:dyDescent="0.25">
      <c r="A12007">
        <v>30044990426</v>
      </c>
      <c r="B12007" t="s">
        <v>4807</v>
      </c>
    </row>
    <row r="12008" spans="1:2" x14ac:dyDescent="0.25">
      <c r="A12008">
        <v>30044990427</v>
      </c>
      <c r="B12008" t="s">
        <v>4808</v>
      </c>
    </row>
    <row r="12009" spans="1:2" x14ac:dyDescent="0.25">
      <c r="A12009">
        <v>30044990428</v>
      </c>
      <c r="B12009" t="s">
        <v>5311</v>
      </c>
    </row>
    <row r="12010" spans="1:2" x14ac:dyDescent="0.25">
      <c r="A12010">
        <v>3004499043</v>
      </c>
      <c r="B12010" t="s">
        <v>5312</v>
      </c>
    </row>
    <row r="12011" spans="1:2" x14ac:dyDescent="0.25">
      <c r="A12011">
        <v>30044990431</v>
      </c>
      <c r="B12011" t="s">
        <v>4811</v>
      </c>
    </row>
    <row r="12012" spans="1:2" x14ac:dyDescent="0.25">
      <c r="A12012">
        <v>30044990432</v>
      </c>
      <c r="B12012" t="s">
        <v>4812</v>
      </c>
    </row>
    <row r="12013" spans="1:2" x14ac:dyDescent="0.25">
      <c r="A12013">
        <v>30044990433</v>
      </c>
      <c r="B12013" t="s">
        <v>4813</v>
      </c>
    </row>
    <row r="12014" spans="1:2" x14ac:dyDescent="0.25">
      <c r="A12014">
        <v>30044990434</v>
      </c>
      <c r="B12014" t="s">
        <v>4814</v>
      </c>
    </row>
    <row r="12015" spans="1:2" x14ac:dyDescent="0.25">
      <c r="A12015">
        <v>30044990435</v>
      </c>
      <c r="B12015" t="s">
        <v>4815</v>
      </c>
    </row>
    <row r="12016" spans="1:2" x14ac:dyDescent="0.25">
      <c r="A12016">
        <v>30044990436</v>
      </c>
      <c r="B12016" t="s">
        <v>4816</v>
      </c>
    </row>
    <row r="12017" spans="1:2" x14ac:dyDescent="0.25">
      <c r="A12017">
        <v>30044990437</v>
      </c>
      <c r="B12017" t="s">
        <v>4817</v>
      </c>
    </row>
    <row r="12018" spans="1:2" x14ac:dyDescent="0.25">
      <c r="A12018">
        <v>30044990438</v>
      </c>
      <c r="B12018" t="s">
        <v>4818</v>
      </c>
    </row>
    <row r="12019" spans="1:2" x14ac:dyDescent="0.25">
      <c r="A12019">
        <v>3004499044</v>
      </c>
      <c r="B12019" t="s">
        <v>4819</v>
      </c>
    </row>
    <row r="12020" spans="1:2" x14ac:dyDescent="0.25">
      <c r="A12020">
        <v>30044990441</v>
      </c>
      <c r="B12020" t="s">
        <v>4820</v>
      </c>
    </row>
    <row r="12021" spans="1:2" x14ac:dyDescent="0.25">
      <c r="A12021">
        <v>30044990442</v>
      </c>
      <c r="B12021" t="s">
        <v>4821</v>
      </c>
    </row>
    <row r="12022" spans="1:2" x14ac:dyDescent="0.25">
      <c r="A12022">
        <v>30044990444</v>
      </c>
      <c r="B12022" t="s">
        <v>4822</v>
      </c>
    </row>
    <row r="12023" spans="1:2" x14ac:dyDescent="0.25">
      <c r="A12023">
        <v>30044990445</v>
      </c>
      <c r="B12023" t="s">
        <v>4823</v>
      </c>
    </row>
    <row r="12024" spans="1:2" x14ac:dyDescent="0.25">
      <c r="A12024">
        <v>30044990446</v>
      </c>
      <c r="B12024" t="s">
        <v>4824</v>
      </c>
    </row>
    <row r="12025" spans="1:2" x14ac:dyDescent="0.25">
      <c r="A12025">
        <v>30044990447</v>
      </c>
      <c r="B12025" t="s">
        <v>4825</v>
      </c>
    </row>
    <row r="12026" spans="1:2" x14ac:dyDescent="0.25">
      <c r="A12026">
        <v>30044990448</v>
      </c>
      <c r="B12026" t="s">
        <v>4826</v>
      </c>
    </row>
    <row r="12027" spans="1:2" x14ac:dyDescent="0.25">
      <c r="A12027">
        <v>30044990449</v>
      </c>
      <c r="B12027" t="s">
        <v>4827</v>
      </c>
    </row>
    <row r="12028" spans="1:2" x14ac:dyDescent="0.25">
      <c r="A12028">
        <v>3004499045</v>
      </c>
      <c r="B12028" t="s">
        <v>5313</v>
      </c>
    </row>
    <row r="12029" spans="1:2" x14ac:dyDescent="0.25">
      <c r="A12029">
        <v>30044990451</v>
      </c>
      <c r="B12029" t="s">
        <v>4829</v>
      </c>
    </row>
    <row r="12030" spans="1:2" x14ac:dyDescent="0.25">
      <c r="A12030">
        <v>30044990452</v>
      </c>
      <c r="B12030" t="s">
        <v>4830</v>
      </c>
    </row>
    <row r="12031" spans="1:2" x14ac:dyDescent="0.25">
      <c r="A12031">
        <v>30044990490</v>
      </c>
      <c r="B12031" t="s">
        <v>10</v>
      </c>
    </row>
    <row r="12032" spans="1:2" x14ac:dyDescent="0.25">
      <c r="A12032">
        <v>30044990500</v>
      </c>
      <c r="B12032" t="s">
        <v>4831</v>
      </c>
    </row>
    <row r="12033" spans="1:2" x14ac:dyDescent="0.25">
      <c r="A12033">
        <v>30044990600</v>
      </c>
      <c r="B12033" t="s">
        <v>4832</v>
      </c>
    </row>
    <row r="12034" spans="1:2" x14ac:dyDescent="0.25">
      <c r="A12034">
        <v>30044990700</v>
      </c>
      <c r="B12034" t="s">
        <v>4833</v>
      </c>
    </row>
    <row r="12035" spans="1:2" x14ac:dyDescent="0.25">
      <c r="A12035">
        <v>300449909</v>
      </c>
      <c r="B12035" t="s">
        <v>10</v>
      </c>
    </row>
    <row r="12036" spans="1:2" x14ac:dyDescent="0.25">
      <c r="A12036">
        <v>30044990910</v>
      </c>
      <c r="B12036" t="s">
        <v>5314</v>
      </c>
    </row>
    <row r="12037" spans="1:2" x14ac:dyDescent="0.25">
      <c r="A12037">
        <v>30044990990</v>
      </c>
      <c r="B12037" t="s">
        <v>10</v>
      </c>
    </row>
    <row r="12038" spans="1:2" x14ac:dyDescent="0.25">
      <c r="A12038">
        <v>300450</v>
      </c>
      <c r="B12038" t="s">
        <v>5315</v>
      </c>
    </row>
    <row r="12039" spans="1:2" x14ac:dyDescent="0.25">
      <c r="A12039">
        <v>30045010000</v>
      </c>
      <c r="B12039" t="s">
        <v>4836</v>
      </c>
    </row>
    <row r="12040" spans="1:2" x14ac:dyDescent="0.25">
      <c r="A12040">
        <v>30045020000</v>
      </c>
      <c r="B12040" t="s">
        <v>4328</v>
      </c>
    </row>
    <row r="12041" spans="1:2" x14ac:dyDescent="0.25">
      <c r="A12041">
        <v>30045030</v>
      </c>
      <c r="B12041" t="s">
        <v>4837</v>
      </c>
    </row>
    <row r="12042" spans="1:2" x14ac:dyDescent="0.25">
      <c r="A12042">
        <v>30045030100</v>
      </c>
      <c r="B12042" t="s">
        <v>4838</v>
      </c>
    </row>
    <row r="12043" spans="1:2" x14ac:dyDescent="0.25">
      <c r="A12043">
        <v>30045030200</v>
      </c>
      <c r="B12043" t="s">
        <v>4839</v>
      </c>
    </row>
    <row r="12044" spans="1:2" x14ac:dyDescent="0.25">
      <c r="A12044">
        <v>30045040000</v>
      </c>
      <c r="B12044" t="s">
        <v>4840</v>
      </c>
    </row>
    <row r="12045" spans="1:2" x14ac:dyDescent="0.25">
      <c r="A12045">
        <v>30045050</v>
      </c>
      <c r="B12045" t="s">
        <v>4841</v>
      </c>
    </row>
    <row r="12046" spans="1:2" x14ac:dyDescent="0.25">
      <c r="A12046">
        <v>30045050100</v>
      </c>
      <c r="B12046" t="s">
        <v>4842</v>
      </c>
    </row>
    <row r="12047" spans="1:2" x14ac:dyDescent="0.25">
      <c r="A12047">
        <v>300450502</v>
      </c>
      <c r="B12047" t="s">
        <v>5316</v>
      </c>
    </row>
    <row r="12048" spans="1:2" x14ac:dyDescent="0.25">
      <c r="A12048">
        <v>30045050210</v>
      </c>
      <c r="B12048" t="s">
        <v>5317</v>
      </c>
    </row>
    <row r="12049" spans="1:2" x14ac:dyDescent="0.25">
      <c r="A12049">
        <v>30045050290</v>
      </c>
      <c r="B12049" t="s">
        <v>10</v>
      </c>
    </row>
    <row r="12050" spans="1:2" x14ac:dyDescent="0.25">
      <c r="A12050">
        <v>30045060000</v>
      </c>
      <c r="B12050" t="s">
        <v>4844</v>
      </c>
    </row>
    <row r="12051" spans="1:2" x14ac:dyDescent="0.25">
      <c r="A12051">
        <v>30045090000</v>
      </c>
      <c r="B12051" t="s">
        <v>10</v>
      </c>
    </row>
    <row r="12052" spans="1:2" x14ac:dyDescent="0.25">
      <c r="A12052">
        <v>30046000</v>
      </c>
      <c r="B12052" t="s">
        <v>5318</v>
      </c>
    </row>
    <row r="12053" spans="1:2" x14ac:dyDescent="0.25">
      <c r="A12053">
        <v>30046000100</v>
      </c>
      <c r="B12053" t="s">
        <v>5319</v>
      </c>
    </row>
    <row r="12054" spans="1:2" x14ac:dyDescent="0.25">
      <c r="A12054">
        <v>30046000900</v>
      </c>
      <c r="B12054" t="s">
        <v>10</v>
      </c>
    </row>
    <row r="12055" spans="1:2" x14ac:dyDescent="0.25">
      <c r="A12055">
        <v>300490</v>
      </c>
      <c r="B12055" t="e">
        <f>- Los demas</f>
        <v>#NAME?</v>
      </c>
    </row>
    <row r="12056" spans="1:2" x14ac:dyDescent="0.25">
      <c r="A12056">
        <v>3004901</v>
      </c>
      <c r="B12056" t="s">
        <v>5320</v>
      </c>
    </row>
    <row r="12057" spans="1:2" x14ac:dyDescent="0.25">
      <c r="A12057">
        <v>30049011000</v>
      </c>
      <c r="B12057" t="s">
        <v>4846</v>
      </c>
    </row>
    <row r="12058" spans="1:2" x14ac:dyDescent="0.25">
      <c r="A12058">
        <v>30049012000</v>
      </c>
      <c r="B12058" t="s">
        <v>4847</v>
      </c>
    </row>
    <row r="12059" spans="1:2" x14ac:dyDescent="0.25">
      <c r="A12059">
        <v>30049013000</v>
      </c>
      <c r="B12059" t="s">
        <v>4848</v>
      </c>
    </row>
    <row r="12060" spans="1:2" x14ac:dyDescent="0.25">
      <c r="A12060">
        <v>30049014000</v>
      </c>
      <c r="B12060" t="s">
        <v>4849</v>
      </c>
    </row>
    <row r="12061" spans="1:2" x14ac:dyDescent="0.25">
      <c r="A12061">
        <v>30049019</v>
      </c>
      <c r="B12061" t="s">
        <v>10</v>
      </c>
    </row>
    <row r="12062" spans="1:2" x14ac:dyDescent="0.25">
      <c r="A12062">
        <v>30049019100</v>
      </c>
      <c r="B12062" t="s">
        <v>5321</v>
      </c>
    </row>
    <row r="12063" spans="1:2" x14ac:dyDescent="0.25">
      <c r="A12063">
        <v>30049019900</v>
      </c>
      <c r="B12063" t="s">
        <v>10</v>
      </c>
    </row>
    <row r="12064" spans="1:2" x14ac:dyDescent="0.25">
      <c r="A12064">
        <v>3004902</v>
      </c>
      <c r="B12064" t="s">
        <v>5322</v>
      </c>
    </row>
    <row r="12065" spans="1:2" x14ac:dyDescent="0.25">
      <c r="A12065">
        <v>30049021</v>
      </c>
      <c r="B12065" t="s">
        <v>4851</v>
      </c>
    </row>
    <row r="12066" spans="1:2" x14ac:dyDescent="0.25">
      <c r="A12066">
        <v>30049021100</v>
      </c>
      <c r="B12066" t="s">
        <v>3025</v>
      </c>
    </row>
    <row r="12067" spans="1:2" x14ac:dyDescent="0.25">
      <c r="A12067">
        <v>30049021200</v>
      </c>
      <c r="B12067" t="s">
        <v>4852</v>
      </c>
    </row>
    <row r="12068" spans="1:2" x14ac:dyDescent="0.25">
      <c r="A12068">
        <v>30049021300</v>
      </c>
      <c r="B12068" t="s">
        <v>4853</v>
      </c>
    </row>
    <row r="12069" spans="1:2" x14ac:dyDescent="0.25">
      <c r="A12069">
        <v>30049021400</v>
      </c>
      <c r="B12069" t="s">
        <v>3052</v>
      </c>
    </row>
    <row r="12070" spans="1:2" x14ac:dyDescent="0.25">
      <c r="A12070">
        <v>30049022</v>
      </c>
      <c r="B12070" t="s">
        <v>4854</v>
      </c>
    </row>
    <row r="12071" spans="1:2" x14ac:dyDescent="0.25">
      <c r="A12071">
        <v>30049022200</v>
      </c>
      <c r="B12071" t="s">
        <v>5323</v>
      </c>
    </row>
    <row r="12072" spans="1:2" x14ac:dyDescent="0.25">
      <c r="A12072">
        <v>30049022300</v>
      </c>
      <c r="B12072" t="s">
        <v>5324</v>
      </c>
    </row>
    <row r="12073" spans="1:2" x14ac:dyDescent="0.25">
      <c r="A12073">
        <v>30049022400</v>
      </c>
      <c r="B12073" t="s">
        <v>4857</v>
      </c>
    </row>
    <row r="12074" spans="1:2" x14ac:dyDescent="0.25">
      <c r="A12074">
        <v>30049023000</v>
      </c>
      <c r="B12074" t="s">
        <v>5325</v>
      </c>
    </row>
    <row r="12075" spans="1:2" x14ac:dyDescent="0.25">
      <c r="A12075">
        <v>30049024</v>
      </c>
      <c r="B12075" t="s">
        <v>5326</v>
      </c>
    </row>
    <row r="12076" spans="1:2" x14ac:dyDescent="0.25">
      <c r="A12076">
        <v>30049024100</v>
      </c>
      <c r="B12076" t="s">
        <v>4860</v>
      </c>
    </row>
    <row r="12077" spans="1:2" x14ac:dyDescent="0.25">
      <c r="A12077">
        <v>30049024200</v>
      </c>
      <c r="B12077" t="s">
        <v>3093</v>
      </c>
    </row>
    <row r="12078" spans="1:2" x14ac:dyDescent="0.25">
      <c r="A12078">
        <v>30049024300</v>
      </c>
      <c r="B12078" t="s">
        <v>3094</v>
      </c>
    </row>
    <row r="12079" spans="1:2" x14ac:dyDescent="0.25">
      <c r="A12079">
        <v>30049024400</v>
      </c>
      <c r="B12079" t="s">
        <v>4861</v>
      </c>
    </row>
    <row r="12080" spans="1:2" x14ac:dyDescent="0.25">
      <c r="A12080">
        <v>30049025000</v>
      </c>
      <c r="B12080" t="s">
        <v>3144</v>
      </c>
    </row>
    <row r="12081" spans="1:2" x14ac:dyDescent="0.25">
      <c r="A12081">
        <v>30049026</v>
      </c>
      <c r="B12081" t="s">
        <v>5327</v>
      </c>
    </row>
    <row r="12082" spans="1:2" x14ac:dyDescent="0.25">
      <c r="A12082">
        <v>300490261</v>
      </c>
      <c r="B12082" t="s">
        <v>4863</v>
      </c>
    </row>
    <row r="12083" spans="1:2" x14ac:dyDescent="0.25">
      <c r="A12083">
        <v>30049026110</v>
      </c>
      <c r="B12083" t="s">
        <v>5328</v>
      </c>
    </row>
    <row r="12084" spans="1:2" x14ac:dyDescent="0.25">
      <c r="A12084">
        <v>30049026190</v>
      </c>
      <c r="B12084" t="s">
        <v>10</v>
      </c>
    </row>
    <row r="12085" spans="1:2" x14ac:dyDescent="0.25">
      <c r="A12085">
        <v>30049026200</v>
      </c>
      <c r="B12085" t="s">
        <v>5329</v>
      </c>
    </row>
    <row r="12086" spans="1:2" x14ac:dyDescent="0.25">
      <c r="A12086">
        <v>30049026300</v>
      </c>
      <c r="B12086" t="s">
        <v>4865</v>
      </c>
    </row>
    <row r="12087" spans="1:2" x14ac:dyDescent="0.25">
      <c r="A12087">
        <v>30049027000</v>
      </c>
      <c r="B12087" t="s">
        <v>5330</v>
      </c>
    </row>
    <row r="12088" spans="1:2" x14ac:dyDescent="0.25">
      <c r="A12088">
        <v>30049028</v>
      </c>
      <c r="B12088" t="s">
        <v>4866</v>
      </c>
    </row>
    <row r="12089" spans="1:2" x14ac:dyDescent="0.25">
      <c r="A12089">
        <v>30049028200</v>
      </c>
      <c r="B12089" t="s">
        <v>4867</v>
      </c>
    </row>
    <row r="12090" spans="1:2" x14ac:dyDescent="0.25">
      <c r="A12090">
        <v>30049028400</v>
      </c>
      <c r="B12090" t="s">
        <v>4868</v>
      </c>
    </row>
    <row r="12091" spans="1:2" x14ac:dyDescent="0.25">
      <c r="A12091">
        <v>30049029</v>
      </c>
      <c r="B12091" t="s">
        <v>10</v>
      </c>
    </row>
    <row r="12092" spans="1:2" x14ac:dyDescent="0.25">
      <c r="A12092">
        <v>300490291</v>
      </c>
      <c r="B12092" t="s">
        <v>4869</v>
      </c>
    </row>
    <row r="12093" spans="1:2" x14ac:dyDescent="0.25">
      <c r="A12093">
        <v>30049029110</v>
      </c>
      <c r="B12093" t="s">
        <v>2775</v>
      </c>
    </row>
    <row r="12094" spans="1:2" x14ac:dyDescent="0.25">
      <c r="A12094">
        <v>30049029190</v>
      </c>
      <c r="B12094" t="s">
        <v>2776</v>
      </c>
    </row>
    <row r="12095" spans="1:2" x14ac:dyDescent="0.25">
      <c r="A12095">
        <v>30049029200</v>
      </c>
      <c r="B12095" t="s">
        <v>5331</v>
      </c>
    </row>
    <row r="12096" spans="1:2" x14ac:dyDescent="0.25">
      <c r="A12096">
        <v>300490293</v>
      </c>
      <c r="B12096" t="s">
        <v>4871</v>
      </c>
    </row>
    <row r="12097" spans="1:2" x14ac:dyDescent="0.25">
      <c r="A12097">
        <v>30049029310</v>
      </c>
      <c r="B12097" t="s">
        <v>3913</v>
      </c>
    </row>
    <row r="12098" spans="1:2" x14ac:dyDescent="0.25">
      <c r="A12098">
        <v>30049029390</v>
      </c>
      <c r="B12098" t="s">
        <v>3914</v>
      </c>
    </row>
    <row r="12099" spans="1:2" x14ac:dyDescent="0.25">
      <c r="A12099">
        <v>300490294</v>
      </c>
      <c r="B12099" t="s">
        <v>4872</v>
      </c>
    </row>
    <row r="12100" spans="1:2" x14ac:dyDescent="0.25">
      <c r="A12100">
        <v>30049029410</v>
      </c>
      <c r="B12100" t="s">
        <v>3336</v>
      </c>
    </row>
    <row r="12101" spans="1:2" x14ac:dyDescent="0.25">
      <c r="A12101">
        <v>30049029490</v>
      </c>
      <c r="B12101" t="s">
        <v>3337</v>
      </c>
    </row>
    <row r="12102" spans="1:2" x14ac:dyDescent="0.25">
      <c r="A12102">
        <v>30049029900</v>
      </c>
      <c r="B12102" t="s">
        <v>10</v>
      </c>
    </row>
    <row r="12103" spans="1:2" x14ac:dyDescent="0.25">
      <c r="A12103">
        <v>3004903</v>
      </c>
      <c r="B12103" t="s">
        <v>5332</v>
      </c>
    </row>
    <row r="12104" spans="1:2" x14ac:dyDescent="0.25">
      <c r="A12104">
        <v>30049031</v>
      </c>
      <c r="B12104" t="s">
        <v>4874</v>
      </c>
    </row>
    <row r="12105" spans="1:2" x14ac:dyDescent="0.25">
      <c r="A12105">
        <v>30049031100</v>
      </c>
      <c r="B12105" t="s">
        <v>3277</v>
      </c>
    </row>
    <row r="12106" spans="1:2" x14ac:dyDescent="0.25">
      <c r="A12106">
        <v>30049031200</v>
      </c>
      <c r="B12106" t="s">
        <v>4875</v>
      </c>
    </row>
    <row r="12107" spans="1:2" x14ac:dyDescent="0.25">
      <c r="A12107">
        <v>30049032000</v>
      </c>
      <c r="B12107" t="s">
        <v>4876</v>
      </c>
    </row>
    <row r="12108" spans="1:2" x14ac:dyDescent="0.25">
      <c r="A12108">
        <v>30049033000</v>
      </c>
      <c r="B12108" t="s">
        <v>4877</v>
      </c>
    </row>
    <row r="12109" spans="1:2" x14ac:dyDescent="0.25">
      <c r="A12109">
        <v>30049034000</v>
      </c>
      <c r="B12109" t="s">
        <v>4878</v>
      </c>
    </row>
    <row r="12110" spans="1:2" x14ac:dyDescent="0.25">
      <c r="A12110">
        <v>30049035</v>
      </c>
      <c r="B12110" t="s">
        <v>4879</v>
      </c>
    </row>
    <row r="12111" spans="1:2" x14ac:dyDescent="0.25">
      <c r="A12111">
        <v>30049035100</v>
      </c>
      <c r="B12111" t="s">
        <v>3393</v>
      </c>
    </row>
    <row r="12112" spans="1:2" x14ac:dyDescent="0.25">
      <c r="A12112">
        <v>30049035200</v>
      </c>
      <c r="B12112" t="s">
        <v>4880</v>
      </c>
    </row>
    <row r="12113" spans="1:2" x14ac:dyDescent="0.25">
      <c r="A12113">
        <v>30049036</v>
      </c>
      <c r="B12113" t="s">
        <v>5333</v>
      </c>
    </row>
    <row r="12114" spans="1:2" x14ac:dyDescent="0.25">
      <c r="A12114">
        <v>30049036100</v>
      </c>
      <c r="B12114" t="s">
        <v>4882</v>
      </c>
    </row>
    <row r="12115" spans="1:2" x14ac:dyDescent="0.25">
      <c r="A12115">
        <v>30049036200</v>
      </c>
      <c r="B12115" t="s">
        <v>3333</v>
      </c>
    </row>
    <row r="12116" spans="1:2" x14ac:dyDescent="0.25">
      <c r="A12116">
        <v>30049036300</v>
      </c>
      <c r="B12116" t="s">
        <v>4883</v>
      </c>
    </row>
    <row r="12117" spans="1:2" x14ac:dyDescent="0.25">
      <c r="A12117">
        <v>30049037</v>
      </c>
      <c r="B12117" t="s">
        <v>4884</v>
      </c>
    </row>
    <row r="12118" spans="1:2" x14ac:dyDescent="0.25">
      <c r="A12118">
        <v>30049037100</v>
      </c>
      <c r="B12118" t="s">
        <v>3385</v>
      </c>
    </row>
    <row r="12119" spans="1:2" x14ac:dyDescent="0.25">
      <c r="A12119">
        <v>30049037200</v>
      </c>
      <c r="B12119" t="s">
        <v>3386</v>
      </c>
    </row>
    <row r="12120" spans="1:2" x14ac:dyDescent="0.25">
      <c r="A12120">
        <v>30049037300</v>
      </c>
      <c r="B12120" t="s">
        <v>3387</v>
      </c>
    </row>
    <row r="12121" spans="1:2" x14ac:dyDescent="0.25">
      <c r="A12121">
        <v>30049038</v>
      </c>
      <c r="B12121" t="s">
        <v>4885</v>
      </c>
    </row>
    <row r="12122" spans="1:2" x14ac:dyDescent="0.25">
      <c r="A12122">
        <v>30049038100</v>
      </c>
      <c r="B12122" t="s">
        <v>4886</v>
      </c>
    </row>
    <row r="12123" spans="1:2" x14ac:dyDescent="0.25">
      <c r="A12123">
        <v>30049038200</v>
      </c>
      <c r="B12123" t="s">
        <v>4887</v>
      </c>
    </row>
    <row r="12124" spans="1:2" x14ac:dyDescent="0.25">
      <c r="A12124">
        <v>30049038300</v>
      </c>
      <c r="B12124" t="s">
        <v>4888</v>
      </c>
    </row>
    <row r="12125" spans="1:2" x14ac:dyDescent="0.25">
      <c r="A12125">
        <v>30049038400</v>
      </c>
      <c r="B12125" t="s">
        <v>4889</v>
      </c>
    </row>
    <row r="12126" spans="1:2" x14ac:dyDescent="0.25">
      <c r="A12126">
        <v>30049039</v>
      </c>
      <c r="B12126" t="s">
        <v>10</v>
      </c>
    </row>
    <row r="12127" spans="1:2" x14ac:dyDescent="0.25">
      <c r="A12127">
        <v>300490391</v>
      </c>
      <c r="B12127" t="s">
        <v>4769</v>
      </c>
    </row>
    <row r="12128" spans="1:2" x14ac:dyDescent="0.25">
      <c r="A12128">
        <v>30049039110</v>
      </c>
      <c r="B12128" t="s">
        <v>4890</v>
      </c>
    </row>
    <row r="12129" spans="1:2" x14ac:dyDescent="0.25">
      <c r="A12129">
        <v>30049039120</v>
      </c>
      <c r="B12129" t="s">
        <v>4891</v>
      </c>
    </row>
    <row r="12130" spans="1:2" x14ac:dyDescent="0.25">
      <c r="A12130">
        <v>30049039130</v>
      </c>
      <c r="B12130" t="s">
        <v>4892</v>
      </c>
    </row>
    <row r="12131" spans="1:2" x14ac:dyDescent="0.25">
      <c r="A12131">
        <v>30049039140</v>
      </c>
      <c r="B12131" t="s">
        <v>4893</v>
      </c>
    </row>
    <row r="12132" spans="1:2" x14ac:dyDescent="0.25">
      <c r="A12132">
        <v>30049039150</v>
      </c>
      <c r="B12132" t="s">
        <v>4894</v>
      </c>
    </row>
    <row r="12133" spans="1:2" x14ac:dyDescent="0.25">
      <c r="A12133">
        <v>30049039160</v>
      </c>
      <c r="B12133" t="s">
        <v>4895</v>
      </c>
    </row>
    <row r="12134" spans="1:2" x14ac:dyDescent="0.25">
      <c r="A12134">
        <v>30049039170</v>
      </c>
      <c r="B12134" t="s">
        <v>4896</v>
      </c>
    </row>
    <row r="12135" spans="1:2" x14ac:dyDescent="0.25">
      <c r="A12135">
        <v>30049039190</v>
      </c>
      <c r="B12135" t="s">
        <v>10</v>
      </c>
    </row>
    <row r="12136" spans="1:2" x14ac:dyDescent="0.25">
      <c r="A12136">
        <v>300490392</v>
      </c>
      <c r="B12136" t="s">
        <v>4780</v>
      </c>
    </row>
    <row r="12137" spans="1:2" x14ac:dyDescent="0.25">
      <c r="A12137">
        <v>3004903921</v>
      </c>
      <c r="B12137" t="s">
        <v>4898</v>
      </c>
    </row>
    <row r="12138" spans="1:2" x14ac:dyDescent="0.25">
      <c r="A12138">
        <v>30049039211</v>
      </c>
      <c r="B12138" t="s">
        <v>4899</v>
      </c>
    </row>
    <row r="12139" spans="1:2" x14ac:dyDescent="0.25">
      <c r="A12139">
        <v>30049039212</v>
      </c>
      <c r="B12139" t="s">
        <v>4900</v>
      </c>
    </row>
    <row r="12140" spans="1:2" x14ac:dyDescent="0.25">
      <c r="A12140">
        <v>30049039213</v>
      </c>
      <c r="B12140" t="s">
        <v>4901</v>
      </c>
    </row>
    <row r="12141" spans="1:2" x14ac:dyDescent="0.25">
      <c r="A12141">
        <v>30049039214</v>
      </c>
      <c r="B12141" t="s">
        <v>4902</v>
      </c>
    </row>
    <row r="12142" spans="1:2" x14ac:dyDescent="0.25">
      <c r="A12142">
        <v>30049039215</v>
      </c>
      <c r="B12142" t="s">
        <v>4903</v>
      </c>
    </row>
    <row r="12143" spans="1:2" x14ac:dyDescent="0.25">
      <c r="A12143">
        <v>30049039216</v>
      </c>
      <c r="B12143" t="s">
        <v>4904</v>
      </c>
    </row>
    <row r="12144" spans="1:2" x14ac:dyDescent="0.25">
      <c r="A12144">
        <v>30049039217</v>
      </c>
      <c r="B12144" t="s">
        <v>4905</v>
      </c>
    </row>
    <row r="12145" spans="1:2" x14ac:dyDescent="0.25">
      <c r="A12145">
        <v>30049039218</v>
      </c>
      <c r="B12145" t="s">
        <v>4906</v>
      </c>
    </row>
    <row r="12146" spans="1:2" x14ac:dyDescent="0.25">
      <c r="A12146">
        <v>30049039219</v>
      </c>
      <c r="B12146" t="s">
        <v>4907</v>
      </c>
    </row>
    <row r="12147" spans="1:2" x14ac:dyDescent="0.25">
      <c r="A12147">
        <v>3004903922</v>
      </c>
      <c r="B12147" t="s">
        <v>4908</v>
      </c>
    </row>
    <row r="12148" spans="1:2" x14ac:dyDescent="0.25">
      <c r="A12148">
        <v>30049039221</v>
      </c>
      <c r="B12148" t="s">
        <v>4909</v>
      </c>
    </row>
    <row r="12149" spans="1:2" x14ac:dyDescent="0.25">
      <c r="A12149">
        <v>30049039222</v>
      </c>
      <c r="B12149" t="s">
        <v>4910</v>
      </c>
    </row>
    <row r="12150" spans="1:2" x14ac:dyDescent="0.25">
      <c r="A12150">
        <v>30049039223</v>
      </c>
      <c r="B12150" t="s">
        <v>3356</v>
      </c>
    </row>
    <row r="12151" spans="1:2" x14ac:dyDescent="0.25">
      <c r="A12151">
        <v>30049039224</v>
      </c>
      <c r="B12151" t="s">
        <v>4911</v>
      </c>
    </row>
    <row r="12152" spans="1:2" x14ac:dyDescent="0.25">
      <c r="A12152">
        <v>30049039225</v>
      </c>
      <c r="B12152" t="s">
        <v>3233</v>
      </c>
    </row>
    <row r="12153" spans="1:2" x14ac:dyDescent="0.25">
      <c r="A12153">
        <v>30049039226</v>
      </c>
      <c r="B12153" t="s">
        <v>4912</v>
      </c>
    </row>
    <row r="12154" spans="1:2" x14ac:dyDescent="0.25">
      <c r="A12154">
        <v>30049039227</v>
      </c>
      <c r="B12154" t="s">
        <v>4913</v>
      </c>
    </row>
    <row r="12155" spans="1:2" x14ac:dyDescent="0.25">
      <c r="A12155">
        <v>30049039228</v>
      </c>
      <c r="B12155" t="s">
        <v>4914</v>
      </c>
    </row>
    <row r="12156" spans="1:2" x14ac:dyDescent="0.25">
      <c r="A12156">
        <v>30049039229</v>
      </c>
      <c r="B12156" t="s">
        <v>4915</v>
      </c>
    </row>
    <row r="12157" spans="1:2" x14ac:dyDescent="0.25">
      <c r="A12157">
        <v>3004903923</v>
      </c>
      <c r="B12157" t="s">
        <v>4916</v>
      </c>
    </row>
    <row r="12158" spans="1:2" x14ac:dyDescent="0.25">
      <c r="A12158">
        <v>30049039231</v>
      </c>
      <c r="B12158" t="s">
        <v>4917</v>
      </c>
    </row>
    <row r="12159" spans="1:2" x14ac:dyDescent="0.25">
      <c r="A12159">
        <v>30049039232</v>
      </c>
      <c r="B12159" t="s">
        <v>4918</v>
      </c>
    </row>
    <row r="12160" spans="1:2" x14ac:dyDescent="0.25">
      <c r="A12160">
        <v>30049039233</v>
      </c>
      <c r="B12160" t="s">
        <v>4919</v>
      </c>
    </row>
    <row r="12161" spans="1:2" x14ac:dyDescent="0.25">
      <c r="A12161">
        <v>30049039234</v>
      </c>
      <c r="B12161" t="s">
        <v>4920</v>
      </c>
    </row>
    <row r="12162" spans="1:2" x14ac:dyDescent="0.25">
      <c r="A12162">
        <v>30049039235</v>
      </c>
      <c r="B12162" t="s">
        <v>4921</v>
      </c>
    </row>
    <row r="12163" spans="1:2" x14ac:dyDescent="0.25">
      <c r="A12163">
        <v>30049039236</v>
      </c>
      <c r="B12163" t="s">
        <v>4922</v>
      </c>
    </row>
    <row r="12164" spans="1:2" x14ac:dyDescent="0.25">
      <c r="A12164">
        <v>30049039237</v>
      </c>
      <c r="B12164" t="s">
        <v>4923</v>
      </c>
    </row>
    <row r="12165" spans="1:2" x14ac:dyDescent="0.25">
      <c r="A12165">
        <v>30049039238</v>
      </c>
      <c r="B12165" t="s">
        <v>4924</v>
      </c>
    </row>
    <row r="12166" spans="1:2" x14ac:dyDescent="0.25">
      <c r="A12166">
        <v>30049039239</v>
      </c>
      <c r="B12166" t="s">
        <v>4925</v>
      </c>
    </row>
    <row r="12167" spans="1:2" x14ac:dyDescent="0.25">
      <c r="A12167">
        <v>30049039240</v>
      </c>
      <c r="B12167" t="s">
        <v>4926</v>
      </c>
    </row>
    <row r="12168" spans="1:2" x14ac:dyDescent="0.25">
      <c r="A12168">
        <v>30049039250</v>
      </c>
      <c r="B12168" t="s">
        <v>4927</v>
      </c>
    </row>
    <row r="12169" spans="1:2" x14ac:dyDescent="0.25">
      <c r="A12169">
        <v>30049039260</v>
      </c>
      <c r="B12169" t="s">
        <v>4928</v>
      </c>
    </row>
    <row r="12170" spans="1:2" x14ac:dyDescent="0.25">
      <c r="A12170">
        <v>30049039290</v>
      </c>
      <c r="B12170" t="s">
        <v>10</v>
      </c>
    </row>
    <row r="12171" spans="1:2" x14ac:dyDescent="0.25">
      <c r="A12171">
        <v>300490393</v>
      </c>
      <c r="B12171" t="s">
        <v>4929</v>
      </c>
    </row>
    <row r="12172" spans="1:2" x14ac:dyDescent="0.25">
      <c r="A12172">
        <v>3004903931</v>
      </c>
      <c r="B12172" t="s">
        <v>4930</v>
      </c>
    </row>
    <row r="12173" spans="1:2" x14ac:dyDescent="0.25">
      <c r="A12173">
        <v>30049039311</v>
      </c>
      <c r="B12173" t="s">
        <v>4931</v>
      </c>
    </row>
    <row r="12174" spans="1:2" x14ac:dyDescent="0.25">
      <c r="A12174">
        <v>30049039312</v>
      </c>
      <c r="B12174" t="s">
        <v>4932</v>
      </c>
    </row>
    <row r="12175" spans="1:2" x14ac:dyDescent="0.25">
      <c r="A12175">
        <v>30049039313</v>
      </c>
      <c r="B12175" t="s">
        <v>4933</v>
      </c>
    </row>
    <row r="12176" spans="1:2" x14ac:dyDescent="0.25">
      <c r="A12176">
        <v>30049039314</v>
      </c>
      <c r="B12176" t="s">
        <v>4934</v>
      </c>
    </row>
    <row r="12177" spans="1:2" x14ac:dyDescent="0.25">
      <c r="A12177">
        <v>30049039315</v>
      </c>
      <c r="B12177" t="s">
        <v>4935</v>
      </c>
    </row>
    <row r="12178" spans="1:2" x14ac:dyDescent="0.25">
      <c r="A12178">
        <v>30049039316</v>
      </c>
      <c r="B12178" t="s">
        <v>4936</v>
      </c>
    </row>
    <row r="12179" spans="1:2" x14ac:dyDescent="0.25">
      <c r="A12179">
        <v>30049039317</v>
      </c>
      <c r="B12179" t="s">
        <v>4937</v>
      </c>
    </row>
    <row r="12180" spans="1:2" x14ac:dyDescent="0.25">
      <c r="A12180">
        <v>30049039318</v>
      </c>
      <c r="B12180" t="s">
        <v>4938</v>
      </c>
    </row>
    <row r="12181" spans="1:2" x14ac:dyDescent="0.25">
      <c r="A12181">
        <v>30049039319</v>
      </c>
      <c r="B12181" t="s">
        <v>4939</v>
      </c>
    </row>
    <row r="12182" spans="1:2" x14ac:dyDescent="0.25">
      <c r="A12182">
        <v>30049039320</v>
      </c>
      <c r="B12182" t="s">
        <v>4940</v>
      </c>
    </row>
    <row r="12183" spans="1:2" x14ac:dyDescent="0.25">
      <c r="A12183">
        <v>30049039330</v>
      </c>
      <c r="B12183" t="s">
        <v>4941</v>
      </c>
    </row>
    <row r="12184" spans="1:2" x14ac:dyDescent="0.25">
      <c r="A12184">
        <v>30049039340</v>
      </c>
      <c r="B12184" t="s">
        <v>3367</v>
      </c>
    </row>
    <row r="12185" spans="1:2" x14ac:dyDescent="0.25">
      <c r="A12185">
        <v>30049039350</v>
      </c>
      <c r="B12185" t="s">
        <v>4942</v>
      </c>
    </row>
    <row r="12186" spans="1:2" x14ac:dyDescent="0.25">
      <c r="A12186">
        <v>30049039360</v>
      </c>
      <c r="B12186" t="s">
        <v>4943</v>
      </c>
    </row>
    <row r="12187" spans="1:2" x14ac:dyDescent="0.25">
      <c r="A12187">
        <v>30049039390</v>
      </c>
      <c r="B12187" t="s">
        <v>10</v>
      </c>
    </row>
    <row r="12188" spans="1:2" x14ac:dyDescent="0.25">
      <c r="A12188">
        <v>30049039400</v>
      </c>
      <c r="B12188" t="s">
        <v>5334</v>
      </c>
    </row>
    <row r="12189" spans="1:2" x14ac:dyDescent="0.25">
      <c r="A12189">
        <v>30049039900</v>
      </c>
      <c r="B12189" t="s">
        <v>10</v>
      </c>
    </row>
    <row r="12190" spans="1:2" x14ac:dyDescent="0.25">
      <c r="A12190">
        <v>3004904</v>
      </c>
      <c r="B12190" t="s">
        <v>5335</v>
      </c>
    </row>
    <row r="12191" spans="1:2" x14ac:dyDescent="0.25">
      <c r="A12191">
        <v>30049041</v>
      </c>
      <c r="B12191" t="s">
        <v>4945</v>
      </c>
    </row>
    <row r="12192" spans="1:2" x14ac:dyDescent="0.25">
      <c r="A12192">
        <v>30049041100</v>
      </c>
      <c r="B12192" t="s">
        <v>4946</v>
      </c>
    </row>
    <row r="12193" spans="1:2" x14ac:dyDescent="0.25">
      <c r="A12193">
        <v>30049041200</v>
      </c>
      <c r="B12193" t="s">
        <v>3526</v>
      </c>
    </row>
    <row r="12194" spans="1:2" x14ac:dyDescent="0.25">
      <c r="A12194">
        <v>30049042</v>
      </c>
      <c r="B12194" t="s">
        <v>4947</v>
      </c>
    </row>
    <row r="12195" spans="1:2" x14ac:dyDescent="0.25">
      <c r="A12195">
        <v>30049042100</v>
      </c>
      <c r="B12195" t="s">
        <v>3452</v>
      </c>
    </row>
    <row r="12196" spans="1:2" x14ac:dyDescent="0.25">
      <c r="A12196">
        <v>30049042200</v>
      </c>
      <c r="B12196" t="s">
        <v>5336</v>
      </c>
    </row>
    <row r="12197" spans="1:2" x14ac:dyDescent="0.25">
      <c r="A12197">
        <v>30049042300</v>
      </c>
      <c r="B12197" t="s">
        <v>3487</v>
      </c>
    </row>
    <row r="12198" spans="1:2" x14ac:dyDescent="0.25">
      <c r="A12198">
        <v>30049043</v>
      </c>
      <c r="B12198" t="s">
        <v>4949</v>
      </c>
    </row>
    <row r="12199" spans="1:2" x14ac:dyDescent="0.25">
      <c r="A12199">
        <v>30049043100</v>
      </c>
      <c r="B12199" t="s">
        <v>4950</v>
      </c>
    </row>
    <row r="12200" spans="1:2" x14ac:dyDescent="0.25">
      <c r="A12200">
        <v>30049043200</v>
      </c>
      <c r="B12200" t="s">
        <v>3468</v>
      </c>
    </row>
    <row r="12201" spans="1:2" x14ac:dyDescent="0.25">
      <c r="A12201">
        <v>30049044</v>
      </c>
      <c r="B12201" t="s">
        <v>4951</v>
      </c>
    </row>
    <row r="12202" spans="1:2" x14ac:dyDescent="0.25">
      <c r="A12202">
        <v>300490441</v>
      </c>
      <c r="B12202" t="s">
        <v>2740</v>
      </c>
    </row>
    <row r="12203" spans="1:2" x14ac:dyDescent="0.25">
      <c r="A12203">
        <v>30049044110</v>
      </c>
      <c r="B12203" t="s">
        <v>4951</v>
      </c>
    </row>
    <row r="12204" spans="1:2" x14ac:dyDescent="0.25">
      <c r="A12204">
        <v>30049045</v>
      </c>
      <c r="B12204" t="s">
        <v>4953</v>
      </c>
    </row>
    <row r="12205" spans="1:2" x14ac:dyDescent="0.25">
      <c r="A12205">
        <v>30049045100</v>
      </c>
      <c r="B12205" t="s">
        <v>4954</v>
      </c>
    </row>
    <row r="12206" spans="1:2" x14ac:dyDescent="0.25">
      <c r="A12206">
        <v>30049045200</v>
      </c>
      <c r="B12206" t="s">
        <v>3464</v>
      </c>
    </row>
    <row r="12207" spans="1:2" x14ac:dyDescent="0.25">
      <c r="A12207">
        <v>30049046</v>
      </c>
      <c r="B12207" t="s">
        <v>4955</v>
      </c>
    </row>
    <row r="12208" spans="1:2" x14ac:dyDescent="0.25">
      <c r="A12208">
        <v>30049046100</v>
      </c>
      <c r="B12208" t="s">
        <v>3499</v>
      </c>
    </row>
    <row r="12209" spans="1:2" x14ac:dyDescent="0.25">
      <c r="A12209">
        <v>30049046200</v>
      </c>
      <c r="B12209" t="s">
        <v>3515</v>
      </c>
    </row>
    <row r="12210" spans="1:2" x14ac:dyDescent="0.25">
      <c r="A12210">
        <v>30049047</v>
      </c>
      <c r="B12210" t="s">
        <v>4956</v>
      </c>
    </row>
    <row r="12211" spans="1:2" x14ac:dyDescent="0.25">
      <c r="A12211">
        <v>30049047100</v>
      </c>
      <c r="B12211" t="s">
        <v>4957</v>
      </c>
    </row>
    <row r="12212" spans="1:2" x14ac:dyDescent="0.25">
      <c r="A12212">
        <v>30049047200</v>
      </c>
      <c r="B12212" t="s">
        <v>3500</v>
      </c>
    </row>
    <row r="12213" spans="1:2" x14ac:dyDescent="0.25">
      <c r="A12213">
        <v>30049048</v>
      </c>
      <c r="B12213" t="s">
        <v>4958</v>
      </c>
    </row>
    <row r="12214" spans="1:2" x14ac:dyDescent="0.25">
      <c r="A12214">
        <v>30049048100</v>
      </c>
      <c r="B12214" t="s">
        <v>4959</v>
      </c>
    </row>
    <row r="12215" spans="1:2" x14ac:dyDescent="0.25">
      <c r="A12215">
        <v>30049048200</v>
      </c>
      <c r="B12215" t="s">
        <v>4960</v>
      </c>
    </row>
    <row r="12216" spans="1:2" x14ac:dyDescent="0.25">
      <c r="A12216">
        <v>300490484</v>
      </c>
      <c r="B12216" t="s">
        <v>5337</v>
      </c>
    </row>
    <row r="12217" spans="1:2" x14ac:dyDescent="0.25">
      <c r="A12217">
        <v>30049048410</v>
      </c>
      <c r="B12217" t="s">
        <v>5338</v>
      </c>
    </row>
    <row r="12218" spans="1:2" x14ac:dyDescent="0.25">
      <c r="A12218">
        <v>30049048490</v>
      </c>
      <c r="B12218" t="s">
        <v>10</v>
      </c>
    </row>
    <row r="12219" spans="1:2" x14ac:dyDescent="0.25">
      <c r="A12219">
        <v>30049048500</v>
      </c>
      <c r="B12219" t="s">
        <v>4962</v>
      </c>
    </row>
    <row r="12220" spans="1:2" x14ac:dyDescent="0.25">
      <c r="A12220">
        <v>30049049</v>
      </c>
      <c r="B12220" t="s">
        <v>10</v>
      </c>
    </row>
    <row r="12221" spans="1:2" x14ac:dyDescent="0.25">
      <c r="A12221">
        <v>300490491</v>
      </c>
      <c r="B12221" t="s">
        <v>4963</v>
      </c>
    </row>
    <row r="12222" spans="1:2" x14ac:dyDescent="0.25">
      <c r="A12222">
        <v>30049049110</v>
      </c>
      <c r="B12222" t="s">
        <v>4964</v>
      </c>
    </row>
    <row r="12223" spans="1:2" x14ac:dyDescent="0.25">
      <c r="A12223">
        <v>30049049120</v>
      </c>
      <c r="B12223" t="s">
        <v>4965</v>
      </c>
    </row>
    <row r="12224" spans="1:2" x14ac:dyDescent="0.25">
      <c r="A12224">
        <v>30049049130</v>
      </c>
      <c r="B12224" t="s">
        <v>4966</v>
      </c>
    </row>
    <row r="12225" spans="1:2" x14ac:dyDescent="0.25">
      <c r="A12225">
        <v>30049049140</v>
      </c>
      <c r="B12225" t="s">
        <v>4967</v>
      </c>
    </row>
    <row r="12226" spans="1:2" x14ac:dyDescent="0.25">
      <c r="A12226">
        <v>30049049150</v>
      </c>
      <c r="B12226" t="s">
        <v>4968</v>
      </c>
    </row>
    <row r="12227" spans="1:2" x14ac:dyDescent="0.25">
      <c r="A12227">
        <v>30049049160</v>
      </c>
      <c r="B12227" t="s">
        <v>4969</v>
      </c>
    </row>
    <row r="12228" spans="1:2" x14ac:dyDescent="0.25">
      <c r="A12228">
        <v>30049049170</v>
      </c>
      <c r="B12228" t="s">
        <v>4970</v>
      </c>
    </row>
    <row r="12229" spans="1:2" x14ac:dyDescent="0.25">
      <c r="A12229">
        <v>30049049190</v>
      </c>
      <c r="B12229" t="s">
        <v>10</v>
      </c>
    </row>
    <row r="12230" spans="1:2" x14ac:dyDescent="0.25">
      <c r="A12230">
        <v>300490492</v>
      </c>
      <c r="B12230" t="s">
        <v>4929</v>
      </c>
    </row>
    <row r="12231" spans="1:2" x14ac:dyDescent="0.25">
      <c r="A12231">
        <v>30049049210</v>
      </c>
      <c r="B12231" t="s">
        <v>4971</v>
      </c>
    </row>
    <row r="12232" spans="1:2" x14ac:dyDescent="0.25">
      <c r="A12232">
        <v>30049049220</v>
      </c>
      <c r="B12232" t="s">
        <v>4972</v>
      </c>
    </row>
    <row r="12233" spans="1:2" x14ac:dyDescent="0.25">
      <c r="A12233">
        <v>30049049290</v>
      </c>
      <c r="B12233" t="s">
        <v>10</v>
      </c>
    </row>
    <row r="12234" spans="1:2" x14ac:dyDescent="0.25">
      <c r="A12234">
        <v>30049049300</v>
      </c>
      <c r="B12234" t="s">
        <v>5339</v>
      </c>
    </row>
    <row r="12235" spans="1:2" x14ac:dyDescent="0.25">
      <c r="A12235">
        <v>30049049900</v>
      </c>
      <c r="B12235" t="s">
        <v>10</v>
      </c>
    </row>
    <row r="12236" spans="1:2" x14ac:dyDescent="0.25">
      <c r="A12236">
        <v>3004905</v>
      </c>
      <c r="B12236" t="s">
        <v>5340</v>
      </c>
    </row>
    <row r="12237" spans="1:2" x14ac:dyDescent="0.25">
      <c r="A12237">
        <v>30049051000</v>
      </c>
      <c r="B12237" t="s">
        <v>3797</v>
      </c>
    </row>
    <row r="12238" spans="1:2" x14ac:dyDescent="0.25">
      <c r="A12238">
        <v>30049052000</v>
      </c>
      <c r="B12238" t="s">
        <v>3652</v>
      </c>
    </row>
    <row r="12239" spans="1:2" x14ac:dyDescent="0.25">
      <c r="A12239">
        <v>30049053000</v>
      </c>
      <c r="B12239" t="s">
        <v>3690</v>
      </c>
    </row>
    <row r="12240" spans="1:2" x14ac:dyDescent="0.25">
      <c r="A12240">
        <v>30049054000</v>
      </c>
      <c r="B12240" t="s">
        <v>3800</v>
      </c>
    </row>
    <row r="12241" spans="1:2" x14ac:dyDescent="0.25">
      <c r="A12241">
        <v>30049055</v>
      </c>
      <c r="B12241" t="s">
        <v>4974</v>
      </c>
    </row>
    <row r="12242" spans="1:2" x14ac:dyDescent="0.25">
      <c r="A12242">
        <v>30049055100</v>
      </c>
      <c r="B12242" t="s">
        <v>3766</v>
      </c>
    </row>
    <row r="12243" spans="1:2" x14ac:dyDescent="0.25">
      <c r="A12243">
        <v>30049055200</v>
      </c>
      <c r="B12243" t="s">
        <v>3781</v>
      </c>
    </row>
    <row r="12244" spans="1:2" x14ac:dyDescent="0.25">
      <c r="A12244">
        <v>30049057</v>
      </c>
      <c r="B12244" t="s">
        <v>4976</v>
      </c>
    </row>
    <row r="12245" spans="1:2" x14ac:dyDescent="0.25">
      <c r="A12245">
        <v>30049057100</v>
      </c>
      <c r="B12245" t="s">
        <v>3622</v>
      </c>
    </row>
    <row r="12246" spans="1:2" x14ac:dyDescent="0.25">
      <c r="A12246">
        <v>30049057200</v>
      </c>
      <c r="B12246" t="s">
        <v>3593</v>
      </c>
    </row>
    <row r="12247" spans="1:2" x14ac:dyDescent="0.25">
      <c r="A12247">
        <v>30049058</v>
      </c>
      <c r="B12247" t="s">
        <v>4975</v>
      </c>
    </row>
    <row r="12248" spans="1:2" x14ac:dyDescent="0.25">
      <c r="A12248">
        <v>30049058100</v>
      </c>
      <c r="B12248" t="s">
        <v>5341</v>
      </c>
    </row>
    <row r="12249" spans="1:2" x14ac:dyDescent="0.25">
      <c r="A12249">
        <v>30049058900</v>
      </c>
      <c r="B12249" t="s">
        <v>10</v>
      </c>
    </row>
    <row r="12250" spans="1:2" x14ac:dyDescent="0.25">
      <c r="A12250">
        <v>30049059</v>
      </c>
      <c r="B12250" t="s">
        <v>10</v>
      </c>
    </row>
    <row r="12251" spans="1:2" x14ac:dyDescent="0.25">
      <c r="A12251">
        <v>300490591</v>
      </c>
      <c r="B12251" t="s">
        <v>5342</v>
      </c>
    </row>
    <row r="12252" spans="1:2" x14ac:dyDescent="0.25">
      <c r="A12252">
        <v>30049059110</v>
      </c>
      <c r="B12252" t="s">
        <v>2775</v>
      </c>
    </row>
    <row r="12253" spans="1:2" x14ac:dyDescent="0.25">
      <c r="A12253">
        <v>30049059190</v>
      </c>
      <c r="B12253" t="s">
        <v>5343</v>
      </c>
    </row>
    <row r="12254" spans="1:2" x14ac:dyDescent="0.25">
      <c r="A12254">
        <v>300490592</v>
      </c>
      <c r="B12254" t="s">
        <v>4963</v>
      </c>
    </row>
    <row r="12255" spans="1:2" x14ac:dyDescent="0.25">
      <c r="A12255">
        <v>3004905921</v>
      </c>
      <c r="B12255" t="s">
        <v>3336</v>
      </c>
    </row>
    <row r="12256" spans="1:2" x14ac:dyDescent="0.25">
      <c r="A12256">
        <v>30049059211</v>
      </c>
      <c r="B12256" t="s">
        <v>4978</v>
      </c>
    </row>
    <row r="12257" spans="1:2" x14ac:dyDescent="0.25">
      <c r="A12257">
        <v>30049059212</v>
      </c>
      <c r="B12257" t="s">
        <v>4979</v>
      </c>
    </row>
    <row r="12258" spans="1:2" x14ac:dyDescent="0.25">
      <c r="A12258">
        <v>30049059213</v>
      </c>
      <c r="B12258" t="s">
        <v>4980</v>
      </c>
    </row>
    <row r="12259" spans="1:2" x14ac:dyDescent="0.25">
      <c r="A12259">
        <v>30049059214</v>
      </c>
      <c r="B12259" t="s">
        <v>4981</v>
      </c>
    </row>
    <row r="12260" spans="1:2" x14ac:dyDescent="0.25">
      <c r="A12260">
        <v>30049059215</v>
      </c>
      <c r="B12260" t="s">
        <v>4982</v>
      </c>
    </row>
    <row r="12261" spans="1:2" x14ac:dyDescent="0.25">
      <c r="A12261">
        <v>30049059216</v>
      </c>
      <c r="B12261" t="s">
        <v>4983</v>
      </c>
    </row>
    <row r="12262" spans="1:2" x14ac:dyDescent="0.25">
      <c r="A12262">
        <v>30049059217</v>
      </c>
      <c r="B12262" t="s">
        <v>4984</v>
      </c>
    </row>
    <row r="12263" spans="1:2" x14ac:dyDescent="0.25">
      <c r="A12263">
        <v>30049059218</v>
      </c>
      <c r="B12263" t="s">
        <v>4985</v>
      </c>
    </row>
    <row r="12264" spans="1:2" x14ac:dyDescent="0.25">
      <c r="A12264">
        <v>30049059219</v>
      </c>
      <c r="B12264" t="s">
        <v>10</v>
      </c>
    </row>
    <row r="12265" spans="1:2" x14ac:dyDescent="0.25">
      <c r="A12265">
        <v>3004905929</v>
      </c>
      <c r="B12265" t="s">
        <v>3337</v>
      </c>
    </row>
    <row r="12266" spans="1:2" x14ac:dyDescent="0.25">
      <c r="A12266">
        <v>30049059291</v>
      </c>
      <c r="B12266" t="s">
        <v>4986</v>
      </c>
    </row>
    <row r="12267" spans="1:2" x14ac:dyDescent="0.25">
      <c r="A12267">
        <v>30049059292</v>
      </c>
      <c r="B12267" t="s">
        <v>4987</v>
      </c>
    </row>
    <row r="12268" spans="1:2" x14ac:dyDescent="0.25">
      <c r="A12268">
        <v>30049059293</v>
      </c>
      <c r="B12268" t="s">
        <v>4988</v>
      </c>
    </row>
    <row r="12269" spans="1:2" x14ac:dyDescent="0.25">
      <c r="A12269">
        <v>30049059299</v>
      </c>
      <c r="B12269" t="s">
        <v>10</v>
      </c>
    </row>
    <row r="12270" spans="1:2" x14ac:dyDescent="0.25">
      <c r="A12270">
        <v>30049059300</v>
      </c>
      <c r="B12270" t="s">
        <v>5344</v>
      </c>
    </row>
    <row r="12271" spans="1:2" x14ac:dyDescent="0.25">
      <c r="A12271">
        <v>30049059400</v>
      </c>
      <c r="B12271" t="s">
        <v>3730</v>
      </c>
    </row>
    <row r="12272" spans="1:2" x14ac:dyDescent="0.25">
      <c r="A12272">
        <v>30049059500</v>
      </c>
      <c r="B12272" t="s">
        <v>3780</v>
      </c>
    </row>
    <row r="12273" spans="1:2" x14ac:dyDescent="0.25">
      <c r="A12273">
        <v>30049059900</v>
      </c>
      <c r="B12273" t="s">
        <v>10</v>
      </c>
    </row>
    <row r="12274" spans="1:2" x14ac:dyDescent="0.25">
      <c r="A12274">
        <v>3004906</v>
      </c>
      <c r="B12274" t="s">
        <v>5345</v>
      </c>
    </row>
    <row r="12275" spans="1:2" x14ac:dyDescent="0.25">
      <c r="A12275">
        <v>30049061</v>
      </c>
      <c r="B12275" t="s">
        <v>4990</v>
      </c>
    </row>
    <row r="12276" spans="1:2" x14ac:dyDescent="0.25">
      <c r="A12276">
        <v>30049061100</v>
      </c>
      <c r="B12276" t="s">
        <v>3906</v>
      </c>
    </row>
    <row r="12277" spans="1:2" x14ac:dyDescent="0.25">
      <c r="A12277">
        <v>30049061200</v>
      </c>
      <c r="B12277" t="s">
        <v>4220</v>
      </c>
    </row>
    <row r="12278" spans="1:2" x14ac:dyDescent="0.25">
      <c r="A12278">
        <v>30049061300</v>
      </c>
      <c r="B12278" t="s">
        <v>4991</v>
      </c>
    </row>
    <row r="12279" spans="1:2" x14ac:dyDescent="0.25">
      <c r="A12279">
        <v>30049061400</v>
      </c>
      <c r="B12279" t="s">
        <v>4992</v>
      </c>
    </row>
    <row r="12280" spans="1:2" x14ac:dyDescent="0.25">
      <c r="A12280">
        <v>30049061500</v>
      </c>
      <c r="B12280" t="s">
        <v>3833</v>
      </c>
    </row>
    <row r="12281" spans="1:2" x14ac:dyDescent="0.25">
      <c r="A12281">
        <v>30049061600</v>
      </c>
      <c r="B12281" t="s">
        <v>4116</v>
      </c>
    </row>
    <row r="12282" spans="1:2" x14ac:dyDescent="0.25">
      <c r="A12282">
        <v>30049061700</v>
      </c>
      <c r="B12282" t="s">
        <v>3928</v>
      </c>
    </row>
    <row r="12283" spans="1:2" x14ac:dyDescent="0.25">
      <c r="A12283">
        <v>30049061800</v>
      </c>
      <c r="B12283" t="s">
        <v>4011</v>
      </c>
    </row>
    <row r="12284" spans="1:2" x14ac:dyDescent="0.25">
      <c r="A12284">
        <v>30049061900</v>
      </c>
      <c r="B12284" t="s">
        <v>3929</v>
      </c>
    </row>
    <row r="12285" spans="1:2" x14ac:dyDescent="0.25">
      <c r="A12285">
        <v>30049062</v>
      </c>
      <c r="B12285" t="s">
        <v>4993</v>
      </c>
    </row>
    <row r="12286" spans="1:2" x14ac:dyDescent="0.25">
      <c r="A12286">
        <v>30049062100</v>
      </c>
      <c r="B12286" t="s">
        <v>3920</v>
      </c>
    </row>
    <row r="12287" spans="1:2" x14ac:dyDescent="0.25">
      <c r="A12287">
        <v>30049062200</v>
      </c>
      <c r="B12287" t="s">
        <v>3921</v>
      </c>
    </row>
    <row r="12288" spans="1:2" x14ac:dyDescent="0.25">
      <c r="A12288">
        <v>30049062400</v>
      </c>
      <c r="B12288" t="s">
        <v>4108</v>
      </c>
    </row>
    <row r="12289" spans="1:2" x14ac:dyDescent="0.25">
      <c r="A12289">
        <v>30049062600</v>
      </c>
      <c r="B12289" t="s">
        <v>4117</v>
      </c>
    </row>
    <row r="12290" spans="1:2" x14ac:dyDescent="0.25">
      <c r="A12290">
        <v>30049062700</v>
      </c>
      <c r="B12290" t="s">
        <v>3898</v>
      </c>
    </row>
    <row r="12291" spans="1:2" x14ac:dyDescent="0.25">
      <c r="A12291">
        <v>30049062800</v>
      </c>
      <c r="B12291" t="s">
        <v>3925</v>
      </c>
    </row>
    <row r="12292" spans="1:2" x14ac:dyDescent="0.25">
      <c r="A12292">
        <v>30049063</v>
      </c>
      <c r="B12292" t="s">
        <v>4994</v>
      </c>
    </row>
    <row r="12293" spans="1:2" x14ac:dyDescent="0.25">
      <c r="A12293">
        <v>30049063100</v>
      </c>
      <c r="B12293" t="s">
        <v>4111</v>
      </c>
    </row>
    <row r="12294" spans="1:2" x14ac:dyDescent="0.25">
      <c r="A12294">
        <v>30049063200</v>
      </c>
      <c r="B12294" t="s">
        <v>4995</v>
      </c>
    </row>
    <row r="12295" spans="1:2" x14ac:dyDescent="0.25">
      <c r="A12295">
        <v>30049063300</v>
      </c>
      <c r="B12295" t="s">
        <v>4115</v>
      </c>
    </row>
    <row r="12296" spans="1:2" x14ac:dyDescent="0.25">
      <c r="A12296">
        <v>30049063600</v>
      </c>
      <c r="B12296" t="s">
        <v>4007</v>
      </c>
    </row>
    <row r="12297" spans="1:2" x14ac:dyDescent="0.25">
      <c r="A12297">
        <v>30049063700</v>
      </c>
      <c r="B12297" t="s">
        <v>3980</v>
      </c>
    </row>
    <row r="12298" spans="1:2" x14ac:dyDescent="0.25">
      <c r="A12298">
        <v>30049063800</v>
      </c>
      <c r="B12298" t="s">
        <v>5346</v>
      </c>
    </row>
    <row r="12299" spans="1:2" x14ac:dyDescent="0.25">
      <c r="A12299">
        <v>30049064</v>
      </c>
      <c r="B12299" t="s">
        <v>4996</v>
      </c>
    </row>
    <row r="12300" spans="1:2" x14ac:dyDescent="0.25">
      <c r="A12300">
        <v>300490641</v>
      </c>
      <c r="B12300" t="s">
        <v>1157</v>
      </c>
    </row>
    <row r="12301" spans="1:2" x14ac:dyDescent="0.25">
      <c r="A12301">
        <v>30049064110</v>
      </c>
      <c r="B12301" t="s">
        <v>5347</v>
      </c>
    </row>
    <row r="12302" spans="1:2" x14ac:dyDescent="0.25">
      <c r="A12302">
        <v>300490642</v>
      </c>
      <c r="B12302" t="s">
        <v>2740</v>
      </c>
    </row>
    <row r="12303" spans="1:2" x14ac:dyDescent="0.25">
      <c r="A12303">
        <v>30049064210</v>
      </c>
      <c r="B12303" t="s">
        <v>4089</v>
      </c>
    </row>
    <row r="12304" spans="1:2" x14ac:dyDescent="0.25">
      <c r="A12304">
        <v>30049064220</v>
      </c>
      <c r="B12304" t="s">
        <v>4055</v>
      </c>
    </row>
    <row r="12305" spans="1:2" x14ac:dyDescent="0.25">
      <c r="A12305">
        <v>30049064230</v>
      </c>
      <c r="B12305" t="s">
        <v>4062</v>
      </c>
    </row>
    <row r="12306" spans="1:2" x14ac:dyDescent="0.25">
      <c r="A12306">
        <v>30049064240</v>
      </c>
      <c r="B12306" t="s">
        <v>4059</v>
      </c>
    </row>
    <row r="12307" spans="1:2" x14ac:dyDescent="0.25">
      <c r="A12307">
        <v>30049064260</v>
      </c>
      <c r="B12307" t="s">
        <v>3854</v>
      </c>
    </row>
    <row r="12308" spans="1:2" x14ac:dyDescent="0.25">
      <c r="A12308">
        <v>30049064280</v>
      </c>
      <c r="B12308" t="s">
        <v>4074</v>
      </c>
    </row>
    <row r="12309" spans="1:2" x14ac:dyDescent="0.25">
      <c r="A12309">
        <v>30049064290</v>
      </c>
      <c r="B12309" t="s">
        <v>3884</v>
      </c>
    </row>
    <row r="12310" spans="1:2" x14ac:dyDescent="0.25">
      <c r="A12310">
        <v>30049065</v>
      </c>
      <c r="B12310" t="s">
        <v>4998</v>
      </c>
    </row>
    <row r="12311" spans="1:2" x14ac:dyDescent="0.25">
      <c r="A12311">
        <v>30049065100</v>
      </c>
      <c r="B12311" t="s">
        <v>4999</v>
      </c>
    </row>
    <row r="12312" spans="1:2" x14ac:dyDescent="0.25">
      <c r="A12312">
        <v>30049065200</v>
      </c>
      <c r="B12312" t="s">
        <v>5000</v>
      </c>
    </row>
    <row r="12313" spans="1:2" x14ac:dyDescent="0.25">
      <c r="A12313">
        <v>30049065500</v>
      </c>
      <c r="B12313" t="s">
        <v>4091</v>
      </c>
    </row>
    <row r="12314" spans="1:2" x14ac:dyDescent="0.25">
      <c r="A12314">
        <v>30049065600</v>
      </c>
      <c r="B12314" t="s">
        <v>3937</v>
      </c>
    </row>
    <row r="12315" spans="1:2" x14ac:dyDescent="0.25">
      <c r="A12315">
        <v>30049066</v>
      </c>
      <c r="B12315" t="s">
        <v>5348</v>
      </c>
    </row>
    <row r="12316" spans="1:2" x14ac:dyDescent="0.25">
      <c r="A12316">
        <v>30049066100</v>
      </c>
      <c r="B12316" t="s">
        <v>5002</v>
      </c>
    </row>
    <row r="12317" spans="1:2" x14ac:dyDescent="0.25">
      <c r="A12317">
        <v>30049066200</v>
      </c>
      <c r="B12317" t="s">
        <v>5003</v>
      </c>
    </row>
    <row r="12318" spans="1:2" x14ac:dyDescent="0.25">
      <c r="A12318">
        <v>30049066300</v>
      </c>
      <c r="B12318" t="s">
        <v>4006</v>
      </c>
    </row>
    <row r="12319" spans="1:2" x14ac:dyDescent="0.25">
      <c r="A12319">
        <v>30049066400</v>
      </c>
      <c r="B12319" t="s">
        <v>3831</v>
      </c>
    </row>
    <row r="12320" spans="1:2" x14ac:dyDescent="0.25">
      <c r="A12320">
        <v>30049067</v>
      </c>
      <c r="B12320" t="s">
        <v>5004</v>
      </c>
    </row>
    <row r="12321" spans="1:2" x14ac:dyDescent="0.25">
      <c r="A12321">
        <v>30049067100</v>
      </c>
      <c r="B12321" t="s">
        <v>4014</v>
      </c>
    </row>
    <row r="12322" spans="1:2" x14ac:dyDescent="0.25">
      <c r="A12322">
        <v>30049067200</v>
      </c>
      <c r="B12322" t="s">
        <v>3982</v>
      </c>
    </row>
    <row r="12323" spans="1:2" x14ac:dyDescent="0.25">
      <c r="A12323">
        <v>30049067400</v>
      </c>
      <c r="B12323" t="s">
        <v>4107</v>
      </c>
    </row>
    <row r="12324" spans="1:2" x14ac:dyDescent="0.25">
      <c r="A12324">
        <v>30049067500</v>
      </c>
      <c r="B12324" t="s">
        <v>5005</v>
      </c>
    </row>
    <row r="12325" spans="1:2" x14ac:dyDescent="0.25">
      <c r="A12325">
        <v>30049067600</v>
      </c>
      <c r="B12325" t="s">
        <v>3922</v>
      </c>
    </row>
    <row r="12326" spans="1:2" x14ac:dyDescent="0.25">
      <c r="A12326">
        <v>30049067700</v>
      </c>
      <c r="B12326" t="s">
        <v>5006</v>
      </c>
    </row>
    <row r="12327" spans="1:2" x14ac:dyDescent="0.25">
      <c r="A12327">
        <v>30049068</v>
      </c>
      <c r="B12327" t="s">
        <v>5349</v>
      </c>
    </row>
    <row r="12328" spans="1:2" x14ac:dyDescent="0.25">
      <c r="A12328">
        <v>300490681</v>
      </c>
      <c r="B12328" t="s">
        <v>2740</v>
      </c>
    </row>
    <row r="12329" spans="1:2" x14ac:dyDescent="0.25">
      <c r="A12329">
        <v>30049068110</v>
      </c>
      <c r="B12329" t="s">
        <v>5008</v>
      </c>
    </row>
    <row r="12330" spans="1:2" x14ac:dyDescent="0.25">
      <c r="A12330">
        <v>30049068120</v>
      </c>
      <c r="B12330" t="s">
        <v>5009</v>
      </c>
    </row>
    <row r="12331" spans="1:2" x14ac:dyDescent="0.25">
      <c r="A12331">
        <v>30049068200</v>
      </c>
      <c r="B12331" t="s">
        <v>5010</v>
      </c>
    </row>
    <row r="12332" spans="1:2" x14ac:dyDescent="0.25">
      <c r="A12332">
        <v>30049068300</v>
      </c>
      <c r="B12332" t="s">
        <v>5011</v>
      </c>
    </row>
    <row r="12333" spans="1:2" x14ac:dyDescent="0.25">
      <c r="A12333">
        <v>30049068400</v>
      </c>
      <c r="B12333" t="s">
        <v>5012</v>
      </c>
    </row>
    <row r="12334" spans="1:2" x14ac:dyDescent="0.25">
      <c r="A12334">
        <v>30049068600</v>
      </c>
      <c r="B12334" t="s">
        <v>5013</v>
      </c>
    </row>
    <row r="12335" spans="1:2" x14ac:dyDescent="0.25">
      <c r="A12335">
        <v>300490687</v>
      </c>
      <c r="B12335" t="s">
        <v>5014</v>
      </c>
    </row>
    <row r="12336" spans="1:2" x14ac:dyDescent="0.25">
      <c r="A12336">
        <v>30049068720</v>
      </c>
      <c r="B12336" t="s">
        <v>5015</v>
      </c>
    </row>
    <row r="12337" spans="1:2" x14ac:dyDescent="0.25">
      <c r="A12337">
        <v>30049068730</v>
      </c>
      <c r="B12337" t="s">
        <v>5016</v>
      </c>
    </row>
    <row r="12338" spans="1:2" x14ac:dyDescent="0.25">
      <c r="A12338">
        <v>30049068740</v>
      </c>
      <c r="B12338" t="s">
        <v>5017</v>
      </c>
    </row>
    <row r="12339" spans="1:2" x14ac:dyDescent="0.25">
      <c r="A12339">
        <v>30049068750</v>
      </c>
      <c r="B12339" t="s">
        <v>5018</v>
      </c>
    </row>
    <row r="12340" spans="1:2" x14ac:dyDescent="0.25">
      <c r="A12340">
        <v>30049068760</v>
      </c>
      <c r="B12340" t="s">
        <v>5350</v>
      </c>
    </row>
    <row r="12341" spans="1:2" x14ac:dyDescent="0.25">
      <c r="A12341">
        <v>30049068770</v>
      </c>
      <c r="B12341" t="s">
        <v>5020</v>
      </c>
    </row>
    <row r="12342" spans="1:2" x14ac:dyDescent="0.25">
      <c r="A12342">
        <v>30049068780</v>
      </c>
      <c r="B12342" t="s">
        <v>5021</v>
      </c>
    </row>
    <row r="12343" spans="1:2" x14ac:dyDescent="0.25">
      <c r="A12343">
        <v>30049068790</v>
      </c>
      <c r="B12343" t="s">
        <v>5022</v>
      </c>
    </row>
    <row r="12344" spans="1:2" x14ac:dyDescent="0.25">
      <c r="A12344">
        <v>300490688</v>
      </c>
      <c r="B12344" t="s">
        <v>5023</v>
      </c>
    </row>
    <row r="12345" spans="1:2" x14ac:dyDescent="0.25">
      <c r="A12345">
        <v>3004906881</v>
      </c>
      <c r="B12345" t="s">
        <v>5024</v>
      </c>
    </row>
    <row r="12346" spans="1:2" x14ac:dyDescent="0.25">
      <c r="A12346">
        <v>30049068811</v>
      </c>
      <c r="B12346" t="s">
        <v>5025</v>
      </c>
    </row>
    <row r="12347" spans="1:2" x14ac:dyDescent="0.25">
      <c r="A12347">
        <v>30049068812</v>
      </c>
      <c r="B12347" t="s">
        <v>5026</v>
      </c>
    </row>
    <row r="12348" spans="1:2" x14ac:dyDescent="0.25">
      <c r="A12348">
        <v>30049068813</v>
      </c>
      <c r="B12348" t="s">
        <v>5027</v>
      </c>
    </row>
    <row r="12349" spans="1:2" x14ac:dyDescent="0.25">
      <c r="A12349">
        <v>30049068814</v>
      </c>
      <c r="B12349" t="s">
        <v>5028</v>
      </c>
    </row>
    <row r="12350" spans="1:2" x14ac:dyDescent="0.25">
      <c r="A12350">
        <v>30049068815</v>
      </c>
      <c r="B12350" t="s">
        <v>5029</v>
      </c>
    </row>
    <row r="12351" spans="1:2" x14ac:dyDescent="0.25">
      <c r="A12351">
        <v>30049068816</v>
      </c>
      <c r="B12351" t="s">
        <v>5030</v>
      </c>
    </row>
    <row r="12352" spans="1:2" x14ac:dyDescent="0.25">
      <c r="A12352">
        <v>30049068817</v>
      </c>
      <c r="B12352" t="s">
        <v>5031</v>
      </c>
    </row>
    <row r="12353" spans="1:2" x14ac:dyDescent="0.25">
      <c r="A12353">
        <v>30049068818</v>
      </c>
      <c r="B12353" t="s">
        <v>5032</v>
      </c>
    </row>
    <row r="12354" spans="1:2" x14ac:dyDescent="0.25">
      <c r="A12354">
        <v>30049068819</v>
      </c>
      <c r="B12354" t="s">
        <v>5033</v>
      </c>
    </row>
    <row r="12355" spans="1:2" x14ac:dyDescent="0.25">
      <c r="A12355">
        <v>30049068820</v>
      </c>
      <c r="B12355" t="s">
        <v>5034</v>
      </c>
    </row>
    <row r="12356" spans="1:2" x14ac:dyDescent="0.25">
      <c r="A12356">
        <v>30049069</v>
      </c>
      <c r="B12356" t="s">
        <v>10</v>
      </c>
    </row>
    <row r="12357" spans="1:2" x14ac:dyDescent="0.25">
      <c r="A12357">
        <v>300490691</v>
      </c>
      <c r="B12357" t="s">
        <v>4769</v>
      </c>
    </row>
    <row r="12358" spans="1:2" x14ac:dyDescent="0.25">
      <c r="A12358">
        <v>30049069110</v>
      </c>
      <c r="B12358" t="s">
        <v>5035</v>
      </c>
    </row>
    <row r="12359" spans="1:2" x14ac:dyDescent="0.25">
      <c r="A12359">
        <v>30049069120</v>
      </c>
      <c r="B12359" t="s">
        <v>5036</v>
      </c>
    </row>
    <row r="12360" spans="1:2" x14ac:dyDescent="0.25">
      <c r="A12360">
        <v>30049069130</v>
      </c>
      <c r="B12360" t="s">
        <v>5037</v>
      </c>
    </row>
    <row r="12361" spans="1:2" x14ac:dyDescent="0.25">
      <c r="A12361">
        <v>30049069140</v>
      </c>
      <c r="B12361" t="s">
        <v>5038</v>
      </c>
    </row>
    <row r="12362" spans="1:2" x14ac:dyDescent="0.25">
      <c r="A12362">
        <v>30049069150</v>
      </c>
      <c r="B12362" t="s">
        <v>5039</v>
      </c>
    </row>
    <row r="12363" spans="1:2" x14ac:dyDescent="0.25">
      <c r="A12363">
        <v>30049069190</v>
      </c>
      <c r="B12363" t="s">
        <v>10</v>
      </c>
    </row>
    <row r="12364" spans="1:2" x14ac:dyDescent="0.25">
      <c r="A12364">
        <v>300490692</v>
      </c>
      <c r="B12364" t="s">
        <v>5351</v>
      </c>
    </row>
    <row r="12365" spans="1:2" x14ac:dyDescent="0.25">
      <c r="A12365">
        <v>3004906921</v>
      </c>
      <c r="B12365" t="s">
        <v>5041</v>
      </c>
    </row>
    <row r="12366" spans="1:2" x14ac:dyDescent="0.25">
      <c r="A12366">
        <v>30049069211</v>
      </c>
      <c r="B12366" t="s">
        <v>3872</v>
      </c>
    </row>
    <row r="12367" spans="1:2" x14ac:dyDescent="0.25">
      <c r="A12367">
        <v>30049069212</v>
      </c>
      <c r="B12367" t="s">
        <v>3865</v>
      </c>
    </row>
    <row r="12368" spans="1:2" x14ac:dyDescent="0.25">
      <c r="A12368">
        <v>30049069213</v>
      </c>
      <c r="B12368" t="s">
        <v>5042</v>
      </c>
    </row>
    <row r="12369" spans="1:2" x14ac:dyDescent="0.25">
      <c r="A12369">
        <v>30049069214</v>
      </c>
      <c r="B12369" t="s">
        <v>5043</v>
      </c>
    </row>
    <row r="12370" spans="1:2" x14ac:dyDescent="0.25">
      <c r="A12370">
        <v>30049069215</v>
      </c>
      <c r="B12370" t="s">
        <v>3873</v>
      </c>
    </row>
    <row r="12371" spans="1:2" x14ac:dyDescent="0.25">
      <c r="A12371">
        <v>30049069216</v>
      </c>
      <c r="B12371" t="s">
        <v>5044</v>
      </c>
    </row>
    <row r="12372" spans="1:2" x14ac:dyDescent="0.25">
      <c r="A12372">
        <v>30049069217</v>
      </c>
      <c r="B12372" t="s">
        <v>5045</v>
      </c>
    </row>
    <row r="12373" spans="1:2" x14ac:dyDescent="0.25">
      <c r="A12373">
        <v>30049069218</v>
      </c>
      <c r="B12373" t="s">
        <v>5046</v>
      </c>
    </row>
    <row r="12374" spans="1:2" x14ac:dyDescent="0.25">
      <c r="A12374">
        <v>30049069219</v>
      </c>
      <c r="B12374" t="s">
        <v>5047</v>
      </c>
    </row>
    <row r="12375" spans="1:2" x14ac:dyDescent="0.25">
      <c r="A12375">
        <v>3004906922</v>
      </c>
      <c r="B12375" t="s">
        <v>5048</v>
      </c>
    </row>
    <row r="12376" spans="1:2" x14ac:dyDescent="0.25">
      <c r="A12376">
        <v>30049069221</v>
      </c>
      <c r="B12376" t="s">
        <v>5352</v>
      </c>
    </row>
    <row r="12377" spans="1:2" x14ac:dyDescent="0.25">
      <c r="A12377">
        <v>30049069222</v>
      </c>
      <c r="B12377" t="s">
        <v>5353</v>
      </c>
    </row>
    <row r="12378" spans="1:2" x14ac:dyDescent="0.25">
      <c r="A12378">
        <v>30049069223</v>
      </c>
      <c r="B12378" t="s">
        <v>5051</v>
      </c>
    </row>
    <row r="12379" spans="1:2" x14ac:dyDescent="0.25">
      <c r="A12379">
        <v>30049069224</v>
      </c>
      <c r="B12379" t="s">
        <v>5052</v>
      </c>
    </row>
    <row r="12380" spans="1:2" x14ac:dyDescent="0.25">
      <c r="A12380">
        <v>30049069225</v>
      </c>
      <c r="B12380" t="s">
        <v>5053</v>
      </c>
    </row>
    <row r="12381" spans="1:2" x14ac:dyDescent="0.25">
      <c r="A12381">
        <v>30049069226</v>
      </c>
      <c r="B12381" t="s">
        <v>5054</v>
      </c>
    </row>
    <row r="12382" spans="1:2" x14ac:dyDescent="0.25">
      <c r="A12382">
        <v>30049069227</v>
      </c>
      <c r="B12382" t="s">
        <v>5354</v>
      </c>
    </row>
    <row r="12383" spans="1:2" x14ac:dyDescent="0.25">
      <c r="A12383">
        <v>30049069228</v>
      </c>
      <c r="B12383" t="s">
        <v>5056</v>
      </c>
    </row>
    <row r="12384" spans="1:2" x14ac:dyDescent="0.25">
      <c r="A12384">
        <v>30049069229</v>
      </c>
      <c r="B12384" t="s">
        <v>5057</v>
      </c>
    </row>
    <row r="12385" spans="1:2" x14ac:dyDescent="0.25">
      <c r="A12385">
        <v>3004906923</v>
      </c>
      <c r="B12385" t="s">
        <v>5355</v>
      </c>
    </row>
    <row r="12386" spans="1:2" x14ac:dyDescent="0.25">
      <c r="A12386">
        <v>30049069231</v>
      </c>
      <c r="B12386" t="s">
        <v>5059</v>
      </c>
    </row>
    <row r="12387" spans="1:2" x14ac:dyDescent="0.25">
      <c r="A12387">
        <v>30049069232</v>
      </c>
      <c r="B12387" t="s">
        <v>5060</v>
      </c>
    </row>
    <row r="12388" spans="1:2" x14ac:dyDescent="0.25">
      <c r="A12388">
        <v>30049069233</v>
      </c>
      <c r="B12388" t="s">
        <v>5061</v>
      </c>
    </row>
    <row r="12389" spans="1:2" x14ac:dyDescent="0.25">
      <c r="A12389">
        <v>30049069234</v>
      </c>
      <c r="B12389" t="s">
        <v>5062</v>
      </c>
    </row>
    <row r="12390" spans="1:2" x14ac:dyDescent="0.25">
      <c r="A12390">
        <v>30049069235</v>
      </c>
      <c r="B12390" t="s">
        <v>5356</v>
      </c>
    </row>
    <row r="12391" spans="1:2" x14ac:dyDescent="0.25">
      <c r="A12391">
        <v>30049069236</v>
      </c>
      <c r="B12391" t="s">
        <v>4066</v>
      </c>
    </row>
    <row r="12392" spans="1:2" x14ac:dyDescent="0.25">
      <c r="A12392">
        <v>30049069237</v>
      </c>
      <c r="B12392" t="s">
        <v>5064</v>
      </c>
    </row>
    <row r="12393" spans="1:2" x14ac:dyDescent="0.25">
      <c r="A12393">
        <v>30049069238</v>
      </c>
      <c r="B12393" t="s">
        <v>5065</v>
      </c>
    </row>
    <row r="12394" spans="1:2" x14ac:dyDescent="0.25">
      <c r="A12394">
        <v>3004906924</v>
      </c>
      <c r="B12394" t="s">
        <v>5357</v>
      </c>
    </row>
    <row r="12395" spans="1:2" x14ac:dyDescent="0.25">
      <c r="A12395">
        <v>30049069241</v>
      </c>
      <c r="B12395" t="s">
        <v>5067</v>
      </c>
    </row>
    <row r="12396" spans="1:2" x14ac:dyDescent="0.25">
      <c r="A12396">
        <v>30049069242</v>
      </c>
      <c r="B12396" t="s">
        <v>3887</v>
      </c>
    </row>
    <row r="12397" spans="1:2" x14ac:dyDescent="0.25">
      <c r="A12397">
        <v>30049069243</v>
      </c>
      <c r="B12397" t="s">
        <v>5068</v>
      </c>
    </row>
    <row r="12398" spans="1:2" x14ac:dyDescent="0.25">
      <c r="A12398">
        <v>30049069244</v>
      </c>
      <c r="B12398" t="s">
        <v>5069</v>
      </c>
    </row>
    <row r="12399" spans="1:2" x14ac:dyDescent="0.25">
      <c r="A12399">
        <v>30049069245</v>
      </c>
      <c r="B12399" t="s">
        <v>5070</v>
      </c>
    </row>
    <row r="12400" spans="1:2" x14ac:dyDescent="0.25">
      <c r="A12400">
        <v>30049069246</v>
      </c>
      <c r="B12400" t="s">
        <v>5071</v>
      </c>
    </row>
    <row r="12401" spans="1:2" x14ac:dyDescent="0.25">
      <c r="A12401">
        <v>30049069247</v>
      </c>
      <c r="B12401" t="s">
        <v>5072</v>
      </c>
    </row>
    <row r="12402" spans="1:2" x14ac:dyDescent="0.25">
      <c r="A12402">
        <v>30049069248</v>
      </c>
      <c r="B12402" t="s">
        <v>5073</v>
      </c>
    </row>
    <row r="12403" spans="1:2" x14ac:dyDescent="0.25">
      <c r="A12403">
        <v>30049069249</v>
      </c>
      <c r="B12403" t="s">
        <v>5074</v>
      </c>
    </row>
    <row r="12404" spans="1:2" x14ac:dyDescent="0.25">
      <c r="A12404">
        <v>3004906925</v>
      </c>
      <c r="B12404" t="s">
        <v>5075</v>
      </c>
    </row>
    <row r="12405" spans="1:2" x14ac:dyDescent="0.25">
      <c r="A12405">
        <v>30049069251</v>
      </c>
      <c r="B12405" t="s">
        <v>5076</v>
      </c>
    </row>
    <row r="12406" spans="1:2" x14ac:dyDescent="0.25">
      <c r="A12406">
        <v>30049069252</v>
      </c>
      <c r="B12406" t="s">
        <v>5077</v>
      </c>
    </row>
    <row r="12407" spans="1:2" x14ac:dyDescent="0.25">
      <c r="A12407">
        <v>30049069253</v>
      </c>
      <c r="B12407" t="s">
        <v>5078</v>
      </c>
    </row>
    <row r="12408" spans="1:2" x14ac:dyDescent="0.25">
      <c r="A12408">
        <v>30049069254</v>
      </c>
      <c r="B12408" t="s">
        <v>5079</v>
      </c>
    </row>
    <row r="12409" spans="1:2" x14ac:dyDescent="0.25">
      <c r="A12409">
        <v>30049069255</v>
      </c>
      <c r="B12409" t="s">
        <v>5080</v>
      </c>
    </row>
    <row r="12410" spans="1:2" x14ac:dyDescent="0.25">
      <c r="A12410">
        <v>30049069256</v>
      </c>
      <c r="B12410" t="s">
        <v>5081</v>
      </c>
    </row>
    <row r="12411" spans="1:2" x14ac:dyDescent="0.25">
      <c r="A12411">
        <v>30049069257</v>
      </c>
      <c r="B12411" t="s">
        <v>4048</v>
      </c>
    </row>
    <row r="12412" spans="1:2" x14ac:dyDescent="0.25">
      <c r="A12412">
        <v>30049069258</v>
      </c>
      <c r="B12412" t="s">
        <v>5082</v>
      </c>
    </row>
    <row r="12413" spans="1:2" x14ac:dyDescent="0.25">
      <c r="A12413">
        <v>30049069259</v>
      </c>
      <c r="B12413" t="s">
        <v>5083</v>
      </c>
    </row>
    <row r="12414" spans="1:2" x14ac:dyDescent="0.25">
      <c r="A12414">
        <v>3004906926</v>
      </c>
      <c r="B12414" t="s">
        <v>5358</v>
      </c>
    </row>
    <row r="12415" spans="1:2" x14ac:dyDescent="0.25">
      <c r="A12415">
        <v>30049069261</v>
      </c>
      <c r="B12415" t="s">
        <v>5359</v>
      </c>
    </row>
    <row r="12416" spans="1:2" x14ac:dyDescent="0.25">
      <c r="A12416">
        <v>30049069262</v>
      </c>
      <c r="B12416" t="s">
        <v>5360</v>
      </c>
    </row>
    <row r="12417" spans="1:2" x14ac:dyDescent="0.25">
      <c r="A12417">
        <v>30049069263</v>
      </c>
      <c r="B12417" t="s">
        <v>4056</v>
      </c>
    </row>
    <row r="12418" spans="1:2" x14ac:dyDescent="0.25">
      <c r="A12418">
        <v>30049069264</v>
      </c>
      <c r="B12418" t="s">
        <v>4047</v>
      </c>
    </row>
    <row r="12419" spans="1:2" x14ac:dyDescent="0.25">
      <c r="A12419">
        <v>30049069265</v>
      </c>
      <c r="B12419" t="s">
        <v>4057</v>
      </c>
    </row>
    <row r="12420" spans="1:2" x14ac:dyDescent="0.25">
      <c r="A12420">
        <v>30049069266</v>
      </c>
      <c r="B12420" t="s">
        <v>5087</v>
      </c>
    </row>
    <row r="12421" spans="1:2" x14ac:dyDescent="0.25">
      <c r="A12421">
        <v>30049069267</v>
      </c>
      <c r="B12421" t="s">
        <v>5088</v>
      </c>
    </row>
    <row r="12422" spans="1:2" x14ac:dyDescent="0.25">
      <c r="A12422">
        <v>30049069268</v>
      </c>
      <c r="B12422" t="s">
        <v>4061</v>
      </c>
    </row>
    <row r="12423" spans="1:2" x14ac:dyDescent="0.25">
      <c r="A12423">
        <v>30049069269</v>
      </c>
      <c r="B12423" t="s">
        <v>5089</v>
      </c>
    </row>
    <row r="12424" spans="1:2" x14ac:dyDescent="0.25">
      <c r="A12424">
        <v>3004906927</v>
      </c>
      <c r="B12424" t="s">
        <v>5361</v>
      </c>
    </row>
    <row r="12425" spans="1:2" x14ac:dyDescent="0.25">
      <c r="A12425">
        <v>30049069271</v>
      </c>
      <c r="B12425" t="s">
        <v>5091</v>
      </c>
    </row>
    <row r="12426" spans="1:2" x14ac:dyDescent="0.25">
      <c r="A12426">
        <v>30049069272</v>
      </c>
      <c r="B12426" t="s">
        <v>4065</v>
      </c>
    </row>
    <row r="12427" spans="1:2" x14ac:dyDescent="0.25">
      <c r="A12427">
        <v>30049069273</v>
      </c>
      <c r="B12427" t="s">
        <v>4067</v>
      </c>
    </row>
    <row r="12428" spans="1:2" x14ac:dyDescent="0.25">
      <c r="A12428">
        <v>30049069274</v>
      </c>
      <c r="B12428" t="s">
        <v>4068</v>
      </c>
    </row>
    <row r="12429" spans="1:2" x14ac:dyDescent="0.25">
      <c r="A12429">
        <v>30049069275</v>
      </c>
      <c r="B12429" t="s">
        <v>5092</v>
      </c>
    </row>
    <row r="12430" spans="1:2" x14ac:dyDescent="0.25">
      <c r="A12430">
        <v>30049069276</v>
      </c>
      <c r="B12430" t="s">
        <v>4070</v>
      </c>
    </row>
    <row r="12431" spans="1:2" x14ac:dyDescent="0.25">
      <c r="A12431">
        <v>30049069277</v>
      </c>
      <c r="B12431" t="s">
        <v>4071</v>
      </c>
    </row>
    <row r="12432" spans="1:2" x14ac:dyDescent="0.25">
      <c r="A12432">
        <v>30049069278</v>
      </c>
      <c r="B12432" t="s">
        <v>4072</v>
      </c>
    </row>
    <row r="12433" spans="1:2" x14ac:dyDescent="0.25">
      <c r="A12433">
        <v>30049069279</v>
      </c>
      <c r="B12433" t="s">
        <v>4075</v>
      </c>
    </row>
    <row r="12434" spans="1:2" x14ac:dyDescent="0.25">
      <c r="A12434">
        <v>3004906928</v>
      </c>
      <c r="B12434" t="s">
        <v>5093</v>
      </c>
    </row>
    <row r="12435" spans="1:2" x14ac:dyDescent="0.25">
      <c r="A12435">
        <v>30049069281</v>
      </c>
      <c r="B12435" t="s">
        <v>5362</v>
      </c>
    </row>
    <row r="12436" spans="1:2" x14ac:dyDescent="0.25">
      <c r="A12436">
        <v>30049069282</v>
      </c>
      <c r="B12436" t="s">
        <v>4078</v>
      </c>
    </row>
    <row r="12437" spans="1:2" x14ac:dyDescent="0.25">
      <c r="A12437">
        <v>30049069283</v>
      </c>
      <c r="B12437" t="s">
        <v>4079</v>
      </c>
    </row>
    <row r="12438" spans="1:2" x14ac:dyDescent="0.25">
      <c r="A12438">
        <v>30049069284</v>
      </c>
      <c r="B12438" t="s">
        <v>5095</v>
      </c>
    </row>
    <row r="12439" spans="1:2" x14ac:dyDescent="0.25">
      <c r="A12439">
        <v>30049069285</v>
      </c>
      <c r="B12439" t="s">
        <v>4083</v>
      </c>
    </row>
    <row r="12440" spans="1:2" x14ac:dyDescent="0.25">
      <c r="A12440">
        <v>30049069286</v>
      </c>
      <c r="B12440" t="s">
        <v>4085</v>
      </c>
    </row>
    <row r="12441" spans="1:2" x14ac:dyDescent="0.25">
      <c r="A12441">
        <v>30049069287</v>
      </c>
      <c r="B12441" t="s">
        <v>5096</v>
      </c>
    </row>
    <row r="12442" spans="1:2" x14ac:dyDescent="0.25">
      <c r="A12442">
        <v>30049069288</v>
      </c>
      <c r="B12442" t="s">
        <v>4087</v>
      </c>
    </row>
    <row r="12443" spans="1:2" x14ac:dyDescent="0.25">
      <c r="A12443">
        <v>30049069289</v>
      </c>
      <c r="B12443" t="s">
        <v>4088</v>
      </c>
    </row>
    <row r="12444" spans="1:2" x14ac:dyDescent="0.25">
      <c r="A12444">
        <v>3004906929</v>
      </c>
      <c r="B12444" t="s">
        <v>10</v>
      </c>
    </row>
    <row r="12445" spans="1:2" x14ac:dyDescent="0.25">
      <c r="A12445">
        <v>30049069291</v>
      </c>
      <c r="B12445" t="s">
        <v>5097</v>
      </c>
    </row>
    <row r="12446" spans="1:2" x14ac:dyDescent="0.25">
      <c r="A12446">
        <v>30049069292</v>
      </c>
      <c r="B12446" t="s">
        <v>5098</v>
      </c>
    </row>
    <row r="12447" spans="1:2" x14ac:dyDescent="0.25">
      <c r="A12447">
        <v>30049069293</v>
      </c>
      <c r="B12447" t="s">
        <v>4049</v>
      </c>
    </row>
    <row r="12448" spans="1:2" x14ac:dyDescent="0.25">
      <c r="A12448">
        <v>30049069294</v>
      </c>
      <c r="B12448" t="s">
        <v>4084</v>
      </c>
    </row>
    <row r="12449" spans="1:2" x14ac:dyDescent="0.25">
      <c r="A12449">
        <v>30049069295</v>
      </c>
      <c r="B12449" t="s">
        <v>5099</v>
      </c>
    </row>
    <row r="12450" spans="1:2" x14ac:dyDescent="0.25">
      <c r="A12450">
        <v>30049069296</v>
      </c>
      <c r="B12450" t="s">
        <v>5100</v>
      </c>
    </row>
    <row r="12451" spans="1:2" x14ac:dyDescent="0.25">
      <c r="A12451">
        <v>30049069297</v>
      </c>
      <c r="B12451" t="s">
        <v>4063</v>
      </c>
    </row>
    <row r="12452" spans="1:2" x14ac:dyDescent="0.25">
      <c r="A12452">
        <v>30049069299</v>
      </c>
      <c r="B12452" t="s">
        <v>10</v>
      </c>
    </row>
    <row r="12453" spans="1:2" x14ac:dyDescent="0.25">
      <c r="A12453">
        <v>300490693</v>
      </c>
      <c r="B12453" t="s">
        <v>4785</v>
      </c>
    </row>
    <row r="12454" spans="1:2" x14ac:dyDescent="0.25">
      <c r="A12454">
        <v>30049069310</v>
      </c>
      <c r="B12454" t="s">
        <v>5101</v>
      </c>
    </row>
    <row r="12455" spans="1:2" x14ac:dyDescent="0.25">
      <c r="A12455">
        <v>30049069320</v>
      </c>
      <c r="B12455" t="s">
        <v>5102</v>
      </c>
    </row>
    <row r="12456" spans="1:2" x14ac:dyDescent="0.25">
      <c r="A12456">
        <v>30049069330</v>
      </c>
      <c r="B12456" t="s">
        <v>5103</v>
      </c>
    </row>
    <row r="12457" spans="1:2" x14ac:dyDescent="0.25">
      <c r="A12457">
        <v>30049069340</v>
      </c>
      <c r="B12457" t="s">
        <v>5104</v>
      </c>
    </row>
    <row r="12458" spans="1:2" x14ac:dyDescent="0.25">
      <c r="A12458">
        <v>30049069350</v>
      </c>
      <c r="B12458" t="s">
        <v>5105</v>
      </c>
    </row>
    <row r="12459" spans="1:2" x14ac:dyDescent="0.25">
      <c r="A12459">
        <v>30049069360</v>
      </c>
      <c r="B12459" t="s">
        <v>5106</v>
      </c>
    </row>
    <row r="12460" spans="1:2" x14ac:dyDescent="0.25">
      <c r="A12460">
        <v>30049069370</v>
      </c>
      <c r="B12460" t="s">
        <v>5107</v>
      </c>
    </row>
    <row r="12461" spans="1:2" x14ac:dyDescent="0.25">
      <c r="A12461">
        <v>3004906939</v>
      </c>
      <c r="B12461" t="s">
        <v>10</v>
      </c>
    </row>
    <row r="12462" spans="1:2" x14ac:dyDescent="0.25">
      <c r="A12462">
        <v>30049069391</v>
      </c>
      <c r="B12462" t="s">
        <v>5108</v>
      </c>
    </row>
    <row r="12463" spans="1:2" x14ac:dyDescent="0.25">
      <c r="A12463">
        <v>30049069392</v>
      </c>
      <c r="B12463" t="s">
        <v>5109</v>
      </c>
    </row>
    <row r="12464" spans="1:2" x14ac:dyDescent="0.25">
      <c r="A12464">
        <v>30049069399</v>
      </c>
      <c r="B12464" t="s">
        <v>10</v>
      </c>
    </row>
    <row r="12465" spans="1:2" x14ac:dyDescent="0.25">
      <c r="A12465">
        <v>300490694</v>
      </c>
      <c r="B12465" t="s">
        <v>4791</v>
      </c>
    </row>
    <row r="12466" spans="1:2" x14ac:dyDescent="0.25">
      <c r="A12466">
        <v>3004906941</v>
      </c>
      <c r="B12466" t="s">
        <v>5110</v>
      </c>
    </row>
    <row r="12467" spans="1:2" x14ac:dyDescent="0.25">
      <c r="A12467">
        <v>30049069411</v>
      </c>
      <c r="B12467" t="s">
        <v>3862</v>
      </c>
    </row>
    <row r="12468" spans="1:2" x14ac:dyDescent="0.25">
      <c r="A12468">
        <v>30049069412</v>
      </c>
      <c r="B12468" t="s">
        <v>5111</v>
      </c>
    </row>
    <row r="12469" spans="1:2" x14ac:dyDescent="0.25">
      <c r="A12469">
        <v>30049069413</v>
      </c>
      <c r="B12469" t="s">
        <v>3866</v>
      </c>
    </row>
    <row r="12470" spans="1:2" x14ac:dyDescent="0.25">
      <c r="A12470">
        <v>30049069414</v>
      </c>
      <c r="B12470" t="s">
        <v>5112</v>
      </c>
    </row>
    <row r="12471" spans="1:2" x14ac:dyDescent="0.25">
      <c r="A12471">
        <v>30049069415</v>
      </c>
      <c r="B12471" t="s">
        <v>3860</v>
      </c>
    </row>
    <row r="12472" spans="1:2" x14ac:dyDescent="0.25">
      <c r="A12472">
        <v>30049069416</v>
      </c>
      <c r="B12472" t="s">
        <v>3851</v>
      </c>
    </row>
    <row r="12473" spans="1:2" x14ac:dyDescent="0.25">
      <c r="A12473">
        <v>30049069417</v>
      </c>
      <c r="B12473" t="s">
        <v>5113</v>
      </c>
    </row>
    <row r="12474" spans="1:2" x14ac:dyDescent="0.25">
      <c r="A12474">
        <v>30049069418</v>
      </c>
      <c r="B12474" t="s">
        <v>5363</v>
      </c>
    </row>
    <row r="12475" spans="1:2" x14ac:dyDescent="0.25">
      <c r="A12475">
        <v>30049069419</v>
      </c>
      <c r="B12475" t="s">
        <v>5364</v>
      </c>
    </row>
    <row r="12476" spans="1:2" x14ac:dyDescent="0.25">
      <c r="A12476">
        <v>3004906942</v>
      </c>
      <c r="B12476" t="s">
        <v>5116</v>
      </c>
    </row>
    <row r="12477" spans="1:2" x14ac:dyDescent="0.25">
      <c r="A12477">
        <v>30049069421</v>
      </c>
      <c r="B12477" t="s">
        <v>3859</v>
      </c>
    </row>
    <row r="12478" spans="1:2" x14ac:dyDescent="0.25">
      <c r="A12478">
        <v>30049069422</v>
      </c>
      <c r="B12478" t="s">
        <v>5117</v>
      </c>
    </row>
    <row r="12479" spans="1:2" x14ac:dyDescent="0.25">
      <c r="A12479">
        <v>30049069423</v>
      </c>
      <c r="B12479" t="s">
        <v>5118</v>
      </c>
    </row>
    <row r="12480" spans="1:2" x14ac:dyDescent="0.25">
      <c r="A12480">
        <v>30049069424</v>
      </c>
      <c r="B12480" t="s">
        <v>5119</v>
      </c>
    </row>
    <row r="12481" spans="1:2" x14ac:dyDescent="0.25">
      <c r="A12481">
        <v>30049069425</v>
      </c>
      <c r="B12481" t="s">
        <v>5120</v>
      </c>
    </row>
    <row r="12482" spans="1:2" x14ac:dyDescent="0.25">
      <c r="A12482">
        <v>30049069426</v>
      </c>
      <c r="B12482" t="s">
        <v>3882</v>
      </c>
    </row>
    <row r="12483" spans="1:2" x14ac:dyDescent="0.25">
      <c r="A12483">
        <v>30049069427</v>
      </c>
      <c r="B12483" t="s">
        <v>3863</v>
      </c>
    </row>
    <row r="12484" spans="1:2" x14ac:dyDescent="0.25">
      <c r="A12484">
        <v>30049069428</v>
      </c>
      <c r="B12484" t="s">
        <v>5365</v>
      </c>
    </row>
    <row r="12485" spans="1:2" x14ac:dyDescent="0.25">
      <c r="A12485">
        <v>30049069429</v>
      </c>
      <c r="B12485" t="s">
        <v>5122</v>
      </c>
    </row>
    <row r="12486" spans="1:2" x14ac:dyDescent="0.25">
      <c r="A12486">
        <v>3004906943</v>
      </c>
      <c r="B12486" t="s">
        <v>5123</v>
      </c>
    </row>
    <row r="12487" spans="1:2" x14ac:dyDescent="0.25">
      <c r="A12487">
        <v>30049069431</v>
      </c>
      <c r="B12487" t="s">
        <v>5124</v>
      </c>
    </row>
    <row r="12488" spans="1:2" x14ac:dyDescent="0.25">
      <c r="A12488">
        <v>30049069432</v>
      </c>
      <c r="B12488" t="s">
        <v>3880</v>
      </c>
    </row>
    <row r="12489" spans="1:2" x14ac:dyDescent="0.25">
      <c r="A12489">
        <v>30049069433</v>
      </c>
      <c r="B12489" t="s">
        <v>5125</v>
      </c>
    </row>
    <row r="12490" spans="1:2" x14ac:dyDescent="0.25">
      <c r="A12490">
        <v>30049069434</v>
      </c>
      <c r="B12490" t="s">
        <v>5126</v>
      </c>
    </row>
    <row r="12491" spans="1:2" x14ac:dyDescent="0.25">
      <c r="A12491">
        <v>30049069435</v>
      </c>
      <c r="B12491" t="s">
        <v>5127</v>
      </c>
    </row>
    <row r="12492" spans="1:2" x14ac:dyDescent="0.25">
      <c r="A12492">
        <v>30049069436</v>
      </c>
      <c r="B12492" t="s">
        <v>5128</v>
      </c>
    </row>
    <row r="12493" spans="1:2" x14ac:dyDescent="0.25">
      <c r="A12493">
        <v>30049069437</v>
      </c>
      <c r="B12493" t="s">
        <v>5366</v>
      </c>
    </row>
    <row r="12494" spans="1:2" x14ac:dyDescent="0.25">
      <c r="A12494">
        <v>30049069438</v>
      </c>
      <c r="B12494" t="s">
        <v>5130</v>
      </c>
    </row>
    <row r="12495" spans="1:2" x14ac:dyDescent="0.25">
      <c r="A12495">
        <v>30049069439</v>
      </c>
      <c r="B12495" t="s">
        <v>5131</v>
      </c>
    </row>
    <row r="12496" spans="1:2" x14ac:dyDescent="0.25">
      <c r="A12496">
        <v>3004906944</v>
      </c>
      <c r="B12496" t="s">
        <v>5132</v>
      </c>
    </row>
    <row r="12497" spans="1:2" x14ac:dyDescent="0.25">
      <c r="A12497">
        <v>30049069441</v>
      </c>
      <c r="B12497" t="s">
        <v>5133</v>
      </c>
    </row>
    <row r="12498" spans="1:2" x14ac:dyDescent="0.25">
      <c r="A12498">
        <v>30049069442</v>
      </c>
      <c r="B12498" t="s">
        <v>5134</v>
      </c>
    </row>
    <row r="12499" spans="1:2" x14ac:dyDescent="0.25">
      <c r="A12499">
        <v>30049069443</v>
      </c>
      <c r="B12499" t="s">
        <v>5135</v>
      </c>
    </row>
    <row r="12500" spans="1:2" x14ac:dyDescent="0.25">
      <c r="A12500">
        <v>30049069444</v>
      </c>
      <c r="B12500" t="s">
        <v>5136</v>
      </c>
    </row>
    <row r="12501" spans="1:2" x14ac:dyDescent="0.25">
      <c r="A12501">
        <v>30049069445</v>
      </c>
      <c r="B12501" t="s">
        <v>5137</v>
      </c>
    </row>
    <row r="12502" spans="1:2" x14ac:dyDescent="0.25">
      <c r="A12502">
        <v>30049069446</v>
      </c>
      <c r="B12502" t="s">
        <v>3943</v>
      </c>
    </row>
    <row r="12503" spans="1:2" x14ac:dyDescent="0.25">
      <c r="A12503">
        <v>30049069447</v>
      </c>
      <c r="B12503" t="s">
        <v>5138</v>
      </c>
    </row>
    <row r="12504" spans="1:2" x14ac:dyDescent="0.25">
      <c r="A12504">
        <v>30049069448</v>
      </c>
      <c r="B12504" t="s">
        <v>5139</v>
      </c>
    </row>
    <row r="12505" spans="1:2" x14ac:dyDescent="0.25">
      <c r="A12505">
        <v>30049069449</v>
      </c>
      <c r="B12505" t="s">
        <v>5140</v>
      </c>
    </row>
    <row r="12506" spans="1:2" x14ac:dyDescent="0.25">
      <c r="A12506">
        <v>3004906945</v>
      </c>
      <c r="B12506" t="s">
        <v>5141</v>
      </c>
    </row>
    <row r="12507" spans="1:2" x14ac:dyDescent="0.25">
      <c r="A12507">
        <v>30049069451</v>
      </c>
      <c r="B12507" t="s">
        <v>5142</v>
      </c>
    </row>
    <row r="12508" spans="1:2" x14ac:dyDescent="0.25">
      <c r="A12508">
        <v>30049069452</v>
      </c>
      <c r="B12508" t="s">
        <v>5143</v>
      </c>
    </row>
    <row r="12509" spans="1:2" x14ac:dyDescent="0.25">
      <c r="A12509">
        <v>30049069453</v>
      </c>
      <c r="B12509" t="s">
        <v>5144</v>
      </c>
    </row>
    <row r="12510" spans="1:2" x14ac:dyDescent="0.25">
      <c r="A12510">
        <v>30049069454</v>
      </c>
      <c r="B12510" t="s">
        <v>5145</v>
      </c>
    </row>
    <row r="12511" spans="1:2" x14ac:dyDescent="0.25">
      <c r="A12511">
        <v>30049069455</v>
      </c>
      <c r="B12511" t="s">
        <v>5146</v>
      </c>
    </row>
    <row r="12512" spans="1:2" x14ac:dyDescent="0.25">
      <c r="A12512">
        <v>30049069460</v>
      </c>
      <c r="B12512" t="s">
        <v>5367</v>
      </c>
    </row>
    <row r="12513" spans="1:2" x14ac:dyDescent="0.25">
      <c r="A12513">
        <v>30049069490</v>
      </c>
      <c r="B12513" t="s">
        <v>10</v>
      </c>
    </row>
    <row r="12514" spans="1:2" x14ac:dyDescent="0.25">
      <c r="A12514">
        <v>300490695</v>
      </c>
      <c r="B12514" t="s">
        <v>5147</v>
      </c>
    </row>
    <row r="12515" spans="1:2" x14ac:dyDescent="0.25">
      <c r="A12515">
        <v>30049069510</v>
      </c>
      <c r="B12515" t="s">
        <v>5148</v>
      </c>
    </row>
    <row r="12516" spans="1:2" x14ac:dyDescent="0.25">
      <c r="A12516">
        <v>30049069520</v>
      </c>
      <c r="B12516" t="s">
        <v>5368</v>
      </c>
    </row>
    <row r="12517" spans="1:2" x14ac:dyDescent="0.25">
      <c r="A12517">
        <v>30049069530</v>
      </c>
      <c r="B12517" t="s">
        <v>5150</v>
      </c>
    </row>
    <row r="12518" spans="1:2" x14ac:dyDescent="0.25">
      <c r="A12518">
        <v>30049069540</v>
      </c>
      <c r="B12518" t="s">
        <v>5151</v>
      </c>
    </row>
    <row r="12519" spans="1:2" x14ac:dyDescent="0.25">
      <c r="A12519">
        <v>300490696</v>
      </c>
      <c r="B12519" t="s">
        <v>5369</v>
      </c>
    </row>
    <row r="12520" spans="1:2" x14ac:dyDescent="0.25">
      <c r="A12520">
        <v>30049069610</v>
      </c>
      <c r="B12520" t="s">
        <v>3844</v>
      </c>
    </row>
    <row r="12521" spans="1:2" x14ac:dyDescent="0.25">
      <c r="A12521">
        <v>30049069690</v>
      </c>
      <c r="B12521" t="s">
        <v>10</v>
      </c>
    </row>
    <row r="12522" spans="1:2" x14ac:dyDescent="0.25">
      <c r="A12522">
        <v>300490699</v>
      </c>
      <c r="B12522" t="s">
        <v>10</v>
      </c>
    </row>
    <row r="12523" spans="1:2" x14ac:dyDescent="0.25">
      <c r="A12523">
        <v>3004906991</v>
      </c>
      <c r="B12523" t="s">
        <v>5152</v>
      </c>
    </row>
    <row r="12524" spans="1:2" x14ac:dyDescent="0.25">
      <c r="A12524">
        <v>30049069911</v>
      </c>
      <c r="B12524" t="s">
        <v>1762</v>
      </c>
    </row>
    <row r="12525" spans="1:2" x14ac:dyDescent="0.25">
      <c r="A12525">
        <v>30049069919</v>
      </c>
      <c r="B12525" t="s">
        <v>10</v>
      </c>
    </row>
    <row r="12526" spans="1:2" x14ac:dyDescent="0.25">
      <c r="A12526">
        <v>30049069920</v>
      </c>
      <c r="B12526" t="s">
        <v>5370</v>
      </c>
    </row>
    <row r="12527" spans="1:2" x14ac:dyDescent="0.25">
      <c r="A12527">
        <v>3004906993</v>
      </c>
      <c r="B12527" t="s">
        <v>5371</v>
      </c>
    </row>
    <row r="12528" spans="1:2" x14ac:dyDescent="0.25">
      <c r="A12528">
        <v>30049069931</v>
      </c>
      <c r="B12528" t="s">
        <v>5372</v>
      </c>
    </row>
    <row r="12529" spans="1:2" x14ac:dyDescent="0.25">
      <c r="A12529">
        <v>30049069933</v>
      </c>
      <c r="B12529" t="s">
        <v>5373</v>
      </c>
    </row>
    <row r="12530" spans="1:2" x14ac:dyDescent="0.25">
      <c r="A12530">
        <v>30049069990</v>
      </c>
      <c r="B12530" t="s">
        <v>10</v>
      </c>
    </row>
    <row r="12531" spans="1:2" x14ac:dyDescent="0.25">
      <c r="A12531">
        <v>3004907</v>
      </c>
      <c r="B12531" t="s">
        <v>5374</v>
      </c>
    </row>
    <row r="12532" spans="1:2" x14ac:dyDescent="0.25">
      <c r="A12532">
        <v>30049071</v>
      </c>
      <c r="B12532" t="s">
        <v>5154</v>
      </c>
    </row>
    <row r="12533" spans="1:2" x14ac:dyDescent="0.25">
      <c r="A12533">
        <v>30049071100</v>
      </c>
      <c r="B12533" t="s">
        <v>5155</v>
      </c>
    </row>
    <row r="12534" spans="1:2" x14ac:dyDescent="0.25">
      <c r="A12534">
        <v>30049071200</v>
      </c>
      <c r="B12534" t="s">
        <v>4241</v>
      </c>
    </row>
    <row r="12535" spans="1:2" x14ac:dyDescent="0.25">
      <c r="A12535">
        <v>30049072</v>
      </c>
      <c r="B12535" t="s">
        <v>5156</v>
      </c>
    </row>
    <row r="12536" spans="1:2" x14ac:dyDescent="0.25">
      <c r="A12536">
        <v>30049072100</v>
      </c>
      <c r="B12536" t="s">
        <v>5157</v>
      </c>
    </row>
    <row r="12537" spans="1:2" x14ac:dyDescent="0.25">
      <c r="A12537">
        <v>30049072300</v>
      </c>
      <c r="B12537" t="s">
        <v>4278</v>
      </c>
    </row>
    <row r="12538" spans="1:2" x14ac:dyDescent="0.25">
      <c r="A12538">
        <v>30049073</v>
      </c>
      <c r="B12538" t="s">
        <v>5158</v>
      </c>
    </row>
    <row r="12539" spans="1:2" x14ac:dyDescent="0.25">
      <c r="A12539">
        <v>300490731</v>
      </c>
      <c r="B12539" t="s">
        <v>2740</v>
      </c>
    </row>
    <row r="12540" spans="1:2" x14ac:dyDescent="0.25">
      <c r="A12540">
        <v>30049073110</v>
      </c>
      <c r="B12540" t="s">
        <v>4192</v>
      </c>
    </row>
    <row r="12541" spans="1:2" x14ac:dyDescent="0.25">
      <c r="A12541">
        <v>30049073130</v>
      </c>
      <c r="B12541" t="s">
        <v>4182</v>
      </c>
    </row>
    <row r="12542" spans="1:2" x14ac:dyDescent="0.25">
      <c r="A12542">
        <v>30049073300</v>
      </c>
      <c r="B12542" t="s">
        <v>4277</v>
      </c>
    </row>
    <row r="12543" spans="1:2" x14ac:dyDescent="0.25">
      <c r="A12543">
        <v>30049073400</v>
      </c>
      <c r="B12543" t="s">
        <v>4276</v>
      </c>
    </row>
    <row r="12544" spans="1:2" x14ac:dyDescent="0.25">
      <c r="A12544">
        <v>30049074</v>
      </c>
      <c r="B12544" t="s">
        <v>5159</v>
      </c>
    </row>
    <row r="12545" spans="1:2" x14ac:dyDescent="0.25">
      <c r="A12545">
        <v>30049074100</v>
      </c>
      <c r="B12545" t="s">
        <v>4275</v>
      </c>
    </row>
    <row r="12546" spans="1:2" x14ac:dyDescent="0.25">
      <c r="A12546">
        <v>30049074300</v>
      </c>
      <c r="B12546" t="s">
        <v>5160</v>
      </c>
    </row>
    <row r="12547" spans="1:2" x14ac:dyDescent="0.25">
      <c r="A12547">
        <v>30049075</v>
      </c>
      <c r="B12547" t="s">
        <v>5161</v>
      </c>
    </row>
    <row r="12548" spans="1:2" x14ac:dyDescent="0.25">
      <c r="A12548">
        <v>300490751</v>
      </c>
      <c r="B12548" t="s">
        <v>2740</v>
      </c>
    </row>
    <row r="12549" spans="1:2" x14ac:dyDescent="0.25">
      <c r="A12549">
        <v>30049075110</v>
      </c>
      <c r="B12549" t="s">
        <v>5162</v>
      </c>
    </row>
    <row r="12550" spans="1:2" x14ac:dyDescent="0.25">
      <c r="A12550">
        <v>30049075120</v>
      </c>
      <c r="B12550" t="s">
        <v>4174</v>
      </c>
    </row>
    <row r="12551" spans="1:2" x14ac:dyDescent="0.25">
      <c r="A12551">
        <v>30049075200</v>
      </c>
      <c r="B12551" t="s">
        <v>4282</v>
      </c>
    </row>
    <row r="12552" spans="1:2" x14ac:dyDescent="0.25">
      <c r="A12552">
        <v>30049075300</v>
      </c>
      <c r="B12552" t="s">
        <v>5163</v>
      </c>
    </row>
    <row r="12553" spans="1:2" x14ac:dyDescent="0.25">
      <c r="A12553">
        <v>30049075400</v>
      </c>
      <c r="B12553" t="s">
        <v>4380</v>
      </c>
    </row>
    <row r="12554" spans="1:2" x14ac:dyDescent="0.25">
      <c r="A12554">
        <v>30049076</v>
      </c>
      <c r="B12554" t="s">
        <v>5164</v>
      </c>
    </row>
    <row r="12555" spans="1:2" x14ac:dyDescent="0.25">
      <c r="A12555">
        <v>30049076100</v>
      </c>
      <c r="B12555" t="s">
        <v>4274</v>
      </c>
    </row>
    <row r="12556" spans="1:2" x14ac:dyDescent="0.25">
      <c r="A12556">
        <v>30049076200</v>
      </c>
      <c r="B12556" t="s">
        <v>4262</v>
      </c>
    </row>
    <row r="12557" spans="1:2" x14ac:dyDescent="0.25">
      <c r="A12557">
        <v>30049077</v>
      </c>
      <c r="B12557" t="s">
        <v>5165</v>
      </c>
    </row>
    <row r="12558" spans="1:2" x14ac:dyDescent="0.25">
      <c r="A12558">
        <v>30049077100</v>
      </c>
      <c r="B12558" t="s">
        <v>4251</v>
      </c>
    </row>
    <row r="12559" spans="1:2" x14ac:dyDescent="0.25">
      <c r="A12559">
        <v>30049077300</v>
      </c>
      <c r="B12559" t="s">
        <v>4210</v>
      </c>
    </row>
    <row r="12560" spans="1:2" x14ac:dyDescent="0.25">
      <c r="A12560">
        <v>30049077400</v>
      </c>
      <c r="B12560" t="s">
        <v>4218</v>
      </c>
    </row>
    <row r="12561" spans="1:2" x14ac:dyDescent="0.25">
      <c r="A12561">
        <v>30049078</v>
      </c>
      <c r="B12561" t="s">
        <v>5375</v>
      </c>
    </row>
    <row r="12562" spans="1:2" x14ac:dyDescent="0.25">
      <c r="A12562">
        <v>30049078100</v>
      </c>
      <c r="B12562" t="s">
        <v>5167</v>
      </c>
    </row>
    <row r="12563" spans="1:2" x14ac:dyDescent="0.25">
      <c r="A12563">
        <v>30049078300</v>
      </c>
      <c r="B12563" t="s">
        <v>5168</v>
      </c>
    </row>
    <row r="12564" spans="1:2" x14ac:dyDescent="0.25">
      <c r="A12564">
        <v>30049078400</v>
      </c>
      <c r="B12564" t="s">
        <v>5169</v>
      </c>
    </row>
    <row r="12565" spans="1:2" x14ac:dyDescent="0.25">
      <c r="A12565">
        <v>30049078500</v>
      </c>
      <c r="B12565" t="s">
        <v>5170</v>
      </c>
    </row>
    <row r="12566" spans="1:2" x14ac:dyDescent="0.25">
      <c r="A12566">
        <v>30049078600</v>
      </c>
      <c r="B12566" t="s">
        <v>5171</v>
      </c>
    </row>
    <row r="12567" spans="1:2" x14ac:dyDescent="0.25">
      <c r="A12567">
        <v>30049078700</v>
      </c>
      <c r="B12567" t="s">
        <v>5172</v>
      </c>
    </row>
    <row r="12568" spans="1:2" x14ac:dyDescent="0.25">
      <c r="A12568">
        <v>300490788</v>
      </c>
      <c r="B12568" t="s">
        <v>5173</v>
      </c>
    </row>
    <row r="12569" spans="1:2" x14ac:dyDescent="0.25">
      <c r="A12569">
        <v>30049078810</v>
      </c>
      <c r="B12569" t="s">
        <v>5174</v>
      </c>
    </row>
    <row r="12570" spans="1:2" x14ac:dyDescent="0.25">
      <c r="A12570">
        <v>30049078820</v>
      </c>
      <c r="B12570" t="s">
        <v>5175</v>
      </c>
    </row>
    <row r="12571" spans="1:2" x14ac:dyDescent="0.25">
      <c r="A12571">
        <v>30049078830</v>
      </c>
      <c r="B12571" t="s">
        <v>5176</v>
      </c>
    </row>
    <row r="12572" spans="1:2" x14ac:dyDescent="0.25">
      <c r="A12572">
        <v>30049078840</v>
      </c>
      <c r="B12572" t="s">
        <v>5177</v>
      </c>
    </row>
    <row r="12573" spans="1:2" x14ac:dyDescent="0.25">
      <c r="A12573">
        <v>30049078850</v>
      </c>
      <c r="B12573" t="s">
        <v>5178</v>
      </c>
    </row>
    <row r="12574" spans="1:2" x14ac:dyDescent="0.25">
      <c r="A12574">
        <v>30049078860</v>
      </c>
      <c r="B12574" t="s">
        <v>5179</v>
      </c>
    </row>
    <row r="12575" spans="1:2" x14ac:dyDescent="0.25">
      <c r="A12575">
        <v>30049078870</v>
      </c>
      <c r="B12575" t="s">
        <v>4384</v>
      </c>
    </row>
    <row r="12576" spans="1:2" x14ac:dyDescent="0.25">
      <c r="A12576">
        <v>30049078880</v>
      </c>
      <c r="B12576" t="s">
        <v>5180</v>
      </c>
    </row>
    <row r="12577" spans="1:2" x14ac:dyDescent="0.25">
      <c r="A12577">
        <v>3004907889</v>
      </c>
      <c r="B12577" t="s">
        <v>5181</v>
      </c>
    </row>
    <row r="12578" spans="1:2" x14ac:dyDescent="0.25">
      <c r="A12578">
        <v>30049078891</v>
      </c>
      <c r="B12578" t="s">
        <v>5182</v>
      </c>
    </row>
    <row r="12579" spans="1:2" x14ac:dyDescent="0.25">
      <c r="A12579">
        <v>30049078892</v>
      </c>
      <c r="B12579" t="s">
        <v>5183</v>
      </c>
    </row>
    <row r="12580" spans="1:2" x14ac:dyDescent="0.25">
      <c r="A12580">
        <v>30049079</v>
      </c>
      <c r="B12580" t="s">
        <v>10</v>
      </c>
    </row>
    <row r="12581" spans="1:2" x14ac:dyDescent="0.25">
      <c r="A12581">
        <v>300490791</v>
      </c>
      <c r="B12581" t="s">
        <v>4769</v>
      </c>
    </row>
    <row r="12582" spans="1:2" x14ac:dyDescent="0.25">
      <c r="A12582">
        <v>30049079110</v>
      </c>
      <c r="B12582" t="s">
        <v>5185</v>
      </c>
    </row>
    <row r="12583" spans="1:2" x14ac:dyDescent="0.25">
      <c r="A12583">
        <v>30049079120</v>
      </c>
      <c r="B12583" t="s">
        <v>5186</v>
      </c>
    </row>
    <row r="12584" spans="1:2" x14ac:dyDescent="0.25">
      <c r="A12584">
        <v>30049079190</v>
      </c>
      <c r="B12584" t="s">
        <v>10</v>
      </c>
    </row>
    <row r="12585" spans="1:2" x14ac:dyDescent="0.25">
      <c r="A12585">
        <v>300490792</v>
      </c>
      <c r="B12585" t="s">
        <v>4780</v>
      </c>
    </row>
    <row r="12586" spans="1:2" x14ac:dyDescent="0.25">
      <c r="A12586">
        <v>3004907921</v>
      </c>
      <c r="B12586" t="s">
        <v>5187</v>
      </c>
    </row>
    <row r="12587" spans="1:2" x14ac:dyDescent="0.25">
      <c r="A12587">
        <v>30049079211</v>
      </c>
      <c r="B12587" t="s">
        <v>5188</v>
      </c>
    </row>
    <row r="12588" spans="1:2" x14ac:dyDescent="0.25">
      <c r="A12588">
        <v>30049079212</v>
      </c>
      <c r="B12588" t="s">
        <v>5189</v>
      </c>
    </row>
    <row r="12589" spans="1:2" x14ac:dyDescent="0.25">
      <c r="A12589">
        <v>30049079213</v>
      </c>
      <c r="B12589" t="s">
        <v>5190</v>
      </c>
    </row>
    <row r="12590" spans="1:2" x14ac:dyDescent="0.25">
      <c r="A12590">
        <v>30049079214</v>
      </c>
      <c r="B12590" t="s">
        <v>5191</v>
      </c>
    </row>
    <row r="12591" spans="1:2" x14ac:dyDescent="0.25">
      <c r="A12591">
        <v>30049079215</v>
      </c>
      <c r="B12591" t="s">
        <v>5192</v>
      </c>
    </row>
    <row r="12592" spans="1:2" x14ac:dyDescent="0.25">
      <c r="A12592">
        <v>30049079216</v>
      </c>
      <c r="B12592" t="s">
        <v>5193</v>
      </c>
    </row>
    <row r="12593" spans="1:2" x14ac:dyDescent="0.25">
      <c r="A12593">
        <v>30049079217</v>
      </c>
      <c r="B12593" t="s">
        <v>5194</v>
      </c>
    </row>
    <row r="12594" spans="1:2" x14ac:dyDescent="0.25">
      <c r="A12594">
        <v>30049079218</v>
      </c>
      <c r="B12594" t="s">
        <v>5376</v>
      </c>
    </row>
    <row r="12595" spans="1:2" x14ac:dyDescent="0.25">
      <c r="A12595">
        <v>30049079219</v>
      </c>
      <c r="B12595" t="s">
        <v>5377</v>
      </c>
    </row>
    <row r="12596" spans="1:2" x14ac:dyDescent="0.25">
      <c r="A12596">
        <v>3004907922</v>
      </c>
      <c r="B12596" t="s">
        <v>5197</v>
      </c>
    </row>
    <row r="12597" spans="1:2" x14ac:dyDescent="0.25">
      <c r="A12597">
        <v>30049079221</v>
      </c>
      <c r="B12597" t="s">
        <v>5198</v>
      </c>
    </row>
    <row r="12598" spans="1:2" x14ac:dyDescent="0.25">
      <c r="A12598">
        <v>30049079222</v>
      </c>
      <c r="B12598" t="s">
        <v>5199</v>
      </c>
    </row>
    <row r="12599" spans="1:2" x14ac:dyDescent="0.25">
      <c r="A12599">
        <v>30049079223</v>
      </c>
      <c r="B12599" t="s">
        <v>5200</v>
      </c>
    </row>
    <row r="12600" spans="1:2" x14ac:dyDescent="0.25">
      <c r="A12600">
        <v>30049079224</v>
      </c>
      <c r="B12600" t="s">
        <v>5378</v>
      </c>
    </row>
    <row r="12601" spans="1:2" x14ac:dyDescent="0.25">
      <c r="A12601">
        <v>30049079225</v>
      </c>
      <c r="B12601" t="s">
        <v>5202</v>
      </c>
    </row>
    <row r="12602" spans="1:2" x14ac:dyDescent="0.25">
      <c r="A12602">
        <v>30049079226</v>
      </c>
      <c r="B12602" t="s">
        <v>5203</v>
      </c>
    </row>
    <row r="12603" spans="1:2" x14ac:dyDescent="0.25">
      <c r="A12603">
        <v>30049079227</v>
      </c>
      <c r="B12603" t="s">
        <v>5204</v>
      </c>
    </row>
    <row r="12604" spans="1:2" x14ac:dyDescent="0.25">
      <c r="A12604">
        <v>30049079228</v>
      </c>
      <c r="B12604" t="s">
        <v>5205</v>
      </c>
    </row>
    <row r="12605" spans="1:2" x14ac:dyDescent="0.25">
      <c r="A12605">
        <v>30049079229</v>
      </c>
      <c r="B12605" t="s">
        <v>5206</v>
      </c>
    </row>
    <row r="12606" spans="1:2" x14ac:dyDescent="0.25">
      <c r="A12606">
        <v>3004907923</v>
      </c>
      <c r="B12606" t="s">
        <v>5207</v>
      </c>
    </row>
    <row r="12607" spans="1:2" x14ac:dyDescent="0.25">
      <c r="A12607">
        <v>30049079231</v>
      </c>
      <c r="B12607" t="s">
        <v>5208</v>
      </c>
    </row>
    <row r="12608" spans="1:2" x14ac:dyDescent="0.25">
      <c r="A12608">
        <v>30049079232</v>
      </c>
      <c r="B12608" t="s">
        <v>5209</v>
      </c>
    </row>
    <row r="12609" spans="1:2" x14ac:dyDescent="0.25">
      <c r="A12609">
        <v>30049079233</v>
      </c>
      <c r="B12609" t="s">
        <v>5210</v>
      </c>
    </row>
    <row r="12610" spans="1:2" x14ac:dyDescent="0.25">
      <c r="A12610">
        <v>30049079234</v>
      </c>
      <c r="B12610" t="s">
        <v>5211</v>
      </c>
    </row>
    <row r="12611" spans="1:2" x14ac:dyDescent="0.25">
      <c r="A12611">
        <v>30049079235</v>
      </c>
      <c r="B12611" t="s">
        <v>5212</v>
      </c>
    </row>
    <row r="12612" spans="1:2" x14ac:dyDescent="0.25">
      <c r="A12612">
        <v>30049079236</v>
      </c>
      <c r="B12612" t="s">
        <v>5213</v>
      </c>
    </row>
    <row r="12613" spans="1:2" x14ac:dyDescent="0.25">
      <c r="A12613">
        <v>30049079237</v>
      </c>
      <c r="B12613" t="s">
        <v>5214</v>
      </c>
    </row>
    <row r="12614" spans="1:2" x14ac:dyDescent="0.25">
      <c r="A12614">
        <v>30049079238</v>
      </c>
      <c r="B12614" t="s">
        <v>5215</v>
      </c>
    </row>
    <row r="12615" spans="1:2" x14ac:dyDescent="0.25">
      <c r="A12615">
        <v>30049079239</v>
      </c>
      <c r="B12615" t="s">
        <v>5216</v>
      </c>
    </row>
    <row r="12616" spans="1:2" x14ac:dyDescent="0.25">
      <c r="A12616">
        <v>3004907924</v>
      </c>
      <c r="B12616" t="s">
        <v>5217</v>
      </c>
    </row>
    <row r="12617" spans="1:2" x14ac:dyDescent="0.25">
      <c r="A12617">
        <v>30049079241</v>
      </c>
      <c r="B12617" t="s">
        <v>5218</v>
      </c>
    </row>
    <row r="12618" spans="1:2" x14ac:dyDescent="0.25">
      <c r="A12618">
        <v>30049079242</v>
      </c>
      <c r="B12618" t="s">
        <v>5219</v>
      </c>
    </row>
    <row r="12619" spans="1:2" x14ac:dyDescent="0.25">
      <c r="A12619">
        <v>30049079243</v>
      </c>
      <c r="B12619" t="s">
        <v>5220</v>
      </c>
    </row>
    <row r="12620" spans="1:2" x14ac:dyDescent="0.25">
      <c r="A12620">
        <v>30049079244</v>
      </c>
      <c r="B12620" t="s">
        <v>5221</v>
      </c>
    </row>
    <row r="12621" spans="1:2" x14ac:dyDescent="0.25">
      <c r="A12621">
        <v>30049079245</v>
      </c>
      <c r="B12621" t="s">
        <v>4181</v>
      </c>
    </row>
    <row r="12622" spans="1:2" x14ac:dyDescent="0.25">
      <c r="A12622">
        <v>30049079246</v>
      </c>
      <c r="B12622" t="s">
        <v>5222</v>
      </c>
    </row>
    <row r="12623" spans="1:2" x14ac:dyDescent="0.25">
      <c r="A12623">
        <v>30049079248</v>
      </c>
      <c r="B12623" t="s">
        <v>5223</v>
      </c>
    </row>
    <row r="12624" spans="1:2" x14ac:dyDescent="0.25">
      <c r="A12624">
        <v>30049079249</v>
      </c>
      <c r="B12624" t="s">
        <v>5224</v>
      </c>
    </row>
    <row r="12625" spans="1:2" x14ac:dyDescent="0.25">
      <c r="A12625">
        <v>3004907925</v>
      </c>
      <c r="B12625" t="s">
        <v>5379</v>
      </c>
    </row>
    <row r="12626" spans="1:2" x14ac:dyDescent="0.25">
      <c r="A12626">
        <v>30049079251</v>
      </c>
      <c r="B12626" t="s">
        <v>5226</v>
      </c>
    </row>
    <row r="12627" spans="1:2" x14ac:dyDescent="0.25">
      <c r="A12627">
        <v>30049079252</v>
      </c>
      <c r="B12627" t="s">
        <v>5227</v>
      </c>
    </row>
    <row r="12628" spans="1:2" x14ac:dyDescent="0.25">
      <c r="A12628">
        <v>30049079253</v>
      </c>
      <c r="B12628" t="s">
        <v>4195</v>
      </c>
    </row>
    <row r="12629" spans="1:2" x14ac:dyDescent="0.25">
      <c r="A12629">
        <v>30049079254</v>
      </c>
      <c r="B12629" t="s">
        <v>5228</v>
      </c>
    </row>
    <row r="12630" spans="1:2" x14ac:dyDescent="0.25">
      <c r="A12630">
        <v>30049079255</v>
      </c>
      <c r="B12630" t="s">
        <v>5229</v>
      </c>
    </row>
    <row r="12631" spans="1:2" x14ac:dyDescent="0.25">
      <c r="A12631">
        <v>30049079256</v>
      </c>
      <c r="B12631" t="s">
        <v>5230</v>
      </c>
    </row>
    <row r="12632" spans="1:2" x14ac:dyDescent="0.25">
      <c r="A12632">
        <v>30049079257</v>
      </c>
      <c r="B12632" t="s">
        <v>5231</v>
      </c>
    </row>
    <row r="12633" spans="1:2" x14ac:dyDescent="0.25">
      <c r="A12633">
        <v>30049079258</v>
      </c>
      <c r="B12633" t="s">
        <v>5232</v>
      </c>
    </row>
    <row r="12634" spans="1:2" x14ac:dyDescent="0.25">
      <c r="A12634">
        <v>30049079259</v>
      </c>
      <c r="B12634" t="s">
        <v>5233</v>
      </c>
    </row>
    <row r="12635" spans="1:2" x14ac:dyDescent="0.25">
      <c r="A12635">
        <v>30049079260</v>
      </c>
      <c r="B12635" t="s">
        <v>5234</v>
      </c>
    </row>
    <row r="12636" spans="1:2" x14ac:dyDescent="0.25">
      <c r="A12636">
        <v>30049079290</v>
      </c>
      <c r="B12636" t="s">
        <v>10</v>
      </c>
    </row>
    <row r="12637" spans="1:2" x14ac:dyDescent="0.25">
      <c r="A12637">
        <v>300490793</v>
      </c>
      <c r="B12637" t="s">
        <v>4785</v>
      </c>
    </row>
    <row r="12638" spans="1:2" x14ac:dyDescent="0.25">
      <c r="A12638">
        <v>30049079310</v>
      </c>
      <c r="B12638" t="s">
        <v>5236</v>
      </c>
    </row>
    <row r="12639" spans="1:2" x14ac:dyDescent="0.25">
      <c r="A12639">
        <v>30049079320</v>
      </c>
      <c r="B12639" t="s">
        <v>5237</v>
      </c>
    </row>
    <row r="12640" spans="1:2" x14ac:dyDescent="0.25">
      <c r="A12640">
        <v>30049079330</v>
      </c>
      <c r="B12640" t="s">
        <v>5238</v>
      </c>
    </row>
    <row r="12641" spans="1:2" x14ac:dyDescent="0.25">
      <c r="A12641">
        <v>30049079390</v>
      </c>
      <c r="B12641" t="s">
        <v>10</v>
      </c>
    </row>
    <row r="12642" spans="1:2" x14ac:dyDescent="0.25">
      <c r="A12642">
        <v>300490794</v>
      </c>
      <c r="B12642" t="s">
        <v>4791</v>
      </c>
    </row>
    <row r="12643" spans="1:2" x14ac:dyDescent="0.25">
      <c r="A12643">
        <v>3004907941</v>
      </c>
      <c r="B12643" t="s">
        <v>5240</v>
      </c>
    </row>
    <row r="12644" spans="1:2" x14ac:dyDescent="0.25">
      <c r="A12644">
        <v>30049079411</v>
      </c>
      <c r="B12644" t="s">
        <v>5241</v>
      </c>
    </row>
    <row r="12645" spans="1:2" x14ac:dyDescent="0.25">
      <c r="A12645">
        <v>30049079412</v>
      </c>
      <c r="B12645" t="s">
        <v>5242</v>
      </c>
    </row>
    <row r="12646" spans="1:2" x14ac:dyDescent="0.25">
      <c r="A12646">
        <v>30049079413</v>
      </c>
      <c r="B12646" t="s">
        <v>5243</v>
      </c>
    </row>
    <row r="12647" spans="1:2" x14ac:dyDescent="0.25">
      <c r="A12647">
        <v>30049079414</v>
      </c>
      <c r="B12647" t="s">
        <v>5244</v>
      </c>
    </row>
    <row r="12648" spans="1:2" x14ac:dyDescent="0.25">
      <c r="A12648">
        <v>30049079415</v>
      </c>
      <c r="B12648" t="s">
        <v>5245</v>
      </c>
    </row>
    <row r="12649" spans="1:2" x14ac:dyDescent="0.25">
      <c r="A12649">
        <v>30049079416</v>
      </c>
      <c r="B12649" t="s">
        <v>4183</v>
      </c>
    </row>
    <row r="12650" spans="1:2" x14ac:dyDescent="0.25">
      <c r="A12650">
        <v>30049079417</v>
      </c>
      <c r="B12650" t="s">
        <v>5246</v>
      </c>
    </row>
    <row r="12651" spans="1:2" x14ac:dyDescent="0.25">
      <c r="A12651">
        <v>30049079418</v>
      </c>
      <c r="B12651" t="s">
        <v>5247</v>
      </c>
    </row>
    <row r="12652" spans="1:2" x14ac:dyDescent="0.25">
      <c r="A12652">
        <v>30049079419</v>
      </c>
      <c r="B12652" t="s">
        <v>5248</v>
      </c>
    </row>
    <row r="12653" spans="1:2" x14ac:dyDescent="0.25">
      <c r="A12653">
        <v>3004907942</v>
      </c>
      <c r="B12653" t="s">
        <v>5249</v>
      </c>
    </row>
    <row r="12654" spans="1:2" x14ac:dyDescent="0.25">
      <c r="A12654">
        <v>30049079421</v>
      </c>
      <c r="B12654" t="s">
        <v>5250</v>
      </c>
    </row>
    <row r="12655" spans="1:2" x14ac:dyDescent="0.25">
      <c r="A12655">
        <v>30049079422</v>
      </c>
      <c r="B12655" t="s">
        <v>5251</v>
      </c>
    </row>
    <row r="12656" spans="1:2" x14ac:dyDescent="0.25">
      <c r="A12656">
        <v>30049079490</v>
      </c>
      <c r="B12656" t="s">
        <v>10</v>
      </c>
    </row>
    <row r="12657" spans="1:2" x14ac:dyDescent="0.25">
      <c r="A12657">
        <v>300490799</v>
      </c>
      <c r="B12657" t="s">
        <v>10</v>
      </c>
    </row>
    <row r="12658" spans="1:2" x14ac:dyDescent="0.25">
      <c r="A12658">
        <v>30049079920</v>
      </c>
      <c r="B12658" t="s">
        <v>5252</v>
      </c>
    </row>
    <row r="12659" spans="1:2" x14ac:dyDescent="0.25">
      <c r="A12659">
        <v>30049079930</v>
      </c>
      <c r="B12659" t="s">
        <v>4255</v>
      </c>
    </row>
    <row r="12660" spans="1:2" x14ac:dyDescent="0.25">
      <c r="A12660">
        <v>30049079940</v>
      </c>
      <c r="B12660" t="s">
        <v>5253</v>
      </c>
    </row>
    <row r="12661" spans="1:2" x14ac:dyDescent="0.25">
      <c r="A12661">
        <v>30049079950</v>
      </c>
      <c r="B12661" t="s">
        <v>5254</v>
      </c>
    </row>
    <row r="12662" spans="1:2" x14ac:dyDescent="0.25">
      <c r="A12662">
        <v>30049079960</v>
      </c>
      <c r="B12662" t="s">
        <v>5255</v>
      </c>
    </row>
    <row r="12663" spans="1:2" x14ac:dyDescent="0.25">
      <c r="A12663">
        <v>30049079970</v>
      </c>
      <c r="B12663" t="s">
        <v>5380</v>
      </c>
    </row>
    <row r="12664" spans="1:2" x14ac:dyDescent="0.25">
      <c r="A12664">
        <v>30049079980</v>
      </c>
      <c r="B12664" t="s">
        <v>5381</v>
      </c>
    </row>
    <row r="12665" spans="1:2" x14ac:dyDescent="0.25">
      <c r="A12665">
        <v>30049079990</v>
      </c>
      <c r="B12665" t="s">
        <v>10</v>
      </c>
    </row>
    <row r="12666" spans="1:2" x14ac:dyDescent="0.25">
      <c r="A12666">
        <v>3004909</v>
      </c>
      <c r="B12666" t="s">
        <v>10</v>
      </c>
    </row>
    <row r="12667" spans="1:2" x14ac:dyDescent="0.25">
      <c r="A12667">
        <v>30049091000</v>
      </c>
      <c r="B12667" t="s">
        <v>5257</v>
      </c>
    </row>
    <row r="12668" spans="1:2" x14ac:dyDescent="0.25">
      <c r="A12668">
        <v>30049092</v>
      </c>
      <c r="B12668" t="s">
        <v>5258</v>
      </c>
    </row>
    <row r="12669" spans="1:2" x14ac:dyDescent="0.25">
      <c r="A12669">
        <v>30049092100</v>
      </c>
      <c r="B12669" t="s">
        <v>2805</v>
      </c>
    </row>
    <row r="12670" spans="1:2" x14ac:dyDescent="0.25">
      <c r="A12670">
        <v>30049092200</v>
      </c>
      <c r="B12670" t="s">
        <v>5259</v>
      </c>
    </row>
    <row r="12671" spans="1:2" x14ac:dyDescent="0.25">
      <c r="A12671">
        <v>30049093000</v>
      </c>
      <c r="B12671" t="s">
        <v>5260</v>
      </c>
    </row>
    <row r="12672" spans="1:2" x14ac:dyDescent="0.25">
      <c r="A12672">
        <v>30049094000</v>
      </c>
      <c r="B12672" t="s">
        <v>1175</v>
      </c>
    </row>
    <row r="12673" spans="1:2" x14ac:dyDescent="0.25">
      <c r="A12673">
        <v>30049095</v>
      </c>
      <c r="B12673" t="s">
        <v>5261</v>
      </c>
    </row>
    <row r="12674" spans="1:2" x14ac:dyDescent="0.25">
      <c r="A12674">
        <v>30049095100</v>
      </c>
      <c r="B12674" t="s">
        <v>5262</v>
      </c>
    </row>
    <row r="12675" spans="1:2" x14ac:dyDescent="0.25">
      <c r="A12675">
        <v>30049095200</v>
      </c>
      <c r="B12675" t="s">
        <v>5263</v>
      </c>
    </row>
    <row r="12676" spans="1:2" x14ac:dyDescent="0.25">
      <c r="A12676">
        <v>30049095300</v>
      </c>
      <c r="B12676" t="s">
        <v>5264</v>
      </c>
    </row>
    <row r="12677" spans="1:2" x14ac:dyDescent="0.25">
      <c r="A12677">
        <v>30049095400</v>
      </c>
      <c r="B12677" t="s">
        <v>5382</v>
      </c>
    </row>
    <row r="12678" spans="1:2" x14ac:dyDescent="0.25">
      <c r="A12678">
        <v>300490955</v>
      </c>
      <c r="B12678" t="s">
        <v>5266</v>
      </c>
    </row>
    <row r="12679" spans="1:2" x14ac:dyDescent="0.25">
      <c r="A12679">
        <v>30049095510</v>
      </c>
      <c r="B12679" t="s">
        <v>2775</v>
      </c>
    </row>
    <row r="12680" spans="1:2" x14ac:dyDescent="0.25">
      <c r="A12680">
        <v>30049095590</v>
      </c>
      <c r="B12680" t="s">
        <v>5267</v>
      </c>
    </row>
    <row r="12681" spans="1:2" x14ac:dyDescent="0.25">
      <c r="A12681">
        <v>300490956</v>
      </c>
      <c r="B12681" t="s">
        <v>5268</v>
      </c>
    </row>
    <row r="12682" spans="1:2" x14ac:dyDescent="0.25">
      <c r="A12682">
        <v>30049095610</v>
      </c>
      <c r="B12682" t="s">
        <v>5269</v>
      </c>
    </row>
    <row r="12683" spans="1:2" x14ac:dyDescent="0.25">
      <c r="A12683">
        <v>30049095620</v>
      </c>
      <c r="B12683" t="s">
        <v>5270</v>
      </c>
    </row>
    <row r="12684" spans="1:2" x14ac:dyDescent="0.25">
      <c r="A12684">
        <v>30049096000</v>
      </c>
      <c r="B12684" t="s">
        <v>5271</v>
      </c>
    </row>
    <row r="12685" spans="1:2" x14ac:dyDescent="0.25">
      <c r="A12685">
        <v>30049097000</v>
      </c>
      <c r="B12685" t="s">
        <v>2812</v>
      </c>
    </row>
    <row r="12686" spans="1:2" x14ac:dyDescent="0.25">
      <c r="A12686">
        <v>30049099</v>
      </c>
      <c r="B12686" t="s">
        <v>10</v>
      </c>
    </row>
    <row r="12687" spans="1:2" x14ac:dyDescent="0.25">
      <c r="A12687">
        <v>300490991</v>
      </c>
      <c r="B12687" t="s">
        <v>5383</v>
      </c>
    </row>
    <row r="12688" spans="1:2" x14ac:dyDescent="0.25">
      <c r="A12688">
        <v>3004909911</v>
      </c>
      <c r="B12688" t="s">
        <v>5272</v>
      </c>
    </row>
    <row r="12689" spans="1:2" x14ac:dyDescent="0.25">
      <c r="A12689">
        <v>30049099111</v>
      </c>
      <c r="B12689" t="s">
        <v>5273</v>
      </c>
    </row>
    <row r="12690" spans="1:2" x14ac:dyDescent="0.25">
      <c r="A12690">
        <v>30049099112</v>
      </c>
      <c r="B12690" t="s">
        <v>5274</v>
      </c>
    </row>
    <row r="12691" spans="1:2" x14ac:dyDescent="0.25">
      <c r="A12691">
        <v>30049099113</v>
      </c>
      <c r="B12691" t="s">
        <v>5275</v>
      </c>
    </row>
    <row r="12692" spans="1:2" x14ac:dyDescent="0.25">
      <c r="A12692">
        <v>30049099114</v>
      </c>
      <c r="B12692" t="s">
        <v>5276</v>
      </c>
    </row>
    <row r="12693" spans="1:2" x14ac:dyDescent="0.25">
      <c r="A12693">
        <v>30049099115</v>
      </c>
      <c r="B12693" t="s">
        <v>5277</v>
      </c>
    </row>
    <row r="12694" spans="1:2" x14ac:dyDescent="0.25">
      <c r="A12694">
        <v>30049099116</v>
      </c>
      <c r="B12694" t="s">
        <v>5278</v>
      </c>
    </row>
    <row r="12695" spans="1:2" x14ac:dyDescent="0.25">
      <c r="A12695">
        <v>30049099117</v>
      </c>
      <c r="B12695" t="s">
        <v>5279</v>
      </c>
    </row>
    <row r="12696" spans="1:2" x14ac:dyDescent="0.25">
      <c r="A12696">
        <v>30049099118</v>
      </c>
      <c r="B12696" t="s">
        <v>5280</v>
      </c>
    </row>
    <row r="12697" spans="1:2" x14ac:dyDescent="0.25">
      <c r="A12697">
        <v>30049099119</v>
      </c>
      <c r="B12697" t="s">
        <v>5281</v>
      </c>
    </row>
    <row r="12698" spans="1:2" x14ac:dyDescent="0.25">
      <c r="A12698">
        <v>30049099190</v>
      </c>
      <c r="B12698" t="s">
        <v>10</v>
      </c>
    </row>
    <row r="12699" spans="1:2" x14ac:dyDescent="0.25">
      <c r="A12699">
        <v>300490992</v>
      </c>
      <c r="B12699" t="s">
        <v>4929</v>
      </c>
    </row>
    <row r="12700" spans="1:2" x14ac:dyDescent="0.25">
      <c r="A12700">
        <v>30049099210</v>
      </c>
      <c r="B12700" t="s">
        <v>3913</v>
      </c>
    </row>
    <row r="12701" spans="1:2" x14ac:dyDescent="0.25">
      <c r="A12701">
        <v>30049099290</v>
      </c>
      <c r="B12701" t="s">
        <v>3914</v>
      </c>
    </row>
    <row r="12702" spans="1:2" x14ac:dyDescent="0.25">
      <c r="A12702">
        <v>300490993</v>
      </c>
      <c r="B12702" t="s">
        <v>5283</v>
      </c>
    </row>
    <row r="12703" spans="1:2" x14ac:dyDescent="0.25">
      <c r="A12703">
        <v>30049099310</v>
      </c>
      <c r="B12703" t="s">
        <v>2775</v>
      </c>
    </row>
    <row r="12704" spans="1:2" x14ac:dyDescent="0.25">
      <c r="A12704">
        <v>30049099390</v>
      </c>
      <c r="B12704" t="s">
        <v>2776</v>
      </c>
    </row>
    <row r="12705" spans="1:2" x14ac:dyDescent="0.25">
      <c r="A12705">
        <v>300490994</v>
      </c>
      <c r="B12705" t="s">
        <v>5284</v>
      </c>
    </row>
    <row r="12706" spans="1:2" x14ac:dyDescent="0.25">
      <c r="A12706">
        <v>30049099410</v>
      </c>
      <c r="B12706" t="s">
        <v>5285</v>
      </c>
    </row>
    <row r="12707" spans="1:2" x14ac:dyDescent="0.25">
      <c r="A12707">
        <v>30049099490</v>
      </c>
      <c r="B12707" t="s">
        <v>1760</v>
      </c>
    </row>
    <row r="12708" spans="1:2" x14ac:dyDescent="0.25">
      <c r="A12708">
        <v>30049099500</v>
      </c>
      <c r="B12708" t="s">
        <v>5384</v>
      </c>
    </row>
    <row r="12709" spans="1:2" x14ac:dyDescent="0.25">
      <c r="A12709">
        <v>300490996</v>
      </c>
      <c r="B12709" t="s">
        <v>5385</v>
      </c>
    </row>
    <row r="12710" spans="1:2" x14ac:dyDescent="0.25">
      <c r="A12710">
        <v>3004909961</v>
      </c>
      <c r="B12710" t="s">
        <v>5386</v>
      </c>
    </row>
    <row r="12711" spans="1:2" x14ac:dyDescent="0.25">
      <c r="A12711">
        <v>30049099611</v>
      </c>
      <c r="B12711" t="s">
        <v>5387</v>
      </c>
    </row>
    <row r="12712" spans="1:2" x14ac:dyDescent="0.25">
      <c r="A12712">
        <v>30049099612</v>
      </c>
      <c r="B12712" t="s">
        <v>5388</v>
      </c>
    </row>
    <row r="12713" spans="1:2" x14ac:dyDescent="0.25">
      <c r="A12713">
        <v>3004909962</v>
      </c>
      <c r="B12713" t="s">
        <v>5389</v>
      </c>
    </row>
    <row r="12714" spans="1:2" x14ac:dyDescent="0.25">
      <c r="A12714">
        <v>30049099621</v>
      </c>
      <c r="B12714" t="s">
        <v>5387</v>
      </c>
    </row>
    <row r="12715" spans="1:2" x14ac:dyDescent="0.25">
      <c r="A12715">
        <v>30049099622</v>
      </c>
      <c r="B12715" t="s">
        <v>5388</v>
      </c>
    </row>
    <row r="12716" spans="1:2" x14ac:dyDescent="0.25">
      <c r="A12716">
        <v>3004909969</v>
      </c>
      <c r="B12716" t="s">
        <v>57</v>
      </c>
    </row>
    <row r="12717" spans="1:2" x14ac:dyDescent="0.25">
      <c r="A12717">
        <v>30049099691</v>
      </c>
      <c r="B12717" t="s">
        <v>5387</v>
      </c>
    </row>
    <row r="12718" spans="1:2" x14ac:dyDescent="0.25">
      <c r="A12718">
        <v>30049099692</v>
      </c>
      <c r="B12718" t="s">
        <v>5388</v>
      </c>
    </row>
    <row r="12719" spans="1:2" x14ac:dyDescent="0.25">
      <c r="A12719">
        <v>30049099700</v>
      </c>
      <c r="B12719" t="s">
        <v>5390</v>
      </c>
    </row>
    <row r="12720" spans="1:2" x14ac:dyDescent="0.25">
      <c r="A12720">
        <v>30049099900</v>
      </c>
      <c r="B12720" t="s">
        <v>10</v>
      </c>
    </row>
    <row r="12721" spans="1:2" x14ac:dyDescent="0.25">
      <c r="A12721">
        <v>3005</v>
      </c>
      <c r="B12721" t="s">
        <v>5391</v>
      </c>
    </row>
    <row r="12722" spans="1:2" x14ac:dyDescent="0.25">
      <c r="A12722">
        <v>300510</v>
      </c>
      <c r="B12722" t="e">
        <f>- Apositos y demas articulos. Con una capa adhesiva</f>
        <v>#NAME?</v>
      </c>
    </row>
    <row r="12723" spans="1:2" x14ac:dyDescent="0.25">
      <c r="A12723">
        <v>30051010000</v>
      </c>
      <c r="B12723" t="s">
        <v>5392</v>
      </c>
    </row>
    <row r="12724" spans="1:2" x14ac:dyDescent="0.25">
      <c r="A12724">
        <v>30051020000</v>
      </c>
      <c r="B12724" t="s">
        <v>5393</v>
      </c>
    </row>
    <row r="12725" spans="1:2" x14ac:dyDescent="0.25">
      <c r="A12725">
        <v>30051030000</v>
      </c>
      <c r="B12725" t="s">
        <v>5394</v>
      </c>
    </row>
    <row r="12726" spans="1:2" x14ac:dyDescent="0.25">
      <c r="A12726">
        <v>30051040000</v>
      </c>
      <c r="B12726" t="s">
        <v>5395</v>
      </c>
    </row>
    <row r="12727" spans="1:2" x14ac:dyDescent="0.25">
      <c r="A12727">
        <v>30051050000</v>
      </c>
      <c r="B12727" t="s">
        <v>5396</v>
      </c>
    </row>
    <row r="12728" spans="1:2" x14ac:dyDescent="0.25">
      <c r="A12728">
        <v>30051090000</v>
      </c>
      <c r="B12728" t="s">
        <v>10</v>
      </c>
    </row>
    <row r="12729" spans="1:2" x14ac:dyDescent="0.25">
      <c r="A12729">
        <v>300590</v>
      </c>
      <c r="B12729" t="e">
        <f>- Los demas</f>
        <v>#NAME?</v>
      </c>
    </row>
    <row r="12730" spans="1:2" x14ac:dyDescent="0.25">
      <c r="A12730">
        <v>3005901</v>
      </c>
      <c r="B12730" t="s">
        <v>5397</v>
      </c>
    </row>
    <row r="12731" spans="1:2" x14ac:dyDescent="0.25">
      <c r="A12731">
        <v>30059011000</v>
      </c>
      <c r="B12731" t="s">
        <v>5398</v>
      </c>
    </row>
    <row r="12732" spans="1:2" x14ac:dyDescent="0.25">
      <c r="A12732">
        <v>30059012000</v>
      </c>
      <c r="B12732" t="s">
        <v>5399</v>
      </c>
    </row>
    <row r="12733" spans="1:2" x14ac:dyDescent="0.25">
      <c r="A12733">
        <v>30059019000</v>
      </c>
      <c r="B12733" t="s">
        <v>10</v>
      </c>
    </row>
    <row r="12734" spans="1:2" x14ac:dyDescent="0.25">
      <c r="A12734">
        <v>30059020000</v>
      </c>
      <c r="B12734" t="s">
        <v>5400</v>
      </c>
    </row>
    <row r="12735" spans="1:2" x14ac:dyDescent="0.25">
      <c r="A12735">
        <v>30059090</v>
      </c>
      <c r="B12735" t="s">
        <v>10</v>
      </c>
    </row>
    <row r="12736" spans="1:2" x14ac:dyDescent="0.25">
      <c r="A12736">
        <v>30059090100</v>
      </c>
      <c r="B12736" t="s">
        <v>5401</v>
      </c>
    </row>
    <row r="12737" spans="1:2" x14ac:dyDescent="0.25">
      <c r="A12737">
        <v>300590902</v>
      </c>
      <c r="B12737" t="s">
        <v>5402</v>
      </c>
    </row>
    <row r="12738" spans="1:2" x14ac:dyDescent="0.25">
      <c r="A12738">
        <v>3005909021</v>
      </c>
      <c r="B12738" t="s">
        <v>5403</v>
      </c>
    </row>
    <row r="12739" spans="1:2" x14ac:dyDescent="0.25">
      <c r="A12739">
        <v>30059090211</v>
      </c>
      <c r="B12739" t="s">
        <v>5404</v>
      </c>
    </row>
    <row r="12740" spans="1:2" x14ac:dyDescent="0.25">
      <c r="A12740">
        <v>30059090212</v>
      </c>
      <c r="B12740" t="s">
        <v>5405</v>
      </c>
    </row>
    <row r="12741" spans="1:2" x14ac:dyDescent="0.25">
      <c r="A12741">
        <v>3005909022</v>
      </c>
      <c r="B12741" t="s">
        <v>5406</v>
      </c>
    </row>
    <row r="12742" spans="1:2" x14ac:dyDescent="0.25">
      <c r="A12742">
        <v>30059090221</v>
      </c>
      <c r="B12742" t="s">
        <v>5404</v>
      </c>
    </row>
    <row r="12743" spans="1:2" x14ac:dyDescent="0.25">
      <c r="A12743">
        <v>30059090222</v>
      </c>
      <c r="B12743" t="s">
        <v>5405</v>
      </c>
    </row>
    <row r="12744" spans="1:2" x14ac:dyDescent="0.25">
      <c r="A12744">
        <v>30059090290</v>
      </c>
      <c r="B12744" t="s">
        <v>10</v>
      </c>
    </row>
    <row r="12745" spans="1:2" x14ac:dyDescent="0.25">
      <c r="A12745">
        <v>30059090300</v>
      </c>
      <c r="B12745" t="s">
        <v>5407</v>
      </c>
    </row>
    <row r="12746" spans="1:2" x14ac:dyDescent="0.25">
      <c r="A12746">
        <v>30059090900</v>
      </c>
      <c r="B12746" t="s">
        <v>10</v>
      </c>
    </row>
    <row r="12747" spans="1:2" x14ac:dyDescent="0.25">
      <c r="A12747">
        <v>3006</v>
      </c>
      <c r="B12747" t="s">
        <v>5408</v>
      </c>
    </row>
    <row r="12748" spans="1:2" x14ac:dyDescent="0.25">
      <c r="A12748">
        <v>300610</v>
      </c>
      <c r="B12748" t="e">
        <f>- Catguts esteriles yligaduras esteriles similares. para suturas quirurgicas (incluidos Los hilos reabsorbibles esteriles para cirugia u odontologia) y Los adhesivos esteriles para tejidos organicos utilizados En cirugia para cerrar heridas, laminarias esteriles, hemostaticos reabsorbibles esteriles para cirugia u odontologia, barreras antiadherencias esteriles. para cirugia u odontologia. incluso reabsorbibles</f>
        <v>#NAME?</v>
      </c>
    </row>
    <row r="12749" spans="1:2" x14ac:dyDescent="0.25">
      <c r="A12749">
        <v>30061010000</v>
      </c>
      <c r="B12749" t="s">
        <v>5409</v>
      </c>
    </row>
    <row r="12750" spans="1:2" x14ac:dyDescent="0.25">
      <c r="A12750">
        <v>30061020000</v>
      </c>
      <c r="B12750" t="s">
        <v>5410</v>
      </c>
    </row>
    <row r="12751" spans="1:2" x14ac:dyDescent="0.25">
      <c r="A12751">
        <v>30061090</v>
      </c>
      <c r="B12751" t="s">
        <v>10</v>
      </c>
    </row>
    <row r="12752" spans="1:2" x14ac:dyDescent="0.25">
      <c r="A12752">
        <v>300610901</v>
      </c>
      <c r="B12752" t="s">
        <v>5411</v>
      </c>
    </row>
    <row r="12753" spans="1:2" x14ac:dyDescent="0.25">
      <c r="A12753">
        <v>30061090110</v>
      </c>
      <c r="B12753" t="s">
        <v>5412</v>
      </c>
    </row>
    <row r="12754" spans="1:2" x14ac:dyDescent="0.25">
      <c r="A12754">
        <v>30061090120</v>
      </c>
      <c r="B12754" t="s">
        <v>5413</v>
      </c>
    </row>
    <row r="12755" spans="1:2" x14ac:dyDescent="0.25">
      <c r="A12755">
        <v>30061090130</v>
      </c>
      <c r="B12755" t="s">
        <v>5414</v>
      </c>
    </row>
    <row r="12756" spans="1:2" x14ac:dyDescent="0.25">
      <c r="A12756">
        <v>30061090140</v>
      </c>
      <c r="B12756" t="s">
        <v>5415</v>
      </c>
    </row>
    <row r="12757" spans="1:2" x14ac:dyDescent="0.25">
      <c r="A12757">
        <v>30061090190</v>
      </c>
      <c r="B12757" t="s">
        <v>57</v>
      </c>
    </row>
    <row r="12758" spans="1:2" x14ac:dyDescent="0.25">
      <c r="A12758">
        <v>300610902</v>
      </c>
      <c r="B12758" t="s">
        <v>5416</v>
      </c>
    </row>
    <row r="12759" spans="1:2" x14ac:dyDescent="0.25">
      <c r="A12759">
        <v>30061090210</v>
      </c>
      <c r="B12759" t="s">
        <v>5417</v>
      </c>
    </row>
    <row r="12760" spans="1:2" x14ac:dyDescent="0.25">
      <c r="A12760">
        <v>30061090290</v>
      </c>
      <c r="B12760" t="s">
        <v>10</v>
      </c>
    </row>
    <row r="12761" spans="1:2" x14ac:dyDescent="0.25">
      <c r="A12761">
        <v>30061090300</v>
      </c>
      <c r="B12761" t="s">
        <v>5418</v>
      </c>
    </row>
    <row r="12762" spans="1:2" x14ac:dyDescent="0.25">
      <c r="A12762">
        <v>30061090400</v>
      </c>
      <c r="B12762" t="s">
        <v>5419</v>
      </c>
    </row>
    <row r="12763" spans="1:2" x14ac:dyDescent="0.25">
      <c r="A12763">
        <v>30061090500</v>
      </c>
      <c r="B12763" t="s">
        <v>5420</v>
      </c>
    </row>
    <row r="12764" spans="1:2" x14ac:dyDescent="0.25">
      <c r="A12764">
        <v>30062000</v>
      </c>
      <c r="B12764" t="e">
        <f>- Reactivos para la determinacion de Los grupos o de Los factores sanguineos</f>
        <v>#NAME?</v>
      </c>
    </row>
    <row r="12765" spans="1:2" x14ac:dyDescent="0.25">
      <c r="A12765">
        <v>30062000100</v>
      </c>
      <c r="B12765" t="s">
        <v>2399</v>
      </c>
    </row>
    <row r="12766" spans="1:2" x14ac:dyDescent="0.25">
      <c r="A12766">
        <v>30062000900</v>
      </c>
      <c r="B12766" t="s">
        <v>10</v>
      </c>
    </row>
    <row r="12767" spans="1:2" x14ac:dyDescent="0.25">
      <c r="A12767">
        <v>300630</v>
      </c>
      <c r="B12767" t="e">
        <f>- Preparaciones opacificantes para examenes radiologicos, Reactivos de diagnostico concebidos para usar En el paciente</f>
        <v>#NAME?</v>
      </c>
    </row>
    <row r="12768" spans="1:2" x14ac:dyDescent="0.25">
      <c r="A12768">
        <v>3006301</v>
      </c>
      <c r="B12768" t="s">
        <v>5421</v>
      </c>
    </row>
    <row r="12769" spans="1:2" x14ac:dyDescent="0.25">
      <c r="A12769">
        <v>30063011000</v>
      </c>
      <c r="B12769" t="s">
        <v>5422</v>
      </c>
    </row>
    <row r="12770" spans="1:2" x14ac:dyDescent="0.25">
      <c r="A12770">
        <v>30063012000</v>
      </c>
      <c r="B12770" t="s">
        <v>5423</v>
      </c>
    </row>
    <row r="12771" spans="1:2" x14ac:dyDescent="0.25">
      <c r="A12771">
        <v>30063013000</v>
      </c>
      <c r="B12771" t="s">
        <v>5424</v>
      </c>
    </row>
    <row r="12772" spans="1:2" x14ac:dyDescent="0.25">
      <c r="A12772">
        <v>30063015000</v>
      </c>
      <c r="B12772" t="s">
        <v>5425</v>
      </c>
    </row>
    <row r="12773" spans="1:2" x14ac:dyDescent="0.25">
      <c r="A12773">
        <v>30063016000</v>
      </c>
      <c r="B12773" t="s">
        <v>5426</v>
      </c>
    </row>
    <row r="12774" spans="1:2" x14ac:dyDescent="0.25">
      <c r="A12774">
        <v>30063017000</v>
      </c>
      <c r="B12774" t="s">
        <v>5427</v>
      </c>
    </row>
    <row r="12775" spans="1:2" x14ac:dyDescent="0.25">
      <c r="A12775">
        <v>30063018000</v>
      </c>
      <c r="B12775" t="s">
        <v>5428</v>
      </c>
    </row>
    <row r="12776" spans="1:2" x14ac:dyDescent="0.25">
      <c r="A12776">
        <v>30063019</v>
      </c>
      <c r="B12776" t="s">
        <v>57</v>
      </c>
    </row>
    <row r="12777" spans="1:2" x14ac:dyDescent="0.25">
      <c r="A12777">
        <v>30063019100</v>
      </c>
      <c r="B12777" t="s">
        <v>5429</v>
      </c>
    </row>
    <row r="12778" spans="1:2" x14ac:dyDescent="0.25">
      <c r="A12778">
        <v>30063019900</v>
      </c>
      <c r="B12778" t="s">
        <v>57</v>
      </c>
    </row>
    <row r="12779" spans="1:2" x14ac:dyDescent="0.25">
      <c r="A12779">
        <v>3006302</v>
      </c>
      <c r="B12779" t="s">
        <v>2413</v>
      </c>
    </row>
    <row r="12780" spans="1:2" x14ac:dyDescent="0.25">
      <c r="A12780">
        <v>30063021000</v>
      </c>
      <c r="B12780" t="s">
        <v>5430</v>
      </c>
    </row>
    <row r="12781" spans="1:2" x14ac:dyDescent="0.25">
      <c r="A12781">
        <v>30063029000</v>
      </c>
      <c r="B12781" t="s">
        <v>10</v>
      </c>
    </row>
    <row r="12782" spans="1:2" x14ac:dyDescent="0.25">
      <c r="A12782">
        <v>300640</v>
      </c>
      <c r="B12782" t="e">
        <f>- Cementos y demas Productos de obturacion dental, Cementos para la refeccion de Los huesos</f>
        <v>#NAME?</v>
      </c>
    </row>
    <row r="12783" spans="1:2" x14ac:dyDescent="0.25">
      <c r="A12783">
        <v>3006401</v>
      </c>
      <c r="B12783" t="s">
        <v>5431</v>
      </c>
    </row>
    <row r="12784" spans="1:2" x14ac:dyDescent="0.25">
      <c r="A12784">
        <v>30064011000</v>
      </c>
      <c r="B12784" t="s">
        <v>5432</v>
      </c>
    </row>
    <row r="12785" spans="1:2" x14ac:dyDescent="0.25">
      <c r="A12785">
        <v>30064012</v>
      </c>
      <c r="B12785" t="s">
        <v>5433</v>
      </c>
    </row>
    <row r="12786" spans="1:2" x14ac:dyDescent="0.25">
      <c r="A12786">
        <v>30064012100</v>
      </c>
      <c r="B12786" t="s">
        <v>5434</v>
      </c>
    </row>
    <row r="12787" spans="1:2" x14ac:dyDescent="0.25">
      <c r="A12787">
        <v>30064012200</v>
      </c>
      <c r="B12787" t="s">
        <v>5435</v>
      </c>
    </row>
    <row r="12788" spans="1:2" x14ac:dyDescent="0.25">
      <c r="A12788">
        <v>30064012900</v>
      </c>
      <c r="B12788" t="s">
        <v>10</v>
      </c>
    </row>
    <row r="12789" spans="1:2" x14ac:dyDescent="0.25">
      <c r="A12789">
        <v>30064020000</v>
      </c>
      <c r="B12789" t="s">
        <v>5436</v>
      </c>
    </row>
    <row r="12790" spans="1:2" x14ac:dyDescent="0.25">
      <c r="A12790">
        <v>30065000</v>
      </c>
      <c r="B12790" t="e">
        <f>- Botiquines equipados para primeros auxilios</f>
        <v>#NAME?</v>
      </c>
    </row>
    <row r="12791" spans="1:2" x14ac:dyDescent="0.25">
      <c r="A12791">
        <v>30065000100</v>
      </c>
      <c r="B12791" t="s">
        <v>5437</v>
      </c>
    </row>
    <row r="12792" spans="1:2" x14ac:dyDescent="0.25">
      <c r="A12792">
        <v>30065000200</v>
      </c>
      <c r="B12792" t="s">
        <v>5438</v>
      </c>
    </row>
    <row r="12793" spans="1:2" x14ac:dyDescent="0.25">
      <c r="A12793">
        <v>30066000</v>
      </c>
      <c r="B12793" t="s">
        <v>5439</v>
      </c>
    </row>
    <row r="12794" spans="1:2" x14ac:dyDescent="0.25">
      <c r="A12794">
        <v>30066000100</v>
      </c>
      <c r="B12794" t="s">
        <v>5440</v>
      </c>
    </row>
    <row r="12795" spans="1:2" x14ac:dyDescent="0.25">
      <c r="A12795">
        <v>30066000200</v>
      </c>
      <c r="B12795" t="s">
        <v>5441</v>
      </c>
    </row>
    <row r="12796" spans="1:2" x14ac:dyDescent="0.25">
      <c r="A12796">
        <v>30066000900</v>
      </c>
      <c r="B12796" t="s">
        <v>10</v>
      </c>
    </row>
    <row r="12797" spans="1:2" x14ac:dyDescent="0.25">
      <c r="A12797">
        <v>30067000000</v>
      </c>
      <c r="B12797" t="e">
        <f>-Preparaciones En forma de gel. concebidas para ser utilizadas En medicina humana o veterinaria como lubricante para ciertas partes del cuerpo En operaciones quirurgicas o examenes medicos o como nexo entre el cuerpo y Los instrumentos medicos</f>
        <v>#NAME?</v>
      </c>
    </row>
    <row r="12798" spans="1:2" x14ac:dyDescent="0.25">
      <c r="A12798">
        <v>30069</v>
      </c>
      <c r="B12798" t="s">
        <v>28</v>
      </c>
    </row>
    <row r="12799" spans="1:2" x14ac:dyDescent="0.25">
      <c r="A12799">
        <v>300691</v>
      </c>
      <c r="B12799" t="e">
        <f>- - Dispositivos identificables para uso En estomas</f>
        <v>#NAME?</v>
      </c>
    </row>
    <row r="12800" spans="1:2" x14ac:dyDescent="0.25">
      <c r="A12800">
        <v>30069110</v>
      </c>
      <c r="B12800" t="s">
        <v>5442</v>
      </c>
    </row>
    <row r="12801" spans="1:2" x14ac:dyDescent="0.25">
      <c r="A12801">
        <v>30069110100</v>
      </c>
      <c r="B12801" t="s">
        <v>5443</v>
      </c>
    </row>
    <row r="12802" spans="1:2" x14ac:dyDescent="0.25">
      <c r="A12802">
        <v>30069110200</v>
      </c>
      <c r="B12802" t="s">
        <v>5444</v>
      </c>
    </row>
    <row r="12803" spans="1:2" x14ac:dyDescent="0.25">
      <c r="A12803">
        <v>30069110300</v>
      </c>
      <c r="B12803" t="s">
        <v>5445</v>
      </c>
    </row>
    <row r="12804" spans="1:2" x14ac:dyDescent="0.25">
      <c r="A12804">
        <v>30069190000</v>
      </c>
      <c r="B12804" t="s">
        <v>10</v>
      </c>
    </row>
    <row r="12805" spans="1:2" x14ac:dyDescent="0.25">
      <c r="A12805">
        <v>30069200000</v>
      </c>
      <c r="B12805" t="e">
        <f>--desechos farmaceuticos</f>
        <v>#NAME?</v>
      </c>
    </row>
    <row r="12806" spans="1:2" x14ac:dyDescent="0.25">
      <c r="A12806">
        <v>31010000000</v>
      </c>
      <c r="B12806" t="s">
        <v>5446</v>
      </c>
    </row>
    <row r="12807" spans="1:2" x14ac:dyDescent="0.25">
      <c r="A12807">
        <v>3102</v>
      </c>
      <c r="B12807" t="s">
        <v>5447</v>
      </c>
    </row>
    <row r="12808" spans="1:2" x14ac:dyDescent="0.25">
      <c r="A12808">
        <v>310210</v>
      </c>
      <c r="B12808" t="e">
        <f>- Urea. incluso En disolucion acuosa</f>
        <v>#NAME?</v>
      </c>
    </row>
    <row r="12809" spans="1:2" x14ac:dyDescent="0.25">
      <c r="A12809">
        <v>31021010000</v>
      </c>
      <c r="B12809" t="s">
        <v>5448</v>
      </c>
    </row>
    <row r="12810" spans="1:2" x14ac:dyDescent="0.25">
      <c r="A12810">
        <v>31021090</v>
      </c>
      <c r="B12810" t="s">
        <v>57</v>
      </c>
    </row>
    <row r="12811" spans="1:2" x14ac:dyDescent="0.25">
      <c r="A12811">
        <v>31021090100</v>
      </c>
      <c r="B12811" t="s">
        <v>2102</v>
      </c>
    </row>
    <row r="12812" spans="1:2" x14ac:dyDescent="0.25">
      <c r="A12812">
        <v>31021090900</v>
      </c>
      <c r="B12812" t="s">
        <v>57</v>
      </c>
    </row>
    <row r="12813" spans="1:2" x14ac:dyDescent="0.25">
      <c r="A12813">
        <v>31022</v>
      </c>
      <c r="B12813" t="s">
        <v>5449</v>
      </c>
    </row>
    <row r="12814" spans="1:2" x14ac:dyDescent="0.25">
      <c r="A12814">
        <v>31022100000</v>
      </c>
      <c r="B12814" t="e">
        <f>--Sulfato de amonio</f>
        <v>#NAME?</v>
      </c>
    </row>
    <row r="12815" spans="1:2" x14ac:dyDescent="0.25">
      <c r="A12815">
        <v>310229</v>
      </c>
      <c r="B12815" t="e">
        <f>- - las demas</f>
        <v>#NAME?</v>
      </c>
    </row>
    <row r="12816" spans="1:2" x14ac:dyDescent="0.25">
      <c r="A12816">
        <v>31022910000</v>
      </c>
      <c r="B12816" t="s">
        <v>5450</v>
      </c>
    </row>
    <row r="12817" spans="1:2" x14ac:dyDescent="0.25">
      <c r="A12817">
        <v>31022990000</v>
      </c>
      <c r="B12817" t="s">
        <v>57</v>
      </c>
    </row>
    <row r="12818" spans="1:2" x14ac:dyDescent="0.25">
      <c r="A12818">
        <v>31023000</v>
      </c>
      <c r="B12818" t="e">
        <f>- Nitrato de amonio. incluso En disolucion acuosa</f>
        <v>#NAME?</v>
      </c>
    </row>
    <row r="12819" spans="1:2" x14ac:dyDescent="0.25">
      <c r="A12819">
        <v>31023000100</v>
      </c>
      <c r="B12819" t="s">
        <v>5451</v>
      </c>
    </row>
    <row r="12820" spans="1:2" x14ac:dyDescent="0.25">
      <c r="A12820">
        <v>31023000200</v>
      </c>
      <c r="B12820" t="s">
        <v>2102</v>
      </c>
    </row>
    <row r="12821" spans="1:2" x14ac:dyDescent="0.25">
      <c r="A12821">
        <v>31023000900</v>
      </c>
      <c r="B12821" t="s">
        <v>10</v>
      </c>
    </row>
    <row r="12822" spans="1:2" x14ac:dyDescent="0.25">
      <c r="A12822">
        <v>31024000</v>
      </c>
      <c r="B12822" t="e">
        <f>- Mezclas de Nitrato de amonio Con Carbonato de calcio u otras materias inorganicas sin poder fertilizante</f>
        <v>#NAME?</v>
      </c>
    </row>
    <row r="12823" spans="1:2" x14ac:dyDescent="0.25">
      <c r="A12823">
        <v>31024000100</v>
      </c>
      <c r="B12823" t="s">
        <v>5452</v>
      </c>
    </row>
    <row r="12824" spans="1:2" x14ac:dyDescent="0.25">
      <c r="A12824">
        <v>31024000900</v>
      </c>
      <c r="B12824" t="s">
        <v>57</v>
      </c>
    </row>
    <row r="12825" spans="1:2" x14ac:dyDescent="0.25">
      <c r="A12825">
        <v>310250</v>
      </c>
      <c r="B12825" t="e">
        <f>- Nitrato de Sodio</f>
        <v>#NAME?</v>
      </c>
    </row>
    <row r="12826" spans="1:2" x14ac:dyDescent="0.25">
      <c r="A12826">
        <v>3102501</v>
      </c>
      <c r="B12826" t="s">
        <v>5453</v>
      </c>
    </row>
    <row r="12827" spans="1:2" x14ac:dyDescent="0.25">
      <c r="A12827">
        <v>31025011000</v>
      </c>
      <c r="B12827" t="s">
        <v>5454</v>
      </c>
    </row>
    <row r="12828" spans="1:2" x14ac:dyDescent="0.25">
      <c r="A12828">
        <v>31025019000</v>
      </c>
      <c r="B12828" t="s">
        <v>10</v>
      </c>
    </row>
    <row r="12829" spans="1:2" x14ac:dyDescent="0.25">
      <c r="A12829">
        <v>31025090000</v>
      </c>
      <c r="B12829" t="s">
        <v>10</v>
      </c>
    </row>
    <row r="12830" spans="1:2" x14ac:dyDescent="0.25">
      <c r="A12830">
        <v>31026000</v>
      </c>
      <c r="B12830" t="e">
        <f>- sales dobles y Mezclas entre si de Nitrato de calcio y Nitrato de amonio</f>
        <v>#NAME?</v>
      </c>
    </row>
    <row r="12831" spans="1:2" x14ac:dyDescent="0.25">
      <c r="A12831">
        <v>31026000100</v>
      </c>
      <c r="B12831" t="s">
        <v>5452</v>
      </c>
    </row>
    <row r="12832" spans="1:2" x14ac:dyDescent="0.25">
      <c r="A12832">
        <v>31026000900</v>
      </c>
      <c r="B12832" t="s">
        <v>57</v>
      </c>
    </row>
    <row r="12833" spans="1:2" x14ac:dyDescent="0.25">
      <c r="A12833">
        <v>31028000</v>
      </c>
      <c r="B12833" t="e">
        <f>- Mezclas de urea Con Nitrato de amonio En disolucion acuosa o amoniacal</f>
        <v>#NAME?</v>
      </c>
    </row>
    <row r="12834" spans="1:2" x14ac:dyDescent="0.25">
      <c r="A12834">
        <v>310280001</v>
      </c>
      <c r="B12834" t="s">
        <v>5452</v>
      </c>
    </row>
    <row r="12835" spans="1:2" x14ac:dyDescent="0.25">
      <c r="A12835">
        <v>31028000110</v>
      </c>
      <c r="B12835" t="s">
        <v>2102</v>
      </c>
    </row>
    <row r="12836" spans="1:2" x14ac:dyDescent="0.25">
      <c r="A12836">
        <v>31028000190</v>
      </c>
      <c r="B12836" t="s">
        <v>57</v>
      </c>
    </row>
    <row r="12837" spans="1:2" x14ac:dyDescent="0.25">
      <c r="A12837">
        <v>31028000900</v>
      </c>
      <c r="B12837" t="s">
        <v>57</v>
      </c>
    </row>
    <row r="12838" spans="1:2" x14ac:dyDescent="0.25">
      <c r="A12838">
        <v>31029000</v>
      </c>
      <c r="B12838" t="e">
        <f>- Los demas. incluidas las Mezclas no comprendidas En las subpartidas precedentes</f>
        <v>#NAME?</v>
      </c>
    </row>
    <row r="12839" spans="1:2" x14ac:dyDescent="0.25">
      <c r="A12839">
        <v>31029000100</v>
      </c>
      <c r="B12839" t="s">
        <v>5455</v>
      </c>
    </row>
    <row r="12840" spans="1:2" x14ac:dyDescent="0.25">
      <c r="A12840">
        <v>31029000200</v>
      </c>
      <c r="B12840" t="s">
        <v>5452</v>
      </c>
    </row>
    <row r="12841" spans="1:2" x14ac:dyDescent="0.25">
      <c r="A12841">
        <v>31029000900</v>
      </c>
      <c r="B12841" t="s">
        <v>10</v>
      </c>
    </row>
    <row r="12842" spans="1:2" x14ac:dyDescent="0.25">
      <c r="A12842">
        <v>3103</v>
      </c>
      <c r="B12842" t="s">
        <v>5456</v>
      </c>
    </row>
    <row r="12843" spans="1:2" x14ac:dyDescent="0.25">
      <c r="A12843">
        <v>31031</v>
      </c>
      <c r="B12843" t="s">
        <v>5457</v>
      </c>
    </row>
    <row r="12844" spans="1:2" x14ac:dyDescent="0.25">
      <c r="A12844">
        <v>31031100000</v>
      </c>
      <c r="B12844" t="s">
        <v>5458</v>
      </c>
    </row>
    <row r="12845" spans="1:2" x14ac:dyDescent="0.25">
      <c r="A12845">
        <v>31031900000</v>
      </c>
      <c r="B12845" t="e">
        <f>--Los demas</f>
        <v>#NAME?</v>
      </c>
    </row>
    <row r="12846" spans="1:2" x14ac:dyDescent="0.25">
      <c r="A12846">
        <v>310390</v>
      </c>
      <c r="B12846" t="e">
        <f>- Los demas</f>
        <v>#NAME?</v>
      </c>
    </row>
    <row r="12847" spans="1:2" x14ac:dyDescent="0.25">
      <c r="A12847">
        <v>3103901</v>
      </c>
      <c r="B12847" t="s">
        <v>5459</v>
      </c>
    </row>
    <row r="12848" spans="1:2" x14ac:dyDescent="0.25">
      <c r="A12848">
        <v>31039011000</v>
      </c>
      <c r="B12848" t="s">
        <v>5460</v>
      </c>
    </row>
    <row r="12849" spans="1:2" x14ac:dyDescent="0.25">
      <c r="A12849">
        <v>31039019000</v>
      </c>
      <c r="B12849" t="s">
        <v>10</v>
      </c>
    </row>
    <row r="12850" spans="1:2" x14ac:dyDescent="0.25">
      <c r="A12850">
        <v>31039090000</v>
      </c>
      <c r="B12850" t="s">
        <v>10</v>
      </c>
    </row>
    <row r="12851" spans="1:2" x14ac:dyDescent="0.25">
      <c r="A12851">
        <v>3104</v>
      </c>
      <c r="B12851" t="s">
        <v>5461</v>
      </c>
    </row>
    <row r="12852" spans="1:2" x14ac:dyDescent="0.25">
      <c r="A12852">
        <v>310420</v>
      </c>
      <c r="B12852" t="e">
        <f>- Cloruro de potasio</f>
        <v>#NAME?</v>
      </c>
    </row>
    <row r="12853" spans="1:2" x14ac:dyDescent="0.25">
      <c r="A12853">
        <v>31042010000</v>
      </c>
      <c r="B12853" t="s">
        <v>5462</v>
      </c>
    </row>
    <row r="12854" spans="1:2" x14ac:dyDescent="0.25">
      <c r="A12854">
        <v>31042090000</v>
      </c>
      <c r="B12854" t="s">
        <v>10</v>
      </c>
    </row>
    <row r="12855" spans="1:2" x14ac:dyDescent="0.25">
      <c r="A12855">
        <v>310430</v>
      </c>
      <c r="B12855" t="e">
        <f>- Sulfato de potasio</f>
        <v>#NAME?</v>
      </c>
    </row>
    <row r="12856" spans="1:2" x14ac:dyDescent="0.25">
      <c r="A12856">
        <v>31043010000</v>
      </c>
      <c r="B12856" t="s">
        <v>5463</v>
      </c>
    </row>
    <row r="12857" spans="1:2" x14ac:dyDescent="0.25">
      <c r="A12857">
        <v>31043090000</v>
      </c>
      <c r="B12857" t="s">
        <v>10</v>
      </c>
    </row>
    <row r="12858" spans="1:2" x14ac:dyDescent="0.25">
      <c r="A12858">
        <v>310490</v>
      </c>
      <c r="B12858" t="e">
        <f>- Los demas</f>
        <v>#NAME?</v>
      </c>
    </row>
    <row r="12859" spans="1:2" x14ac:dyDescent="0.25">
      <c r="A12859">
        <v>31049010000</v>
      </c>
      <c r="B12859" t="s">
        <v>5464</v>
      </c>
    </row>
    <row r="12860" spans="1:2" x14ac:dyDescent="0.25">
      <c r="A12860">
        <v>31049090</v>
      </c>
      <c r="B12860" t="s">
        <v>10</v>
      </c>
    </row>
    <row r="12861" spans="1:2" x14ac:dyDescent="0.25">
      <c r="A12861">
        <v>31049090100</v>
      </c>
      <c r="B12861" t="s">
        <v>5465</v>
      </c>
    </row>
    <row r="12862" spans="1:2" x14ac:dyDescent="0.25">
      <c r="A12862">
        <v>31049090900</v>
      </c>
      <c r="B12862" t="s">
        <v>10</v>
      </c>
    </row>
    <row r="12863" spans="1:2" x14ac:dyDescent="0.25">
      <c r="A12863">
        <v>3105</v>
      </c>
      <c r="B12863" t="s">
        <v>5466</v>
      </c>
    </row>
    <row r="12864" spans="1:2" x14ac:dyDescent="0.25">
      <c r="A12864">
        <v>31051000</v>
      </c>
      <c r="B12864" t="s">
        <v>5467</v>
      </c>
    </row>
    <row r="12865" spans="1:2" x14ac:dyDescent="0.25">
      <c r="A12865">
        <v>310510001</v>
      </c>
      <c r="B12865" t="s">
        <v>5468</v>
      </c>
    </row>
    <row r="12866" spans="1:2" x14ac:dyDescent="0.25">
      <c r="A12866">
        <v>31051000110</v>
      </c>
      <c r="B12866" t="s">
        <v>5469</v>
      </c>
    </row>
    <row r="12867" spans="1:2" x14ac:dyDescent="0.25">
      <c r="A12867">
        <v>31051000190</v>
      </c>
      <c r="B12867" t="s">
        <v>10</v>
      </c>
    </row>
    <row r="12868" spans="1:2" x14ac:dyDescent="0.25">
      <c r="A12868">
        <v>31051000200</v>
      </c>
      <c r="B12868" t="s">
        <v>5470</v>
      </c>
    </row>
    <row r="12869" spans="1:2" x14ac:dyDescent="0.25">
      <c r="A12869">
        <v>31051000300</v>
      </c>
      <c r="B12869" t="s">
        <v>5471</v>
      </c>
    </row>
    <row r="12870" spans="1:2" x14ac:dyDescent="0.25">
      <c r="A12870">
        <v>310510004</v>
      </c>
      <c r="B12870" t="s">
        <v>5472</v>
      </c>
    </row>
    <row r="12871" spans="1:2" x14ac:dyDescent="0.25">
      <c r="A12871">
        <v>31051000410</v>
      </c>
      <c r="B12871" t="s">
        <v>5452</v>
      </c>
    </row>
    <row r="12872" spans="1:2" x14ac:dyDescent="0.25">
      <c r="A12872">
        <v>31051000490</v>
      </c>
      <c r="B12872" t="s">
        <v>10</v>
      </c>
    </row>
    <row r="12873" spans="1:2" x14ac:dyDescent="0.25">
      <c r="A12873">
        <v>310510009</v>
      </c>
      <c r="B12873" t="s">
        <v>10</v>
      </c>
    </row>
    <row r="12874" spans="1:2" x14ac:dyDescent="0.25">
      <c r="A12874">
        <v>31051000910</v>
      </c>
      <c r="B12874" t="s">
        <v>5452</v>
      </c>
    </row>
    <row r="12875" spans="1:2" x14ac:dyDescent="0.25">
      <c r="A12875">
        <v>31051000990</v>
      </c>
      <c r="B12875" t="s">
        <v>10</v>
      </c>
    </row>
    <row r="12876" spans="1:2" x14ac:dyDescent="0.25">
      <c r="A12876">
        <v>31052000</v>
      </c>
      <c r="B12876" t="e">
        <f>- Abonos Minerales o quimicos Con Los tres elementos fertilizantes: nitrogeno. Fosforo y potasio</f>
        <v>#NAME?</v>
      </c>
    </row>
    <row r="12877" spans="1:2" x14ac:dyDescent="0.25">
      <c r="A12877">
        <v>31052000100</v>
      </c>
      <c r="B12877" t="s">
        <v>5452</v>
      </c>
    </row>
    <row r="12878" spans="1:2" x14ac:dyDescent="0.25">
      <c r="A12878">
        <v>31052000900</v>
      </c>
      <c r="B12878" t="s">
        <v>10</v>
      </c>
    </row>
    <row r="12879" spans="1:2" x14ac:dyDescent="0.25">
      <c r="A12879">
        <v>31053000000</v>
      </c>
      <c r="B12879" t="e">
        <f>- Hidrogenoortofosfato de diamonio (Fosfato diamonico)</f>
        <v>#NAME?</v>
      </c>
    </row>
    <row r="12880" spans="1:2" x14ac:dyDescent="0.25">
      <c r="A12880">
        <v>31054000</v>
      </c>
      <c r="B12880" t="s">
        <v>5473</v>
      </c>
    </row>
    <row r="12881" spans="1:2" x14ac:dyDescent="0.25">
      <c r="A12881">
        <v>310540001</v>
      </c>
      <c r="B12881" t="s">
        <v>5474</v>
      </c>
    </row>
    <row r="12882" spans="1:2" x14ac:dyDescent="0.25">
      <c r="A12882">
        <v>31054000110</v>
      </c>
      <c r="B12882" t="s">
        <v>5475</v>
      </c>
    </row>
    <row r="12883" spans="1:2" x14ac:dyDescent="0.25">
      <c r="A12883">
        <v>31054000190</v>
      </c>
      <c r="B12883" t="s">
        <v>10</v>
      </c>
    </row>
    <row r="12884" spans="1:2" x14ac:dyDescent="0.25">
      <c r="A12884">
        <v>31054000200</v>
      </c>
      <c r="B12884" t="s">
        <v>5476</v>
      </c>
    </row>
    <row r="12885" spans="1:2" x14ac:dyDescent="0.25">
      <c r="A12885">
        <v>31055</v>
      </c>
      <c r="B12885" t="s">
        <v>5477</v>
      </c>
    </row>
    <row r="12886" spans="1:2" x14ac:dyDescent="0.25">
      <c r="A12886">
        <v>31055100</v>
      </c>
      <c r="B12886" t="e">
        <f>- - que contengan Nitratos y Fosfatos</f>
        <v>#NAME?</v>
      </c>
    </row>
    <row r="12887" spans="1:2" x14ac:dyDescent="0.25">
      <c r="A12887">
        <v>31055100100</v>
      </c>
      <c r="B12887" t="s">
        <v>5452</v>
      </c>
    </row>
    <row r="12888" spans="1:2" x14ac:dyDescent="0.25">
      <c r="A12888">
        <v>31055100900</v>
      </c>
      <c r="B12888" t="s">
        <v>10</v>
      </c>
    </row>
    <row r="12889" spans="1:2" x14ac:dyDescent="0.25">
      <c r="A12889">
        <v>31055900</v>
      </c>
      <c r="B12889" t="e">
        <f>- - Los demas</f>
        <v>#NAME?</v>
      </c>
    </row>
    <row r="12890" spans="1:2" x14ac:dyDescent="0.25">
      <c r="A12890">
        <v>31055900100</v>
      </c>
      <c r="B12890" t="s">
        <v>5452</v>
      </c>
    </row>
    <row r="12891" spans="1:2" x14ac:dyDescent="0.25">
      <c r="A12891">
        <v>31055900900</v>
      </c>
      <c r="B12891" t="s">
        <v>10</v>
      </c>
    </row>
    <row r="12892" spans="1:2" x14ac:dyDescent="0.25">
      <c r="A12892">
        <v>31056000000</v>
      </c>
      <c r="B12892" t="e">
        <f>-Abonos Minerales o quimicos Con Los dos elementos fertilizantes: Fosforo y potasio</f>
        <v>#NAME?</v>
      </c>
    </row>
    <row r="12893" spans="1:2" x14ac:dyDescent="0.25">
      <c r="A12893">
        <v>310590</v>
      </c>
      <c r="B12893" t="e">
        <f>- Los demas</f>
        <v>#NAME?</v>
      </c>
    </row>
    <row r="12894" spans="1:2" x14ac:dyDescent="0.25">
      <c r="A12894">
        <v>3105901</v>
      </c>
      <c r="B12894" t="s">
        <v>5478</v>
      </c>
    </row>
    <row r="12895" spans="1:2" x14ac:dyDescent="0.25">
      <c r="A12895">
        <v>31059011000</v>
      </c>
      <c r="B12895" t="s">
        <v>5479</v>
      </c>
    </row>
    <row r="12896" spans="1:2" x14ac:dyDescent="0.25">
      <c r="A12896">
        <v>31059019000</v>
      </c>
      <c r="B12896" t="s">
        <v>10</v>
      </c>
    </row>
    <row r="12897" spans="1:2" x14ac:dyDescent="0.25">
      <c r="A12897">
        <v>31059090</v>
      </c>
      <c r="B12897" t="s">
        <v>10</v>
      </c>
    </row>
    <row r="12898" spans="1:2" x14ac:dyDescent="0.25">
      <c r="A12898">
        <v>31059090100</v>
      </c>
      <c r="B12898" t="s">
        <v>5452</v>
      </c>
    </row>
    <row r="12899" spans="1:2" x14ac:dyDescent="0.25">
      <c r="A12899">
        <v>31059090900</v>
      </c>
      <c r="B12899" t="s">
        <v>10</v>
      </c>
    </row>
    <row r="12900" spans="1:2" x14ac:dyDescent="0.25">
      <c r="A12900">
        <v>3201</v>
      </c>
      <c r="B12900" t="s">
        <v>5480</v>
      </c>
    </row>
    <row r="12901" spans="1:2" x14ac:dyDescent="0.25">
      <c r="A12901">
        <v>32011000000</v>
      </c>
      <c r="B12901" t="e">
        <f>-Extracto de quebracho</f>
        <v>#NAME?</v>
      </c>
    </row>
    <row r="12902" spans="1:2" x14ac:dyDescent="0.25">
      <c r="A12902">
        <v>32012000000</v>
      </c>
      <c r="B12902" t="e">
        <f ca="1">-Extracto de mimosa(acacia)</f>
        <v>#NAME?</v>
      </c>
    </row>
    <row r="12903" spans="1:2" x14ac:dyDescent="0.25">
      <c r="A12903">
        <v>320190</v>
      </c>
      <c r="B12903" t="e">
        <f>- Los demas</f>
        <v>#NAME?</v>
      </c>
    </row>
    <row r="12904" spans="1:2" x14ac:dyDescent="0.25">
      <c r="A12904">
        <v>3201901</v>
      </c>
      <c r="B12904" t="s">
        <v>1321</v>
      </c>
    </row>
    <row r="12905" spans="1:2" x14ac:dyDescent="0.25">
      <c r="A12905">
        <v>32019011000</v>
      </c>
      <c r="B12905" t="s">
        <v>5481</v>
      </c>
    </row>
    <row r="12906" spans="1:2" x14ac:dyDescent="0.25">
      <c r="A12906">
        <v>32019012000</v>
      </c>
      <c r="B12906" t="s">
        <v>5482</v>
      </c>
    </row>
    <row r="12907" spans="1:2" x14ac:dyDescent="0.25">
      <c r="A12907">
        <v>32019019000</v>
      </c>
      <c r="B12907" t="s">
        <v>10</v>
      </c>
    </row>
    <row r="12908" spans="1:2" x14ac:dyDescent="0.25">
      <c r="A12908">
        <v>32019020000</v>
      </c>
      <c r="B12908" t="s">
        <v>5483</v>
      </c>
    </row>
    <row r="12909" spans="1:2" x14ac:dyDescent="0.25">
      <c r="A12909">
        <v>32019090</v>
      </c>
      <c r="B12909" t="s">
        <v>10</v>
      </c>
    </row>
    <row r="12910" spans="1:2" x14ac:dyDescent="0.25">
      <c r="A12910">
        <v>32019090100</v>
      </c>
      <c r="B12910" t="s">
        <v>5484</v>
      </c>
    </row>
    <row r="12911" spans="1:2" x14ac:dyDescent="0.25">
      <c r="A12911">
        <v>32019090200</v>
      </c>
      <c r="B12911" t="s">
        <v>5485</v>
      </c>
    </row>
    <row r="12912" spans="1:2" x14ac:dyDescent="0.25">
      <c r="A12912">
        <v>3202</v>
      </c>
      <c r="B12912" t="s">
        <v>5486</v>
      </c>
    </row>
    <row r="12913" spans="1:2" x14ac:dyDescent="0.25">
      <c r="A12913">
        <v>32021000</v>
      </c>
      <c r="B12913" t="e">
        <f>- Productos curtientes organicos sinteticos</f>
        <v>#NAME?</v>
      </c>
    </row>
    <row r="12914" spans="1:2" x14ac:dyDescent="0.25">
      <c r="A12914">
        <v>320210001</v>
      </c>
      <c r="B12914" t="s">
        <v>5487</v>
      </c>
    </row>
    <row r="12915" spans="1:2" x14ac:dyDescent="0.25">
      <c r="A12915">
        <v>32021000110</v>
      </c>
      <c r="B12915" t="s">
        <v>5488</v>
      </c>
    </row>
    <row r="12916" spans="1:2" x14ac:dyDescent="0.25">
      <c r="A12916">
        <v>32021000190</v>
      </c>
      <c r="B12916" t="s">
        <v>10</v>
      </c>
    </row>
    <row r="12917" spans="1:2" x14ac:dyDescent="0.25">
      <c r="A12917">
        <v>32021000200</v>
      </c>
      <c r="B12917" t="s">
        <v>5489</v>
      </c>
    </row>
    <row r="12918" spans="1:2" x14ac:dyDescent="0.25">
      <c r="A12918">
        <v>32021000300</v>
      </c>
      <c r="B12918" t="s">
        <v>5490</v>
      </c>
    </row>
    <row r="12919" spans="1:2" x14ac:dyDescent="0.25">
      <c r="A12919">
        <v>32021000900</v>
      </c>
      <c r="B12919" t="s">
        <v>10</v>
      </c>
    </row>
    <row r="12920" spans="1:2" x14ac:dyDescent="0.25">
      <c r="A12920">
        <v>320290</v>
      </c>
      <c r="B12920" t="e">
        <f>- Los demas</f>
        <v>#NAME?</v>
      </c>
    </row>
    <row r="12921" spans="1:2" x14ac:dyDescent="0.25">
      <c r="A12921">
        <v>3202901</v>
      </c>
      <c r="B12921" t="s">
        <v>5491</v>
      </c>
    </row>
    <row r="12922" spans="1:2" x14ac:dyDescent="0.25">
      <c r="A12922">
        <v>32029011000</v>
      </c>
      <c r="B12922" t="s">
        <v>5492</v>
      </c>
    </row>
    <row r="12923" spans="1:2" x14ac:dyDescent="0.25">
      <c r="A12923">
        <v>32029012000</v>
      </c>
      <c r="B12923" t="s">
        <v>5493</v>
      </c>
    </row>
    <row r="12924" spans="1:2" x14ac:dyDescent="0.25">
      <c r="A12924">
        <v>32029013000</v>
      </c>
      <c r="B12924" t="s">
        <v>5494</v>
      </c>
    </row>
    <row r="12925" spans="1:2" x14ac:dyDescent="0.25">
      <c r="A12925">
        <v>32029019</v>
      </c>
      <c r="B12925" t="s">
        <v>10</v>
      </c>
    </row>
    <row r="12926" spans="1:2" x14ac:dyDescent="0.25">
      <c r="A12926">
        <v>32029019100</v>
      </c>
      <c r="B12926" t="s">
        <v>5495</v>
      </c>
    </row>
    <row r="12927" spans="1:2" x14ac:dyDescent="0.25">
      <c r="A12927">
        <v>32029019200</v>
      </c>
      <c r="B12927" t="s">
        <v>5496</v>
      </c>
    </row>
    <row r="12928" spans="1:2" x14ac:dyDescent="0.25">
      <c r="A12928">
        <v>32029019900</v>
      </c>
      <c r="B12928" t="s">
        <v>10</v>
      </c>
    </row>
    <row r="12929" spans="1:2" x14ac:dyDescent="0.25">
      <c r="A12929">
        <v>3202902</v>
      </c>
      <c r="B12929" t="s">
        <v>5497</v>
      </c>
    </row>
    <row r="12930" spans="1:2" x14ac:dyDescent="0.25">
      <c r="A12930">
        <v>32029021000</v>
      </c>
      <c r="B12930" t="s">
        <v>5498</v>
      </c>
    </row>
    <row r="12931" spans="1:2" x14ac:dyDescent="0.25">
      <c r="A12931">
        <v>32029029</v>
      </c>
      <c r="B12931" t="s">
        <v>57</v>
      </c>
    </row>
    <row r="12932" spans="1:2" x14ac:dyDescent="0.25">
      <c r="A12932">
        <v>32029029100</v>
      </c>
      <c r="B12932" t="s">
        <v>5499</v>
      </c>
    </row>
    <row r="12933" spans="1:2" x14ac:dyDescent="0.25">
      <c r="A12933">
        <v>32029029900</v>
      </c>
      <c r="B12933" t="s">
        <v>57</v>
      </c>
    </row>
    <row r="12934" spans="1:2" x14ac:dyDescent="0.25">
      <c r="A12934">
        <v>32029030000</v>
      </c>
      <c r="B12934" t="s">
        <v>5500</v>
      </c>
    </row>
    <row r="12935" spans="1:2" x14ac:dyDescent="0.25">
      <c r="A12935">
        <v>320300</v>
      </c>
      <c r="B12935" t="s">
        <v>5501</v>
      </c>
    </row>
    <row r="12936" spans="1:2" x14ac:dyDescent="0.25">
      <c r="A12936">
        <v>3203001</v>
      </c>
      <c r="B12936" t="s">
        <v>5502</v>
      </c>
    </row>
    <row r="12937" spans="1:2" x14ac:dyDescent="0.25">
      <c r="A12937">
        <v>32030011000</v>
      </c>
      <c r="B12937" t="s">
        <v>5503</v>
      </c>
    </row>
    <row r="12938" spans="1:2" x14ac:dyDescent="0.25">
      <c r="A12938">
        <v>32030012000</v>
      </c>
      <c r="B12938" t="s">
        <v>5504</v>
      </c>
    </row>
    <row r="12939" spans="1:2" x14ac:dyDescent="0.25">
      <c r="A12939">
        <v>32030013000</v>
      </c>
      <c r="B12939" t="s">
        <v>5505</v>
      </c>
    </row>
    <row r="12940" spans="1:2" x14ac:dyDescent="0.25">
      <c r="A12940">
        <v>32030019</v>
      </c>
      <c r="B12940" t="s">
        <v>57</v>
      </c>
    </row>
    <row r="12941" spans="1:2" x14ac:dyDescent="0.25">
      <c r="A12941">
        <v>32030019100</v>
      </c>
      <c r="B12941" t="s">
        <v>5506</v>
      </c>
    </row>
    <row r="12942" spans="1:2" x14ac:dyDescent="0.25">
      <c r="A12942">
        <v>32030019200</v>
      </c>
      <c r="B12942" t="s">
        <v>5507</v>
      </c>
    </row>
    <row r="12943" spans="1:2" x14ac:dyDescent="0.25">
      <c r="A12943">
        <v>32030019300</v>
      </c>
      <c r="B12943" t="s">
        <v>5508</v>
      </c>
    </row>
    <row r="12944" spans="1:2" x14ac:dyDescent="0.25">
      <c r="A12944">
        <v>32030019400</v>
      </c>
      <c r="B12944" t="s">
        <v>5509</v>
      </c>
    </row>
    <row r="12945" spans="1:2" x14ac:dyDescent="0.25">
      <c r="A12945">
        <v>32030019500</v>
      </c>
      <c r="B12945" t="s">
        <v>5510</v>
      </c>
    </row>
    <row r="12946" spans="1:2" x14ac:dyDescent="0.25">
      <c r="A12946">
        <v>32030019900</v>
      </c>
      <c r="B12946" t="s">
        <v>57</v>
      </c>
    </row>
    <row r="12947" spans="1:2" x14ac:dyDescent="0.25">
      <c r="A12947">
        <v>3203002</v>
      </c>
      <c r="B12947" t="s">
        <v>5511</v>
      </c>
    </row>
    <row r="12948" spans="1:2" x14ac:dyDescent="0.25">
      <c r="A12948">
        <v>32030021000</v>
      </c>
      <c r="B12948" t="s">
        <v>5512</v>
      </c>
    </row>
    <row r="12949" spans="1:2" x14ac:dyDescent="0.25">
      <c r="A12949">
        <v>32030029000</v>
      </c>
      <c r="B12949" t="s">
        <v>57</v>
      </c>
    </row>
    <row r="12950" spans="1:2" x14ac:dyDescent="0.25">
      <c r="A12950">
        <v>32030030</v>
      </c>
      <c r="B12950" t="s">
        <v>5513</v>
      </c>
    </row>
    <row r="12951" spans="1:2" x14ac:dyDescent="0.25">
      <c r="A12951">
        <v>32030030100</v>
      </c>
      <c r="B12951" t="s">
        <v>5514</v>
      </c>
    </row>
    <row r="12952" spans="1:2" x14ac:dyDescent="0.25">
      <c r="A12952">
        <v>32030030200</v>
      </c>
      <c r="B12952" t="s">
        <v>5515</v>
      </c>
    </row>
    <row r="12953" spans="1:2" x14ac:dyDescent="0.25">
      <c r="A12953">
        <v>3204</v>
      </c>
      <c r="B12953" t="s">
        <v>5516</v>
      </c>
    </row>
    <row r="12954" spans="1:2" x14ac:dyDescent="0.25">
      <c r="A12954">
        <v>32041</v>
      </c>
      <c r="B12954" t="s">
        <v>5517</v>
      </c>
    </row>
    <row r="12955" spans="1:2" x14ac:dyDescent="0.25">
      <c r="A12955">
        <v>32041100</v>
      </c>
      <c r="B12955" t="e">
        <f>- - colorantes dispersos y Preparaciones a base de estos colorantes</f>
        <v>#NAME?</v>
      </c>
    </row>
    <row r="12956" spans="1:2" x14ac:dyDescent="0.25">
      <c r="A12956">
        <v>320411001</v>
      </c>
      <c r="B12956" t="s">
        <v>5518</v>
      </c>
    </row>
    <row r="12957" spans="1:2" x14ac:dyDescent="0.25">
      <c r="A12957">
        <v>32041100110</v>
      </c>
      <c r="B12957" t="s">
        <v>5519</v>
      </c>
    </row>
    <row r="12958" spans="1:2" x14ac:dyDescent="0.25">
      <c r="A12958">
        <v>32041100120</v>
      </c>
      <c r="B12958" t="s">
        <v>5520</v>
      </c>
    </row>
    <row r="12959" spans="1:2" x14ac:dyDescent="0.25">
      <c r="A12959">
        <v>32041100130</v>
      </c>
      <c r="B12959" t="s">
        <v>5521</v>
      </c>
    </row>
    <row r="12960" spans="1:2" x14ac:dyDescent="0.25">
      <c r="A12960">
        <v>32041100140</v>
      </c>
      <c r="B12960" t="s">
        <v>5522</v>
      </c>
    </row>
    <row r="12961" spans="1:2" x14ac:dyDescent="0.25">
      <c r="A12961">
        <v>32041100150</v>
      </c>
      <c r="B12961" t="s">
        <v>5523</v>
      </c>
    </row>
    <row r="12962" spans="1:2" x14ac:dyDescent="0.25">
      <c r="A12962">
        <v>32041100160</v>
      </c>
      <c r="B12962" t="s">
        <v>1521</v>
      </c>
    </row>
    <row r="12963" spans="1:2" x14ac:dyDescent="0.25">
      <c r="A12963">
        <v>32041100170</v>
      </c>
      <c r="B12963" t="s">
        <v>5524</v>
      </c>
    </row>
    <row r="12964" spans="1:2" x14ac:dyDescent="0.25">
      <c r="A12964">
        <v>32041100180</v>
      </c>
      <c r="B12964" t="s">
        <v>1789</v>
      </c>
    </row>
    <row r="12965" spans="1:2" x14ac:dyDescent="0.25">
      <c r="A12965">
        <v>32041100200</v>
      </c>
      <c r="B12965" t="s">
        <v>5525</v>
      </c>
    </row>
    <row r="12966" spans="1:2" x14ac:dyDescent="0.25">
      <c r="A12966">
        <v>32041100900</v>
      </c>
      <c r="B12966" t="s">
        <v>10</v>
      </c>
    </row>
    <row r="12967" spans="1:2" x14ac:dyDescent="0.25">
      <c r="A12967">
        <v>320412</v>
      </c>
      <c r="B12967" t="e">
        <f>- - colorantes acidos. incluso metalizados. y Preparaciones a base de estos colorantes, colorantes para mordientes y Preparaciones a base de estos colorantes</f>
        <v>#NAME?</v>
      </c>
    </row>
    <row r="12968" spans="1:2" x14ac:dyDescent="0.25">
      <c r="A12968">
        <v>32041210</v>
      </c>
      <c r="B12968" t="s">
        <v>5526</v>
      </c>
    </row>
    <row r="12969" spans="1:2" x14ac:dyDescent="0.25">
      <c r="A12969">
        <v>320412101</v>
      </c>
      <c r="B12969" t="s">
        <v>5527</v>
      </c>
    </row>
    <row r="12970" spans="1:2" x14ac:dyDescent="0.25">
      <c r="A12970">
        <v>32041210110</v>
      </c>
      <c r="B12970" t="s">
        <v>5519</v>
      </c>
    </row>
    <row r="12971" spans="1:2" x14ac:dyDescent="0.25">
      <c r="A12971">
        <v>32041210120</v>
      </c>
      <c r="B12971" t="s">
        <v>5520</v>
      </c>
    </row>
    <row r="12972" spans="1:2" x14ac:dyDescent="0.25">
      <c r="A12972">
        <v>32041210130</v>
      </c>
      <c r="B12972" t="s">
        <v>5521</v>
      </c>
    </row>
    <row r="12973" spans="1:2" x14ac:dyDescent="0.25">
      <c r="A12973">
        <v>32041210140</v>
      </c>
      <c r="B12973" t="s">
        <v>5522</v>
      </c>
    </row>
    <row r="12974" spans="1:2" x14ac:dyDescent="0.25">
      <c r="A12974">
        <v>32041210150</v>
      </c>
      <c r="B12974" t="s">
        <v>5523</v>
      </c>
    </row>
    <row r="12975" spans="1:2" x14ac:dyDescent="0.25">
      <c r="A12975">
        <v>32041210160</v>
      </c>
      <c r="B12975" t="s">
        <v>1521</v>
      </c>
    </row>
    <row r="12976" spans="1:2" x14ac:dyDescent="0.25">
      <c r="A12976">
        <v>32041210170</v>
      </c>
      <c r="B12976" t="s">
        <v>5524</v>
      </c>
    </row>
    <row r="12977" spans="1:2" x14ac:dyDescent="0.25">
      <c r="A12977">
        <v>32041210180</v>
      </c>
      <c r="B12977" t="s">
        <v>1789</v>
      </c>
    </row>
    <row r="12978" spans="1:2" x14ac:dyDescent="0.25">
      <c r="A12978">
        <v>32041210200</v>
      </c>
      <c r="B12978" t="s">
        <v>5528</v>
      </c>
    </row>
    <row r="12979" spans="1:2" x14ac:dyDescent="0.25">
      <c r="A12979">
        <v>32041210900</v>
      </c>
      <c r="B12979" t="s">
        <v>10</v>
      </c>
    </row>
    <row r="12980" spans="1:2" x14ac:dyDescent="0.25">
      <c r="A12980">
        <v>32041220</v>
      </c>
      <c r="B12980" t="s">
        <v>5529</v>
      </c>
    </row>
    <row r="12981" spans="1:2" x14ac:dyDescent="0.25">
      <c r="A12981">
        <v>320412201</v>
      </c>
      <c r="B12981" t="s">
        <v>5530</v>
      </c>
    </row>
    <row r="12982" spans="1:2" x14ac:dyDescent="0.25">
      <c r="A12982">
        <v>32041220110</v>
      </c>
      <c r="B12982" t="s">
        <v>5519</v>
      </c>
    </row>
    <row r="12983" spans="1:2" x14ac:dyDescent="0.25">
      <c r="A12983">
        <v>32041220120</v>
      </c>
      <c r="B12983" t="s">
        <v>5520</v>
      </c>
    </row>
    <row r="12984" spans="1:2" x14ac:dyDescent="0.25">
      <c r="A12984">
        <v>32041220130</v>
      </c>
      <c r="B12984" t="s">
        <v>5521</v>
      </c>
    </row>
    <row r="12985" spans="1:2" x14ac:dyDescent="0.25">
      <c r="A12985">
        <v>32041220140</v>
      </c>
      <c r="B12985" t="s">
        <v>5522</v>
      </c>
    </row>
    <row r="12986" spans="1:2" x14ac:dyDescent="0.25">
      <c r="A12986">
        <v>32041220150</v>
      </c>
      <c r="B12986" t="s">
        <v>5523</v>
      </c>
    </row>
    <row r="12987" spans="1:2" x14ac:dyDescent="0.25">
      <c r="A12987">
        <v>32041220160</v>
      </c>
      <c r="B12987" t="s">
        <v>1521</v>
      </c>
    </row>
    <row r="12988" spans="1:2" x14ac:dyDescent="0.25">
      <c r="A12988">
        <v>32041220170</v>
      </c>
      <c r="B12988" t="s">
        <v>5524</v>
      </c>
    </row>
    <row r="12989" spans="1:2" x14ac:dyDescent="0.25">
      <c r="A12989">
        <v>32041220180</v>
      </c>
      <c r="B12989" t="s">
        <v>1789</v>
      </c>
    </row>
    <row r="12990" spans="1:2" x14ac:dyDescent="0.25">
      <c r="A12990">
        <v>32041220200</v>
      </c>
      <c r="B12990" t="s">
        <v>5531</v>
      </c>
    </row>
    <row r="12991" spans="1:2" x14ac:dyDescent="0.25">
      <c r="A12991">
        <v>32041220900</v>
      </c>
      <c r="B12991" t="s">
        <v>10</v>
      </c>
    </row>
    <row r="12992" spans="1:2" x14ac:dyDescent="0.25">
      <c r="A12992">
        <v>32041300</v>
      </c>
      <c r="B12992" t="e">
        <f>- - colorantes basicos y Preparaciones a base de estos colorantes</f>
        <v>#NAME?</v>
      </c>
    </row>
    <row r="12993" spans="1:2" x14ac:dyDescent="0.25">
      <c r="A12993">
        <v>320413001</v>
      </c>
      <c r="B12993" t="s">
        <v>5532</v>
      </c>
    </row>
    <row r="12994" spans="1:2" x14ac:dyDescent="0.25">
      <c r="A12994">
        <v>32041300110</v>
      </c>
      <c r="B12994" t="s">
        <v>5519</v>
      </c>
    </row>
    <row r="12995" spans="1:2" x14ac:dyDescent="0.25">
      <c r="A12995">
        <v>32041300120</v>
      </c>
      <c r="B12995" t="s">
        <v>5520</v>
      </c>
    </row>
    <row r="12996" spans="1:2" x14ac:dyDescent="0.25">
      <c r="A12996">
        <v>32041300130</v>
      </c>
      <c r="B12996" t="s">
        <v>5521</v>
      </c>
    </row>
    <row r="12997" spans="1:2" x14ac:dyDescent="0.25">
      <c r="A12997">
        <v>32041300140</v>
      </c>
      <c r="B12997" t="s">
        <v>5522</v>
      </c>
    </row>
    <row r="12998" spans="1:2" x14ac:dyDescent="0.25">
      <c r="A12998">
        <v>32041300150</v>
      </c>
      <c r="B12998" t="s">
        <v>5523</v>
      </c>
    </row>
    <row r="12999" spans="1:2" x14ac:dyDescent="0.25">
      <c r="A12999">
        <v>32041300160</v>
      </c>
      <c r="B12999" t="s">
        <v>1521</v>
      </c>
    </row>
    <row r="13000" spans="1:2" x14ac:dyDescent="0.25">
      <c r="A13000">
        <v>32041300170</v>
      </c>
      <c r="B13000" t="s">
        <v>5524</v>
      </c>
    </row>
    <row r="13001" spans="1:2" x14ac:dyDescent="0.25">
      <c r="A13001">
        <v>32041300180</v>
      </c>
      <c r="B13001" t="s">
        <v>1789</v>
      </c>
    </row>
    <row r="13002" spans="1:2" x14ac:dyDescent="0.25">
      <c r="A13002">
        <v>32041300200</v>
      </c>
      <c r="B13002" t="s">
        <v>5533</v>
      </c>
    </row>
    <row r="13003" spans="1:2" x14ac:dyDescent="0.25">
      <c r="A13003">
        <v>32041300900</v>
      </c>
      <c r="B13003" t="s">
        <v>10</v>
      </c>
    </row>
    <row r="13004" spans="1:2" x14ac:dyDescent="0.25">
      <c r="A13004">
        <v>32041400</v>
      </c>
      <c r="B13004" t="e">
        <f>- - colorantes directos y Preparaciones a base de estos colorantes</f>
        <v>#NAME?</v>
      </c>
    </row>
    <row r="13005" spans="1:2" x14ac:dyDescent="0.25">
      <c r="A13005">
        <v>320414001</v>
      </c>
      <c r="B13005" t="s">
        <v>5534</v>
      </c>
    </row>
    <row r="13006" spans="1:2" x14ac:dyDescent="0.25">
      <c r="A13006">
        <v>32041400110</v>
      </c>
      <c r="B13006" t="s">
        <v>5519</v>
      </c>
    </row>
    <row r="13007" spans="1:2" x14ac:dyDescent="0.25">
      <c r="A13007">
        <v>32041400120</v>
      </c>
      <c r="B13007" t="s">
        <v>5520</v>
      </c>
    </row>
    <row r="13008" spans="1:2" x14ac:dyDescent="0.25">
      <c r="A13008">
        <v>32041400130</v>
      </c>
      <c r="B13008" t="s">
        <v>5521</v>
      </c>
    </row>
    <row r="13009" spans="1:2" x14ac:dyDescent="0.25">
      <c r="A13009">
        <v>32041400140</v>
      </c>
      <c r="B13009" t="s">
        <v>5522</v>
      </c>
    </row>
    <row r="13010" spans="1:2" x14ac:dyDescent="0.25">
      <c r="A13010">
        <v>32041400150</v>
      </c>
      <c r="B13010" t="s">
        <v>5523</v>
      </c>
    </row>
    <row r="13011" spans="1:2" x14ac:dyDescent="0.25">
      <c r="A13011">
        <v>32041400160</v>
      </c>
      <c r="B13011" t="s">
        <v>1521</v>
      </c>
    </row>
    <row r="13012" spans="1:2" x14ac:dyDescent="0.25">
      <c r="A13012">
        <v>32041400170</v>
      </c>
      <c r="B13012" t="s">
        <v>5524</v>
      </c>
    </row>
    <row r="13013" spans="1:2" x14ac:dyDescent="0.25">
      <c r="A13013">
        <v>32041400180</v>
      </c>
      <c r="B13013" t="s">
        <v>1789</v>
      </c>
    </row>
    <row r="13014" spans="1:2" x14ac:dyDescent="0.25">
      <c r="A13014">
        <v>32041400200</v>
      </c>
      <c r="B13014" t="s">
        <v>5535</v>
      </c>
    </row>
    <row r="13015" spans="1:2" x14ac:dyDescent="0.25">
      <c r="A13015">
        <v>32041400900</v>
      </c>
      <c r="B13015" t="s">
        <v>10</v>
      </c>
    </row>
    <row r="13016" spans="1:2" x14ac:dyDescent="0.25">
      <c r="A13016">
        <v>320415</v>
      </c>
      <c r="B13016" t="e">
        <f>- - colorantes a la tina o a la cuba (incluidos Los utilizables directamente como colorantes pigmentarios) y Preparaciones a base de estos colorantes</f>
        <v>#NAME?</v>
      </c>
    </row>
    <row r="13017" spans="1:2" x14ac:dyDescent="0.25">
      <c r="A13017">
        <v>32041510000</v>
      </c>
      <c r="B13017" t="s">
        <v>5536</v>
      </c>
    </row>
    <row r="13018" spans="1:2" x14ac:dyDescent="0.25">
      <c r="A13018">
        <v>32041520000</v>
      </c>
      <c r="B13018" t="s">
        <v>5537</v>
      </c>
    </row>
    <row r="13019" spans="1:2" x14ac:dyDescent="0.25">
      <c r="A13019">
        <v>32041530000</v>
      </c>
      <c r="B13019" t="s">
        <v>5538</v>
      </c>
    </row>
    <row r="13020" spans="1:2" x14ac:dyDescent="0.25">
      <c r="A13020">
        <v>32041590</v>
      </c>
      <c r="B13020" t="s">
        <v>10</v>
      </c>
    </row>
    <row r="13021" spans="1:2" x14ac:dyDescent="0.25">
      <c r="A13021">
        <v>320415901</v>
      </c>
      <c r="B13021" t="s">
        <v>5539</v>
      </c>
    </row>
    <row r="13022" spans="1:2" x14ac:dyDescent="0.25">
      <c r="A13022">
        <v>32041590110</v>
      </c>
      <c r="B13022" t="s">
        <v>5519</v>
      </c>
    </row>
    <row r="13023" spans="1:2" x14ac:dyDescent="0.25">
      <c r="A13023">
        <v>32041590120</v>
      </c>
      <c r="B13023" t="s">
        <v>5520</v>
      </c>
    </row>
    <row r="13024" spans="1:2" x14ac:dyDescent="0.25">
      <c r="A13024">
        <v>32041590130</v>
      </c>
      <c r="B13024" t="s">
        <v>5521</v>
      </c>
    </row>
    <row r="13025" spans="1:2" x14ac:dyDescent="0.25">
      <c r="A13025">
        <v>32041590140</v>
      </c>
      <c r="B13025" t="s">
        <v>5522</v>
      </c>
    </row>
    <row r="13026" spans="1:2" x14ac:dyDescent="0.25">
      <c r="A13026">
        <v>32041590150</v>
      </c>
      <c r="B13026" t="s">
        <v>5523</v>
      </c>
    </row>
    <row r="13027" spans="1:2" x14ac:dyDescent="0.25">
      <c r="A13027">
        <v>32041590160</v>
      </c>
      <c r="B13027" t="s">
        <v>1521</v>
      </c>
    </row>
    <row r="13028" spans="1:2" x14ac:dyDescent="0.25">
      <c r="A13028">
        <v>32041590170</v>
      </c>
      <c r="B13028" t="s">
        <v>5524</v>
      </c>
    </row>
    <row r="13029" spans="1:2" x14ac:dyDescent="0.25">
      <c r="A13029">
        <v>32041590180</v>
      </c>
      <c r="B13029" t="s">
        <v>1789</v>
      </c>
    </row>
    <row r="13030" spans="1:2" x14ac:dyDescent="0.25">
      <c r="A13030">
        <v>32041590200</v>
      </c>
      <c r="B13030" t="s">
        <v>5540</v>
      </c>
    </row>
    <row r="13031" spans="1:2" x14ac:dyDescent="0.25">
      <c r="A13031">
        <v>32041590900</v>
      </c>
      <c r="B13031" t="s">
        <v>10</v>
      </c>
    </row>
    <row r="13032" spans="1:2" x14ac:dyDescent="0.25">
      <c r="A13032">
        <v>32041600</v>
      </c>
      <c r="B13032" t="e">
        <f>- - colorantes Reactivos y Preparaciones a base de estos colorantes</f>
        <v>#NAME?</v>
      </c>
    </row>
    <row r="13033" spans="1:2" x14ac:dyDescent="0.25">
      <c r="A13033">
        <v>320416001</v>
      </c>
      <c r="B13033" t="s">
        <v>5541</v>
      </c>
    </row>
    <row r="13034" spans="1:2" x14ac:dyDescent="0.25">
      <c r="A13034">
        <v>32041600110</v>
      </c>
      <c r="B13034" t="s">
        <v>5519</v>
      </c>
    </row>
    <row r="13035" spans="1:2" x14ac:dyDescent="0.25">
      <c r="A13035">
        <v>32041600120</v>
      </c>
      <c r="B13035" t="s">
        <v>5520</v>
      </c>
    </row>
    <row r="13036" spans="1:2" x14ac:dyDescent="0.25">
      <c r="A13036">
        <v>32041600130</v>
      </c>
      <c r="B13036" t="s">
        <v>5521</v>
      </c>
    </row>
    <row r="13037" spans="1:2" x14ac:dyDescent="0.25">
      <c r="A13037">
        <v>32041600140</v>
      </c>
      <c r="B13037" t="s">
        <v>5522</v>
      </c>
    </row>
    <row r="13038" spans="1:2" x14ac:dyDescent="0.25">
      <c r="A13038">
        <v>32041600150</v>
      </c>
      <c r="B13038" t="s">
        <v>5523</v>
      </c>
    </row>
    <row r="13039" spans="1:2" x14ac:dyDescent="0.25">
      <c r="A13039">
        <v>32041600160</v>
      </c>
      <c r="B13039" t="s">
        <v>1521</v>
      </c>
    </row>
    <row r="13040" spans="1:2" x14ac:dyDescent="0.25">
      <c r="A13040">
        <v>32041600170</v>
      </c>
      <c r="B13040" t="s">
        <v>5524</v>
      </c>
    </row>
    <row r="13041" spans="1:2" x14ac:dyDescent="0.25">
      <c r="A13041">
        <v>32041600180</v>
      </c>
      <c r="B13041" t="s">
        <v>1789</v>
      </c>
    </row>
    <row r="13042" spans="1:2" x14ac:dyDescent="0.25">
      <c r="A13042">
        <v>32041600200</v>
      </c>
      <c r="B13042" t="s">
        <v>5542</v>
      </c>
    </row>
    <row r="13043" spans="1:2" x14ac:dyDescent="0.25">
      <c r="A13043">
        <v>32041600900</v>
      </c>
      <c r="B13043" t="s">
        <v>10</v>
      </c>
    </row>
    <row r="13044" spans="1:2" x14ac:dyDescent="0.25">
      <c r="A13044">
        <v>32041700</v>
      </c>
      <c r="B13044" t="e">
        <f>- - colorantes pigmentarios y Preparaciones a base de estos colorantes</f>
        <v>#NAME?</v>
      </c>
    </row>
    <row r="13045" spans="1:2" x14ac:dyDescent="0.25">
      <c r="A13045">
        <v>320417001</v>
      </c>
      <c r="B13045" t="s">
        <v>5543</v>
      </c>
    </row>
    <row r="13046" spans="1:2" x14ac:dyDescent="0.25">
      <c r="A13046">
        <v>32041700110</v>
      </c>
      <c r="B13046" t="s">
        <v>5519</v>
      </c>
    </row>
    <row r="13047" spans="1:2" x14ac:dyDescent="0.25">
      <c r="A13047">
        <v>32041700120</v>
      </c>
      <c r="B13047" t="s">
        <v>5520</v>
      </c>
    </row>
    <row r="13048" spans="1:2" x14ac:dyDescent="0.25">
      <c r="A13048">
        <v>32041700130</v>
      </c>
      <c r="B13048" t="s">
        <v>5521</v>
      </c>
    </row>
    <row r="13049" spans="1:2" x14ac:dyDescent="0.25">
      <c r="A13049">
        <v>32041700140</v>
      </c>
      <c r="B13049" t="s">
        <v>5522</v>
      </c>
    </row>
    <row r="13050" spans="1:2" x14ac:dyDescent="0.25">
      <c r="A13050">
        <v>32041700150</v>
      </c>
      <c r="B13050" t="s">
        <v>5523</v>
      </c>
    </row>
    <row r="13051" spans="1:2" x14ac:dyDescent="0.25">
      <c r="A13051">
        <v>32041700160</v>
      </c>
      <c r="B13051" t="s">
        <v>1521</v>
      </c>
    </row>
    <row r="13052" spans="1:2" x14ac:dyDescent="0.25">
      <c r="A13052">
        <v>32041700170</v>
      </c>
      <c r="B13052" t="s">
        <v>5524</v>
      </c>
    </row>
    <row r="13053" spans="1:2" x14ac:dyDescent="0.25">
      <c r="A13053">
        <v>32041700180</v>
      </c>
      <c r="B13053" t="s">
        <v>1789</v>
      </c>
    </row>
    <row r="13054" spans="1:2" x14ac:dyDescent="0.25">
      <c r="A13054">
        <v>32041700200</v>
      </c>
      <c r="B13054" t="s">
        <v>5544</v>
      </c>
    </row>
    <row r="13055" spans="1:2" x14ac:dyDescent="0.25">
      <c r="A13055">
        <v>320417003</v>
      </c>
      <c r="B13055" t="s">
        <v>5545</v>
      </c>
    </row>
    <row r="13056" spans="1:2" x14ac:dyDescent="0.25">
      <c r="A13056">
        <v>32041700310</v>
      </c>
      <c r="B13056" t="s">
        <v>5546</v>
      </c>
    </row>
    <row r="13057" spans="1:2" x14ac:dyDescent="0.25">
      <c r="A13057">
        <v>32041700390</v>
      </c>
      <c r="B13057" t="s">
        <v>57</v>
      </c>
    </row>
    <row r="13058" spans="1:2" x14ac:dyDescent="0.25">
      <c r="A13058">
        <v>32041700900</v>
      </c>
      <c r="B13058" t="s">
        <v>10</v>
      </c>
    </row>
    <row r="13059" spans="1:2" x14ac:dyDescent="0.25">
      <c r="A13059">
        <v>320419</v>
      </c>
      <c r="B13059" t="s">
        <v>5547</v>
      </c>
    </row>
    <row r="13060" spans="1:2" x14ac:dyDescent="0.25">
      <c r="A13060">
        <v>3204191</v>
      </c>
      <c r="B13060" t="s">
        <v>5548</v>
      </c>
    </row>
    <row r="13061" spans="1:2" x14ac:dyDescent="0.25">
      <c r="A13061">
        <v>32041911</v>
      </c>
      <c r="B13061" t="s">
        <v>5549</v>
      </c>
    </row>
    <row r="13062" spans="1:2" x14ac:dyDescent="0.25">
      <c r="A13062">
        <v>32041911100</v>
      </c>
      <c r="B13062" t="s">
        <v>5550</v>
      </c>
    </row>
    <row r="13063" spans="1:2" x14ac:dyDescent="0.25">
      <c r="A13063">
        <v>32041911900</v>
      </c>
      <c r="B13063" t="s">
        <v>10</v>
      </c>
    </row>
    <row r="13064" spans="1:2" x14ac:dyDescent="0.25">
      <c r="A13064">
        <v>32041912000</v>
      </c>
      <c r="B13064" t="s">
        <v>5551</v>
      </c>
    </row>
    <row r="13065" spans="1:2" x14ac:dyDescent="0.25">
      <c r="A13065">
        <v>32041913000</v>
      </c>
      <c r="B13065" t="s">
        <v>5552</v>
      </c>
    </row>
    <row r="13066" spans="1:2" x14ac:dyDescent="0.25">
      <c r="A13066">
        <v>32041919000</v>
      </c>
      <c r="B13066" t="s">
        <v>57</v>
      </c>
    </row>
    <row r="13067" spans="1:2" x14ac:dyDescent="0.25">
      <c r="A13067">
        <v>32041920</v>
      </c>
      <c r="B13067" t="s">
        <v>5553</v>
      </c>
    </row>
    <row r="13068" spans="1:2" x14ac:dyDescent="0.25">
      <c r="A13068">
        <v>320419201</v>
      </c>
      <c r="B13068" t="s">
        <v>5554</v>
      </c>
    </row>
    <row r="13069" spans="1:2" x14ac:dyDescent="0.25">
      <c r="A13069">
        <v>32041920110</v>
      </c>
      <c r="B13069" t="s">
        <v>5519</v>
      </c>
    </row>
    <row r="13070" spans="1:2" x14ac:dyDescent="0.25">
      <c r="A13070">
        <v>32041920120</v>
      </c>
      <c r="B13070" t="s">
        <v>5520</v>
      </c>
    </row>
    <row r="13071" spans="1:2" x14ac:dyDescent="0.25">
      <c r="A13071">
        <v>32041920130</v>
      </c>
      <c r="B13071" t="s">
        <v>5521</v>
      </c>
    </row>
    <row r="13072" spans="1:2" x14ac:dyDescent="0.25">
      <c r="A13072">
        <v>32041920140</v>
      </c>
      <c r="B13072" t="s">
        <v>5522</v>
      </c>
    </row>
    <row r="13073" spans="1:2" x14ac:dyDescent="0.25">
      <c r="A13073">
        <v>32041920150</v>
      </c>
      <c r="B13073" t="s">
        <v>5523</v>
      </c>
    </row>
    <row r="13074" spans="1:2" x14ac:dyDescent="0.25">
      <c r="A13074">
        <v>32041920160</v>
      </c>
      <c r="B13074" t="s">
        <v>1521</v>
      </c>
    </row>
    <row r="13075" spans="1:2" x14ac:dyDescent="0.25">
      <c r="A13075">
        <v>32041920170</v>
      </c>
      <c r="B13075" t="s">
        <v>5524</v>
      </c>
    </row>
    <row r="13076" spans="1:2" x14ac:dyDescent="0.25">
      <c r="A13076">
        <v>32041920180</v>
      </c>
      <c r="B13076" t="s">
        <v>1789</v>
      </c>
    </row>
    <row r="13077" spans="1:2" x14ac:dyDescent="0.25">
      <c r="A13077">
        <v>32041920200</v>
      </c>
      <c r="B13077" t="s">
        <v>5555</v>
      </c>
    </row>
    <row r="13078" spans="1:2" x14ac:dyDescent="0.25">
      <c r="A13078">
        <v>32041920900</v>
      </c>
      <c r="B13078" t="s">
        <v>10</v>
      </c>
    </row>
    <row r="13079" spans="1:2" x14ac:dyDescent="0.25">
      <c r="A13079">
        <v>32041930</v>
      </c>
      <c r="B13079" t="s">
        <v>5556</v>
      </c>
    </row>
    <row r="13080" spans="1:2" x14ac:dyDescent="0.25">
      <c r="A13080">
        <v>320419301</v>
      </c>
      <c r="B13080" t="s">
        <v>5557</v>
      </c>
    </row>
    <row r="13081" spans="1:2" x14ac:dyDescent="0.25">
      <c r="A13081">
        <v>32041930110</v>
      </c>
      <c r="B13081" t="s">
        <v>5519</v>
      </c>
    </row>
    <row r="13082" spans="1:2" x14ac:dyDescent="0.25">
      <c r="A13082">
        <v>32041930120</v>
      </c>
      <c r="B13082" t="s">
        <v>5520</v>
      </c>
    </row>
    <row r="13083" spans="1:2" x14ac:dyDescent="0.25">
      <c r="A13083">
        <v>32041930130</v>
      </c>
      <c r="B13083" t="s">
        <v>5521</v>
      </c>
    </row>
    <row r="13084" spans="1:2" x14ac:dyDescent="0.25">
      <c r="A13084">
        <v>32041930140</v>
      </c>
      <c r="B13084" t="s">
        <v>5522</v>
      </c>
    </row>
    <row r="13085" spans="1:2" x14ac:dyDescent="0.25">
      <c r="A13085">
        <v>32041930150</v>
      </c>
      <c r="B13085" t="s">
        <v>5523</v>
      </c>
    </row>
    <row r="13086" spans="1:2" x14ac:dyDescent="0.25">
      <c r="A13086">
        <v>32041930160</v>
      </c>
      <c r="B13086" t="s">
        <v>1521</v>
      </c>
    </row>
    <row r="13087" spans="1:2" x14ac:dyDescent="0.25">
      <c r="A13087">
        <v>32041930170</v>
      </c>
      <c r="B13087" t="s">
        <v>5524</v>
      </c>
    </row>
    <row r="13088" spans="1:2" x14ac:dyDescent="0.25">
      <c r="A13088">
        <v>32041930180</v>
      </c>
      <c r="B13088" t="s">
        <v>1789</v>
      </c>
    </row>
    <row r="13089" spans="1:2" x14ac:dyDescent="0.25">
      <c r="A13089">
        <v>32041930200</v>
      </c>
      <c r="B13089" t="s">
        <v>5558</v>
      </c>
    </row>
    <row r="13090" spans="1:2" x14ac:dyDescent="0.25">
      <c r="A13090">
        <v>32041930900</v>
      </c>
      <c r="B13090" t="s">
        <v>10</v>
      </c>
    </row>
    <row r="13091" spans="1:2" x14ac:dyDescent="0.25">
      <c r="A13091">
        <v>32041990000</v>
      </c>
      <c r="B13091" t="s">
        <v>57</v>
      </c>
    </row>
    <row r="13092" spans="1:2" x14ac:dyDescent="0.25">
      <c r="A13092">
        <v>320420</v>
      </c>
      <c r="B13092" t="e">
        <f>- Productos organicos sinteticos de Los tipos utilizados para el avivado fluorescente</f>
        <v>#NAME?</v>
      </c>
    </row>
    <row r="13093" spans="1:2" x14ac:dyDescent="0.25">
      <c r="A13093">
        <v>3204201</v>
      </c>
      <c r="B13093" t="s">
        <v>5559</v>
      </c>
    </row>
    <row r="13094" spans="1:2" x14ac:dyDescent="0.25">
      <c r="A13094">
        <v>32042011</v>
      </c>
      <c r="B13094" t="s">
        <v>5560</v>
      </c>
    </row>
    <row r="13095" spans="1:2" x14ac:dyDescent="0.25">
      <c r="A13095">
        <v>32042011100</v>
      </c>
      <c r="B13095" t="s">
        <v>5561</v>
      </c>
    </row>
    <row r="13096" spans="1:2" x14ac:dyDescent="0.25">
      <c r="A13096">
        <v>32042011900</v>
      </c>
      <c r="B13096" t="s">
        <v>10</v>
      </c>
    </row>
    <row r="13097" spans="1:2" x14ac:dyDescent="0.25">
      <c r="A13097">
        <v>32042019</v>
      </c>
      <c r="B13097" t="s">
        <v>10</v>
      </c>
    </row>
    <row r="13098" spans="1:2" x14ac:dyDescent="0.25">
      <c r="A13098">
        <v>32042019100</v>
      </c>
      <c r="B13098" t="s">
        <v>5561</v>
      </c>
    </row>
    <row r="13099" spans="1:2" x14ac:dyDescent="0.25">
      <c r="A13099">
        <v>32042019900</v>
      </c>
      <c r="B13099" t="s">
        <v>10</v>
      </c>
    </row>
    <row r="13100" spans="1:2" x14ac:dyDescent="0.25">
      <c r="A13100">
        <v>32042090</v>
      </c>
      <c r="B13100" t="s">
        <v>10</v>
      </c>
    </row>
    <row r="13101" spans="1:2" x14ac:dyDescent="0.25">
      <c r="A13101">
        <v>32042090100</v>
      </c>
      <c r="B13101" t="s">
        <v>5561</v>
      </c>
    </row>
    <row r="13102" spans="1:2" x14ac:dyDescent="0.25">
      <c r="A13102">
        <v>32042090900</v>
      </c>
      <c r="B13102" t="s">
        <v>10</v>
      </c>
    </row>
    <row r="13103" spans="1:2" x14ac:dyDescent="0.25">
      <c r="A13103">
        <v>32049000000</v>
      </c>
      <c r="B13103" t="e">
        <f>-Los demas</f>
        <v>#NAME?</v>
      </c>
    </row>
    <row r="13104" spans="1:2" x14ac:dyDescent="0.25">
      <c r="A13104">
        <v>32050000</v>
      </c>
      <c r="B13104" t="s">
        <v>5562</v>
      </c>
    </row>
    <row r="13105" spans="1:2" x14ac:dyDescent="0.25">
      <c r="A13105">
        <v>32050000100</v>
      </c>
      <c r="B13105" t="s">
        <v>5563</v>
      </c>
    </row>
    <row r="13106" spans="1:2" x14ac:dyDescent="0.25">
      <c r="A13106">
        <v>32050000200</v>
      </c>
      <c r="B13106" t="s">
        <v>5564</v>
      </c>
    </row>
    <row r="13107" spans="1:2" x14ac:dyDescent="0.25">
      <c r="A13107">
        <v>3206</v>
      </c>
      <c r="B13107" t="s">
        <v>5565</v>
      </c>
    </row>
    <row r="13108" spans="1:2" x14ac:dyDescent="0.25">
      <c r="A13108">
        <v>32061</v>
      </c>
      <c r="B13108" t="s">
        <v>5566</v>
      </c>
    </row>
    <row r="13109" spans="1:2" x14ac:dyDescent="0.25">
      <c r="A13109">
        <v>320611</v>
      </c>
      <c r="B13109" t="s">
        <v>5567</v>
      </c>
    </row>
    <row r="13110" spans="1:2" x14ac:dyDescent="0.25">
      <c r="A13110">
        <v>32061110</v>
      </c>
      <c r="B13110" t="s">
        <v>5568</v>
      </c>
    </row>
    <row r="13111" spans="1:2" x14ac:dyDescent="0.25">
      <c r="A13111">
        <v>32061110100</v>
      </c>
      <c r="B13111" t="s">
        <v>5569</v>
      </c>
    </row>
    <row r="13112" spans="1:2" x14ac:dyDescent="0.25">
      <c r="A13112">
        <v>32061110200</v>
      </c>
      <c r="B13112" t="s">
        <v>5570</v>
      </c>
    </row>
    <row r="13113" spans="1:2" x14ac:dyDescent="0.25">
      <c r="A13113">
        <v>32061110900</v>
      </c>
      <c r="B13113" t="s">
        <v>10</v>
      </c>
    </row>
    <row r="13114" spans="1:2" x14ac:dyDescent="0.25">
      <c r="A13114">
        <v>32061120</v>
      </c>
      <c r="B13114" t="s">
        <v>5571</v>
      </c>
    </row>
    <row r="13115" spans="1:2" x14ac:dyDescent="0.25">
      <c r="A13115">
        <v>32061120100</v>
      </c>
      <c r="B13115" t="s">
        <v>5572</v>
      </c>
    </row>
    <row r="13116" spans="1:2" x14ac:dyDescent="0.25">
      <c r="A13116">
        <v>32061120900</v>
      </c>
      <c r="B13116" t="s">
        <v>10</v>
      </c>
    </row>
    <row r="13117" spans="1:2" x14ac:dyDescent="0.25">
      <c r="A13117">
        <v>32061130000</v>
      </c>
      <c r="B13117" t="s">
        <v>5564</v>
      </c>
    </row>
    <row r="13118" spans="1:2" x14ac:dyDescent="0.25">
      <c r="A13118">
        <v>320619</v>
      </c>
      <c r="B13118" t="e">
        <f>- - Los demas</f>
        <v>#NAME?</v>
      </c>
    </row>
    <row r="13119" spans="1:2" x14ac:dyDescent="0.25">
      <c r="A13119">
        <v>32061910</v>
      </c>
      <c r="B13119" t="s">
        <v>5573</v>
      </c>
    </row>
    <row r="13120" spans="1:2" x14ac:dyDescent="0.25">
      <c r="A13120">
        <v>32061910100</v>
      </c>
      <c r="B13120" t="s">
        <v>5574</v>
      </c>
    </row>
    <row r="13121" spans="1:2" x14ac:dyDescent="0.25">
      <c r="A13121">
        <v>32061910900</v>
      </c>
      <c r="B13121" t="s">
        <v>10</v>
      </c>
    </row>
    <row r="13122" spans="1:2" x14ac:dyDescent="0.25">
      <c r="A13122">
        <v>32061990</v>
      </c>
      <c r="B13122" t="s">
        <v>10</v>
      </c>
    </row>
    <row r="13123" spans="1:2" x14ac:dyDescent="0.25">
      <c r="A13123">
        <v>32061990100</v>
      </c>
      <c r="B13123" t="s">
        <v>5564</v>
      </c>
    </row>
    <row r="13124" spans="1:2" x14ac:dyDescent="0.25">
      <c r="A13124">
        <v>32061990900</v>
      </c>
      <c r="B13124" t="s">
        <v>10</v>
      </c>
    </row>
    <row r="13125" spans="1:2" x14ac:dyDescent="0.25">
      <c r="A13125">
        <v>32062000</v>
      </c>
      <c r="B13125" t="e">
        <f>- Pigmentos y Preparaciones a base de compuestos de cromo</f>
        <v>#NAME?</v>
      </c>
    </row>
    <row r="13126" spans="1:2" x14ac:dyDescent="0.25">
      <c r="A13126">
        <v>32062000100</v>
      </c>
      <c r="B13126" t="s">
        <v>5575</v>
      </c>
    </row>
    <row r="13127" spans="1:2" x14ac:dyDescent="0.25">
      <c r="A13127">
        <v>32062000200</v>
      </c>
      <c r="B13127" t="s">
        <v>5564</v>
      </c>
    </row>
    <row r="13128" spans="1:2" x14ac:dyDescent="0.25">
      <c r="A13128">
        <v>32064</v>
      </c>
      <c r="B13128" t="s">
        <v>5576</v>
      </c>
    </row>
    <row r="13129" spans="1:2" x14ac:dyDescent="0.25">
      <c r="A13129">
        <v>32064100</v>
      </c>
      <c r="B13129" t="e">
        <f>- - Ultramar y sus Preparaciones</f>
        <v>#NAME?</v>
      </c>
    </row>
    <row r="13130" spans="1:2" x14ac:dyDescent="0.25">
      <c r="A13130">
        <v>32064100100</v>
      </c>
      <c r="B13130" t="s">
        <v>5577</v>
      </c>
    </row>
    <row r="13131" spans="1:2" x14ac:dyDescent="0.25">
      <c r="A13131">
        <v>32064100200</v>
      </c>
      <c r="B13131" t="s">
        <v>5564</v>
      </c>
    </row>
    <row r="13132" spans="1:2" x14ac:dyDescent="0.25">
      <c r="A13132">
        <v>320642</v>
      </c>
      <c r="B13132" t="e">
        <f>- - Litopon y demas Pigmentos y Preparaciones a base de Sulfuro de cinc</f>
        <v>#NAME?</v>
      </c>
    </row>
    <row r="13133" spans="1:2" x14ac:dyDescent="0.25">
      <c r="A13133">
        <v>32064210000</v>
      </c>
      <c r="B13133" t="s">
        <v>5578</v>
      </c>
    </row>
    <row r="13134" spans="1:2" x14ac:dyDescent="0.25">
      <c r="A13134">
        <v>32064290</v>
      </c>
      <c r="B13134" t="s">
        <v>10</v>
      </c>
    </row>
    <row r="13135" spans="1:2" x14ac:dyDescent="0.25">
      <c r="A13135">
        <v>320642901</v>
      </c>
      <c r="B13135" t="s">
        <v>5564</v>
      </c>
    </row>
    <row r="13136" spans="1:2" x14ac:dyDescent="0.25">
      <c r="A13136">
        <v>32064290110</v>
      </c>
      <c r="B13136" t="s">
        <v>5579</v>
      </c>
    </row>
    <row r="13137" spans="1:2" x14ac:dyDescent="0.25">
      <c r="A13137">
        <v>32064290120</v>
      </c>
      <c r="B13137" t="s">
        <v>5580</v>
      </c>
    </row>
    <row r="13138" spans="1:2" x14ac:dyDescent="0.25">
      <c r="A13138">
        <v>32064290200</v>
      </c>
      <c r="B13138" t="s">
        <v>5581</v>
      </c>
    </row>
    <row r="13139" spans="1:2" x14ac:dyDescent="0.25">
      <c r="A13139">
        <v>320649</v>
      </c>
      <c r="B13139" t="e">
        <f>- - las demas</f>
        <v>#NAME?</v>
      </c>
    </row>
    <row r="13140" spans="1:2" x14ac:dyDescent="0.25">
      <c r="A13140">
        <v>32064910</v>
      </c>
      <c r="B13140" t="s">
        <v>5582</v>
      </c>
    </row>
    <row r="13141" spans="1:2" x14ac:dyDescent="0.25">
      <c r="A13141">
        <v>32064910100</v>
      </c>
      <c r="B13141" t="s">
        <v>5583</v>
      </c>
    </row>
    <row r="13142" spans="1:2" x14ac:dyDescent="0.25">
      <c r="A13142">
        <v>32064910200</v>
      </c>
      <c r="B13142" t="s">
        <v>5564</v>
      </c>
    </row>
    <row r="13143" spans="1:2" x14ac:dyDescent="0.25">
      <c r="A13143">
        <v>32064920</v>
      </c>
      <c r="B13143" t="s">
        <v>5584</v>
      </c>
    </row>
    <row r="13144" spans="1:2" x14ac:dyDescent="0.25">
      <c r="A13144">
        <v>320649201</v>
      </c>
      <c r="B13144" t="s">
        <v>5585</v>
      </c>
    </row>
    <row r="13145" spans="1:2" x14ac:dyDescent="0.25">
      <c r="A13145">
        <v>32064920110</v>
      </c>
      <c r="B13145" t="s">
        <v>2325</v>
      </c>
    </row>
    <row r="13146" spans="1:2" x14ac:dyDescent="0.25">
      <c r="A13146">
        <v>32064920120</v>
      </c>
      <c r="B13146" t="s">
        <v>2327</v>
      </c>
    </row>
    <row r="13147" spans="1:2" x14ac:dyDescent="0.25">
      <c r="A13147">
        <v>320649202</v>
      </c>
      <c r="B13147" t="s">
        <v>5564</v>
      </c>
    </row>
    <row r="13148" spans="1:2" x14ac:dyDescent="0.25">
      <c r="A13148">
        <v>32064920210</v>
      </c>
      <c r="B13148" t="s">
        <v>5586</v>
      </c>
    </row>
    <row r="13149" spans="1:2" x14ac:dyDescent="0.25">
      <c r="A13149">
        <v>32064920220</v>
      </c>
      <c r="B13149" t="s">
        <v>5587</v>
      </c>
    </row>
    <row r="13150" spans="1:2" x14ac:dyDescent="0.25">
      <c r="A13150">
        <v>32064990</v>
      </c>
      <c r="B13150" t="s">
        <v>57</v>
      </c>
    </row>
    <row r="13151" spans="1:2" x14ac:dyDescent="0.25">
      <c r="A13151">
        <v>320649901</v>
      </c>
      <c r="B13151" t="s">
        <v>5588</v>
      </c>
    </row>
    <row r="13152" spans="1:2" x14ac:dyDescent="0.25">
      <c r="A13152">
        <v>32064990110</v>
      </c>
      <c r="B13152" t="s">
        <v>5574</v>
      </c>
    </row>
    <row r="13153" spans="1:2" x14ac:dyDescent="0.25">
      <c r="A13153">
        <v>32064990190</v>
      </c>
      <c r="B13153" t="s">
        <v>10</v>
      </c>
    </row>
    <row r="13154" spans="1:2" x14ac:dyDescent="0.25">
      <c r="A13154">
        <v>320649902</v>
      </c>
      <c r="B13154" t="s">
        <v>5589</v>
      </c>
    </row>
    <row r="13155" spans="1:2" x14ac:dyDescent="0.25">
      <c r="A13155">
        <v>32064990210</v>
      </c>
      <c r="B13155" t="s">
        <v>5574</v>
      </c>
    </row>
    <row r="13156" spans="1:2" x14ac:dyDescent="0.25">
      <c r="A13156">
        <v>32064990290</v>
      </c>
      <c r="B13156" t="s">
        <v>10</v>
      </c>
    </row>
    <row r="13157" spans="1:2" x14ac:dyDescent="0.25">
      <c r="A13157">
        <v>32064990300</v>
      </c>
      <c r="B13157" t="s">
        <v>5590</v>
      </c>
    </row>
    <row r="13158" spans="1:2" x14ac:dyDescent="0.25">
      <c r="A13158">
        <v>32064990900</v>
      </c>
      <c r="B13158" t="s">
        <v>10</v>
      </c>
    </row>
    <row r="13159" spans="1:2" x14ac:dyDescent="0.25">
      <c r="A13159">
        <v>320650</v>
      </c>
      <c r="B13159" t="e">
        <f>- Productos inorganicos de Los tipos utilizados como luminoforos</f>
        <v>#NAME?</v>
      </c>
    </row>
    <row r="13160" spans="1:2" x14ac:dyDescent="0.25">
      <c r="A13160">
        <v>3206501</v>
      </c>
      <c r="B13160" t="s">
        <v>5591</v>
      </c>
    </row>
    <row r="13161" spans="1:2" x14ac:dyDescent="0.25">
      <c r="A13161">
        <v>32065011000</v>
      </c>
      <c r="B13161" t="s">
        <v>5592</v>
      </c>
    </row>
    <row r="13162" spans="1:2" x14ac:dyDescent="0.25">
      <c r="A13162">
        <v>32065019000</v>
      </c>
      <c r="B13162" t="s">
        <v>10</v>
      </c>
    </row>
    <row r="13163" spans="1:2" x14ac:dyDescent="0.25">
      <c r="A13163">
        <v>3206502</v>
      </c>
      <c r="B13163" t="s">
        <v>5593</v>
      </c>
    </row>
    <row r="13164" spans="1:2" x14ac:dyDescent="0.25">
      <c r="A13164">
        <v>32065021000</v>
      </c>
      <c r="B13164" t="s">
        <v>5592</v>
      </c>
    </row>
    <row r="13165" spans="1:2" x14ac:dyDescent="0.25">
      <c r="A13165">
        <v>32065029000</v>
      </c>
      <c r="B13165" t="s">
        <v>10</v>
      </c>
    </row>
    <row r="13166" spans="1:2" x14ac:dyDescent="0.25">
      <c r="A13166">
        <v>3207</v>
      </c>
      <c r="B13166" t="s">
        <v>5594</v>
      </c>
    </row>
    <row r="13167" spans="1:2" x14ac:dyDescent="0.25">
      <c r="A13167">
        <v>320710</v>
      </c>
      <c r="B13167" t="e">
        <f>- Pigmentos. opacificantes y colores preparados y Preparaciones similares</f>
        <v>#NAME?</v>
      </c>
    </row>
    <row r="13168" spans="1:2" x14ac:dyDescent="0.25">
      <c r="A13168">
        <v>32071010000</v>
      </c>
      <c r="B13168" t="s">
        <v>5595</v>
      </c>
    </row>
    <row r="13169" spans="1:2" x14ac:dyDescent="0.25">
      <c r="A13169">
        <v>32071090</v>
      </c>
      <c r="B13169" t="s">
        <v>10</v>
      </c>
    </row>
    <row r="13170" spans="1:2" x14ac:dyDescent="0.25">
      <c r="A13170">
        <v>32071090100</v>
      </c>
      <c r="B13170" t="s">
        <v>5585</v>
      </c>
    </row>
    <row r="13171" spans="1:2" x14ac:dyDescent="0.25">
      <c r="A13171">
        <v>32071090200</v>
      </c>
      <c r="B13171" t="s">
        <v>5596</v>
      </c>
    </row>
    <row r="13172" spans="1:2" x14ac:dyDescent="0.25">
      <c r="A13172">
        <v>32071090900</v>
      </c>
      <c r="B13172" t="s">
        <v>10</v>
      </c>
    </row>
    <row r="13173" spans="1:2" x14ac:dyDescent="0.25">
      <c r="A13173">
        <v>320720</v>
      </c>
      <c r="B13173" t="e">
        <f>- Composiciones vitrificables. engobes y Preparaciones similares</f>
        <v>#NAME?</v>
      </c>
    </row>
    <row r="13174" spans="1:2" x14ac:dyDescent="0.25">
      <c r="A13174">
        <v>32072010000</v>
      </c>
      <c r="B13174" t="s">
        <v>5597</v>
      </c>
    </row>
    <row r="13175" spans="1:2" x14ac:dyDescent="0.25">
      <c r="A13175">
        <v>3207209</v>
      </c>
      <c r="B13175" t="s">
        <v>57</v>
      </c>
    </row>
    <row r="13176" spans="1:2" x14ac:dyDescent="0.25">
      <c r="A13176">
        <v>32072091000</v>
      </c>
      <c r="B13176" t="s">
        <v>5598</v>
      </c>
    </row>
    <row r="13177" spans="1:2" x14ac:dyDescent="0.25">
      <c r="A13177">
        <v>32072099000</v>
      </c>
      <c r="B13177" t="s">
        <v>57</v>
      </c>
    </row>
    <row r="13178" spans="1:2" x14ac:dyDescent="0.25">
      <c r="A13178">
        <v>32073000000</v>
      </c>
      <c r="B13178" t="e">
        <f>-Abrillantadores (lustres) liquidos y Preparaciones similares</f>
        <v>#NAME?</v>
      </c>
    </row>
    <row r="13179" spans="1:2" x14ac:dyDescent="0.25">
      <c r="A13179">
        <v>320740</v>
      </c>
      <c r="B13179" t="e">
        <f>- Frita de vidrio y demas vidrios. En polvo. Granulos. copos o escamillas</f>
        <v>#NAME?</v>
      </c>
    </row>
    <row r="13180" spans="1:2" x14ac:dyDescent="0.25">
      <c r="A13180">
        <v>32074010000</v>
      </c>
      <c r="B13180" t="s">
        <v>5599</v>
      </c>
    </row>
    <row r="13181" spans="1:2" x14ac:dyDescent="0.25">
      <c r="A13181">
        <v>32074090000</v>
      </c>
      <c r="B13181" t="s">
        <v>10</v>
      </c>
    </row>
    <row r="13182" spans="1:2" x14ac:dyDescent="0.25">
      <c r="A13182">
        <v>3208</v>
      </c>
      <c r="B13182" t="s">
        <v>5600</v>
      </c>
    </row>
    <row r="13183" spans="1:2" x14ac:dyDescent="0.25">
      <c r="A13183">
        <v>320810</v>
      </c>
      <c r="B13183" t="e">
        <f>- a base de poliesteres</f>
        <v>#NAME?</v>
      </c>
    </row>
    <row r="13184" spans="1:2" x14ac:dyDescent="0.25">
      <c r="A13184">
        <v>32081010000</v>
      </c>
      <c r="B13184" t="s">
        <v>5601</v>
      </c>
    </row>
    <row r="13185" spans="1:2" x14ac:dyDescent="0.25">
      <c r="A13185">
        <v>32081020000</v>
      </c>
      <c r="B13185" t="s">
        <v>5602</v>
      </c>
    </row>
    <row r="13186" spans="1:2" x14ac:dyDescent="0.25">
      <c r="A13186">
        <v>32081030000</v>
      </c>
      <c r="B13186" t="s">
        <v>5603</v>
      </c>
    </row>
    <row r="13187" spans="1:2" x14ac:dyDescent="0.25">
      <c r="A13187">
        <v>320820</v>
      </c>
      <c r="B13187" t="e">
        <f>- a base de Polimeros acrilicos o vinilicos</f>
        <v>#NAME?</v>
      </c>
    </row>
    <row r="13188" spans="1:2" x14ac:dyDescent="0.25">
      <c r="A13188">
        <v>3208201</v>
      </c>
      <c r="B13188" t="s">
        <v>5601</v>
      </c>
    </row>
    <row r="13189" spans="1:2" x14ac:dyDescent="0.25">
      <c r="A13189">
        <v>32082011000</v>
      </c>
      <c r="B13189" t="s">
        <v>5604</v>
      </c>
    </row>
    <row r="13190" spans="1:2" x14ac:dyDescent="0.25">
      <c r="A13190">
        <v>32082019</v>
      </c>
      <c r="B13190" t="s">
        <v>57</v>
      </c>
    </row>
    <row r="13191" spans="1:2" x14ac:dyDescent="0.25">
      <c r="A13191">
        <v>32082019100</v>
      </c>
      <c r="B13191" t="s">
        <v>5605</v>
      </c>
    </row>
    <row r="13192" spans="1:2" x14ac:dyDescent="0.25">
      <c r="A13192">
        <v>32082019200</v>
      </c>
      <c r="B13192" t="s">
        <v>5606</v>
      </c>
    </row>
    <row r="13193" spans="1:2" x14ac:dyDescent="0.25">
      <c r="A13193">
        <v>32082020</v>
      </c>
      <c r="B13193" t="s">
        <v>5602</v>
      </c>
    </row>
    <row r="13194" spans="1:2" x14ac:dyDescent="0.25">
      <c r="A13194">
        <v>32082020100</v>
      </c>
      <c r="B13194" t="s">
        <v>5605</v>
      </c>
    </row>
    <row r="13195" spans="1:2" x14ac:dyDescent="0.25">
      <c r="A13195">
        <v>32082020200</v>
      </c>
      <c r="B13195" t="s">
        <v>5606</v>
      </c>
    </row>
    <row r="13196" spans="1:2" x14ac:dyDescent="0.25">
      <c r="A13196">
        <v>32082030000</v>
      </c>
      <c r="B13196" t="s">
        <v>5603</v>
      </c>
    </row>
    <row r="13197" spans="1:2" x14ac:dyDescent="0.25">
      <c r="A13197">
        <v>320890</v>
      </c>
      <c r="B13197" t="e">
        <f>- Los demas</f>
        <v>#NAME?</v>
      </c>
    </row>
    <row r="13198" spans="1:2" x14ac:dyDescent="0.25">
      <c r="A13198">
        <v>32089010</v>
      </c>
      <c r="B13198" t="s">
        <v>5601</v>
      </c>
    </row>
    <row r="13199" spans="1:2" x14ac:dyDescent="0.25">
      <c r="A13199">
        <v>320890101</v>
      </c>
      <c r="B13199" t="s">
        <v>5607</v>
      </c>
    </row>
    <row r="13200" spans="1:2" x14ac:dyDescent="0.25">
      <c r="A13200">
        <v>32089010110</v>
      </c>
      <c r="B13200" t="s">
        <v>5608</v>
      </c>
    </row>
    <row r="13201" spans="1:2" x14ac:dyDescent="0.25">
      <c r="A13201">
        <v>32089010120</v>
      </c>
      <c r="B13201" t="s">
        <v>5609</v>
      </c>
    </row>
    <row r="13202" spans="1:2" x14ac:dyDescent="0.25">
      <c r="A13202">
        <v>32089010130</v>
      </c>
      <c r="B13202" t="s">
        <v>5610</v>
      </c>
    </row>
    <row r="13203" spans="1:2" x14ac:dyDescent="0.25">
      <c r="A13203">
        <v>32089010140</v>
      </c>
      <c r="B13203" t="s">
        <v>5611</v>
      </c>
    </row>
    <row r="13204" spans="1:2" x14ac:dyDescent="0.25">
      <c r="A13204">
        <v>32089010190</v>
      </c>
      <c r="B13204" t="s">
        <v>57</v>
      </c>
    </row>
    <row r="13205" spans="1:2" x14ac:dyDescent="0.25">
      <c r="A13205">
        <v>32089010200</v>
      </c>
      <c r="B13205" t="s">
        <v>5612</v>
      </c>
    </row>
    <row r="13206" spans="1:2" x14ac:dyDescent="0.25">
      <c r="A13206">
        <v>320890103</v>
      </c>
      <c r="B13206" t="s">
        <v>5613</v>
      </c>
    </row>
    <row r="13207" spans="1:2" x14ac:dyDescent="0.25">
      <c r="A13207">
        <v>32089010310</v>
      </c>
      <c r="B13207" t="s">
        <v>5614</v>
      </c>
    </row>
    <row r="13208" spans="1:2" x14ac:dyDescent="0.25">
      <c r="A13208">
        <v>32089010390</v>
      </c>
      <c r="B13208" t="s">
        <v>10</v>
      </c>
    </row>
    <row r="13209" spans="1:2" x14ac:dyDescent="0.25">
      <c r="A13209">
        <v>320890104</v>
      </c>
      <c r="B13209" t="s">
        <v>5615</v>
      </c>
    </row>
    <row r="13210" spans="1:2" x14ac:dyDescent="0.25">
      <c r="A13210">
        <v>32089010410</v>
      </c>
      <c r="B13210" t="s">
        <v>5611</v>
      </c>
    </row>
    <row r="13211" spans="1:2" x14ac:dyDescent="0.25">
      <c r="A13211">
        <v>32089010490</v>
      </c>
      <c r="B13211" t="s">
        <v>57</v>
      </c>
    </row>
    <row r="13212" spans="1:2" x14ac:dyDescent="0.25">
      <c r="A13212">
        <v>32089010500</v>
      </c>
      <c r="B13212" t="s">
        <v>5616</v>
      </c>
    </row>
    <row r="13213" spans="1:2" x14ac:dyDescent="0.25">
      <c r="A13213">
        <v>32089010900</v>
      </c>
      <c r="B13213" t="s">
        <v>57</v>
      </c>
    </row>
    <row r="13214" spans="1:2" x14ac:dyDescent="0.25">
      <c r="A13214">
        <v>3208902</v>
      </c>
      <c r="B13214" t="s">
        <v>5602</v>
      </c>
    </row>
    <row r="13215" spans="1:2" x14ac:dyDescent="0.25">
      <c r="A13215">
        <v>32089021000</v>
      </c>
      <c r="B13215" t="s">
        <v>5617</v>
      </c>
    </row>
    <row r="13216" spans="1:2" x14ac:dyDescent="0.25">
      <c r="A13216">
        <v>32089029</v>
      </c>
      <c r="B13216" t="s">
        <v>10</v>
      </c>
    </row>
    <row r="13217" spans="1:2" x14ac:dyDescent="0.25">
      <c r="A13217">
        <v>32089029100</v>
      </c>
      <c r="B13217" t="s">
        <v>5607</v>
      </c>
    </row>
    <row r="13218" spans="1:2" x14ac:dyDescent="0.25">
      <c r="A13218">
        <v>32089029200</v>
      </c>
      <c r="B13218" t="s">
        <v>5612</v>
      </c>
    </row>
    <row r="13219" spans="1:2" x14ac:dyDescent="0.25">
      <c r="A13219">
        <v>32089029300</v>
      </c>
      <c r="B13219" t="s">
        <v>5615</v>
      </c>
    </row>
    <row r="13220" spans="1:2" x14ac:dyDescent="0.25">
      <c r="A13220">
        <v>32089029900</v>
      </c>
      <c r="B13220" t="s">
        <v>10</v>
      </c>
    </row>
    <row r="13221" spans="1:2" x14ac:dyDescent="0.25">
      <c r="A13221">
        <v>3208903</v>
      </c>
      <c r="B13221" t="s">
        <v>5603</v>
      </c>
    </row>
    <row r="13222" spans="1:2" x14ac:dyDescent="0.25">
      <c r="A13222">
        <v>32089031000</v>
      </c>
      <c r="B13222" t="s">
        <v>5618</v>
      </c>
    </row>
    <row r="13223" spans="1:2" x14ac:dyDescent="0.25">
      <c r="A13223">
        <v>32089039</v>
      </c>
      <c r="B13223" t="s">
        <v>57</v>
      </c>
    </row>
    <row r="13224" spans="1:2" x14ac:dyDescent="0.25">
      <c r="A13224">
        <v>32089039200</v>
      </c>
      <c r="B13224" t="s">
        <v>5619</v>
      </c>
    </row>
    <row r="13225" spans="1:2" x14ac:dyDescent="0.25">
      <c r="A13225">
        <v>32089039300</v>
      </c>
      <c r="B13225" t="s">
        <v>5620</v>
      </c>
    </row>
    <row r="13226" spans="1:2" x14ac:dyDescent="0.25">
      <c r="A13226">
        <v>32089039900</v>
      </c>
      <c r="B13226" t="s">
        <v>57</v>
      </c>
    </row>
    <row r="13227" spans="1:2" x14ac:dyDescent="0.25">
      <c r="A13227">
        <v>3209</v>
      </c>
      <c r="B13227" t="s">
        <v>5621</v>
      </c>
    </row>
    <row r="13228" spans="1:2" x14ac:dyDescent="0.25">
      <c r="A13228">
        <v>320910</v>
      </c>
      <c r="B13228" t="e">
        <f>- a base de Polimeros acrilicos o vinilicos</f>
        <v>#NAME?</v>
      </c>
    </row>
    <row r="13229" spans="1:2" x14ac:dyDescent="0.25">
      <c r="A13229">
        <v>32091010</v>
      </c>
      <c r="B13229" t="s">
        <v>5601</v>
      </c>
    </row>
    <row r="13230" spans="1:2" x14ac:dyDescent="0.25">
      <c r="A13230">
        <v>32091010100</v>
      </c>
      <c r="B13230" t="s">
        <v>5605</v>
      </c>
    </row>
    <row r="13231" spans="1:2" x14ac:dyDescent="0.25">
      <c r="A13231">
        <v>32091010200</v>
      </c>
      <c r="B13231" t="s">
        <v>5606</v>
      </c>
    </row>
    <row r="13232" spans="1:2" x14ac:dyDescent="0.25">
      <c r="A13232">
        <v>32091020</v>
      </c>
      <c r="B13232" t="s">
        <v>5602</v>
      </c>
    </row>
    <row r="13233" spans="1:2" x14ac:dyDescent="0.25">
      <c r="A13233">
        <v>32091020100</v>
      </c>
      <c r="B13233" t="s">
        <v>5605</v>
      </c>
    </row>
    <row r="13234" spans="1:2" x14ac:dyDescent="0.25">
      <c r="A13234">
        <v>32091020200</v>
      </c>
      <c r="B13234" t="s">
        <v>5606</v>
      </c>
    </row>
    <row r="13235" spans="1:2" x14ac:dyDescent="0.25">
      <c r="A13235">
        <v>320990</v>
      </c>
      <c r="B13235" t="e">
        <f>- Los demas</f>
        <v>#NAME?</v>
      </c>
    </row>
    <row r="13236" spans="1:2" x14ac:dyDescent="0.25">
      <c r="A13236">
        <v>3209901</v>
      </c>
      <c r="B13236" t="s">
        <v>5601</v>
      </c>
    </row>
    <row r="13237" spans="1:2" x14ac:dyDescent="0.25">
      <c r="A13237">
        <v>32099011000</v>
      </c>
      <c r="B13237" t="s">
        <v>5622</v>
      </c>
    </row>
    <row r="13238" spans="1:2" x14ac:dyDescent="0.25">
      <c r="A13238">
        <v>32099019</v>
      </c>
      <c r="B13238" t="s">
        <v>57</v>
      </c>
    </row>
    <row r="13239" spans="1:2" x14ac:dyDescent="0.25">
      <c r="A13239">
        <v>32099019100</v>
      </c>
      <c r="B13239" t="s">
        <v>5607</v>
      </c>
    </row>
    <row r="13240" spans="1:2" x14ac:dyDescent="0.25">
      <c r="A13240">
        <v>32099019200</v>
      </c>
      <c r="B13240" t="s">
        <v>5615</v>
      </c>
    </row>
    <row r="13241" spans="1:2" x14ac:dyDescent="0.25">
      <c r="A13241">
        <v>320990199</v>
      </c>
      <c r="B13241" t="s">
        <v>57</v>
      </c>
    </row>
    <row r="13242" spans="1:2" x14ac:dyDescent="0.25">
      <c r="A13242">
        <v>32099019910</v>
      </c>
      <c r="B13242" t="s">
        <v>5623</v>
      </c>
    </row>
    <row r="13243" spans="1:2" x14ac:dyDescent="0.25">
      <c r="A13243">
        <v>32099019990</v>
      </c>
      <c r="B13243" t="s">
        <v>57</v>
      </c>
    </row>
    <row r="13244" spans="1:2" x14ac:dyDescent="0.25">
      <c r="A13244">
        <v>32099020</v>
      </c>
      <c r="B13244" t="s">
        <v>5602</v>
      </c>
    </row>
    <row r="13245" spans="1:2" x14ac:dyDescent="0.25">
      <c r="A13245">
        <v>32099020100</v>
      </c>
      <c r="B13245" t="s">
        <v>5607</v>
      </c>
    </row>
    <row r="13246" spans="1:2" x14ac:dyDescent="0.25">
      <c r="A13246">
        <v>32099020200</v>
      </c>
      <c r="B13246" t="s">
        <v>5615</v>
      </c>
    </row>
    <row r="13247" spans="1:2" x14ac:dyDescent="0.25">
      <c r="A13247">
        <v>32099020900</v>
      </c>
      <c r="B13247" t="s">
        <v>10</v>
      </c>
    </row>
    <row r="13248" spans="1:2" x14ac:dyDescent="0.25">
      <c r="A13248">
        <v>321000</v>
      </c>
      <c r="B13248" t="s">
        <v>5624</v>
      </c>
    </row>
    <row r="13249" spans="1:2" x14ac:dyDescent="0.25">
      <c r="A13249">
        <v>32100010</v>
      </c>
      <c r="B13249" t="s">
        <v>5601</v>
      </c>
    </row>
    <row r="13250" spans="1:2" x14ac:dyDescent="0.25">
      <c r="A13250">
        <v>32100010100</v>
      </c>
      <c r="B13250" t="s">
        <v>5625</v>
      </c>
    </row>
    <row r="13251" spans="1:2" x14ac:dyDescent="0.25">
      <c r="A13251">
        <v>32100010200</v>
      </c>
      <c r="B13251" t="s">
        <v>5626</v>
      </c>
    </row>
    <row r="13252" spans="1:2" x14ac:dyDescent="0.25">
      <c r="A13252">
        <v>32100010900</v>
      </c>
      <c r="B13252" t="s">
        <v>57</v>
      </c>
    </row>
    <row r="13253" spans="1:2" x14ac:dyDescent="0.25">
      <c r="A13253">
        <v>32100020000</v>
      </c>
      <c r="B13253" t="s">
        <v>5602</v>
      </c>
    </row>
    <row r="13254" spans="1:2" x14ac:dyDescent="0.25">
      <c r="A13254">
        <v>32100030000</v>
      </c>
      <c r="B13254" t="s">
        <v>5627</v>
      </c>
    </row>
    <row r="13255" spans="1:2" x14ac:dyDescent="0.25">
      <c r="A13255">
        <v>32110000000</v>
      </c>
      <c r="B13255" t="s">
        <v>5628</v>
      </c>
    </row>
    <row r="13256" spans="1:2" x14ac:dyDescent="0.25">
      <c r="A13256">
        <v>3212</v>
      </c>
      <c r="B13256" t="s">
        <v>5629</v>
      </c>
    </row>
    <row r="13257" spans="1:2" x14ac:dyDescent="0.25">
      <c r="A13257">
        <v>32121000000</v>
      </c>
      <c r="B13257" t="e">
        <f>-Hojas para el marcado a fuego</f>
        <v>#NAME?</v>
      </c>
    </row>
    <row r="13258" spans="1:2" x14ac:dyDescent="0.25">
      <c r="A13258">
        <v>321290</v>
      </c>
      <c r="B13258" t="e">
        <f>- Los demas</f>
        <v>#NAME?</v>
      </c>
    </row>
    <row r="13259" spans="1:2" x14ac:dyDescent="0.25">
      <c r="A13259">
        <v>32129010</v>
      </c>
      <c r="B13259" t="s">
        <v>5630</v>
      </c>
    </row>
    <row r="13260" spans="1:2" x14ac:dyDescent="0.25">
      <c r="A13260">
        <v>32129010100</v>
      </c>
      <c r="B13260" t="s">
        <v>5631</v>
      </c>
    </row>
    <row r="13261" spans="1:2" x14ac:dyDescent="0.25">
      <c r="A13261">
        <v>32129010900</v>
      </c>
      <c r="B13261" t="s">
        <v>10</v>
      </c>
    </row>
    <row r="13262" spans="1:2" x14ac:dyDescent="0.25">
      <c r="A13262">
        <v>32129090</v>
      </c>
      <c r="B13262" t="s">
        <v>10</v>
      </c>
    </row>
    <row r="13263" spans="1:2" x14ac:dyDescent="0.25">
      <c r="A13263">
        <v>321290901</v>
      </c>
      <c r="B13263" t="s">
        <v>5632</v>
      </c>
    </row>
    <row r="13264" spans="1:2" x14ac:dyDescent="0.25">
      <c r="A13264">
        <v>32129090110</v>
      </c>
      <c r="B13264" t="s">
        <v>5546</v>
      </c>
    </row>
    <row r="13265" spans="1:2" x14ac:dyDescent="0.25">
      <c r="A13265">
        <v>32129090190</v>
      </c>
      <c r="B13265" t="s">
        <v>10</v>
      </c>
    </row>
    <row r="13266" spans="1:2" x14ac:dyDescent="0.25">
      <c r="A13266">
        <v>32129090200</v>
      </c>
      <c r="B13266" t="s">
        <v>5633</v>
      </c>
    </row>
    <row r="13267" spans="1:2" x14ac:dyDescent="0.25">
      <c r="A13267">
        <v>3213</v>
      </c>
      <c r="B13267" t="s">
        <v>5634</v>
      </c>
    </row>
    <row r="13268" spans="1:2" x14ac:dyDescent="0.25">
      <c r="A13268">
        <v>32131000</v>
      </c>
      <c r="B13268" t="e">
        <f>- colores En surtidos</f>
        <v>#NAME?</v>
      </c>
    </row>
    <row r="13269" spans="1:2" x14ac:dyDescent="0.25">
      <c r="A13269">
        <v>32131000100</v>
      </c>
      <c r="B13269" t="s">
        <v>5635</v>
      </c>
    </row>
    <row r="13270" spans="1:2" x14ac:dyDescent="0.25">
      <c r="A13270">
        <v>32131000900</v>
      </c>
      <c r="B13270" t="s">
        <v>10</v>
      </c>
    </row>
    <row r="13271" spans="1:2" x14ac:dyDescent="0.25">
      <c r="A13271">
        <v>32139000</v>
      </c>
      <c r="B13271" t="e">
        <f>- Los demas</f>
        <v>#NAME?</v>
      </c>
    </row>
    <row r="13272" spans="1:2" x14ac:dyDescent="0.25">
      <c r="A13272">
        <v>32139000100</v>
      </c>
      <c r="B13272" t="s">
        <v>5635</v>
      </c>
    </row>
    <row r="13273" spans="1:2" x14ac:dyDescent="0.25">
      <c r="A13273">
        <v>32139000900</v>
      </c>
      <c r="B13273" t="s">
        <v>10</v>
      </c>
    </row>
    <row r="13274" spans="1:2" x14ac:dyDescent="0.25">
      <c r="A13274">
        <v>3214</v>
      </c>
      <c r="B13274" t="s">
        <v>5636</v>
      </c>
    </row>
    <row r="13275" spans="1:2" x14ac:dyDescent="0.25">
      <c r="A13275">
        <v>321410</v>
      </c>
      <c r="B13275" t="e">
        <f>- Masilla. Cementos de resina y demas mastiques, plastes (enduidos) utilizados En pintura</f>
        <v>#NAME?</v>
      </c>
    </row>
    <row r="13276" spans="1:2" x14ac:dyDescent="0.25">
      <c r="A13276">
        <v>32141010</v>
      </c>
      <c r="B13276" t="s">
        <v>5637</v>
      </c>
    </row>
    <row r="13277" spans="1:2" x14ac:dyDescent="0.25">
      <c r="A13277">
        <v>32141010100</v>
      </c>
      <c r="B13277" t="s">
        <v>5638</v>
      </c>
    </row>
    <row r="13278" spans="1:2" x14ac:dyDescent="0.25">
      <c r="A13278">
        <v>321410102</v>
      </c>
      <c r="B13278" t="s">
        <v>5639</v>
      </c>
    </row>
    <row r="13279" spans="1:2" x14ac:dyDescent="0.25">
      <c r="A13279">
        <v>32141010210</v>
      </c>
      <c r="B13279" t="s">
        <v>5640</v>
      </c>
    </row>
    <row r="13280" spans="1:2" x14ac:dyDescent="0.25">
      <c r="A13280">
        <v>32141010290</v>
      </c>
      <c r="B13280" t="s">
        <v>10</v>
      </c>
    </row>
    <row r="13281" spans="1:2" x14ac:dyDescent="0.25">
      <c r="A13281">
        <v>32141010300</v>
      </c>
      <c r="B13281" t="s">
        <v>5641</v>
      </c>
    </row>
    <row r="13282" spans="1:2" x14ac:dyDescent="0.25">
      <c r="A13282">
        <v>32141010400</v>
      </c>
      <c r="B13282" t="s">
        <v>5642</v>
      </c>
    </row>
    <row r="13283" spans="1:2" x14ac:dyDescent="0.25">
      <c r="A13283">
        <v>321410109</v>
      </c>
      <c r="B13283" t="s">
        <v>10</v>
      </c>
    </row>
    <row r="13284" spans="1:2" x14ac:dyDescent="0.25">
      <c r="A13284">
        <v>32141010910</v>
      </c>
      <c r="B13284" t="s">
        <v>5640</v>
      </c>
    </row>
    <row r="13285" spans="1:2" x14ac:dyDescent="0.25">
      <c r="A13285">
        <v>32141010990</v>
      </c>
      <c r="B13285" t="s">
        <v>10</v>
      </c>
    </row>
    <row r="13286" spans="1:2" x14ac:dyDescent="0.25">
      <c r="A13286">
        <v>32141020000</v>
      </c>
      <c r="B13286" t="s">
        <v>5643</v>
      </c>
    </row>
    <row r="13287" spans="1:2" x14ac:dyDescent="0.25">
      <c r="A13287">
        <v>32149000000</v>
      </c>
      <c r="B13287" t="e">
        <f>-Los demas</f>
        <v>#NAME?</v>
      </c>
    </row>
    <row r="13288" spans="1:2" x14ac:dyDescent="0.25">
      <c r="A13288">
        <v>3215</v>
      </c>
      <c r="B13288" t="s">
        <v>5644</v>
      </c>
    </row>
    <row r="13289" spans="1:2" x14ac:dyDescent="0.25">
      <c r="A13289">
        <v>32151</v>
      </c>
      <c r="B13289" t="s">
        <v>5645</v>
      </c>
    </row>
    <row r="13290" spans="1:2" x14ac:dyDescent="0.25">
      <c r="A13290">
        <v>32151100</v>
      </c>
      <c r="B13290" t="e">
        <f>- - negras</f>
        <v>#NAME?</v>
      </c>
    </row>
    <row r="13291" spans="1:2" x14ac:dyDescent="0.25">
      <c r="A13291">
        <v>32151100100</v>
      </c>
      <c r="B13291" t="s">
        <v>5646</v>
      </c>
    </row>
    <row r="13292" spans="1:2" x14ac:dyDescent="0.25">
      <c r="A13292">
        <v>32151100900</v>
      </c>
      <c r="B13292" t="s">
        <v>57</v>
      </c>
    </row>
    <row r="13293" spans="1:2" x14ac:dyDescent="0.25">
      <c r="A13293">
        <v>32151900</v>
      </c>
      <c r="B13293" t="e">
        <f>- - las demas</f>
        <v>#NAME?</v>
      </c>
    </row>
    <row r="13294" spans="1:2" x14ac:dyDescent="0.25">
      <c r="A13294">
        <v>32151900100</v>
      </c>
      <c r="B13294" t="s">
        <v>5647</v>
      </c>
    </row>
    <row r="13295" spans="1:2" x14ac:dyDescent="0.25">
      <c r="A13295">
        <v>321519009</v>
      </c>
      <c r="B13295" t="s">
        <v>57</v>
      </c>
    </row>
    <row r="13296" spans="1:2" x14ac:dyDescent="0.25">
      <c r="A13296">
        <v>3215190091</v>
      </c>
      <c r="B13296" t="s">
        <v>5648</v>
      </c>
    </row>
    <row r="13297" spans="1:2" x14ac:dyDescent="0.25">
      <c r="A13297">
        <v>32151900911</v>
      </c>
      <c r="B13297" t="s">
        <v>5649</v>
      </c>
    </row>
    <row r="13298" spans="1:2" x14ac:dyDescent="0.25">
      <c r="A13298">
        <v>32151900912</v>
      </c>
      <c r="B13298" t="s">
        <v>5650</v>
      </c>
    </row>
    <row r="13299" spans="1:2" x14ac:dyDescent="0.25">
      <c r="A13299">
        <v>32151900913</v>
      </c>
      <c r="B13299" t="s">
        <v>5651</v>
      </c>
    </row>
    <row r="13300" spans="1:2" x14ac:dyDescent="0.25">
      <c r="A13300">
        <v>32151900914</v>
      </c>
      <c r="B13300" t="s">
        <v>5652</v>
      </c>
    </row>
    <row r="13301" spans="1:2" x14ac:dyDescent="0.25">
      <c r="A13301">
        <v>32151900915</v>
      </c>
      <c r="B13301" t="s">
        <v>5653</v>
      </c>
    </row>
    <row r="13302" spans="1:2" x14ac:dyDescent="0.25">
      <c r="A13302">
        <v>32151900916</v>
      </c>
      <c r="B13302" t="s">
        <v>5654</v>
      </c>
    </row>
    <row r="13303" spans="1:2" x14ac:dyDescent="0.25">
      <c r="A13303">
        <v>32151900917</v>
      </c>
      <c r="B13303" t="s">
        <v>5655</v>
      </c>
    </row>
    <row r="13304" spans="1:2" x14ac:dyDescent="0.25">
      <c r="A13304">
        <v>32151900918</v>
      </c>
      <c r="B13304" t="s">
        <v>5656</v>
      </c>
    </row>
    <row r="13305" spans="1:2" x14ac:dyDescent="0.25">
      <c r="A13305">
        <v>32151900919</v>
      </c>
      <c r="B13305" t="s">
        <v>57</v>
      </c>
    </row>
    <row r="13306" spans="1:2" x14ac:dyDescent="0.25">
      <c r="A13306">
        <v>3215190092</v>
      </c>
      <c r="B13306" t="s">
        <v>5657</v>
      </c>
    </row>
    <row r="13307" spans="1:2" x14ac:dyDescent="0.25">
      <c r="A13307">
        <v>32151900921</v>
      </c>
      <c r="B13307" t="s">
        <v>5649</v>
      </c>
    </row>
    <row r="13308" spans="1:2" x14ac:dyDescent="0.25">
      <c r="A13308">
        <v>32151900922</v>
      </c>
      <c r="B13308" t="s">
        <v>5650</v>
      </c>
    </row>
    <row r="13309" spans="1:2" x14ac:dyDescent="0.25">
      <c r="A13309">
        <v>32151900923</v>
      </c>
      <c r="B13309" t="s">
        <v>5651</v>
      </c>
    </row>
    <row r="13310" spans="1:2" x14ac:dyDescent="0.25">
      <c r="A13310">
        <v>32151900924</v>
      </c>
      <c r="B13310" t="s">
        <v>5652</v>
      </c>
    </row>
    <row r="13311" spans="1:2" x14ac:dyDescent="0.25">
      <c r="A13311">
        <v>32151900925</v>
      </c>
      <c r="B13311" t="s">
        <v>5653</v>
      </c>
    </row>
    <row r="13312" spans="1:2" x14ac:dyDescent="0.25">
      <c r="A13312">
        <v>32151900926</v>
      </c>
      <c r="B13312" t="s">
        <v>5654</v>
      </c>
    </row>
    <row r="13313" spans="1:2" x14ac:dyDescent="0.25">
      <c r="A13313">
        <v>32151900927</v>
      </c>
      <c r="B13313" t="s">
        <v>5655</v>
      </c>
    </row>
    <row r="13314" spans="1:2" x14ac:dyDescent="0.25">
      <c r="A13314">
        <v>32151900928</v>
      </c>
      <c r="B13314" t="s">
        <v>5658</v>
      </c>
    </row>
    <row r="13315" spans="1:2" x14ac:dyDescent="0.25">
      <c r="A13315">
        <v>32151900929</v>
      </c>
      <c r="B13315" t="s">
        <v>57</v>
      </c>
    </row>
    <row r="13316" spans="1:2" x14ac:dyDescent="0.25">
      <c r="A13316">
        <v>3215190093</v>
      </c>
      <c r="B13316" t="s">
        <v>5659</v>
      </c>
    </row>
    <row r="13317" spans="1:2" x14ac:dyDescent="0.25">
      <c r="A13317">
        <v>32151900931</v>
      </c>
      <c r="B13317" t="s">
        <v>5649</v>
      </c>
    </row>
    <row r="13318" spans="1:2" x14ac:dyDescent="0.25">
      <c r="A13318">
        <v>32151900932</v>
      </c>
      <c r="B13318" t="s">
        <v>5650</v>
      </c>
    </row>
    <row r="13319" spans="1:2" x14ac:dyDescent="0.25">
      <c r="A13319">
        <v>32151900933</v>
      </c>
      <c r="B13319" t="s">
        <v>5651</v>
      </c>
    </row>
    <row r="13320" spans="1:2" x14ac:dyDescent="0.25">
      <c r="A13320">
        <v>32151900934</v>
      </c>
      <c r="B13320" t="s">
        <v>5652</v>
      </c>
    </row>
    <row r="13321" spans="1:2" x14ac:dyDescent="0.25">
      <c r="A13321">
        <v>32151900935</v>
      </c>
      <c r="B13321" t="s">
        <v>5653</v>
      </c>
    </row>
    <row r="13322" spans="1:2" x14ac:dyDescent="0.25">
      <c r="A13322">
        <v>32151900936</v>
      </c>
      <c r="B13322" t="s">
        <v>5654</v>
      </c>
    </row>
    <row r="13323" spans="1:2" x14ac:dyDescent="0.25">
      <c r="A13323">
        <v>32151900937</v>
      </c>
      <c r="B13323" t="s">
        <v>5655</v>
      </c>
    </row>
    <row r="13324" spans="1:2" x14ac:dyDescent="0.25">
      <c r="A13324">
        <v>32151900938</v>
      </c>
      <c r="B13324" t="s">
        <v>5660</v>
      </c>
    </row>
    <row r="13325" spans="1:2" x14ac:dyDescent="0.25">
      <c r="A13325">
        <v>32151900939</v>
      </c>
      <c r="B13325" t="s">
        <v>57</v>
      </c>
    </row>
    <row r="13326" spans="1:2" x14ac:dyDescent="0.25">
      <c r="A13326">
        <v>3215190094</v>
      </c>
      <c r="B13326" t="s">
        <v>5661</v>
      </c>
    </row>
    <row r="13327" spans="1:2" x14ac:dyDescent="0.25">
      <c r="A13327">
        <v>32151900941</v>
      </c>
      <c r="B13327" t="s">
        <v>5649</v>
      </c>
    </row>
    <row r="13328" spans="1:2" x14ac:dyDescent="0.25">
      <c r="A13328">
        <v>32151900942</v>
      </c>
      <c r="B13328" t="s">
        <v>5650</v>
      </c>
    </row>
    <row r="13329" spans="1:2" x14ac:dyDescent="0.25">
      <c r="A13329">
        <v>32151900943</v>
      </c>
      <c r="B13329" t="s">
        <v>5651</v>
      </c>
    </row>
    <row r="13330" spans="1:2" x14ac:dyDescent="0.25">
      <c r="A13330">
        <v>32151900944</v>
      </c>
      <c r="B13330" t="s">
        <v>5652</v>
      </c>
    </row>
    <row r="13331" spans="1:2" x14ac:dyDescent="0.25">
      <c r="A13331">
        <v>32151900945</v>
      </c>
      <c r="B13331" t="s">
        <v>5653</v>
      </c>
    </row>
    <row r="13332" spans="1:2" x14ac:dyDescent="0.25">
      <c r="A13332">
        <v>32151900946</v>
      </c>
      <c r="B13332" t="s">
        <v>5654</v>
      </c>
    </row>
    <row r="13333" spans="1:2" x14ac:dyDescent="0.25">
      <c r="A13333">
        <v>32151900947</v>
      </c>
      <c r="B13333" t="s">
        <v>5655</v>
      </c>
    </row>
    <row r="13334" spans="1:2" x14ac:dyDescent="0.25">
      <c r="A13334">
        <v>32151900948</v>
      </c>
      <c r="B13334" t="s">
        <v>5662</v>
      </c>
    </row>
    <row r="13335" spans="1:2" x14ac:dyDescent="0.25">
      <c r="A13335">
        <v>32151900949</v>
      </c>
      <c r="B13335" t="s">
        <v>57</v>
      </c>
    </row>
    <row r="13336" spans="1:2" x14ac:dyDescent="0.25">
      <c r="A13336">
        <v>3215190095</v>
      </c>
      <c r="B13336" t="s">
        <v>5663</v>
      </c>
    </row>
    <row r="13337" spans="1:2" x14ac:dyDescent="0.25">
      <c r="A13337">
        <v>32151900951</v>
      </c>
      <c r="B13337" t="s">
        <v>5649</v>
      </c>
    </row>
    <row r="13338" spans="1:2" x14ac:dyDescent="0.25">
      <c r="A13338">
        <v>32151900952</v>
      </c>
      <c r="B13338" t="s">
        <v>5650</v>
      </c>
    </row>
    <row r="13339" spans="1:2" x14ac:dyDescent="0.25">
      <c r="A13339">
        <v>32151900953</v>
      </c>
      <c r="B13339" t="s">
        <v>5651</v>
      </c>
    </row>
    <row r="13340" spans="1:2" x14ac:dyDescent="0.25">
      <c r="A13340">
        <v>32151900954</v>
      </c>
      <c r="B13340" t="s">
        <v>5652</v>
      </c>
    </row>
    <row r="13341" spans="1:2" x14ac:dyDescent="0.25">
      <c r="A13341">
        <v>32151900955</v>
      </c>
      <c r="B13341" t="s">
        <v>5653</v>
      </c>
    </row>
    <row r="13342" spans="1:2" x14ac:dyDescent="0.25">
      <c r="A13342">
        <v>32151900956</v>
      </c>
      <c r="B13342" t="s">
        <v>5654</v>
      </c>
    </row>
    <row r="13343" spans="1:2" x14ac:dyDescent="0.25">
      <c r="A13343">
        <v>32151900957</v>
      </c>
      <c r="B13343" t="s">
        <v>5655</v>
      </c>
    </row>
    <row r="13344" spans="1:2" x14ac:dyDescent="0.25">
      <c r="A13344">
        <v>32151900958</v>
      </c>
      <c r="B13344" t="s">
        <v>5664</v>
      </c>
    </row>
    <row r="13345" spans="1:2" x14ac:dyDescent="0.25">
      <c r="A13345">
        <v>32151900959</v>
      </c>
      <c r="B13345" t="s">
        <v>57</v>
      </c>
    </row>
    <row r="13346" spans="1:2" x14ac:dyDescent="0.25">
      <c r="A13346">
        <v>3215190096</v>
      </c>
      <c r="B13346" t="s">
        <v>5665</v>
      </c>
    </row>
    <row r="13347" spans="1:2" x14ac:dyDescent="0.25">
      <c r="A13347">
        <v>32151900961</v>
      </c>
      <c r="B13347" t="s">
        <v>5649</v>
      </c>
    </row>
    <row r="13348" spans="1:2" x14ac:dyDescent="0.25">
      <c r="A13348">
        <v>32151900962</v>
      </c>
      <c r="B13348" t="s">
        <v>5650</v>
      </c>
    </row>
    <row r="13349" spans="1:2" x14ac:dyDescent="0.25">
      <c r="A13349">
        <v>32151900963</v>
      </c>
      <c r="B13349" t="s">
        <v>5651</v>
      </c>
    </row>
    <row r="13350" spans="1:2" x14ac:dyDescent="0.25">
      <c r="A13350">
        <v>32151900964</v>
      </c>
      <c r="B13350" t="s">
        <v>5652</v>
      </c>
    </row>
    <row r="13351" spans="1:2" x14ac:dyDescent="0.25">
      <c r="A13351">
        <v>32151900965</v>
      </c>
      <c r="B13351" t="s">
        <v>5666</v>
      </c>
    </row>
    <row r="13352" spans="1:2" x14ac:dyDescent="0.25">
      <c r="A13352">
        <v>32151900966</v>
      </c>
      <c r="B13352" t="s">
        <v>5654</v>
      </c>
    </row>
    <row r="13353" spans="1:2" x14ac:dyDescent="0.25">
      <c r="A13353">
        <v>32151900967</v>
      </c>
      <c r="B13353" t="s">
        <v>5655</v>
      </c>
    </row>
    <row r="13354" spans="1:2" x14ac:dyDescent="0.25">
      <c r="A13354">
        <v>32151900968</v>
      </c>
      <c r="B13354" t="s">
        <v>5667</v>
      </c>
    </row>
    <row r="13355" spans="1:2" x14ac:dyDescent="0.25">
      <c r="A13355">
        <v>32151900969</v>
      </c>
      <c r="B13355" t="s">
        <v>57</v>
      </c>
    </row>
    <row r="13356" spans="1:2" x14ac:dyDescent="0.25">
      <c r="A13356">
        <v>3215190097</v>
      </c>
      <c r="B13356" t="s">
        <v>5668</v>
      </c>
    </row>
    <row r="13357" spans="1:2" x14ac:dyDescent="0.25">
      <c r="A13357">
        <v>32151900971</v>
      </c>
      <c r="B13357" t="s">
        <v>5649</v>
      </c>
    </row>
    <row r="13358" spans="1:2" x14ac:dyDescent="0.25">
      <c r="A13358">
        <v>32151900972</v>
      </c>
      <c r="B13358" t="s">
        <v>5650</v>
      </c>
    </row>
    <row r="13359" spans="1:2" x14ac:dyDescent="0.25">
      <c r="A13359">
        <v>32151900973</v>
      </c>
      <c r="B13359" t="s">
        <v>5651</v>
      </c>
    </row>
    <row r="13360" spans="1:2" x14ac:dyDescent="0.25">
      <c r="A13360">
        <v>32151900974</v>
      </c>
      <c r="B13360" t="s">
        <v>5652</v>
      </c>
    </row>
    <row r="13361" spans="1:2" x14ac:dyDescent="0.25">
      <c r="A13361">
        <v>32151900975</v>
      </c>
      <c r="B13361" t="s">
        <v>5653</v>
      </c>
    </row>
    <row r="13362" spans="1:2" x14ac:dyDescent="0.25">
      <c r="A13362">
        <v>32151900976</v>
      </c>
      <c r="B13362" t="s">
        <v>5654</v>
      </c>
    </row>
    <row r="13363" spans="1:2" x14ac:dyDescent="0.25">
      <c r="A13363">
        <v>32151900977</v>
      </c>
      <c r="B13363" t="s">
        <v>5655</v>
      </c>
    </row>
    <row r="13364" spans="1:2" x14ac:dyDescent="0.25">
      <c r="A13364">
        <v>32151900978</v>
      </c>
      <c r="B13364" t="s">
        <v>5669</v>
      </c>
    </row>
    <row r="13365" spans="1:2" x14ac:dyDescent="0.25">
      <c r="A13365">
        <v>32151900979</v>
      </c>
      <c r="B13365" t="s">
        <v>57</v>
      </c>
    </row>
    <row r="13366" spans="1:2" x14ac:dyDescent="0.25">
      <c r="A13366">
        <v>3215190098</v>
      </c>
      <c r="B13366" t="s">
        <v>5670</v>
      </c>
    </row>
    <row r="13367" spans="1:2" x14ac:dyDescent="0.25">
      <c r="A13367">
        <v>32151900981</v>
      </c>
      <c r="B13367" t="s">
        <v>5649</v>
      </c>
    </row>
    <row r="13368" spans="1:2" x14ac:dyDescent="0.25">
      <c r="A13368">
        <v>32151900982</v>
      </c>
      <c r="B13368" t="s">
        <v>5650</v>
      </c>
    </row>
    <row r="13369" spans="1:2" x14ac:dyDescent="0.25">
      <c r="A13369">
        <v>32151900983</v>
      </c>
      <c r="B13369" t="s">
        <v>5651</v>
      </c>
    </row>
    <row r="13370" spans="1:2" x14ac:dyDescent="0.25">
      <c r="A13370">
        <v>32151900984</v>
      </c>
      <c r="B13370" t="s">
        <v>5652</v>
      </c>
    </row>
    <row r="13371" spans="1:2" x14ac:dyDescent="0.25">
      <c r="A13371">
        <v>32151900985</v>
      </c>
      <c r="B13371" t="s">
        <v>5653</v>
      </c>
    </row>
    <row r="13372" spans="1:2" x14ac:dyDescent="0.25">
      <c r="A13372">
        <v>32151900986</v>
      </c>
      <c r="B13372" t="s">
        <v>5654</v>
      </c>
    </row>
    <row r="13373" spans="1:2" x14ac:dyDescent="0.25">
      <c r="A13373">
        <v>32151900987</v>
      </c>
      <c r="B13373" t="s">
        <v>5655</v>
      </c>
    </row>
    <row r="13374" spans="1:2" x14ac:dyDescent="0.25">
      <c r="A13374">
        <v>32151900988</v>
      </c>
      <c r="B13374" t="s">
        <v>5671</v>
      </c>
    </row>
    <row r="13375" spans="1:2" x14ac:dyDescent="0.25">
      <c r="A13375">
        <v>32151900989</v>
      </c>
      <c r="B13375" t="s">
        <v>57</v>
      </c>
    </row>
    <row r="13376" spans="1:2" x14ac:dyDescent="0.25">
      <c r="A13376">
        <v>32151900990</v>
      </c>
      <c r="B13376" t="s">
        <v>57</v>
      </c>
    </row>
    <row r="13377" spans="1:2" x14ac:dyDescent="0.25">
      <c r="A13377">
        <v>32159000</v>
      </c>
      <c r="B13377" t="e">
        <f>- las demas</f>
        <v>#NAME?</v>
      </c>
    </row>
    <row r="13378" spans="1:2" x14ac:dyDescent="0.25">
      <c r="A13378">
        <v>32159000100</v>
      </c>
      <c r="B13378" t="s">
        <v>5672</v>
      </c>
    </row>
    <row r="13379" spans="1:2" x14ac:dyDescent="0.25">
      <c r="A13379">
        <v>32159000900</v>
      </c>
      <c r="B13379" t="s">
        <v>57</v>
      </c>
    </row>
    <row r="13380" spans="1:2" x14ac:dyDescent="0.25">
      <c r="A13380">
        <v>3301</v>
      </c>
      <c r="B13380" t="s">
        <v>5673</v>
      </c>
    </row>
    <row r="13381" spans="1:2" x14ac:dyDescent="0.25">
      <c r="A13381">
        <v>33011</v>
      </c>
      <c r="B13381" t="s">
        <v>5674</v>
      </c>
    </row>
    <row r="13382" spans="1:2" x14ac:dyDescent="0.25">
      <c r="A13382">
        <v>330112</v>
      </c>
      <c r="B13382" t="e">
        <f>- - de naranja</f>
        <v>#NAME?</v>
      </c>
    </row>
    <row r="13383" spans="1:2" x14ac:dyDescent="0.25">
      <c r="A13383">
        <v>33011210</v>
      </c>
      <c r="B13383" t="s">
        <v>5675</v>
      </c>
    </row>
    <row r="13384" spans="1:2" x14ac:dyDescent="0.25">
      <c r="A13384">
        <v>33011210100</v>
      </c>
      <c r="B13384" t="s">
        <v>5561</v>
      </c>
    </row>
    <row r="13385" spans="1:2" x14ac:dyDescent="0.25">
      <c r="A13385">
        <v>33011210900</v>
      </c>
      <c r="B13385" t="s">
        <v>10</v>
      </c>
    </row>
    <row r="13386" spans="1:2" x14ac:dyDescent="0.25">
      <c r="A13386">
        <v>33011290</v>
      </c>
      <c r="B13386" t="s">
        <v>10</v>
      </c>
    </row>
    <row r="13387" spans="1:2" x14ac:dyDescent="0.25">
      <c r="A13387">
        <v>33011290100</v>
      </c>
      <c r="B13387" t="s">
        <v>5561</v>
      </c>
    </row>
    <row r="13388" spans="1:2" x14ac:dyDescent="0.25">
      <c r="A13388">
        <v>33011290900</v>
      </c>
      <c r="B13388" t="s">
        <v>10</v>
      </c>
    </row>
    <row r="13389" spans="1:2" x14ac:dyDescent="0.25">
      <c r="A13389">
        <v>33011300</v>
      </c>
      <c r="B13389" t="e">
        <f>- - de limon</f>
        <v>#NAME?</v>
      </c>
    </row>
    <row r="13390" spans="1:2" x14ac:dyDescent="0.25">
      <c r="A13390">
        <v>33011300100</v>
      </c>
      <c r="B13390" t="s">
        <v>5561</v>
      </c>
    </row>
    <row r="13391" spans="1:2" x14ac:dyDescent="0.25">
      <c r="A13391">
        <v>33011300900</v>
      </c>
      <c r="B13391" t="s">
        <v>10</v>
      </c>
    </row>
    <row r="13392" spans="1:2" x14ac:dyDescent="0.25">
      <c r="A13392">
        <v>330119</v>
      </c>
      <c r="B13392" t="e">
        <f>- - Los demas</f>
        <v>#NAME?</v>
      </c>
    </row>
    <row r="13393" spans="1:2" x14ac:dyDescent="0.25">
      <c r="A13393">
        <v>33011910</v>
      </c>
      <c r="B13393" t="s">
        <v>5676</v>
      </c>
    </row>
    <row r="13394" spans="1:2" x14ac:dyDescent="0.25">
      <c r="A13394">
        <v>33011910100</v>
      </c>
      <c r="B13394" t="s">
        <v>5561</v>
      </c>
    </row>
    <row r="13395" spans="1:2" x14ac:dyDescent="0.25">
      <c r="A13395">
        <v>33011910900</v>
      </c>
      <c r="B13395" t="s">
        <v>10</v>
      </c>
    </row>
    <row r="13396" spans="1:2" x14ac:dyDescent="0.25">
      <c r="A13396">
        <v>33011990</v>
      </c>
      <c r="B13396" t="s">
        <v>10</v>
      </c>
    </row>
    <row r="13397" spans="1:2" x14ac:dyDescent="0.25">
      <c r="A13397">
        <v>33011990100</v>
      </c>
      <c r="B13397" t="s">
        <v>5561</v>
      </c>
    </row>
    <row r="13398" spans="1:2" x14ac:dyDescent="0.25">
      <c r="A13398">
        <v>33011990900</v>
      </c>
      <c r="B13398" t="s">
        <v>10</v>
      </c>
    </row>
    <row r="13399" spans="1:2" x14ac:dyDescent="0.25">
      <c r="A13399">
        <v>33012</v>
      </c>
      <c r="B13399" t="s">
        <v>5677</v>
      </c>
    </row>
    <row r="13400" spans="1:2" x14ac:dyDescent="0.25">
      <c r="A13400">
        <v>33012400</v>
      </c>
      <c r="B13400" t="e">
        <f>- - de menta piperita (Mentha piperita)</f>
        <v>#NAME?</v>
      </c>
    </row>
    <row r="13401" spans="1:2" x14ac:dyDescent="0.25">
      <c r="A13401">
        <v>33012400100</v>
      </c>
      <c r="B13401" t="s">
        <v>5561</v>
      </c>
    </row>
    <row r="13402" spans="1:2" x14ac:dyDescent="0.25">
      <c r="A13402">
        <v>33012400900</v>
      </c>
      <c r="B13402" t="s">
        <v>10</v>
      </c>
    </row>
    <row r="13403" spans="1:2" x14ac:dyDescent="0.25">
      <c r="A13403">
        <v>330125</v>
      </c>
      <c r="B13403" t="e">
        <f>- - de las demas mentas</f>
        <v>#NAME?</v>
      </c>
    </row>
    <row r="13404" spans="1:2" x14ac:dyDescent="0.25">
      <c r="A13404">
        <v>33012510</v>
      </c>
      <c r="B13404" t="s">
        <v>5678</v>
      </c>
    </row>
    <row r="13405" spans="1:2" x14ac:dyDescent="0.25">
      <c r="A13405">
        <v>33012510100</v>
      </c>
      <c r="B13405" t="s">
        <v>5561</v>
      </c>
    </row>
    <row r="13406" spans="1:2" x14ac:dyDescent="0.25">
      <c r="A13406">
        <v>33012510900</v>
      </c>
      <c r="B13406" t="s">
        <v>10</v>
      </c>
    </row>
    <row r="13407" spans="1:2" x14ac:dyDescent="0.25">
      <c r="A13407">
        <v>33012520</v>
      </c>
      <c r="B13407" t="s">
        <v>5679</v>
      </c>
    </row>
    <row r="13408" spans="1:2" x14ac:dyDescent="0.25">
      <c r="A13408">
        <v>33012520100</v>
      </c>
      <c r="B13408" t="s">
        <v>5561</v>
      </c>
    </row>
    <row r="13409" spans="1:2" x14ac:dyDescent="0.25">
      <c r="A13409">
        <v>33012520900</v>
      </c>
      <c r="B13409" t="s">
        <v>10</v>
      </c>
    </row>
    <row r="13410" spans="1:2" x14ac:dyDescent="0.25">
      <c r="A13410">
        <v>33012590</v>
      </c>
      <c r="B13410" t="s">
        <v>57</v>
      </c>
    </row>
    <row r="13411" spans="1:2" x14ac:dyDescent="0.25">
      <c r="A13411">
        <v>33012590100</v>
      </c>
      <c r="B13411" t="s">
        <v>5561</v>
      </c>
    </row>
    <row r="13412" spans="1:2" x14ac:dyDescent="0.25">
      <c r="A13412">
        <v>33012590900</v>
      </c>
      <c r="B13412" t="s">
        <v>10</v>
      </c>
    </row>
    <row r="13413" spans="1:2" x14ac:dyDescent="0.25">
      <c r="A13413">
        <v>330129</v>
      </c>
      <c r="B13413" t="e">
        <f>- - Los demas</f>
        <v>#NAME?</v>
      </c>
    </row>
    <row r="13414" spans="1:2" x14ac:dyDescent="0.25">
      <c r="A13414">
        <v>3301291</v>
      </c>
      <c r="B13414" t="s">
        <v>5680</v>
      </c>
    </row>
    <row r="13415" spans="1:2" x14ac:dyDescent="0.25">
      <c r="A13415">
        <v>33012911</v>
      </c>
      <c r="B13415" t="s">
        <v>5681</v>
      </c>
    </row>
    <row r="13416" spans="1:2" x14ac:dyDescent="0.25">
      <c r="A13416">
        <v>33012911100</v>
      </c>
      <c r="B13416" t="s">
        <v>5561</v>
      </c>
    </row>
    <row r="13417" spans="1:2" x14ac:dyDescent="0.25">
      <c r="A13417">
        <v>33012911900</v>
      </c>
      <c r="B13417" t="s">
        <v>10</v>
      </c>
    </row>
    <row r="13418" spans="1:2" x14ac:dyDescent="0.25">
      <c r="A13418">
        <v>33012912</v>
      </c>
      <c r="B13418" t="s">
        <v>5682</v>
      </c>
    </row>
    <row r="13419" spans="1:2" x14ac:dyDescent="0.25">
      <c r="A13419">
        <v>33012912100</v>
      </c>
      <c r="B13419" t="s">
        <v>5561</v>
      </c>
    </row>
    <row r="13420" spans="1:2" x14ac:dyDescent="0.25">
      <c r="A13420">
        <v>33012912900</v>
      </c>
      <c r="B13420" t="s">
        <v>10</v>
      </c>
    </row>
    <row r="13421" spans="1:2" x14ac:dyDescent="0.25">
      <c r="A13421">
        <v>33012913</v>
      </c>
      <c r="B13421" t="s">
        <v>5683</v>
      </c>
    </row>
    <row r="13422" spans="1:2" x14ac:dyDescent="0.25">
      <c r="A13422">
        <v>33012913100</v>
      </c>
      <c r="B13422" t="s">
        <v>5561</v>
      </c>
    </row>
    <row r="13423" spans="1:2" x14ac:dyDescent="0.25">
      <c r="A13423">
        <v>33012913900</v>
      </c>
      <c r="B13423" t="s">
        <v>10</v>
      </c>
    </row>
    <row r="13424" spans="1:2" x14ac:dyDescent="0.25">
      <c r="A13424">
        <v>33012914</v>
      </c>
      <c r="B13424" t="s">
        <v>5684</v>
      </c>
    </row>
    <row r="13425" spans="1:2" x14ac:dyDescent="0.25">
      <c r="A13425">
        <v>33012914100</v>
      </c>
      <c r="B13425" t="s">
        <v>5561</v>
      </c>
    </row>
    <row r="13426" spans="1:2" x14ac:dyDescent="0.25">
      <c r="A13426">
        <v>33012914900</v>
      </c>
      <c r="B13426" t="s">
        <v>10</v>
      </c>
    </row>
    <row r="13427" spans="1:2" x14ac:dyDescent="0.25">
      <c r="A13427">
        <v>33012915</v>
      </c>
      <c r="B13427" t="s">
        <v>5685</v>
      </c>
    </row>
    <row r="13428" spans="1:2" x14ac:dyDescent="0.25">
      <c r="A13428">
        <v>33012915100</v>
      </c>
      <c r="B13428" t="s">
        <v>5561</v>
      </c>
    </row>
    <row r="13429" spans="1:2" x14ac:dyDescent="0.25">
      <c r="A13429">
        <v>33012915900</v>
      </c>
      <c r="B13429" t="s">
        <v>10</v>
      </c>
    </row>
    <row r="13430" spans="1:2" x14ac:dyDescent="0.25">
      <c r="A13430">
        <v>33012916</v>
      </c>
      <c r="B13430" t="s">
        <v>5686</v>
      </c>
    </row>
    <row r="13431" spans="1:2" x14ac:dyDescent="0.25">
      <c r="A13431">
        <v>33012916100</v>
      </c>
      <c r="B13431" t="s">
        <v>5561</v>
      </c>
    </row>
    <row r="13432" spans="1:2" x14ac:dyDescent="0.25">
      <c r="A13432">
        <v>33012916900</v>
      </c>
      <c r="B13432" t="s">
        <v>10</v>
      </c>
    </row>
    <row r="13433" spans="1:2" x14ac:dyDescent="0.25">
      <c r="A13433">
        <v>33012917</v>
      </c>
      <c r="B13433" t="s">
        <v>5687</v>
      </c>
    </row>
    <row r="13434" spans="1:2" x14ac:dyDescent="0.25">
      <c r="A13434">
        <v>33012917100</v>
      </c>
      <c r="B13434" t="s">
        <v>5561</v>
      </c>
    </row>
    <row r="13435" spans="1:2" x14ac:dyDescent="0.25">
      <c r="A13435">
        <v>33012917900</v>
      </c>
      <c r="B13435" t="s">
        <v>10</v>
      </c>
    </row>
    <row r="13436" spans="1:2" x14ac:dyDescent="0.25">
      <c r="A13436">
        <v>33012918</v>
      </c>
      <c r="B13436" t="s">
        <v>5688</v>
      </c>
    </row>
    <row r="13437" spans="1:2" x14ac:dyDescent="0.25">
      <c r="A13437">
        <v>33012918100</v>
      </c>
      <c r="B13437" t="s">
        <v>5561</v>
      </c>
    </row>
    <row r="13438" spans="1:2" x14ac:dyDescent="0.25">
      <c r="A13438">
        <v>33012918900</v>
      </c>
      <c r="B13438" t="s">
        <v>10</v>
      </c>
    </row>
    <row r="13439" spans="1:2" x14ac:dyDescent="0.25">
      <c r="A13439">
        <v>33012919</v>
      </c>
      <c r="B13439" t="s">
        <v>604</v>
      </c>
    </row>
    <row r="13440" spans="1:2" x14ac:dyDescent="0.25">
      <c r="A13440">
        <v>33012919100</v>
      </c>
      <c r="B13440" t="s">
        <v>5561</v>
      </c>
    </row>
    <row r="13441" spans="1:2" x14ac:dyDescent="0.25">
      <c r="A13441">
        <v>33012919900</v>
      </c>
      <c r="B13441" t="s">
        <v>10</v>
      </c>
    </row>
    <row r="13442" spans="1:2" x14ac:dyDescent="0.25">
      <c r="A13442">
        <v>3301292</v>
      </c>
      <c r="B13442" t="s">
        <v>5689</v>
      </c>
    </row>
    <row r="13443" spans="1:2" x14ac:dyDescent="0.25">
      <c r="A13443">
        <v>33012921</v>
      </c>
      <c r="B13443" t="s">
        <v>5690</v>
      </c>
    </row>
    <row r="13444" spans="1:2" x14ac:dyDescent="0.25">
      <c r="A13444">
        <v>33012921100</v>
      </c>
      <c r="B13444" t="s">
        <v>5561</v>
      </c>
    </row>
    <row r="13445" spans="1:2" x14ac:dyDescent="0.25">
      <c r="A13445">
        <v>33012921900</v>
      </c>
      <c r="B13445" t="s">
        <v>10</v>
      </c>
    </row>
    <row r="13446" spans="1:2" x14ac:dyDescent="0.25">
      <c r="A13446">
        <v>33012922</v>
      </c>
      <c r="B13446" t="s">
        <v>5691</v>
      </c>
    </row>
    <row r="13447" spans="1:2" x14ac:dyDescent="0.25">
      <c r="A13447">
        <v>33012922100</v>
      </c>
      <c r="B13447" t="s">
        <v>5561</v>
      </c>
    </row>
    <row r="13448" spans="1:2" x14ac:dyDescent="0.25">
      <c r="A13448">
        <v>33012922900</v>
      </c>
      <c r="B13448" t="s">
        <v>10</v>
      </c>
    </row>
    <row r="13449" spans="1:2" x14ac:dyDescent="0.25">
      <c r="A13449">
        <v>33012990</v>
      </c>
      <c r="B13449" t="s">
        <v>10</v>
      </c>
    </row>
    <row r="13450" spans="1:2" x14ac:dyDescent="0.25">
      <c r="A13450">
        <v>330129901</v>
      </c>
      <c r="B13450" t="s">
        <v>5692</v>
      </c>
    </row>
    <row r="13451" spans="1:2" x14ac:dyDescent="0.25">
      <c r="A13451">
        <v>33012990110</v>
      </c>
      <c r="B13451" t="s">
        <v>5561</v>
      </c>
    </row>
    <row r="13452" spans="1:2" x14ac:dyDescent="0.25">
      <c r="A13452">
        <v>33012990190</v>
      </c>
      <c r="B13452" t="s">
        <v>10</v>
      </c>
    </row>
    <row r="13453" spans="1:2" x14ac:dyDescent="0.25">
      <c r="A13453">
        <v>330129902</v>
      </c>
      <c r="B13453" t="s">
        <v>5693</v>
      </c>
    </row>
    <row r="13454" spans="1:2" x14ac:dyDescent="0.25">
      <c r="A13454">
        <v>33012990210</v>
      </c>
      <c r="B13454" t="s">
        <v>5561</v>
      </c>
    </row>
    <row r="13455" spans="1:2" x14ac:dyDescent="0.25">
      <c r="A13455">
        <v>33012990290</v>
      </c>
      <c r="B13455" t="s">
        <v>10</v>
      </c>
    </row>
    <row r="13456" spans="1:2" x14ac:dyDescent="0.25">
      <c r="A13456">
        <v>33012990300</v>
      </c>
      <c r="B13456" t="s">
        <v>5694</v>
      </c>
    </row>
    <row r="13457" spans="1:2" x14ac:dyDescent="0.25">
      <c r="A13457">
        <v>330129904</v>
      </c>
      <c r="B13457" t="s">
        <v>5695</v>
      </c>
    </row>
    <row r="13458" spans="1:2" x14ac:dyDescent="0.25">
      <c r="A13458">
        <v>3301299041</v>
      </c>
      <c r="B13458" t="s">
        <v>5696</v>
      </c>
    </row>
    <row r="13459" spans="1:2" x14ac:dyDescent="0.25">
      <c r="A13459">
        <v>33012990411</v>
      </c>
      <c r="B13459" t="s">
        <v>5561</v>
      </c>
    </row>
    <row r="13460" spans="1:2" x14ac:dyDescent="0.25">
      <c r="A13460">
        <v>33012990419</v>
      </c>
      <c r="B13460" t="s">
        <v>10</v>
      </c>
    </row>
    <row r="13461" spans="1:2" x14ac:dyDescent="0.25">
      <c r="A13461">
        <v>3301299042</v>
      </c>
      <c r="B13461" t="s">
        <v>5697</v>
      </c>
    </row>
    <row r="13462" spans="1:2" x14ac:dyDescent="0.25">
      <c r="A13462">
        <v>33012990421</v>
      </c>
      <c r="B13462" t="s">
        <v>5561</v>
      </c>
    </row>
    <row r="13463" spans="1:2" x14ac:dyDescent="0.25">
      <c r="A13463">
        <v>33012990429</v>
      </c>
      <c r="B13463" t="s">
        <v>10</v>
      </c>
    </row>
    <row r="13464" spans="1:2" x14ac:dyDescent="0.25">
      <c r="A13464">
        <v>3301299043</v>
      </c>
      <c r="B13464" t="s">
        <v>5698</v>
      </c>
    </row>
    <row r="13465" spans="1:2" x14ac:dyDescent="0.25">
      <c r="A13465">
        <v>33012990431</v>
      </c>
      <c r="B13465" t="s">
        <v>5561</v>
      </c>
    </row>
    <row r="13466" spans="1:2" x14ac:dyDescent="0.25">
      <c r="A13466">
        <v>33012990439</v>
      </c>
      <c r="B13466" t="s">
        <v>377</v>
      </c>
    </row>
    <row r="13467" spans="1:2" x14ac:dyDescent="0.25">
      <c r="A13467">
        <v>3301299044</v>
      </c>
      <c r="B13467" t="s">
        <v>5699</v>
      </c>
    </row>
    <row r="13468" spans="1:2" x14ac:dyDescent="0.25">
      <c r="A13468">
        <v>33012990441</v>
      </c>
      <c r="B13468" t="s">
        <v>5561</v>
      </c>
    </row>
    <row r="13469" spans="1:2" x14ac:dyDescent="0.25">
      <c r="A13469">
        <v>33012990449</v>
      </c>
      <c r="B13469" t="s">
        <v>10</v>
      </c>
    </row>
    <row r="13470" spans="1:2" x14ac:dyDescent="0.25">
      <c r="A13470">
        <v>3301299045</v>
      </c>
      <c r="B13470" t="s">
        <v>5700</v>
      </c>
    </row>
    <row r="13471" spans="1:2" x14ac:dyDescent="0.25">
      <c r="A13471">
        <v>33012990451</v>
      </c>
      <c r="B13471" t="s">
        <v>5561</v>
      </c>
    </row>
    <row r="13472" spans="1:2" x14ac:dyDescent="0.25">
      <c r="A13472">
        <v>33012990459</v>
      </c>
      <c r="B13472" t="s">
        <v>10</v>
      </c>
    </row>
    <row r="13473" spans="1:2" x14ac:dyDescent="0.25">
      <c r="A13473">
        <v>330129909</v>
      </c>
      <c r="B13473" t="s">
        <v>10</v>
      </c>
    </row>
    <row r="13474" spans="1:2" x14ac:dyDescent="0.25">
      <c r="A13474">
        <v>3301299091</v>
      </c>
      <c r="B13474" t="s">
        <v>5561</v>
      </c>
    </row>
    <row r="13475" spans="1:2" x14ac:dyDescent="0.25">
      <c r="A13475">
        <v>33012990911</v>
      </c>
      <c r="B13475" t="s">
        <v>5701</v>
      </c>
    </row>
    <row r="13476" spans="1:2" x14ac:dyDescent="0.25">
      <c r="A13476">
        <v>33012990912</v>
      </c>
      <c r="B13476" t="s">
        <v>5702</v>
      </c>
    </row>
    <row r="13477" spans="1:2" x14ac:dyDescent="0.25">
      <c r="A13477">
        <v>33012990919</v>
      </c>
      <c r="B13477" t="s">
        <v>10</v>
      </c>
    </row>
    <row r="13478" spans="1:2" x14ac:dyDescent="0.25">
      <c r="A13478">
        <v>3301299099</v>
      </c>
      <c r="B13478" t="s">
        <v>10</v>
      </c>
    </row>
    <row r="13479" spans="1:2" x14ac:dyDescent="0.25">
      <c r="A13479">
        <v>33012990991</v>
      </c>
      <c r="B13479" t="s">
        <v>5701</v>
      </c>
    </row>
    <row r="13480" spans="1:2" x14ac:dyDescent="0.25">
      <c r="A13480">
        <v>33012990992</v>
      </c>
      <c r="B13480" t="s">
        <v>5702</v>
      </c>
    </row>
    <row r="13481" spans="1:2" x14ac:dyDescent="0.25">
      <c r="A13481">
        <v>33012990999</v>
      </c>
      <c r="B13481" t="s">
        <v>10</v>
      </c>
    </row>
    <row r="13482" spans="1:2" x14ac:dyDescent="0.25">
      <c r="A13482">
        <v>33013000</v>
      </c>
      <c r="B13482" t="e">
        <f>- Resinoides</f>
        <v>#NAME?</v>
      </c>
    </row>
    <row r="13483" spans="1:2" x14ac:dyDescent="0.25">
      <c r="A13483">
        <v>33013000100</v>
      </c>
      <c r="B13483" t="s">
        <v>5561</v>
      </c>
    </row>
    <row r="13484" spans="1:2" x14ac:dyDescent="0.25">
      <c r="A13484">
        <v>33013000900</v>
      </c>
      <c r="B13484" t="s">
        <v>10</v>
      </c>
    </row>
    <row r="13485" spans="1:2" x14ac:dyDescent="0.25">
      <c r="A13485">
        <v>330190</v>
      </c>
      <c r="B13485" t="e">
        <f>- Los demas</f>
        <v>#NAME?</v>
      </c>
    </row>
    <row r="13486" spans="1:2" x14ac:dyDescent="0.25">
      <c r="A13486">
        <v>33019010</v>
      </c>
      <c r="B13486" t="s">
        <v>5703</v>
      </c>
    </row>
    <row r="13487" spans="1:2" x14ac:dyDescent="0.25">
      <c r="A13487">
        <v>33019010100</v>
      </c>
      <c r="B13487" t="s">
        <v>5561</v>
      </c>
    </row>
    <row r="13488" spans="1:2" x14ac:dyDescent="0.25">
      <c r="A13488">
        <v>33019010900</v>
      </c>
      <c r="B13488" t="s">
        <v>10</v>
      </c>
    </row>
    <row r="13489" spans="1:2" x14ac:dyDescent="0.25">
      <c r="A13489">
        <v>33019020</v>
      </c>
      <c r="B13489" t="s">
        <v>5704</v>
      </c>
    </row>
    <row r="13490" spans="1:2" x14ac:dyDescent="0.25">
      <c r="A13490">
        <v>33019020100</v>
      </c>
      <c r="B13490" t="s">
        <v>5561</v>
      </c>
    </row>
    <row r="13491" spans="1:2" x14ac:dyDescent="0.25">
      <c r="A13491">
        <v>33019020900</v>
      </c>
      <c r="B13491" t="s">
        <v>10</v>
      </c>
    </row>
    <row r="13492" spans="1:2" x14ac:dyDescent="0.25">
      <c r="A13492">
        <v>33019030</v>
      </c>
      <c r="B13492" t="s">
        <v>5705</v>
      </c>
    </row>
    <row r="13493" spans="1:2" x14ac:dyDescent="0.25">
      <c r="A13493">
        <v>33019030100</v>
      </c>
      <c r="B13493" t="s">
        <v>5561</v>
      </c>
    </row>
    <row r="13494" spans="1:2" x14ac:dyDescent="0.25">
      <c r="A13494">
        <v>33019030900</v>
      </c>
      <c r="B13494" t="s">
        <v>10</v>
      </c>
    </row>
    <row r="13495" spans="1:2" x14ac:dyDescent="0.25">
      <c r="A13495">
        <v>33019040</v>
      </c>
      <c r="B13495" t="s">
        <v>5706</v>
      </c>
    </row>
    <row r="13496" spans="1:2" x14ac:dyDescent="0.25">
      <c r="A13496">
        <v>33019040100</v>
      </c>
      <c r="B13496" t="s">
        <v>5561</v>
      </c>
    </row>
    <row r="13497" spans="1:2" x14ac:dyDescent="0.25">
      <c r="A13497">
        <v>330190409</v>
      </c>
      <c r="B13497" t="s">
        <v>10</v>
      </c>
    </row>
    <row r="13498" spans="1:2" x14ac:dyDescent="0.25">
      <c r="A13498">
        <v>33019040910</v>
      </c>
      <c r="B13498" t="s">
        <v>5707</v>
      </c>
    </row>
    <row r="13499" spans="1:2" x14ac:dyDescent="0.25">
      <c r="A13499">
        <v>33019040990</v>
      </c>
      <c r="B13499" t="s">
        <v>3484</v>
      </c>
    </row>
    <row r="13500" spans="1:2" x14ac:dyDescent="0.25">
      <c r="A13500">
        <v>3302</v>
      </c>
      <c r="B13500" t="s">
        <v>5708</v>
      </c>
    </row>
    <row r="13501" spans="1:2" x14ac:dyDescent="0.25">
      <c r="A13501">
        <v>33021000</v>
      </c>
      <c r="B13501" t="e">
        <f>- de Los tipos utilizados En las industrias alimentarias o de bebidas</f>
        <v>#NAME?</v>
      </c>
    </row>
    <row r="13502" spans="1:2" x14ac:dyDescent="0.25">
      <c r="A13502">
        <v>33021000100</v>
      </c>
      <c r="B13502" t="s">
        <v>5709</v>
      </c>
    </row>
    <row r="13503" spans="1:2" x14ac:dyDescent="0.25">
      <c r="A13503">
        <v>330210002</v>
      </c>
      <c r="B13503" t="s">
        <v>5710</v>
      </c>
    </row>
    <row r="13504" spans="1:2" x14ac:dyDescent="0.25">
      <c r="A13504">
        <v>33021000210</v>
      </c>
      <c r="B13504" t="s">
        <v>5711</v>
      </c>
    </row>
    <row r="13505" spans="1:2" x14ac:dyDescent="0.25">
      <c r="A13505">
        <v>33021000290</v>
      </c>
      <c r="B13505" t="s">
        <v>57</v>
      </c>
    </row>
    <row r="13506" spans="1:2" x14ac:dyDescent="0.25">
      <c r="A13506">
        <v>330290</v>
      </c>
      <c r="B13506" t="e">
        <f>- las demas</f>
        <v>#NAME?</v>
      </c>
    </row>
    <row r="13507" spans="1:2" x14ac:dyDescent="0.25">
      <c r="A13507">
        <v>3302901</v>
      </c>
      <c r="B13507" t="s">
        <v>5712</v>
      </c>
    </row>
    <row r="13508" spans="1:2" x14ac:dyDescent="0.25">
      <c r="A13508">
        <v>33029011000</v>
      </c>
      <c r="B13508" t="s">
        <v>5713</v>
      </c>
    </row>
    <row r="13509" spans="1:2" x14ac:dyDescent="0.25">
      <c r="A13509">
        <v>33029019</v>
      </c>
      <c r="B13509" t="s">
        <v>57</v>
      </c>
    </row>
    <row r="13510" spans="1:2" x14ac:dyDescent="0.25">
      <c r="A13510">
        <v>33029019100</v>
      </c>
      <c r="B13510" t="s">
        <v>5714</v>
      </c>
    </row>
    <row r="13511" spans="1:2" x14ac:dyDescent="0.25">
      <c r="A13511">
        <v>33029019900</v>
      </c>
      <c r="B13511" t="s">
        <v>57</v>
      </c>
    </row>
    <row r="13512" spans="1:2" x14ac:dyDescent="0.25">
      <c r="A13512">
        <v>33029090</v>
      </c>
      <c r="B13512" t="s">
        <v>57</v>
      </c>
    </row>
    <row r="13513" spans="1:2" x14ac:dyDescent="0.25">
      <c r="A13513">
        <v>33029090100</v>
      </c>
      <c r="B13513" t="s">
        <v>5715</v>
      </c>
    </row>
    <row r="13514" spans="1:2" x14ac:dyDescent="0.25">
      <c r="A13514">
        <v>33029090900</v>
      </c>
      <c r="B13514" t="s">
        <v>57</v>
      </c>
    </row>
    <row r="13515" spans="1:2" x14ac:dyDescent="0.25">
      <c r="A13515">
        <v>330300</v>
      </c>
      <c r="B13515" t="s">
        <v>5716</v>
      </c>
    </row>
    <row r="13516" spans="1:2" x14ac:dyDescent="0.25">
      <c r="A13516">
        <v>33030010</v>
      </c>
      <c r="B13516" t="s">
        <v>5717</v>
      </c>
    </row>
    <row r="13517" spans="1:2" x14ac:dyDescent="0.25">
      <c r="A13517">
        <v>33030010100</v>
      </c>
      <c r="B13517" t="s">
        <v>5718</v>
      </c>
    </row>
    <row r="13518" spans="1:2" x14ac:dyDescent="0.25">
      <c r="A13518">
        <v>33030010900</v>
      </c>
      <c r="B13518" t="s">
        <v>10</v>
      </c>
    </row>
    <row r="13519" spans="1:2" x14ac:dyDescent="0.25">
      <c r="A13519">
        <v>33030020</v>
      </c>
      <c r="B13519" t="s">
        <v>5719</v>
      </c>
    </row>
    <row r="13520" spans="1:2" x14ac:dyDescent="0.25">
      <c r="A13520">
        <v>33030020100</v>
      </c>
      <c r="B13520" t="s">
        <v>5720</v>
      </c>
    </row>
    <row r="13521" spans="1:2" x14ac:dyDescent="0.25">
      <c r="A13521">
        <v>33030020900</v>
      </c>
      <c r="B13521" t="s">
        <v>10</v>
      </c>
    </row>
    <row r="13522" spans="1:2" x14ac:dyDescent="0.25">
      <c r="A13522">
        <v>3304</v>
      </c>
      <c r="B13522" t="s">
        <v>5721</v>
      </c>
    </row>
    <row r="13523" spans="1:2" x14ac:dyDescent="0.25">
      <c r="A13523">
        <v>33041000</v>
      </c>
      <c r="B13523" t="e">
        <f>- Preparaciones para el maquillaje de Los labios</f>
        <v>#NAME?</v>
      </c>
    </row>
    <row r="13524" spans="1:2" x14ac:dyDescent="0.25">
      <c r="A13524">
        <v>33041000100</v>
      </c>
      <c r="B13524" t="s">
        <v>5635</v>
      </c>
    </row>
    <row r="13525" spans="1:2" x14ac:dyDescent="0.25">
      <c r="A13525">
        <v>33041000900</v>
      </c>
      <c r="B13525" t="s">
        <v>10</v>
      </c>
    </row>
    <row r="13526" spans="1:2" x14ac:dyDescent="0.25">
      <c r="A13526">
        <v>330420</v>
      </c>
      <c r="B13526" t="e">
        <f>- Preparaciones para el maquillaje de Los ojos</f>
        <v>#NAME?</v>
      </c>
    </row>
    <row r="13527" spans="1:2" x14ac:dyDescent="0.25">
      <c r="A13527">
        <v>33042010</v>
      </c>
      <c r="B13527" t="s">
        <v>5722</v>
      </c>
    </row>
    <row r="13528" spans="1:2" x14ac:dyDescent="0.25">
      <c r="A13528">
        <v>330420101</v>
      </c>
      <c r="B13528" t="s">
        <v>5723</v>
      </c>
    </row>
    <row r="13529" spans="1:2" x14ac:dyDescent="0.25">
      <c r="A13529">
        <v>33042010110</v>
      </c>
      <c r="B13529" t="s">
        <v>5724</v>
      </c>
    </row>
    <row r="13530" spans="1:2" x14ac:dyDescent="0.25">
      <c r="A13530">
        <v>33042010190</v>
      </c>
      <c r="B13530" t="s">
        <v>10</v>
      </c>
    </row>
    <row r="13531" spans="1:2" x14ac:dyDescent="0.25">
      <c r="A13531">
        <v>330420109</v>
      </c>
      <c r="B13531" t="s">
        <v>10</v>
      </c>
    </row>
    <row r="13532" spans="1:2" x14ac:dyDescent="0.25">
      <c r="A13532">
        <v>33042010910</v>
      </c>
      <c r="B13532" t="s">
        <v>5725</v>
      </c>
    </row>
    <row r="13533" spans="1:2" x14ac:dyDescent="0.25">
      <c r="A13533">
        <v>33042010920</v>
      </c>
      <c r="B13533" t="s">
        <v>5726</v>
      </c>
    </row>
    <row r="13534" spans="1:2" x14ac:dyDescent="0.25">
      <c r="A13534">
        <v>33042010990</v>
      </c>
      <c r="B13534" t="s">
        <v>10</v>
      </c>
    </row>
    <row r="13535" spans="1:2" x14ac:dyDescent="0.25">
      <c r="A13535">
        <v>33042090000</v>
      </c>
      <c r="B13535" t="s">
        <v>57</v>
      </c>
    </row>
    <row r="13536" spans="1:2" x14ac:dyDescent="0.25">
      <c r="A13536">
        <v>33043000</v>
      </c>
      <c r="B13536" t="e">
        <f>- Preparaciones para manicuras o pedicuros</f>
        <v>#NAME?</v>
      </c>
    </row>
    <row r="13537" spans="1:2" x14ac:dyDescent="0.25">
      <c r="A13537">
        <v>33043000100</v>
      </c>
      <c r="B13537" t="s">
        <v>5727</v>
      </c>
    </row>
    <row r="13538" spans="1:2" x14ac:dyDescent="0.25">
      <c r="A13538">
        <v>33043000900</v>
      </c>
      <c r="B13538" t="s">
        <v>57</v>
      </c>
    </row>
    <row r="13539" spans="1:2" x14ac:dyDescent="0.25">
      <c r="A13539">
        <v>33049</v>
      </c>
      <c r="B13539" t="s">
        <v>567</v>
      </c>
    </row>
    <row r="13540" spans="1:2" x14ac:dyDescent="0.25">
      <c r="A13540">
        <v>33049100000</v>
      </c>
      <c r="B13540" t="e">
        <f>--Polvos. incluidos Los compactos</f>
        <v>#NAME?</v>
      </c>
    </row>
    <row r="13541" spans="1:2" x14ac:dyDescent="0.25">
      <c r="A13541">
        <v>330499</v>
      </c>
      <c r="B13541" t="e">
        <f>- - las demas</f>
        <v>#NAME?</v>
      </c>
    </row>
    <row r="13542" spans="1:2" x14ac:dyDescent="0.25">
      <c r="A13542">
        <v>33049910</v>
      </c>
      <c r="B13542" t="s">
        <v>5728</v>
      </c>
    </row>
    <row r="13543" spans="1:2" x14ac:dyDescent="0.25">
      <c r="A13543">
        <v>33049910100</v>
      </c>
      <c r="B13543" t="s">
        <v>5729</v>
      </c>
    </row>
    <row r="13544" spans="1:2" x14ac:dyDescent="0.25">
      <c r="A13544">
        <v>33049910200</v>
      </c>
      <c r="B13544" t="s">
        <v>5730</v>
      </c>
    </row>
    <row r="13545" spans="1:2" x14ac:dyDescent="0.25">
      <c r="A13545">
        <v>33049990</v>
      </c>
      <c r="B13545" t="s">
        <v>57</v>
      </c>
    </row>
    <row r="13546" spans="1:2" x14ac:dyDescent="0.25">
      <c r="A13546">
        <v>33049990100</v>
      </c>
      <c r="B13546" t="s">
        <v>5731</v>
      </c>
    </row>
    <row r="13547" spans="1:2" x14ac:dyDescent="0.25">
      <c r="A13547">
        <v>33049990200</v>
      </c>
      <c r="B13547" t="s">
        <v>5732</v>
      </c>
    </row>
    <row r="13548" spans="1:2" x14ac:dyDescent="0.25">
      <c r="A13548">
        <v>33049990300</v>
      </c>
      <c r="B13548" t="s">
        <v>5733</v>
      </c>
    </row>
    <row r="13549" spans="1:2" x14ac:dyDescent="0.25">
      <c r="A13549">
        <v>330499909</v>
      </c>
      <c r="B13549" t="s">
        <v>10</v>
      </c>
    </row>
    <row r="13550" spans="1:2" x14ac:dyDescent="0.25">
      <c r="A13550">
        <v>33049990910</v>
      </c>
      <c r="B13550" t="s">
        <v>5724</v>
      </c>
    </row>
    <row r="13551" spans="1:2" x14ac:dyDescent="0.25">
      <c r="A13551">
        <v>33049990990</v>
      </c>
      <c r="B13551" t="s">
        <v>10</v>
      </c>
    </row>
    <row r="13552" spans="1:2" x14ac:dyDescent="0.25">
      <c r="A13552">
        <v>3305</v>
      </c>
      <c r="B13552" t="s">
        <v>5734</v>
      </c>
    </row>
    <row r="13553" spans="1:2" x14ac:dyDescent="0.25">
      <c r="A13553">
        <v>33051000</v>
      </c>
      <c r="B13553" t="e">
        <f>- Champues</f>
        <v>#NAME?</v>
      </c>
    </row>
    <row r="13554" spans="1:2" x14ac:dyDescent="0.25">
      <c r="A13554">
        <v>330510001</v>
      </c>
      <c r="B13554" t="s">
        <v>5735</v>
      </c>
    </row>
    <row r="13555" spans="1:2" x14ac:dyDescent="0.25">
      <c r="A13555">
        <v>33051000110</v>
      </c>
      <c r="B13555" t="s">
        <v>5736</v>
      </c>
    </row>
    <row r="13556" spans="1:2" x14ac:dyDescent="0.25">
      <c r="A13556">
        <v>33051000190</v>
      </c>
      <c r="B13556" t="s">
        <v>10</v>
      </c>
    </row>
    <row r="13557" spans="1:2" x14ac:dyDescent="0.25">
      <c r="A13557">
        <v>330510009</v>
      </c>
      <c r="B13557" t="s">
        <v>10</v>
      </c>
    </row>
    <row r="13558" spans="1:2" x14ac:dyDescent="0.25">
      <c r="A13558">
        <v>33051000910</v>
      </c>
      <c r="B13558" t="s">
        <v>5736</v>
      </c>
    </row>
    <row r="13559" spans="1:2" x14ac:dyDescent="0.25">
      <c r="A13559">
        <v>33051000990</v>
      </c>
      <c r="B13559" t="s">
        <v>10</v>
      </c>
    </row>
    <row r="13560" spans="1:2" x14ac:dyDescent="0.25">
      <c r="A13560">
        <v>33052000000</v>
      </c>
      <c r="B13560" t="e">
        <f>-Preparaciones para ondulacion o desrizado permanentes</f>
        <v>#NAME?</v>
      </c>
    </row>
    <row r="13561" spans="1:2" x14ac:dyDescent="0.25">
      <c r="A13561">
        <v>33053000000</v>
      </c>
      <c r="B13561" t="e">
        <f>-Lacas para el cabello</f>
        <v>#NAME?</v>
      </c>
    </row>
    <row r="13562" spans="1:2" x14ac:dyDescent="0.25">
      <c r="A13562">
        <v>33059000</v>
      </c>
      <c r="B13562" t="e">
        <f>- las demas</f>
        <v>#NAME?</v>
      </c>
    </row>
    <row r="13563" spans="1:2" x14ac:dyDescent="0.25">
      <c r="A13563">
        <v>33059000100</v>
      </c>
      <c r="B13563" t="s">
        <v>5737</v>
      </c>
    </row>
    <row r="13564" spans="1:2" x14ac:dyDescent="0.25">
      <c r="A13564">
        <v>33059000200</v>
      </c>
      <c r="B13564" t="s">
        <v>5738</v>
      </c>
    </row>
    <row r="13565" spans="1:2" x14ac:dyDescent="0.25">
      <c r="A13565">
        <v>33059000300</v>
      </c>
      <c r="B13565" t="s">
        <v>5739</v>
      </c>
    </row>
    <row r="13566" spans="1:2" x14ac:dyDescent="0.25">
      <c r="A13566">
        <v>33059000900</v>
      </c>
      <c r="B13566" t="s">
        <v>57</v>
      </c>
    </row>
    <row r="13567" spans="1:2" x14ac:dyDescent="0.25">
      <c r="A13567">
        <v>3306</v>
      </c>
      <c r="B13567" t="s">
        <v>5740</v>
      </c>
    </row>
    <row r="13568" spans="1:2" x14ac:dyDescent="0.25">
      <c r="A13568">
        <v>33061000000</v>
      </c>
      <c r="B13568" t="e">
        <f>-Dentifricos</f>
        <v>#NAME?</v>
      </c>
    </row>
    <row r="13569" spans="1:2" x14ac:dyDescent="0.25">
      <c r="A13569">
        <v>33062000000</v>
      </c>
      <c r="B13569" t="e">
        <f>-Hilo utilizado para limpieza de Los espacios interdentales (Hilo dental)</f>
        <v>#NAME?</v>
      </c>
    </row>
    <row r="13570" spans="1:2" x14ac:dyDescent="0.25">
      <c r="A13570">
        <v>33069000</v>
      </c>
      <c r="B13570" t="e">
        <f>- Los demas</f>
        <v>#NAME?</v>
      </c>
    </row>
    <row r="13571" spans="1:2" x14ac:dyDescent="0.25">
      <c r="A13571">
        <v>33069000100</v>
      </c>
      <c r="B13571" t="s">
        <v>5741</v>
      </c>
    </row>
    <row r="13572" spans="1:2" x14ac:dyDescent="0.25">
      <c r="A13572">
        <v>33069000200</v>
      </c>
      <c r="B13572" t="s">
        <v>5742</v>
      </c>
    </row>
    <row r="13573" spans="1:2" x14ac:dyDescent="0.25">
      <c r="A13573">
        <v>33069000900</v>
      </c>
      <c r="B13573" t="s">
        <v>57</v>
      </c>
    </row>
    <row r="13574" spans="1:2" x14ac:dyDescent="0.25">
      <c r="A13574">
        <v>3307</v>
      </c>
      <c r="B13574" t="s">
        <v>5743</v>
      </c>
    </row>
    <row r="13575" spans="1:2" x14ac:dyDescent="0.25">
      <c r="A13575">
        <v>33071000000</v>
      </c>
      <c r="B13575" t="e">
        <f>-Preparaciones para afeitar o para antes o despues del afeitado</f>
        <v>#NAME?</v>
      </c>
    </row>
    <row r="13576" spans="1:2" x14ac:dyDescent="0.25">
      <c r="A13576">
        <v>330720</v>
      </c>
      <c r="B13576" t="e">
        <f>- Desodorantes corporales y antitranspirantes</f>
        <v>#NAME?</v>
      </c>
    </row>
    <row r="13577" spans="1:2" x14ac:dyDescent="0.25">
      <c r="A13577">
        <v>33072010000</v>
      </c>
      <c r="B13577" t="s">
        <v>5744</v>
      </c>
    </row>
    <row r="13578" spans="1:2" x14ac:dyDescent="0.25">
      <c r="A13578">
        <v>33072090000</v>
      </c>
      <c r="B13578" t="s">
        <v>10</v>
      </c>
    </row>
    <row r="13579" spans="1:2" x14ac:dyDescent="0.25">
      <c r="A13579">
        <v>33073000000</v>
      </c>
      <c r="B13579" t="e">
        <f>-sales perfumadas y demas Preparaciones para el baño</f>
        <v>#NAME?</v>
      </c>
    </row>
    <row r="13580" spans="1:2" x14ac:dyDescent="0.25">
      <c r="A13580">
        <v>33074</v>
      </c>
      <c r="B13580" t="s">
        <v>5745</v>
      </c>
    </row>
    <row r="13581" spans="1:2" x14ac:dyDescent="0.25">
      <c r="A13581">
        <v>33074100000</v>
      </c>
      <c r="B13581" t="s">
        <v>5746</v>
      </c>
    </row>
    <row r="13582" spans="1:2" x14ac:dyDescent="0.25">
      <c r="A13582">
        <v>33074900000</v>
      </c>
      <c r="B13582" t="e">
        <f>--las demas</f>
        <v>#NAME?</v>
      </c>
    </row>
    <row r="13583" spans="1:2" x14ac:dyDescent="0.25">
      <c r="A13583">
        <v>33079000</v>
      </c>
      <c r="B13583" t="e">
        <f>- Los demas</f>
        <v>#NAME?</v>
      </c>
    </row>
    <row r="13584" spans="1:2" x14ac:dyDescent="0.25">
      <c r="A13584">
        <v>33079000100</v>
      </c>
      <c r="B13584" t="s">
        <v>5747</v>
      </c>
    </row>
    <row r="13585" spans="1:2" x14ac:dyDescent="0.25">
      <c r="A13585">
        <v>33079000300</v>
      </c>
      <c r="B13585" t="s">
        <v>5748</v>
      </c>
    </row>
    <row r="13586" spans="1:2" x14ac:dyDescent="0.25">
      <c r="A13586">
        <v>33079000400</v>
      </c>
      <c r="B13586" t="s">
        <v>5749</v>
      </c>
    </row>
    <row r="13587" spans="1:2" x14ac:dyDescent="0.25">
      <c r="A13587">
        <v>33079000500</v>
      </c>
      <c r="B13587" t="s">
        <v>5750</v>
      </c>
    </row>
    <row r="13588" spans="1:2" x14ac:dyDescent="0.25">
      <c r="A13588">
        <v>33079000900</v>
      </c>
      <c r="B13588" t="s">
        <v>10</v>
      </c>
    </row>
    <row r="13589" spans="1:2" x14ac:dyDescent="0.25">
      <c r="A13589">
        <v>3401</v>
      </c>
      <c r="B13589" t="s">
        <v>5751</v>
      </c>
    </row>
    <row r="13590" spans="1:2" x14ac:dyDescent="0.25">
      <c r="A13590">
        <v>34011</v>
      </c>
      <c r="B13590" t="s">
        <v>5752</v>
      </c>
    </row>
    <row r="13591" spans="1:2" x14ac:dyDescent="0.25">
      <c r="A13591">
        <v>340111</v>
      </c>
      <c r="B13591" t="e">
        <f>- - de tocador (incluso Los medicinales)</f>
        <v>#NAME?</v>
      </c>
    </row>
    <row r="13592" spans="1:2" x14ac:dyDescent="0.25">
      <c r="A13592">
        <v>34011110000</v>
      </c>
      <c r="B13592" t="s">
        <v>5753</v>
      </c>
    </row>
    <row r="13593" spans="1:2" x14ac:dyDescent="0.25">
      <c r="A13593">
        <v>34011190</v>
      </c>
      <c r="B13593" t="s">
        <v>10</v>
      </c>
    </row>
    <row r="13594" spans="1:2" x14ac:dyDescent="0.25">
      <c r="A13594">
        <v>34011190100</v>
      </c>
      <c r="B13594" t="s">
        <v>5754</v>
      </c>
    </row>
    <row r="13595" spans="1:2" x14ac:dyDescent="0.25">
      <c r="A13595">
        <v>34011190900</v>
      </c>
      <c r="B13595" t="s">
        <v>10</v>
      </c>
    </row>
    <row r="13596" spans="1:2" x14ac:dyDescent="0.25">
      <c r="A13596">
        <v>34011900</v>
      </c>
      <c r="B13596" t="e">
        <f>- - Los demas</f>
        <v>#NAME?</v>
      </c>
    </row>
    <row r="13597" spans="1:2" x14ac:dyDescent="0.25">
      <c r="A13597">
        <v>34011900100</v>
      </c>
      <c r="B13597" t="s">
        <v>5754</v>
      </c>
    </row>
    <row r="13598" spans="1:2" x14ac:dyDescent="0.25">
      <c r="A13598">
        <v>34011900900</v>
      </c>
      <c r="B13598" t="s">
        <v>10</v>
      </c>
    </row>
    <row r="13599" spans="1:2" x14ac:dyDescent="0.25">
      <c r="A13599">
        <v>340120</v>
      </c>
      <c r="B13599" t="e">
        <f>- jabon En otras formas</f>
        <v>#NAME?</v>
      </c>
    </row>
    <row r="13600" spans="1:2" x14ac:dyDescent="0.25">
      <c r="A13600">
        <v>34012010000</v>
      </c>
      <c r="B13600" t="s">
        <v>5755</v>
      </c>
    </row>
    <row r="13601" spans="1:2" x14ac:dyDescent="0.25">
      <c r="A13601">
        <v>34012090</v>
      </c>
      <c r="B13601" t="s">
        <v>10</v>
      </c>
    </row>
    <row r="13602" spans="1:2" x14ac:dyDescent="0.25">
      <c r="A13602">
        <v>34012090100</v>
      </c>
      <c r="B13602" t="s">
        <v>5756</v>
      </c>
    </row>
    <row r="13603" spans="1:2" x14ac:dyDescent="0.25">
      <c r="A13603">
        <v>34012090900</v>
      </c>
      <c r="B13603" t="s">
        <v>10</v>
      </c>
    </row>
    <row r="13604" spans="1:2" x14ac:dyDescent="0.25">
      <c r="A13604">
        <v>34013000000</v>
      </c>
      <c r="B13604" t="e">
        <f>-Productos y Preparaciones organicos tensoactivos para el lavado de la piel. liquidos o En crema. acondicionados para la venta al por menor. aunque contengan jabon</f>
        <v>#NAME?</v>
      </c>
    </row>
    <row r="13605" spans="1:2" x14ac:dyDescent="0.25">
      <c r="A13605">
        <v>3402</v>
      </c>
      <c r="B13605" t="s">
        <v>5757</v>
      </c>
    </row>
    <row r="13606" spans="1:2" x14ac:dyDescent="0.25">
      <c r="A13606">
        <v>34021</v>
      </c>
      <c r="B13606" t="s">
        <v>5758</v>
      </c>
    </row>
    <row r="13607" spans="1:2" x14ac:dyDescent="0.25">
      <c r="A13607">
        <v>340211</v>
      </c>
      <c r="B13607" t="e">
        <f>- - Anionicos</f>
        <v>#NAME?</v>
      </c>
    </row>
    <row r="13608" spans="1:2" x14ac:dyDescent="0.25">
      <c r="A13608">
        <v>34021110000</v>
      </c>
      <c r="B13608" t="s">
        <v>5759</v>
      </c>
    </row>
    <row r="13609" spans="1:2" x14ac:dyDescent="0.25">
      <c r="A13609">
        <v>34021120000</v>
      </c>
      <c r="B13609" t="s">
        <v>5760</v>
      </c>
    </row>
    <row r="13610" spans="1:2" x14ac:dyDescent="0.25">
      <c r="A13610">
        <v>34021130000</v>
      </c>
      <c r="B13610" t="s">
        <v>5761</v>
      </c>
    </row>
    <row r="13611" spans="1:2" x14ac:dyDescent="0.25">
      <c r="A13611">
        <v>34021140000</v>
      </c>
      <c r="B13611" t="s">
        <v>5762</v>
      </c>
    </row>
    <row r="13612" spans="1:2" x14ac:dyDescent="0.25">
      <c r="A13612">
        <v>34021190</v>
      </c>
      <c r="B13612" t="s">
        <v>10</v>
      </c>
    </row>
    <row r="13613" spans="1:2" x14ac:dyDescent="0.25">
      <c r="A13613">
        <v>34021190100</v>
      </c>
      <c r="B13613" t="s">
        <v>5763</v>
      </c>
    </row>
    <row r="13614" spans="1:2" x14ac:dyDescent="0.25">
      <c r="A13614">
        <v>34021190200</v>
      </c>
      <c r="B13614" t="s">
        <v>5764</v>
      </c>
    </row>
    <row r="13615" spans="1:2" x14ac:dyDescent="0.25">
      <c r="A13615">
        <v>34021190300</v>
      </c>
      <c r="B13615" t="s">
        <v>5765</v>
      </c>
    </row>
    <row r="13616" spans="1:2" x14ac:dyDescent="0.25">
      <c r="A13616">
        <v>34021190400</v>
      </c>
      <c r="B13616" t="s">
        <v>5766</v>
      </c>
    </row>
    <row r="13617" spans="1:2" x14ac:dyDescent="0.25">
      <c r="A13617">
        <v>34021190900</v>
      </c>
      <c r="B13617" t="s">
        <v>10</v>
      </c>
    </row>
    <row r="13618" spans="1:2" x14ac:dyDescent="0.25">
      <c r="A13618">
        <v>340212</v>
      </c>
      <c r="B13618" t="e">
        <f>- - Cationicos</f>
        <v>#NAME?</v>
      </c>
    </row>
    <row r="13619" spans="1:2" x14ac:dyDescent="0.25">
      <c r="A13619">
        <v>34021210000</v>
      </c>
      <c r="B13619" t="s">
        <v>5767</v>
      </c>
    </row>
    <row r="13620" spans="1:2" x14ac:dyDescent="0.25">
      <c r="A13620">
        <v>34021290000</v>
      </c>
      <c r="B13620" t="s">
        <v>10</v>
      </c>
    </row>
    <row r="13621" spans="1:2" x14ac:dyDescent="0.25">
      <c r="A13621">
        <v>34021300</v>
      </c>
      <c r="B13621" t="e">
        <f>- - no ionicos</f>
        <v>#NAME?</v>
      </c>
    </row>
    <row r="13622" spans="1:2" x14ac:dyDescent="0.25">
      <c r="A13622">
        <v>34021300100</v>
      </c>
      <c r="B13622" t="s">
        <v>5768</v>
      </c>
    </row>
    <row r="13623" spans="1:2" x14ac:dyDescent="0.25">
      <c r="A13623">
        <v>34021300200</v>
      </c>
      <c r="B13623" t="s">
        <v>5769</v>
      </c>
    </row>
    <row r="13624" spans="1:2" x14ac:dyDescent="0.25">
      <c r="A13624">
        <v>34021300300</v>
      </c>
      <c r="B13624" t="s">
        <v>5770</v>
      </c>
    </row>
    <row r="13625" spans="1:2" x14ac:dyDescent="0.25">
      <c r="A13625">
        <v>34021300400</v>
      </c>
      <c r="B13625" t="s">
        <v>5771</v>
      </c>
    </row>
    <row r="13626" spans="1:2" x14ac:dyDescent="0.25">
      <c r="A13626">
        <v>34021300500</v>
      </c>
      <c r="B13626" t="s">
        <v>5772</v>
      </c>
    </row>
    <row r="13627" spans="1:2" x14ac:dyDescent="0.25">
      <c r="A13627">
        <v>34021300600</v>
      </c>
      <c r="B13627" t="s">
        <v>5773</v>
      </c>
    </row>
    <row r="13628" spans="1:2" x14ac:dyDescent="0.25">
      <c r="A13628">
        <v>34021300700</v>
      </c>
      <c r="B13628" t="s">
        <v>5774</v>
      </c>
    </row>
    <row r="13629" spans="1:2" x14ac:dyDescent="0.25">
      <c r="A13629">
        <v>34021300800</v>
      </c>
      <c r="B13629" t="s">
        <v>5775</v>
      </c>
    </row>
    <row r="13630" spans="1:2" x14ac:dyDescent="0.25">
      <c r="A13630">
        <v>34021300900</v>
      </c>
      <c r="B13630" t="s">
        <v>10</v>
      </c>
    </row>
    <row r="13631" spans="1:2" x14ac:dyDescent="0.25">
      <c r="A13631">
        <v>34021900</v>
      </c>
      <c r="B13631" t="e">
        <f>- - Los demas</f>
        <v>#NAME?</v>
      </c>
    </row>
    <row r="13632" spans="1:2" x14ac:dyDescent="0.25">
      <c r="A13632">
        <v>34021900100</v>
      </c>
      <c r="B13632" t="s">
        <v>5776</v>
      </c>
    </row>
    <row r="13633" spans="1:2" x14ac:dyDescent="0.25">
      <c r="A13633">
        <v>34021900900</v>
      </c>
      <c r="B13633" t="s">
        <v>10</v>
      </c>
    </row>
    <row r="13634" spans="1:2" x14ac:dyDescent="0.25">
      <c r="A13634">
        <v>34022000</v>
      </c>
      <c r="B13634" t="e">
        <f>- Preparaciones acondicionadas para la venta al por menor</f>
        <v>#NAME?</v>
      </c>
    </row>
    <row r="13635" spans="1:2" x14ac:dyDescent="0.25">
      <c r="A13635">
        <v>34022000100</v>
      </c>
      <c r="B13635" t="s">
        <v>5777</v>
      </c>
    </row>
    <row r="13636" spans="1:2" x14ac:dyDescent="0.25">
      <c r="A13636">
        <v>34022000900</v>
      </c>
      <c r="B13636" t="s">
        <v>10</v>
      </c>
    </row>
    <row r="13637" spans="1:2" x14ac:dyDescent="0.25">
      <c r="A13637">
        <v>340290</v>
      </c>
      <c r="B13637" t="e">
        <f>- las demas</f>
        <v>#NAME?</v>
      </c>
    </row>
    <row r="13638" spans="1:2" x14ac:dyDescent="0.25">
      <c r="A13638">
        <v>3402901</v>
      </c>
      <c r="B13638" t="s">
        <v>5778</v>
      </c>
    </row>
    <row r="13639" spans="1:2" x14ac:dyDescent="0.25">
      <c r="A13639">
        <v>34029011000</v>
      </c>
      <c r="B13639" t="s">
        <v>5779</v>
      </c>
    </row>
    <row r="13640" spans="1:2" x14ac:dyDescent="0.25">
      <c r="A13640">
        <v>34029019000</v>
      </c>
      <c r="B13640" t="s">
        <v>57</v>
      </c>
    </row>
    <row r="13641" spans="1:2" x14ac:dyDescent="0.25">
      <c r="A13641">
        <v>3402902</v>
      </c>
      <c r="B13641" t="s">
        <v>5780</v>
      </c>
    </row>
    <row r="13642" spans="1:2" x14ac:dyDescent="0.25">
      <c r="A13642">
        <v>34029021000</v>
      </c>
      <c r="B13642" t="s">
        <v>5781</v>
      </c>
    </row>
    <row r="13643" spans="1:2" x14ac:dyDescent="0.25">
      <c r="A13643">
        <v>34029022000</v>
      </c>
      <c r="B13643" t="s">
        <v>5782</v>
      </c>
    </row>
    <row r="13644" spans="1:2" x14ac:dyDescent="0.25">
      <c r="A13644">
        <v>34029023000</v>
      </c>
      <c r="B13644" t="s">
        <v>5783</v>
      </c>
    </row>
    <row r="13645" spans="1:2" x14ac:dyDescent="0.25">
      <c r="A13645">
        <v>34029029</v>
      </c>
      <c r="B13645" t="s">
        <v>57</v>
      </c>
    </row>
    <row r="13646" spans="1:2" x14ac:dyDescent="0.25">
      <c r="A13646">
        <v>34029029100</v>
      </c>
      <c r="B13646" t="s">
        <v>5784</v>
      </c>
    </row>
    <row r="13647" spans="1:2" x14ac:dyDescent="0.25">
      <c r="A13647">
        <v>34029029200</v>
      </c>
      <c r="B13647" t="s">
        <v>5785</v>
      </c>
    </row>
    <row r="13648" spans="1:2" x14ac:dyDescent="0.25">
      <c r="A13648">
        <v>34029029300</v>
      </c>
      <c r="B13648" t="s">
        <v>5786</v>
      </c>
    </row>
    <row r="13649" spans="1:2" x14ac:dyDescent="0.25">
      <c r="A13649">
        <v>34029029900</v>
      </c>
      <c r="B13649" t="s">
        <v>10</v>
      </c>
    </row>
    <row r="13650" spans="1:2" x14ac:dyDescent="0.25">
      <c r="A13650">
        <v>3402903</v>
      </c>
      <c r="B13650" t="s">
        <v>5787</v>
      </c>
    </row>
    <row r="13651" spans="1:2" x14ac:dyDescent="0.25">
      <c r="A13651">
        <v>34029031000</v>
      </c>
      <c r="B13651" t="s">
        <v>5788</v>
      </c>
    </row>
    <row r="13652" spans="1:2" x14ac:dyDescent="0.25">
      <c r="A13652">
        <v>34029039</v>
      </c>
      <c r="B13652" t="s">
        <v>57</v>
      </c>
    </row>
    <row r="13653" spans="1:2" x14ac:dyDescent="0.25">
      <c r="A13653">
        <v>34029039100</v>
      </c>
      <c r="B13653" t="s">
        <v>5789</v>
      </c>
    </row>
    <row r="13654" spans="1:2" x14ac:dyDescent="0.25">
      <c r="A13654">
        <v>34029039200</v>
      </c>
      <c r="B13654" t="s">
        <v>5790</v>
      </c>
    </row>
    <row r="13655" spans="1:2" x14ac:dyDescent="0.25">
      <c r="A13655">
        <v>34029039300</v>
      </c>
      <c r="B13655" t="s">
        <v>5791</v>
      </c>
    </row>
    <row r="13656" spans="1:2" x14ac:dyDescent="0.25">
      <c r="A13656">
        <v>34029039900</v>
      </c>
      <c r="B13656" t="s">
        <v>10</v>
      </c>
    </row>
    <row r="13657" spans="1:2" x14ac:dyDescent="0.25">
      <c r="A13657">
        <v>34029090</v>
      </c>
      <c r="B13657" t="s">
        <v>57</v>
      </c>
    </row>
    <row r="13658" spans="1:2" x14ac:dyDescent="0.25">
      <c r="A13658">
        <v>34029090100</v>
      </c>
      <c r="B13658" t="s">
        <v>5792</v>
      </c>
    </row>
    <row r="13659" spans="1:2" x14ac:dyDescent="0.25">
      <c r="A13659">
        <v>34029090200</v>
      </c>
      <c r="B13659" t="s">
        <v>5793</v>
      </c>
    </row>
    <row r="13660" spans="1:2" x14ac:dyDescent="0.25">
      <c r="A13660">
        <v>34029090900</v>
      </c>
      <c r="B13660" t="s">
        <v>10</v>
      </c>
    </row>
    <row r="13661" spans="1:2" x14ac:dyDescent="0.25">
      <c r="A13661">
        <v>3403</v>
      </c>
      <c r="B13661" t="s">
        <v>5794</v>
      </c>
    </row>
    <row r="13662" spans="1:2" x14ac:dyDescent="0.25">
      <c r="A13662">
        <v>34031</v>
      </c>
      <c r="B13662" t="s">
        <v>5795</v>
      </c>
    </row>
    <row r="13663" spans="1:2" x14ac:dyDescent="0.25">
      <c r="A13663">
        <v>340311</v>
      </c>
      <c r="B13663" t="e">
        <f>- - Preparaciones para el tratamiento de materias textiles. cueros y pieles. peleteria u otras materias</f>
        <v>#NAME?</v>
      </c>
    </row>
    <row r="13664" spans="1:2" x14ac:dyDescent="0.25">
      <c r="A13664">
        <v>34031110000</v>
      </c>
      <c r="B13664" t="s">
        <v>5796</v>
      </c>
    </row>
    <row r="13665" spans="1:2" x14ac:dyDescent="0.25">
      <c r="A13665">
        <v>34031120000</v>
      </c>
      <c r="B13665" t="s">
        <v>5797</v>
      </c>
    </row>
    <row r="13666" spans="1:2" x14ac:dyDescent="0.25">
      <c r="A13666">
        <v>34031190000</v>
      </c>
      <c r="B13666" t="s">
        <v>57</v>
      </c>
    </row>
    <row r="13667" spans="1:2" x14ac:dyDescent="0.25">
      <c r="A13667">
        <v>34031900</v>
      </c>
      <c r="B13667" t="e">
        <f>- - las demas</f>
        <v>#NAME?</v>
      </c>
    </row>
    <row r="13668" spans="1:2" x14ac:dyDescent="0.25">
      <c r="A13668">
        <v>34031900100</v>
      </c>
      <c r="B13668" t="s">
        <v>5798</v>
      </c>
    </row>
    <row r="13669" spans="1:2" x14ac:dyDescent="0.25">
      <c r="A13669">
        <v>34031900200</v>
      </c>
      <c r="B13669" t="s">
        <v>5799</v>
      </c>
    </row>
    <row r="13670" spans="1:2" x14ac:dyDescent="0.25">
      <c r="A13670">
        <v>34031900300</v>
      </c>
      <c r="B13670" t="s">
        <v>5800</v>
      </c>
    </row>
    <row r="13671" spans="1:2" x14ac:dyDescent="0.25">
      <c r="A13671">
        <v>34031900400</v>
      </c>
      <c r="B13671" t="s">
        <v>5801</v>
      </c>
    </row>
    <row r="13672" spans="1:2" x14ac:dyDescent="0.25">
      <c r="A13672">
        <v>34031900500</v>
      </c>
      <c r="B13672" t="s">
        <v>5802</v>
      </c>
    </row>
    <row r="13673" spans="1:2" x14ac:dyDescent="0.25">
      <c r="A13673">
        <v>34031900900</v>
      </c>
      <c r="B13673" t="s">
        <v>10</v>
      </c>
    </row>
    <row r="13674" spans="1:2" x14ac:dyDescent="0.25">
      <c r="A13674">
        <v>34039</v>
      </c>
      <c r="B13674" t="s">
        <v>567</v>
      </c>
    </row>
    <row r="13675" spans="1:2" x14ac:dyDescent="0.25">
      <c r="A13675">
        <v>340391</v>
      </c>
      <c r="B13675" t="e">
        <f>- - Preparaciones para el tratamiento de materias textiles. cueros y pieles. peleteria u otras materias</f>
        <v>#NAME?</v>
      </c>
    </row>
    <row r="13676" spans="1:2" x14ac:dyDescent="0.25">
      <c r="A13676">
        <v>34039110000</v>
      </c>
      <c r="B13676" t="s">
        <v>5796</v>
      </c>
    </row>
    <row r="13677" spans="1:2" x14ac:dyDescent="0.25">
      <c r="A13677">
        <v>34039120000</v>
      </c>
      <c r="B13677" t="s">
        <v>5797</v>
      </c>
    </row>
    <row r="13678" spans="1:2" x14ac:dyDescent="0.25">
      <c r="A13678">
        <v>34039190000</v>
      </c>
      <c r="B13678" t="s">
        <v>57</v>
      </c>
    </row>
    <row r="13679" spans="1:2" x14ac:dyDescent="0.25">
      <c r="A13679">
        <v>34039900</v>
      </c>
      <c r="B13679" t="e">
        <f>- - las demas</f>
        <v>#NAME?</v>
      </c>
    </row>
    <row r="13680" spans="1:2" x14ac:dyDescent="0.25">
      <c r="A13680">
        <v>34039900100</v>
      </c>
      <c r="B13680" t="s">
        <v>5798</v>
      </c>
    </row>
    <row r="13681" spans="1:2" x14ac:dyDescent="0.25">
      <c r="A13681">
        <v>34039900200</v>
      </c>
      <c r="B13681" t="s">
        <v>5799</v>
      </c>
    </row>
    <row r="13682" spans="1:2" x14ac:dyDescent="0.25">
      <c r="A13682">
        <v>34039900300</v>
      </c>
      <c r="B13682" t="s">
        <v>5800</v>
      </c>
    </row>
    <row r="13683" spans="1:2" x14ac:dyDescent="0.25">
      <c r="A13683">
        <v>34039900400</v>
      </c>
      <c r="B13683" t="s">
        <v>5801</v>
      </c>
    </row>
    <row r="13684" spans="1:2" x14ac:dyDescent="0.25">
      <c r="A13684">
        <v>34039900500</v>
      </c>
      <c r="B13684" t="s">
        <v>5803</v>
      </c>
    </row>
    <row r="13685" spans="1:2" x14ac:dyDescent="0.25">
      <c r="A13685">
        <v>34039900900</v>
      </c>
      <c r="B13685" t="s">
        <v>10</v>
      </c>
    </row>
    <row r="13686" spans="1:2" x14ac:dyDescent="0.25">
      <c r="A13686">
        <v>3404</v>
      </c>
      <c r="B13686" t="s">
        <v>5804</v>
      </c>
    </row>
    <row r="13687" spans="1:2" x14ac:dyDescent="0.25">
      <c r="A13687">
        <v>340420</v>
      </c>
      <c r="B13687" t="e">
        <f ca="1">- de poli(oxietileno) (polietilenglicol)</f>
        <v>#NAME?</v>
      </c>
    </row>
    <row r="13688" spans="1:2" x14ac:dyDescent="0.25">
      <c r="A13688">
        <v>34042010000</v>
      </c>
      <c r="B13688" t="s">
        <v>5805</v>
      </c>
    </row>
    <row r="13689" spans="1:2" x14ac:dyDescent="0.25">
      <c r="A13689">
        <v>34042020000</v>
      </c>
      <c r="B13689" t="s">
        <v>5806</v>
      </c>
    </row>
    <row r="13690" spans="1:2" x14ac:dyDescent="0.25">
      <c r="A13690">
        <v>340490</v>
      </c>
      <c r="B13690" t="e">
        <f>- las demas</f>
        <v>#NAME?</v>
      </c>
    </row>
    <row r="13691" spans="1:2" x14ac:dyDescent="0.25">
      <c r="A13691">
        <v>3404901</v>
      </c>
      <c r="B13691" t="s">
        <v>5805</v>
      </c>
    </row>
    <row r="13692" spans="1:2" x14ac:dyDescent="0.25">
      <c r="A13692">
        <v>34049011000</v>
      </c>
      <c r="B13692" t="s">
        <v>5807</v>
      </c>
    </row>
    <row r="13693" spans="1:2" x14ac:dyDescent="0.25">
      <c r="A13693">
        <v>34049012000</v>
      </c>
      <c r="B13693" t="s">
        <v>5808</v>
      </c>
    </row>
    <row r="13694" spans="1:2" x14ac:dyDescent="0.25">
      <c r="A13694">
        <v>34049013000</v>
      </c>
      <c r="B13694" t="s">
        <v>5809</v>
      </c>
    </row>
    <row r="13695" spans="1:2" x14ac:dyDescent="0.25">
      <c r="A13695">
        <v>34049014000</v>
      </c>
      <c r="B13695" t="s">
        <v>5810</v>
      </c>
    </row>
    <row r="13696" spans="1:2" x14ac:dyDescent="0.25">
      <c r="A13696">
        <v>34049019</v>
      </c>
      <c r="B13696" t="s">
        <v>57</v>
      </c>
    </row>
    <row r="13697" spans="1:2" x14ac:dyDescent="0.25">
      <c r="A13697">
        <v>34049019100</v>
      </c>
      <c r="B13697" t="s">
        <v>5811</v>
      </c>
    </row>
    <row r="13698" spans="1:2" x14ac:dyDescent="0.25">
      <c r="A13698">
        <v>34049019200</v>
      </c>
      <c r="B13698" t="s">
        <v>5812</v>
      </c>
    </row>
    <row r="13699" spans="1:2" x14ac:dyDescent="0.25">
      <c r="A13699">
        <v>34049019300</v>
      </c>
      <c r="B13699" t="s">
        <v>5813</v>
      </c>
    </row>
    <row r="13700" spans="1:2" x14ac:dyDescent="0.25">
      <c r="A13700">
        <v>34049019400</v>
      </c>
      <c r="B13700" t="s">
        <v>5814</v>
      </c>
    </row>
    <row r="13701" spans="1:2" x14ac:dyDescent="0.25">
      <c r="A13701">
        <v>34049019900</v>
      </c>
      <c r="B13701" t="s">
        <v>57</v>
      </c>
    </row>
    <row r="13702" spans="1:2" x14ac:dyDescent="0.25">
      <c r="A13702">
        <v>3404902</v>
      </c>
      <c r="B13702" t="s">
        <v>5806</v>
      </c>
    </row>
    <row r="13703" spans="1:2" x14ac:dyDescent="0.25">
      <c r="A13703">
        <v>34049021000</v>
      </c>
      <c r="B13703" t="s">
        <v>5815</v>
      </c>
    </row>
    <row r="13704" spans="1:2" x14ac:dyDescent="0.25">
      <c r="A13704">
        <v>34049022000</v>
      </c>
      <c r="B13704" t="s">
        <v>5816</v>
      </c>
    </row>
    <row r="13705" spans="1:2" x14ac:dyDescent="0.25">
      <c r="A13705">
        <v>34049029</v>
      </c>
      <c r="B13705" t="s">
        <v>57</v>
      </c>
    </row>
    <row r="13706" spans="1:2" x14ac:dyDescent="0.25">
      <c r="A13706">
        <v>34049029100</v>
      </c>
      <c r="B13706" t="s">
        <v>5817</v>
      </c>
    </row>
    <row r="13707" spans="1:2" x14ac:dyDescent="0.25">
      <c r="A13707">
        <v>34049029900</v>
      </c>
      <c r="B13707" t="s">
        <v>57</v>
      </c>
    </row>
    <row r="13708" spans="1:2" x14ac:dyDescent="0.25">
      <c r="A13708">
        <v>3405</v>
      </c>
      <c r="B13708" t="s">
        <v>5818</v>
      </c>
    </row>
    <row r="13709" spans="1:2" x14ac:dyDescent="0.25">
      <c r="A13709">
        <v>34051000</v>
      </c>
      <c r="B13709" t="e">
        <f>- Betunes. cremas y Preparaciones similares para el calzado o para cueros y pieles</f>
        <v>#NAME?</v>
      </c>
    </row>
    <row r="13710" spans="1:2" x14ac:dyDescent="0.25">
      <c r="A13710">
        <v>34051000100</v>
      </c>
      <c r="B13710" t="s">
        <v>5561</v>
      </c>
    </row>
    <row r="13711" spans="1:2" x14ac:dyDescent="0.25">
      <c r="A13711">
        <v>34051000900</v>
      </c>
      <c r="B13711" t="s">
        <v>10</v>
      </c>
    </row>
    <row r="13712" spans="1:2" x14ac:dyDescent="0.25">
      <c r="A13712">
        <v>34052000</v>
      </c>
      <c r="B13712" t="e">
        <f>- Encausticos y Preparaciones similares para la conservacion de muebles de madera. parques u otras manufacturas de madera</f>
        <v>#NAME?</v>
      </c>
    </row>
    <row r="13713" spans="1:2" x14ac:dyDescent="0.25">
      <c r="A13713">
        <v>34052000100</v>
      </c>
      <c r="B13713" t="s">
        <v>5561</v>
      </c>
    </row>
    <row r="13714" spans="1:2" x14ac:dyDescent="0.25">
      <c r="A13714">
        <v>34052000900</v>
      </c>
      <c r="B13714" t="s">
        <v>10</v>
      </c>
    </row>
    <row r="13715" spans="1:2" x14ac:dyDescent="0.25">
      <c r="A13715">
        <v>34053000</v>
      </c>
      <c r="B13715" t="e">
        <f>- Abrillantadores (lustres) y Preparaciones similares para carrocerias. excepto las Preparaciones para lustrar Metal</f>
        <v>#NAME?</v>
      </c>
    </row>
    <row r="13716" spans="1:2" x14ac:dyDescent="0.25">
      <c r="A13716">
        <v>34053000100</v>
      </c>
      <c r="B13716" t="s">
        <v>5561</v>
      </c>
    </row>
    <row r="13717" spans="1:2" x14ac:dyDescent="0.25">
      <c r="A13717">
        <v>34053000900</v>
      </c>
      <c r="B13717" t="s">
        <v>10</v>
      </c>
    </row>
    <row r="13718" spans="1:2" x14ac:dyDescent="0.25">
      <c r="A13718">
        <v>34054000</v>
      </c>
      <c r="B13718" t="e">
        <f>- Pastas. Polvos y demas Preparaciones para fregar</f>
        <v>#NAME?</v>
      </c>
    </row>
    <row r="13719" spans="1:2" x14ac:dyDescent="0.25">
      <c r="A13719">
        <v>34054000100</v>
      </c>
      <c r="B13719" t="s">
        <v>5561</v>
      </c>
    </row>
    <row r="13720" spans="1:2" x14ac:dyDescent="0.25">
      <c r="A13720">
        <v>34054000900</v>
      </c>
      <c r="B13720" t="s">
        <v>10</v>
      </c>
    </row>
    <row r="13721" spans="1:2" x14ac:dyDescent="0.25">
      <c r="A13721">
        <v>34059000</v>
      </c>
      <c r="B13721" t="e">
        <f>- las demas</f>
        <v>#NAME?</v>
      </c>
    </row>
    <row r="13722" spans="1:2" x14ac:dyDescent="0.25">
      <c r="A13722">
        <v>340590001</v>
      </c>
      <c r="B13722" t="s">
        <v>5819</v>
      </c>
    </row>
    <row r="13723" spans="1:2" x14ac:dyDescent="0.25">
      <c r="A13723">
        <v>34059000110</v>
      </c>
      <c r="B13723" t="s">
        <v>5561</v>
      </c>
    </row>
    <row r="13724" spans="1:2" x14ac:dyDescent="0.25">
      <c r="A13724">
        <v>34059000190</v>
      </c>
      <c r="B13724" t="s">
        <v>10</v>
      </c>
    </row>
    <row r="13725" spans="1:2" x14ac:dyDescent="0.25">
      <c r="A13725">
        <v>340590009</v>
      </c>
      <c r="B13725" t="s">
        <v>57</v>
      </c>
    </row>
    <row r="13726" spans="1:2" x14ac:dyDescent="0.25">
      <c r="A13726">
        <v>34059000910</v>
      </c>
      <c r="B13726" t="s">
        <v>5561</v>
      </c>
    </row>
    <row r="13727" spans="1:2" x14ac:dyDescent="0.25">
      <c r="A13727">
        <v>34059000990</v>
      </c>
      <c r="B13727" t="s">
        <v>10</v>
      </c>
    </row>
    <row r="13728" spans="1:2" x14ac:dyDescent="0.25">
      <c r="A13728">
        <v>34060000</v>
      </c>
      <c r="B13728" t="s">
        <v>5820</v>
      </c>
    </row>
    <row r="13729" spans="1:2" x14ac:dyDescent="0.25">
      <c r="A13729">
        <v>34060000100</v>
      </c>
      <c r="B13729" t="s">
        <v>5821</v>
      </c>
    </row>
    <row r="13730" spans="1:2" x14ac:dyDescent="0.25">
      <c r="A13730">
        <v>34060000900</v>
      </c>
      <c r="B13730" t="s">
        <v>10</v>
      </c>
    </row>
    <row r="13731" spans="1:2" x14ac:dyDescent="0.25">
      <c r="A13731">
        <v>340700</v>
      </c>
      <c r="B13731" t="s">
        <v>5822</v>
      </c>
    </row>
    <row r="13732" spans="1:2" x14ac:dyDescent="0.25">
      <c r="A13732">
        <v>34070010</v>
      </c>
      <c r="B13732" t="s">
        <v>5823</v>
      </c>
    </row>
    <row r="13733" spans="1:2" x14ac:dyDescent="0.25">
      <c r="A13733">
        <v>34070010100</v>
      </c>
      <c r="B13733" t="s">
        <v>5635</v>
      </c>
    </row>
    <row r="13734" spans="1:2" x14ac:dyDescent="0.25">
      <c r="A13734">
        <v>34070010900</v>
      </c>
      <c r="B13734" t="s">
        <v>10</v>
      </c>
    </row>
    <row r="13735" spans="1:2" x14ac:dyDescent="0.25">
      <c r="A13735">
        <v>34070020000</v>
      </c>
      <c r="B13735" t="s">
        <v>5824</v>
      </c>
    </row>
    <row r="13736" spans="1:2" x14ac:dyDescent="0.25">
      <c r="A13736">
        <v>34070090000</v>
      </c>
      <c r="B13736" t="s">
        <v>57</v>
      </c>
    </row>
    <row r="13737" spans="1:2" x14ac:dyDescent="0.25">
      <c r="A13737">
        <v>3501</v>
      </c>
      <c r="B13737" t="s">
        <v>5825</v>
      </c>
    </row>
    <row r="13738" spans="1:2" x14ac:dyDescent="0.25">
      <c r="A13738">
        <v>35011000</v>
      </c>
      <c r="B13738" t="e">
        <f>- Caseina</f>
        <v>#NAME?</v>
      </c>
    </row>
    <row r="13739" spans="1:2" x14ac:dyDescent="0.25">
      <c r="A13739">
        <v>35011000100</v>
      </c>
      <c r="B13739" t="s">
        <v>575</v>
      </c>
    </row>
    <row r="13740" spans="1:2" x14ac:dyDescent="0.25">
      <c r="A13740">
        <v>35011000900</v>
      </c>
      <c r="B13740" t="s">
        <v>57</v>
      </c>
    </row>
    <row r="13741" spans="1:2" x14ac:dyDescent="0.25">
      <c r="A13741">
        <v>350190</v>
      </c>
      <c r="B13741" t="e">
        <f>- Los demas</f>
        <v>#NAME?</v>
      </c>
    </row>
    <row r="13742" spans="1:2" x14ac:dyDescent="0.25">
      <c r="A13742">
        <v>3501901</v>
      </c>
      <c r="B13742" t="s">
        <v>5826</v>
      </c>
    </row>
    <row r="13743" spans="1:2" x14ac:dyDescent="0.25">
      <c r="A13743">
        <v>35019011</v>
      </c>
      <c r="B13743" t="s">
        <v>5827</v>
      </c>
    </row>
    <row r="13744" spans="1:2" x14ac:dyDescent="0.25">
      <c r="A13744">
        <v>35019011100</v>
      </c>
      <c r="B13744" t="s">
        <v>571</v>
      </c>
    </row>
    <row r="13745" spans="1:2" x14ac:dyDescent="0.25">
      <c r="A13745">
        <v>35019011900</v>
      </c>
      <c r="B13745" t="s">
        <v>10</v>
      </c>
    </row>
    <row r="13746" spans="1:2" x14ac:dyDescent="0.25">
      <c r="A13746">
        <v>35019019</v>
      </c>
      <c r="B13746" t="s">
        <v>10</v>
      </c>
    </row>
    <row r="13747" spans="1:2" x14ac:dyDescent="0.25">
      <c r="A13747">
        <v>350190191</v>
      </c>
      <c r="B13747" t="s">
        <v>5828</v>
      </c>
    </row>
    <row r="13748" spans="1:2" x14ac:dyDescent="0.25">
      <c r="A13748">
        <v>3501901911</v>
      </c>
      <c r="B13748" t="s">
        <v>5829</v>
      </c>
    </row>
    <row r="13749" spans="1:2" x14ac:dyDescent="0.25">
      <c r="A13749">
        <v>35019019111</v>
      </c>
      <c r="B13749" t="s">
        <v>571</v>
      </c>
    </row>
    <row r="13750" spans="1:2" x14ac:dyDescent="0.25">
      <c r="A13750">
        <v>35019019119</v>
      </c>
      <c r="B13750" t="s">
        <v>10</v>
      </c>
    </row>
    <row r="13751" spans="1:2" x14ac:dyDescent="0.25">
      <c r="A13751">
        <v>3501901919</v>
      </c>
      <c r="B13751" t="s">
        <v>10</v>
      </c>
    </row>
    <row r="13752" spans="1:2" x14ac:dyDescent="0.25">
      <c r="A13752">
        <v>35019019191</v>
      </c>
      <c r="B13752" t="s">
        <v>571</v>
      </c>
    </row>
    <row r="13753" spans="1:2" x14ac:dyDescent="0.25">
      <c r="A13753">
        <v>35019019199</v>
      </c>
      <c r="B13753" t="s">
        <v>10</v>
      </c>
    </row>
    <row r="13754" spans="1:2" x14ac:dyDescent="0.25">
      <c r="A13754">
        <v>350190192</v>
      </c>
      <c r="B13754" t="s">
        <v>5830</v>
      </c>
    </row>
    <row r="13755" spans="1:2" x14ac:dyDescent="0.25">
      <c r="A13755">
        <v>35019019210</v>
      </c>
      <c r="B13755" t="s">
        <v>571</v>
      </c>
    </row>
    <row r="13756" spans="1:2" x14ac:dyDescent="0.25">
      <c r="A13756">
        <v>35019019290</v>
      </c>
      <c r="B13756" t="s">
        <v>10</v>
      </c>
    </row>
    <row r="13757" spans="1:2" x14ac:dyDescent="0.25">
      <c r="A13757">
        <v>350190199</v>
      </c>
      <c r="B13757" t="s">
        <v>10</v>
      </c>
    </row>
    <row r="13758" spans="1:2" x14ac:dyDescent="0.25">
      <c r="A13758">
        <v>35019019910</v>
      </c>
      <c r="B13758" t="s">
        <v>571</v>
      </c>
    </row>
    <row r="13759" spans="1:2" x14ac:dyDescent="0.25">
      <c r="A13759">
        <v>35019019990</v>
      </c>
      <c r="B13759" t="s">
        <v>10</v>
      </c>
    </row>
    <row r="13760" spans="1:2" x14ac:dyDescent="0.25">
      <c r="A13760">
        <v>35019020000</v>
      </c>
      <c r="B13760" t="s">
        <v>5831</v>
      </c>
    </row>
    <row r="13761" spans="1:2" x14ac:dyDescent="0.25">
      <c r="A13761">
        <v>3502</v>
      </c>
      <c r="B13761" t="s">
        <v>5832</v>
      </c>
    </row>
    <row r="13762" spans="1:2" x14ac:dyDescent="0.25">
      <c r="A13762">
        <v>35021</v>
      </c>
      <c r="B13762" t="s">
        <v>5833</v>
      </c>
    </row>
    <row r="13763" spans="1:2" x14ac:dyDescent="0.25">
      <c r="A13763">
        <v>35021100000</v>
      </c>
      <c r="B13763" t="e">
        <f>--Seca</f>
        <v>#NAME?</v>
      </c>
    </row>
    <row r="13764" spans="1:2" x14ac:dyDescent="0.25">
      <c r="A13764">
        <v>35021900000</v>
      </c>
      <c r="B13764" t="e">
        <f>--las demas</f>
        <v>#NAME?</v>
      </c>
    </row>
    <row r="13765" spans="1:2" x14ac:dyDescent="0.25">
      <c r="A13765">
        <v>35022000000</v>
      </c>
      <c r="B13765" t="e">
        <f>-Lactoalbumina. incluidos Los concentrados de dos o mas proteinas del lactosuero</f>
        <v>#NAME?</v>
      </c>
    </row>
    <row r="13766" spans="1:2" x14ac:dyDescent="0.25">
      <c r="A13766">
        <v>350290</v>
      </c>
      <c r="B13766" t="e">
        <f>- Los demas</f>
        <v>#NAME?</v>
      </c>
    </row>
    <row r="13767" spans="1:2" x14ac:dyDescent="0.25">
      <c r="A13767">
        <v>35029010000</v>
      </c>
      <c r="B13767" t="s">
        <v>5834</v>
      </c>
    </row>
    <row r="13768" spans="1:2" x14ac:dyDescent="0.25">
      <c r="A13768">
        <v>35029090000</v>
      </c>
      <c r="B13768" t="s">
        <v>10</v>
      </c>
    </row>
    <row r="13769" spans="1:2" x14ac:dyDescent="0.25">
      <c r="A13769">
        <v>350300</v>
      </c>
      <c r="B13769" t="s">
        <v>5835</v>
      </c>
    </row>
    <row r="13770" spans="1:2" x14ac:dyDescent="0.25">
      <c r="A13770">
        <v>3503001</v>
      </c>
      <c r="B13770" t="s">
        <v>5836</v>
      </c>
    </row>
    <row r="13771" spans="1:2" x14ac:dyDescent="0.25">
      <c r="A13771">
        <v>35030011</v>
      </c>
      <c r="B13771" t="s">
        <v>5837</v>
      </c>
    </row>
    <row r="13772" spans="1:2" x14ac:dyDescent="0.25">
      <c r="A13772">
        <v>35030011100</v>
      </c>
      <c r="B13772" t="s">
        <v>1317</v>
      </c>
    </row>
    <row r="13773" spans="1:2" x14ac:dyDescent="0.25">
      <c r="A13773">
        <v>35030011900</v>
      </c>
      <c r="B13773" t="s">
        <v>10</v>
      </c>
    </row>
    <row r="13774" spans="1:2" x14ac:dyDescent="0.25">
      <c r="A13774">
        <v>35030012</v>
      </c>
      <c r="B13774" t="s">
        <v>5838</v>
      </c>
    </row>
    <row r="13775" spans="1:2" x14ac:dyDescent="0.25">
      <c r="A13775">
        <v>35030012100</v>
      </c>
      <c r="B13775" t="s">
        <v>1317</v>
      </c>
    </row>
    <row r="13776" spans="1:2" x14ac:dyDescent="0.25">
      <c r="A13776">
        <v>35030012900</v>
      </c>
      <c r="B13776" t="s">
        <v>10</v>
      </c>
    </row>
    <row r="13777" spans="1:2" x14ac:dyDescent="0.25">
      <c r="A13777">
        <v>35030019000</v>
      </c>
      <c r="B13777" t="s">
        <v>10</v>
      </c>
    </row>
    <row r="13778" spans="1:2" x14ac:dyDescent="0.25">
      <c r="A13778">
        <v>35030090</v>
      </c>
      <c r="B13778" t="s">
        <v>57</v>
      </c>
    </row>
    <row r="13779" spans="1:2" x14ac:dyDescent="0.25">
      <c r="A13779">
        <v>35030090100</v>
      </c>
      <c r="B13779" t="s">
        <v>5839</v>
      </c>
    </row>
    <row r="13780" spans="1:2" x14ac:dyDescent="0.25">
      <c r="A13780">
        <v>35030090200</v>
      </c>
      <c r="B13780" t="s">
        <v>5840</v>
      </c>
    </row>
    <row r="13781" spans="1:2" x14ac:dyDescent="0.25">
      <c r="A13781">
        <v>35030090300</v>
      </c>
      <c r="B13781" t="s">
        <v>5841</v>
      </c>
    </row>
    <row r="13782" spans="1:2" x14ac:dyDescent="0.25">
      <c r="A13782">
        <v>35030090900</v>
      </c>
      <c r="B13782" t="s">
        <v>57</v>
      </c>
    </row>
    <row r="13783" spans="1:2" x14ac:dyDescent="0.25">
      <c r="A13783">
        <v>350400</v>
      </c>
      <c r="B13783" t="s">
        <v>5842</v>
      </c>
    </row>
    <row r="13784" spans="1:2" x14ac:dyDescent="0.25">
      <c r="A13784">
        <v>3504001</v>
      </c>
      <c r="B13784" t="s">
        <v>5843</v>
      </c>
    </row>
    <row r="13785" spans="1:2" x14ac:dyDescent="0.25">
      <c r="A13785">
        <v>35040011000</v>
      </c>
      <c r="B13785" t="s">
        <v>5844</v>
      </c>
    </row>
    <row r="13786" spans="1:2" x14ac:dyDescent="0.25">
      <c r="A13786">
        <v>35040019000</v>
      </c>
      <c r="B13786" t="s">
        <v>10</v>
      </c>
    </row>
    <row r="13787" spans="1:2" x14ac:dyDescent="0.25">
      <c r="A13787">
        <v>35040020000</v>
      </c>
      <c r="B13787" t="s">
        <v>5845</v>
      </c>
    </row>
    <row r="13788" spans="1:2" x14ac:dyDescent="0.25">
      <c r="A13788">
        <v>35040030000</v>
      </c>
      <c r="B13788" t="s">
        <v>5846</v>
      </c>
    </row>
    <row r="13789" spans="1:2" x14ac:dyDescent="0.25">
      <c r="A13789">
        <v>35040090</v>
      </c>
      <c r="B13789" t="s">
        <v>10</v>
      </c>
    </row>
    <row r="13790" spans="1:2" x14ac:dyDescent="0.25">
      <c r="A13790">
        <v>35040090100</v>
      </c>
      <c r="B13790" t="s">
        <v>5847</v>
      </c>
    </row>
    <row r="13791" spans="1:2" x14ac:dyDescent="0.25">
      <c r="A13791">
        <v>35040090200</v>
      </c>
      <c r="B13791" t="s">
        <v>5848</v>
      </c>
    </row>
    <row r="13792" spans="1:2" x14ac:dyDescent="0.25">
      <c r="A13792">
        <v>35040090300</v>
      </c>
      <c r="B13792" t="s">
        <v>5849</v>
      </c>
    </row>
    <row r="13793" spans="1:2" x14ac:dyDescent="0.25">
      <c r="A13793">
        <v>35040090900</v>
      </c>
      <c r="B13793" t="s">
        <v>57</v>
      </c>
    </row>
    <row r="13794" spans="1:2" x14ac:dyDescent="0.25">
      <c r="A13794">
        <v>3505</v>
      </c>
      <c r="B13794" t="s">
        <v>5850</v>
      </c>
    </row>
    <row r="13795" spans="1:2" x14ac:dyDescent="0.25">
      <c r="A13795">
        <v>35051000</v>
      </c>
      <c r="B13795" t="e">
        <f>- Dextrina y demas almidones y feculas modificados</f>
        <v>#NAME?</v>
      </c>
    </row>
    <row r="13796" spans="1:2" x14ac:dyDescent="0.25">
      <c r="A13796">
        <v>35051000100</v>
      </c>
      <c r="B13796" t="s">
        <v>5851</v>
      </c>
    </row>
    <row r="13797" spans="1:2" x14ac:dyDescent="0.25">
      <c r="A13797">
        <v>350510002</v>
      </c>
      <c r="B13797" t="s">
        <v>5852</v>
      </c>
    </row>
    <row r="13798" spans="1:2" x14ac:dyDescent="0.25">
      <c r="A13798">
        <v>3505100021</v>
      </c>
      <c r="B13798" t="s">
        <v>5853</v>
      </c>
    </row>
    <row r="13799" spans="1:2" x14ac:dyDescent="0.25">
      <c r="A13799">
        <v>35051000211</v>
      </c>
      <c r="B13799" t="s">
        <v>5854</v>
      </c>
    </row>
    <row r="13800" spans="1:2" x14ac:dyDescent="0.25">
      <c r="A13800">
        <v>35051000219</v>
      </c>
      <c r="B13800" t="s">
        <v>10</v>
      </c>
    </row>
    <row r="13801" spans="1:2" x14ac:dyDescent="0.25">
      <c r="A13801">
        <v>35051000290</v>
      </c>
      <c r="B13801" t="s">
        <v>10</v>
      </c>
    </row>
    <row r="13802" spans="1:2" x14ac:dyDescent="0.25">
      <c r="A13802">
        <v>35052000</v>
      </c>
      <c r="B13802" t="e">
        <f>- colas</f>
        <v>#NAME?</v>
      </c>
    </row>
    <row r="13803" spans="1:2" x14ac:dyDescent="0.25">
      <c r="A13803">
        <v>35052000100</v>
      </c>
      <c r="B13803" t="s">
        <v>5855</v>
      </c>
    </row>
    <row r="13804" spans="1:2" x14ac:dyDescent="0.25">
      <c r="A13804">
        <v>35052000200</v>
      </c>
      <c r="B13804" t="s">
        <v>5856</v>
      </c>
    </row>
    <row r="13805" spans="1:2" x14ac:dyDescent="0.25">
      <c r="A13805">
        <v>3506</v>
      </c>
      <c r="B13805" t="s">
        <v>5857</v>
      </c>
    </row>
    <row r="13806" spans="1:2" x14ac:dyDescent="0.25">
      <c r="A13806">
        <v>350610</v>
      </c>
      <c r="B13806" t="s">
        <v>5858</v>
      </c>
    </row>
    <row r="13807" spans="1:2" x14ac:dyDescent="0.25">
      <c r="A13807">
        <v>35061010</v>
      </c>
      <c r="B13807" t="s">
        <v>5859</v>
      </c>
    </row>
    <row r="13808" spans="1:2" x14ac:dyDescent="0.25">
      <c r="A13808">
        <v>35061010100</v>
      </c>
      <c r="B13808" t="s">
        <v>5860</v>
      </c>
    </row>
    <row r="13809" spans="1:2" x14ac:dyDescent="0.25">
      <c r="A13809">
        <v>35061010200</v>
      </c>
      <c r="B13809" t="s">
        <v>5861</v>
      </c>
    </row>
    <row r="13810" spans="1:2" x14ac:dyDescent="0.25">
      <c r="A13810">
        <v>35061010300</v>
      </c>
      <c r="B13810" t="s">
        <v>5862</v>
      </c>
    </row>
    <row r="13811" spans="1:2" x14ac:dyDescent="0.25">
      <c r="A13811">
        <v>35061090</v>
      </c>
      <c r="B13811" t="s">
        <v>10</v>
      </c>
    </row>
    <row r="13812" spans="1:2" x14ac:dyDescent="0.25">
      <c r="A13812">
        <v>35061090100</v>
      </c>
      <c r="B13812" t="s">
        <v>5863</v>
      </c>
    </row>
    <row r="13813" spans="1:2" x14ac:dyDescent="0.25">
      <c r="A13813">
        <v>35061090200</v>
      </c>
      <c r="B13813" t="s">
        <v>5864</v>
      </c>
    </row>
    <row r="13814" spans="1:2" x14ac:dyDescent="0.25">
      <c r="A13814">
        <v>35061090900</v>
      </c>
      <c r="B13814" t="s">
        <v>10</v>
      </c>
    </row>
    <row r="13815" spans="1:2" x14ac:dyDescent="0.25">
      <c r="A13815">
        <v>35069</v>
      </c>
      <c r="B13815" t="s">
        <v>28</v>
      </c>
    </row>
    <row r="13816" spans="1:2" x14ac:dyDescent="0.25">
      <c r="A13816">
        <v>350691</v>
      </c>
      <c r="B13816" t="s">
        <v>5865</v>
      </c>
    </row>
    <row r="13817" spans="1:2" x14ac:dyDescent="0.25">
      <c r="A13817">
        <v>35069110000</v>
      </c>
      <c r="B13817" t="s">
        <v>5863</v>
      </c>
    </row>
    <row r="13818" spans="1:2" x14ac:dyDescent="0.25">
      <c r="A13818">
        <v>35069120000</v>
      </c>
      <c r="B13818" t="s">
        <v>5866</v>
      </c>
    </row>
    <row r="13819" spans="1:2" x14ac:dyDescent="0.25">
      <c r="A13819">
        <v>35069190000</v>
      </c>
      <c r="B13819" t="s">
        <v>10</v>
      </c>
    </row>
    <row r="13820" spans="1:2" x14ac:dyDescent="0.25">
      <c r="A13820">
        <v>35069900000</v>
      </c>
      <c r="B13820" t="e">
        <f>--Los demas</f>
        <v>#NAME?</v>
      </c>
    </row>
    <row r="13821" spans="1:2" x14ac:dyDescent="0.25">
      <c r="A13821">
        <v>3507</v>
      </c>
      <c r="B13821" t="s">
        <v>5867</v>
      </c>
    </row>
    <row r="13822" spans="1:2" x14ac:dyDescent="0.25">
      <c r="A13822">
        <v>35071000000</v>
      </c>
      <c r="B13822" t="e">
        <f>-Cuajo y sus concentrados</f>
        <v>#NAME?</v>
      </c>
    </row>
    <row r="13823" spans="1:2" x14ac:dyDescent="0.25">
      <c r="A13823">
        <v>350790</v>
      </c>
      <c r="B13823" t="e">
        <f>- las demas</f>
        <v>#NAME?</v>
      </c>
    </row>
    <row r="13824" spans="1:2" x14ac:dyDescent="0.25">
      <c r="A13824">
        <v>3507901</v>
      </c>
      <c r="B13824" t="s">
        <v>5868</v>
      </c>
    </row>
    <row r="13825" spans="1:2" x14ac:dyDescent="0.25">
      <c r="A13825">
        <v>35079011000</v>
      </c>
      <c r="B13825" t="s">
        <v>5869</v>
      </c>
    </row>
    <row r="13826" spans="1:2" x14ac:dyDescent="0.25">
      <c r="A13826">
        <v>35079019000</v>
      </c>
      <c r="B13826" t="s">
        <v>10</v>
      </c>
    </row>
    <row r="13827" spans="1:2" x14ac:dyDescent="0.25">
      <c r="A13827">
        <v>3507902</v>
      </c>
      <c r="B13827" t="s">
        <v>5870</v>
      </c>
    </row>
    <row r="13828" spans="1:2" x14ac:dyDescent="0.25">
      <c r="A13828">
        <v>35079021000</v>
      </c>
      <c r="B13828" t="s">
        <v>5871</v>
      </c>
    </row>
    <row r="13829" spans="1:2" x14ac:dyDescent="0.25">
      <c r="A13829">
        <v>35079022000</v>
      </c>
      <c r="B13829" t="s">
        <v>5872</v>
      </c>
    </row>
    <row r="13830" spans="1:2" x14ac:dyDescent="0.25">
      <c r="A13830">
        <v>35079023000</v>
      </c>
      <c r="B13830" t="s">
        <v>4846</v>
      </c>
    </row>
    <row r="13831" spans="1:2" x14ac:dyDescent="0.25">
      <c r="A13831">
        <v>35079024000</v>
      </c>
      <c r="B13831" t="s">
        <v>5873</v>
      </c>
    </row>
    <row r="13832" spans="1:2" x14ac:dyDescent="0.25">
      <c r="A13832">
        <v>35079025000</v>
      </c>
      <c r="B13832" t="s">
        <v>5874</v>
      </c>
    </row>
    <row r="13833" spans="1:2" x14ac:dyDescent="0.25">
      <c r="A13833">
        <v>35079026000</v>
      </c>
      <c r="B13833" t="s">
        <v>5875</v>
      </c>
    </row>
    <row r="13834" spans="1:2" x14ac:dyDescent="0.25">
      <c r="A13834">
        <v>35079029000</v>
      </c>
      <c r="B13834" t="s">
        <v>10</v>
      </c>
    </row>
    <row r="13835" spans="1:2" x14ac:dyDescent="0.25">
      <c r="A13835">
        <v>3507903</v>
      </c>
      <c r="B13835" t="s">
        <v>5876</v>
      </c>
    </row>
    <row r="13836" spans="1:2" x14ac:dyDescent="0.25">
      <c r="A13836">
        <v>35079031000</v>
      </c>
      <c r="B13836" t="s">
        <v>5877</v>
      </c>
    </row>
    <row r="13837" spans="1:2" x14ac:dyDescent="0.25">
      <c r="A13837">
        <v>35079032000</v>
      </c>
      <c r="B13837" t="s">
        <v>5878</v>
      </c>
    </row>
    <row r="13838" spans="1:2" x14ac:dyDescent="0.25">
      <c r="A13838">
        <v>35079039000</v>
      </c>
      <c r="B13838" t="s">
        <v>10</v>
      </c>
    </row>
    <row r="13839" spans="1:2" x14ac:dyDescent="0.25">
      <c r="A13839">
        <v>3507904</v>
      </c>
      <c r="B13839" t="s">
        <v>5879</v>
      </c>
    </row>
    <row r="13840" spans="1:2" x14ac:dyDescent="0.25">
      <c r="A13840">
        <v>35079041000</v>
      </c>
      <c r="B13840" t="s">
        <v>5880</v>
      </c>
    </row>
    <row r="13841" spans="1:2" x14ac:dyDescent="0.25">
      <c r="A13841">
        <v>35079042000</v>
      </c>
      <c r="B13841" t="s">
        <v>5881</v>
      </c>
    </row>
    <row r="13842" spans="1:2" x14ac:dyDescent="0.25">
      <c r="A13842">
        <v>35079049</v>
      </c>
      <c r="B13842" t="s">
        <v>57</v>
      </c>
    </row>
    <row r="13843" spans="1:2" x14ac:dyDescent="0.25">
      <c r="A13843">
        <v>35079049100</v>
      </c>
      <c r="B13843" t="s">
        <v>5882</v>
      </c>
    </row>
    <row r="13844" spans="1:2" x14ac:dyDescent="0.25">
      <c r="A13844">
        <v>35079049200</v>
      </c>
      <c r="B13844" t="s">
        <v>5883</v>
      </c>
    </row>
    <row r="13845" spans="1:2" x14ac:dyDescent="0.25">
      <c r="A13845">
        <v>35079049900</v>
      </c>
      <c r="B13845" t="s">
        <v>57</v>
      </c>
    </row>
    <row r="13846" spans="1:2" x14ac:dyDescent="0.25">
      <c r="A13846">
        <v>36010000000</v>
      </c>
      <c r="B13846" t="s">
        <v>5884</v>
      </c>
    </row>
    <row r="13847" spans="1:2" x14ac:dyDescent="0.25">
      <c r="A13847">
        <v>36020000</v>
      </c>
      <c r="B13847" t="s">
        <v>5885</v>
      </c>
    </row>
    <row r="13848" spans="1:2" x14ac:dyDescent="0.25">
      <c r="A13848">
        <v>36020000100</v>
      </c>
      <c r="B13848" t="s">
        <v>5886</v>
      </c>
    </row>
    <row r="13849" spans="1:2" x14ac:dyDescent="0.25">
      <c r="A13849">
        <v>36020000200</v>
      </c>
      <c r="B13849" t="s">
        <v>5887</v>
      </c>
    </row>
    <row r="13850" spans="1:2" x14ac:dyDescent="0.25">
      <c r="A13850">
        <v>36020000300</v>
      </c>
      <c r="B13850" t="s">
        <v>5888</v>
      </c>
    </row>
    <row r="13851" spans="1:2" x14ac:dyDescent="0.25">
      <c r="A13851">
        <v>36020000400</v>
      </c>
      <c r="B13851" t="s">
        <v>5889</v>
      </c>
    </row>
    <row r="13852" spans="1:2" x14ac:dyDescent="0.25">
      <c r="A13852">
        <v>36020000900</v>
      </c>
      <c r="B13852" t="s">
        <v>10</v>
      </c>
    </row>
    <row r="13853" spans="1:2" x14ac:dyDescent="0.25">
      <c r="A13853">
        <v>360300</v>
      </c>
      <c r="B13853" t="s">
        <v>5890</v>
      </c>
    </row>
    <row r="13854" spans="1:2" x14ac:dyDescent="0.25">
      <c r="A13854">
        <v>36030010000</v>
      </c>
      <c r="B13854" t="s">
        <v>5891</v>
      </c>
    </row>
    <row r="13855" spans="1:2" x14ac:dyDescent="0.25">
      <c r="A13855">
        <v>36030020000</v>
      </c>
      <c r="B13855" t="s">
        <v>5892</v>
      </c>
    </row>
    <row r="13856" spans="1:2" x14ac:dyDescent="0.25">
      <c r="A13856">
        <v>36030030000</v>
      </c>
      <c r="B13856" t="s">
        <v>5893</v>
      </c>
    </row>
    <row r="13857" spans="1:2" x14ac:dyDescent="0.25">
      <c r="A13857">
        <v>36030040000</v>
      </c>
      <c r="B13857" t="s">
        <v>5894</v>
      </c>
    </row>
    <row r="13858" spans="1:2" x14ac:dyDescent="0.25">
      <c r="A13858">
        <v>36030050000</v>
      </c>
      <c r="B13858" t="s">
        <v>5895</v>
      </c>
    </row>
    <row r="13859" spans="1:2" x14ac:dyDescent="0.25">
      <c r="A13859">
        <v>36030060000</v>
      </c>
      <c r="B13859" t="s">
        <v>5896</v>
      </c>
    </row>
    <row r="13860" spans="1:2" x14ac:dyDescent="0.25">
      <c r="A13860">
        <v>3604</v>
      </c>
      <c r="B13860" t="s">
        <v>5897</v>
      </c>
    </row>
    <row r="13861" spans="1:2" x14ac:dyDescent="0.25">
      <c r="A13861">
        <v>36041000</v>
      </c>
      <c r="B13861" t="e">
        <f>- Articulos para fuegos artificiales</f>
        <v>#NAME?</v>
      </c>
    </row>
    <row r="13862" spans="1:2" x14ac:dyDescent="0.25">
      <c r="A13862">
        <v>36041000100</v>
      </c>
      <c r="B13862" t="s">
        <v>5898</v>
      </c>
    </row>
    <row r="13863" spans="1:2" x14ac:dyDescent="0.25">
      <c r="A13863">
        <v>36041000200</v>
      </c>
      <c r="B13863" t="s">
        <v>5899</v>
      </c>
    </row>
    <row r="13864" spans="1:2" x14ac:dyDescent="0.25">
      <c r="A13864">
        <v>36041000300</v>
      </c>
      <c r="B13864" t="s">
        <v>5900</v>
      </c>
    </row>
    <row r="13865" spans="1:2" x14ac:dyDescent="0.25">
      <c r="A13865">
        <v>36041000400</v>
      </c>
      <c r="B13865" t="s">
        <v>5901</v>
      </c>
    </row>
    <row r="13866" spans="1:2" x14ac:dyDescent="0.25">
      <c r="A13866">
        <v>36041000500</v>
      </c>
      <c r="B13866" t="s">
        <v>5902</v>
      </c>
    </row>
    <row r="13867" spans="1:2" x14ac:dyDescent="0.25">
      <c r="A13867">
        <v>36041000600</v>
      </c>
      <c r="B13867" t="s">
        <v>5903</v>
      </c>
    </row>
    <row r="13868" spans="1:2" x14ac:dyDescent="0.25">
      <c r="A13868">
        <v>36041000900</v>
      </c>
      <c r="B13868" t="s">
        <v>10</v>
      </c>
    </row>
    <row r="13869" spans="1:2" x14ac:dyDescent="0.25">
      <c r="A13869">
        <v>360490</v>
      </c>
      <c r="B13869" t="e">
        <f>- Los demas</f>
        <v>#NAME?</v>
      </c>
    </row>
    <row r="13870" spans="1:2" x14ac:dyDescent="0.25">
      <c r="A13870">
        <v>36049010000</v>
      </c>
      <c r="B13870" t="s">
        <v>5904</v>
      </c>
    </row>
    <row r="13871" spans="1:2" x14ac:dyDescent="0.25">
      <c r="A13871">
        <v>36049090</v>
      </c>
      <c r="B13871" t="s">
        <v>10</v>
      </c>
    </row>
    <row r="13872" spans="1:2" x14ac:dyDescent="0.25">
      <c r="A13872">
        <v>36049090100</v>
      </c>
      <c r="B13872" t="s">
        <v>5905</v>
      </c>
    </row>
    <row r="13873" spans="1:2" x14ac:dyDescent="0.25">
      <c r="A13873">
        <v>360490909</v>
      </c>
      <c r="B13873" t="s">
        <v>10</v>
      </c>
    </row>
    <row r="13874" spans="1:2" x14ac:dyDescent="0.25">
      <c r="A13874">
        <v>36049090910</v>
      </c>
      <c r="B13874" t="s">
        <v>5906</v>
      </c>
    </row>
    <row r="13875" spans="1:2" x14ac:dyDescent="0.25">
      <c r="A13875">
        <v>36049090990</v>
      </c>
      <c r="B13875" t="s">
        <v>10</v>
      </c>
    </row>
    <row r="13876" spans="1:2" x14ac:dyDescent="0.25">
      <c r="A13876">
        <v>36050000</v>
      </c>
      <c r="B13876" t="s">
        <v>5907</v>
      </c>
    </row>
    <row r="13877" spans="1:2" x14ac:dyDescent="0.25">
      <c r="A13877">
        <v>36050000100</v>
      </c>
      <c r="B13877" t="s">
        <v>5908</v>
      </c>
    </row>
    <row r="13878" spans="1:2" x14ac:dyDescent="0.25">
      <c r="A13878">
        <v>36050000200</v>
      </c>
      <c r="B13878" t="s">
        <v>5909</v>
      </c>
    </row>
    <row r="13879" spans="1:2" x14ac:dyDescent="0.25">
      <c r="A13879">
        <v>36050000300</v>
      </c>
      <c r="B13879" t="s">
        <v>5910</v>
      </c>
    </row>
    <row r="13880" spans="1:2" x14ac:dyDescent="0.25">
      <c r="A13880">
        <v>36050000400</v>
      </c>
      <c r="B13880" t="s">
        <v>5911</v>
      </c>
    </row>
    <row r="13881" spans="1:2" x14ac:dyDescent="0.25">
      <c r="A13881">
        <v>36050000500</v>
      </c>
      <c r="B13881" t="s">
        <v>5912</v>
      </c>
    </row>
    <row r="13882" spans="1:2" x14ac:dyDescent="0.25">
      <c r="A13882">
        <v>36050000600</v>
      </c>
      <c r="B13882" t="s">
        <v>5913</v>
      </c>
    </row>
    <row r="13883" spans="1:2" x14ac:dyDescent="0.25">
      <c r="A13883">
        <v>36050000700</v>
      </c>
      <c r="B13883" t="s">
        <v>5914</v>
      </c>
    </row>
    <row r="13884" spans="1:2" x14ac:dyDescent="0.25">
      <c r="A13884">
        <v>36050000800</v>
      </c>
      <c r="B13884" t="s">
        <v>5915</v>
      </c>
    </row>
    <row r="13885" spans="1:2" x14ac:dyDescent="0.25">
      <c r="A13885">
        <v>36050000900</v>
      </c>
      <c r="B13885" t="s">
        <v>57</v>
      </c>
    </row>
    <row r="13886" spans="1:2" x14ac:dyDescent="0.25">
      <c r="A13886">
        <v>3606</v>
      </c>
      <c r="B13886" t="s">
        <v>5916</v>
      </c>
    </row>
    <row r="13887" spans="1:2" x14ac:dyDescent="0.25">
      <c r="A13887">
        <v>36061000</v>
      </c>
      <c r="B13887" t="s">
        <v>5917</v>
      </c>
    </row>
    <row r="13888" spans="1:2" x14ac:dyDescent="0.25">
      <c r="A13888">
        <v>360610001</v>
      </c>
      <c r="B13888" t="s">
        <v>5918</v>
      </c>
    </row>
    <row r="13889" spans="1:2" x14ac:dyDescent="0.25">
      <c r="A13889">
        <v>3606100011</v>
      </c>
      <c r="B13889" t="s">
        <v>1999</v>
      </c>
    </row>
    <row r="13890" spans="1:2" x14ac:dyDescent="0.25">
      <c r="A13890">
        <v>36061000111</v>
      </c>
      <c r="B13890" t="s">
        <v>5919</v>
      </c>
    </row>
    <row r="13891" spans="1:2" x14ac:dyDescent="0.25">
      <c r="A13891">
        <v>36061000119</v>
      </c>
      <c r="B13891" t="s">
        <v>10</v>
      </c>
    </row>
    <row r="13892" spans="1:2" x14ac:dyDescent="0.25">
      <c r="A13892">
        <v>36061000190</v>
      </c>
      <c r="B13892" t="s">
        <v>10</v>
      </c>
    </row>
    <row r="13893" spans="1:2" x14ac:dyDescent="0.25">
      <c r="A13893">
        <v>36061000200</v>
      </c>
      <c r="B13893" t="s">
        <v>5920</v>
      </c>
    </row>
    <row r="13894" spans="1:2" x14ac:dyDescent="0.25">
      <c r="A13894">
        <v>36069000</v>
      </c>
      <c r="B13894" t="e">
        <f>- Los demas</f>
        <v>#NAME?</v>
      </c>
    </row>
    <row r="13895" spans="1:2" x14ac:dyDescent="0.25">
      <c r="A13895">
        <v>36069000100</v>
      </c>
      <c r="B13895" t="s">
        <v>5921</v>
      </c>
    </row>
    <row r="13896" spans="1:2" x14ac:dyDescent="0.25">
      <c r="A13896">
        <v>36069000900</v>
      </c>
      <c r="B13896" t="s">
        <v>10</v>
      </c>
    </row>
    <row r="13897" spans="1:2" x14ac:dyDescent="0.25">
      <c r="A13897">
        <v>3701</v>
      </c>
      <c r="B13897" t="s">
        <v>5922</v>
      </c>
    </row>
    <row r="13898" spans="1:2" x14ac:dyDescent="0.25">
      <c r="A13898">
        <v>370110</v>
      </c>
      <c r="B13898" t="e">
        <f>- para rayos X</f>
        <v>#NAME?</v>
      </c>
    </row>
    <row r="13899" spans="1:2" x14ac:dyDescent="0.25">
      <c r="A13899">
        <v>37011010</v>
      </c>
      <c r="B13899" t="s">
        <v>5923</v>
      </c>
    </row>
    <row r="13900" spans="1:2" x14ac:dyDescent="0.25">
      <c r="A13900">
        <v>37011010100</v>
      </c>
      <c r="B13900" t="s">
        <v>5924</v>
      </c>
    </row>
    <row r="13901" spans="1:2" x14ac:dyDescent="0.25">
      <c r="A13901">
        <v>37011010900</v>
      </c>
      <c r="B13901" t="s">
        <v>57</v>
      </c>
    </row>
    <row r="13902" spans="1:2" x14ac:dyDescent="0.25">
      <c r="A13902">
        <v>3701102</v>
      </c>
      <c r="B13902" t="s">
        <v>5925</v>
      </c>
    </row>
    <row r="13903" spans="1:2" x14ac:dyDescent="0.25">
      <c r="A13903">
        <v>37011021000</v>
      </c>
      <c r="B13903" t="s">
        <v>5926</v>
      </c>
    </row>
    <row r="13904" spans="1:2" x14ac:dyDescent="0.25">
      <c r="A13904">
        <v>37011029</v>
      </c>
      <c r="B13904" t="s">
        <v>57</v>
      </c>
    </row>
    <row r="13905" spans="1:2" x14ac:dyDescent="0.25">
      <c r="A13905">
        <v>37011029200</v>
      </c>
      <c r="B13905" t="s">
        <v>5927</v>
      </c>
    </row>
    <row r="13906" spans="1:2" x14ac:dyDescent="0.25">
      <c r="A13906">
        <v>37011029900</v>
      </c>
      <c r="B13906" t="s">
        <v>57</v>
      </c>
    </row>
    <row r="13907" spans="1:2" x14ac:dyDescent="0.25">
      <c r="A13907">
        <v>370120</v>
      </c>
      <c r="B13907" t="e">
        <f>- Peliculas autorrevelables</f>
        <v>#NAME?</v>
      </c>
    </row>
    <row r="13908" spans="1:2" x14ac:dyDescent="0.25">
      <c r="A13908">
        <v>37012010000</v>
      </c>
      <c r="B13908" t="s">
        <v>5928</v>
      </c>
    </row>
    <row r="13909" spans="1:2" x14ac:dyDescent="0.25">
      <c r="A13909">
        <v>37012020000</v>
      </c>
      <c r="B13909" t="s">
        <v>5929</v>
      </c>
    </row>
    <row r="13910" spans="1:2" x14ac:dyDescent="0.25">
      <c r="A13910">
        <v>370130</v>
      </c>
      <c r="B13910" t="s">
        <v>5930</v>
      </c>
    </row>
    <row r="13911" spans="1:2" x14ac:dyDescent="0.25">
      <c r="A13911">
        <v>37013010000</v>
      </c>
      <c r="B13911" t="s">
        <v>5928</v>
      </c>
    </row>
    <row r="13912" spans="1:2" x14ac:dyDescent="0.25">
      <c r="A13912">
        <v>3701302</v>
      </c>
      <c r="B13912" t="s">
        <v>5931</v>
      </c>
    </row>
    <row r="13913" spans="1:2" x14ac:dyDescent="0.25">
      <c r="A13913">
        <v>37013021000</v>
      </c>
      <c r="B13913" t="s">
        <v>2240</v>
      </c>
    </row>
    <row r="13914" spans="1:2" x14ac:dyDescent="0.25">
      <c r="A13914">
        <v>37013022000</v>
      </c>
      <c r="B13914" t="s">
        <v>5932</v>
      </c>
    </row>
    <row r="13915" spans="1:2" x14ac:dyDescent="0.25">
      <c r="A13915">
        <v>37013029000</v>
      </c>
      <c r="B13915" t="s">
        <v>57</v>
      </c>
    </row>
    <row r="13916" spans="1:2" x14ac:dyDescent="0.25">
      <c r="A13916">
        <v>3701303</v>
      </c>
      <c r="B13916" t="s">
        <v>5933</v>
      </c>
    </row>
    <row r="13917" spans="1:2" x14ac:dyDescent="0.25">
      <c r="A13917">
        <v>37013031000</v>
      </c>
      <c r="B13917" t="s">
        <v>2240</v>
      </c>
    </row>
    <row r="13918" spans="1:2" x14ac:dyDescent="0.25">
      <c r="A13918">
        <v>37013039000</v>
      </c>
      <c r="B13918" t="s">
        <v>57</v>
      </c>
    </row>
    <row r="13919" spans="1:2" x14ac:dyDescent="0.25">
      <c r="A13919">
        <v>37013040000</v>
      </c>
      <c r="B13919" t="s">
        <v>5934</v>
      </c>
    </row>
    <row r="13920" spans="1:2" x14ac:dyDescent="0.25">
      <c r="A13920">
        <v>37013050000</v>
      </c>
      <c r="B13920" t="s">
        <v>5935</v>
      </c>
    </row>
    <row r="13921" spans="1:2" x14ac:dyDescent="0.25">
      <c r="A13921">
        <v>37013090000</v>
      </c>
      <c r="B13921" t="s">
        <v>57</v>
      </c>
    </row>
    <row r="13922" spans="1:2" x14ac:dyDescent="0.25">
      <c r="A13922">
        <v>37019</v>
      </c>
      <c r="B13922" t="s">
        <v>567</v>
      </c>
    </row>
    <row r="13923" spans="1:2" x14ac:dyDescent="0.25">
      <c r="A13923">
        <v>37019100000</v>
      </c>
      <c r="B13923" t="e">
        <f>--para fotografia En colores (policroma)</f>
        <v>#NAME?</v>
      </c>
    </row>
    <row r="13924" spans="1:2" x14ac:dyDescent="0.25">
      <c r="A13924">
        <v>37019900000</v>
      </c>
      <c r="B13924" t="e">
        <f>--las demas</f>
        <v>#NAME?</v>
      </c>
    </row>
    <row r="13925" spans="1:2" x14ac:dyDescent="0.25">
      <c r="A13925">
        <v>3702</v>
      </c>
      <c r="B13925" t="s">
        <v>5936</v>
      </c>
    </row>
    <row r="13926" spans="1:2" x14ac:dyDescent="0.25">
      <c r="A13926">
        <v>370210</v>
      </c>
      <c r="B13926" t="e">
        <f>- para rayos X</f>
        <v>#NAME?</v>
      </c>
    </row>
    <row r="13927" spans="1:2" x14ac:dyDescent="0.25">
      <c r="A13927">
        <v>37021010000</v>
      </c>
      <c r="B13927" t="s">
        <v>5923</v>
      </c>
    </row>
    <row r="13928" spans="1:2" x14ac:dyDescent="0.25">
      <c r="A13928">
        <v>37021020000</v>
      </c>
      <c r="B13928" t="s">
        <v>5925</v>
      </c>
    </row>
    <row r="13929" spans="1:2" x14ac:dyDescent="0.25">
      <c r="A13929">
        <v>37023</v>
      </c>
      <c r="B13929" t="s">
        <v>5937</v>
      </c>
    </row>
    <row r="13930" spans="1:2" x14ac:dyDescent="0.25">
      <c r="A13930">
        <v>37023100000</v>
      </c>
      <c r="B13930" t="e">
        <f>--para fotografia En colores (policroma)</f>
        <v>#NAME?</v>
      </c>
    </row>
    <row r="13931" spans="1:2" x14ac:dyDescent="0.25">
      <c r="A13931">
        <v>37023200000</v>
      </c>
      <c r="B13931" t="e">
        <f>--las demas. Con emulsion de halogenuros de plata</f>
        <v>#NAME?</v>
      </c>
    </row>
    <row r="13932" spans="1:2" x14ac:dyDescent="0.25">
      <c r="A13932">
        <v>37023900000</v>
      </c>
      <c r="B13932" t="e">
        <f>--las demas</f>
        <v>#NAME?</v>
      </c>
    </row>
    <row r="13933" spans="1:2" x14ac:dyDescent="0.25">
      <c r="A13933">
        <v>37024</v>
      </c>
      <c r="B13933" t="s">
        <v>5938</v>
      </c>
    </row>
    <row r="13934" spans="1:2" x14ac:dyDescent="0.25">
      <c r="A13934">
        <v>37024100000</v>
      </c>
      <c r="B13934" t="s">
        <v>5939</v>
      </c>
    </row>
    <row r="13935" spans="1:2" x14ac:dyDescent="0.25">
      <c r="A13935">
        <v>370242</v>
      </c>
      <c r="B13935" t="s">
        <v>5940</v>
      </c>
    </row>
    <row r="13936" spans="1:2" x14ac:dyDescent="0.25">
      <c r="A13936">
        <v>37024210000</v>
      </c>
      <c r="B13936" t="s">
        <v>5941</v>
      </c>
    </row>
    <row r="13937" spans="1:2" x14ac:dyDescent="0.25">
      <c r="A13937">
        <v>37024290000</v>
      </c>
      <c r="B13937" t="s">
        <v>57</v>
      </c>
    </row>
    <row r="13938" spans="1:2" x14ac:dyDescent="0.25">
      <c r="A13938">
        <v>370243</v>
      </c>
      <c r="B13938" t="s">
        <v>5942</v>
      </c>
    </row>
    <row r="13939" spans="1:2" x14ac:dyDescent="0.25">
      <c r="A13939">
        <v>37024310000</v>
      </c>
      <c r="B13939" t="s">
        <v>5941</v>
      </c>
    </row>
    <row r="13940" spans="1:2" x14ac:dyDescent="0.25">
      <c r="A13940">
        <v>37024320000</v>
      </c>
      <c r="B13940" t="s">
        <v>5943</v>
      </c>
    </row>
    <row r="13941" spans="1:2" x14ac:dyDescent="0.25">
      <c r="A13941">
        <v>37024390000</v>
      </c>
      <c r="B13941" t="s">
        <v>57</v>
      </c>
    </row>
    <row r="13942" spans="1:2" x14ac:dyDescent="0.25">
      <c r="A13942">
        <v>370244</v>
      </c>
      <c r="B13942" t="s">
        <v>5944</v>
      </c>
    </row>
    <row r="13943" spans="1:2" x14ac:dyDescent="0.25">
      <c r="A13943">
        <v>37024410</v>
      </c>
      <c r="B13943" t="s">
        <v>5928</v>
      </c>
    </row>
    <row r="13944" spans="1:2" x14ac:dyDescent="0.25">
      <c r="A13944">
        <v>37024410100</v>
      </c>
      <c r="B13944" t="s">
        <v>5945</v>
      </c>
    </row>
    <row r="13945" spans="1:2" x14ac:dyDescent="0.25">
      <c r="A13945">
        <v>37024410900</v>
      </c>
      <c r="B13945" t="s">
        <v>57</v>
      </c>
    </row>
    <row r="13946" spans="1:2" x14ac:dyDescent="0.25">
      <c r="A13946">
        <v>3702442</v>
      </c>
      <c r="B13946" t="s">
        <v>5929</v>
      </c>
    </row>
    <row r="13947" spans="1:2" x14ac:dyDescent="0.25">
      <c r="A13947">
        <v>37024421000</v>
      </c>
      <c r="B13947" t="s">
        <v>5941</v>
      </c>
    </row>
    <row r="13948" spans="1:2" x14ac:dyDescent="0.25">
      <c r="A13948">
        <v>37024422000</v>
      </c>
      <c r="B13948" t="s">
        <v>5946</v>
      </c>
    </row>
    <row r="13949" spans="1:2" x14ac:dyDescent="0.25">
      <c r="A13949">
        <v>37024429</v>
      </c>
      <c r="B13949" t="s">
        <v>57</v>
      </c>
    </row>
    <row r="13950" spans="1:2" x14ac:dyDescent="0.25">
      <c r="A13950">
        <v>37024429100</v>
      </c>
      <c r="B13950" t="s">
        <v>5945</v>
      </c>
    </row>
    <row r="13951" spans="1:2" x14ac:dyDescent="0.25">
      <c r="A13951">
        <v>37024429900</v>
      </c>
      <c r="B13951" t="s">
        <v>57</v>
      </c>
    </row>
    <row r="13952" spans="1:2" x14ac:dyDescent="0.25">
      <c r="A13952">
        <v>37025</v>
      </c>
      <c r="B13952" t="s">
        <v>5947</v>
      </c>
    </row>
    <row r="13953" spans="1:2" x14ac:dyDescent="0.25">
      <c r="A13953">
        <v>37025200</v>
      </c>
      <c r="B13953" t="s">
        <v>5948</v>
      </c>
    </row>
    <row r="13954" spans="1:2" x14ac:dyDescent="0.25">
      <c r="A13954">
        <v>37025200100</v>
      </c>
      <c r="B13954" t="s">
        <v>5949</v>
      </c>
    </row>
    <row r="13955" spans="1:2" x14ac:dyDescent="0.25">
      <c r="A13955">
        <v>37025200900</v>
      </c>
      <c r="B13955" t="s">
        <v>57</v>
      </c>
    </row>
    <row r="13956" spans="1:2" x14ac:dyDescent="0.25">
      <c r="A13956">
        <v>37025300000</v>
      </c>
      <c r="B13956" t="s">
        <v>5950</v>
      </c>
    </row>
    <row r="13957" spans="1:2" x14ac:dyDescent="0.25">
      <c r="A13957">
        <v>370254</v>
      </c>
      <c r="B13957" t="s">
        <v>5951</v>
      </c>
    </row>
    <row r="13958" spans="1:2" x14ac:dyDescent="0.25">
      <c r="A13958">
        <v>3702541</v>
      </c>
      <c r="B13958" t="s">
        <v>5952</v>
      </c>
    </row>
    <row r="13959" spans="1:2" x14ac:dyDescent="0.25">
      <c r="A13959">
        <v>37025411000</v>
      </c>
      <c r="B13959" t="s">
        <v>5953</v>
      </c>
    </row>
    <row r="13960" spans="1:2" x14ac:dyDescent="0.25">
      <c r="A13960">
        <v>37025412</v>
      </c>
      <c r="B13960" t="s">
        <v>5954</v>
      </c>
    </row>
    <row r="13961" spans="1:2" x14ac:dyDescent="0.25">
      <c r="A13961">
        <v>370254121</v>
      </c>
      <c r="B13961" t="s">
        <v>5955</v>
      </c>
    </row>
    <row r="13962" spans="1:2" x14ac:dyDescent="0.25">
      <c r="A13962">
        <v>37025412110</v>
      </c>
      <c r="B13962" t="s">
        <v>5956</v>
      </c>
    </row>
    <row r="13963" spans="1:2" x14ac:dyDescent="0.25">
      <c r="A13963">
        <v>37025412120</v>
      </c>
      <c r="B13963" t="s">
        <v>5957</v>
      </c>
    </row>
    <row r="13964" spans="1:2" x14ac:dyDescent="0.25">
      <c r="A13964">
        <v>37025412130</v>
      </c>
      <c r="B13964" t="s">
        <v>5958</v>
      </c>
    </row>
    <row r="13965" spans="1:2" x14ac:dyDescent="0.25">
      <c r="A13965">
        <v>37025412190</v>
      </c>
      <c r="B13965" t="s">
        <v>823</v>
      </c>
    </row>
    <row r="13966" spans="1:2" x14ac:dyDescent="0.25">
      <c r="A13966">
        <v>370254122</v>
      </c>
      <c r="B13966" t="s">
        <v>5959</v>
      </c>
    </row>
    <row r="13967" spans="1:2" x14ac:dyDescent="0.25">
      <c r="A13967">
        <v>37025412210</v>
      </c>
      <c r="B13967" t="s">
        <v>5956</v>
      </c>
    </row>
    <row r="13968" spans="1:2" x14ac:dyDescent="0.25">
      <c r="A13968">
        <v>37025412220</v>
      </c>
      <c r="B13968" t="s">
        <v>5957</v>
      </c>
    </row>
    <row r="13969" spans="1:2" x14ac:dyDescent="0.25">
      <c r="A13969">
        <v>37025412230</v>
      </c>
      <c r="B13969" t="s">
        <v>5958</v>
      </c>
    </row>
    <row r="13970" spans="1:2" x14ac:dyDescent="0.25">
      <c r="A13970">
        <v>37025412290</v>
      </c>
      <c r="B13970" t="s">
        <v>10</v>
      </c>
    </row>
    <row r="13971" spans="1:2" x14ac:dyDescent="0.25">
      <c r="A13971">
        <v>37025412900</v>
      </c>
      <c r="B13971" t="s">
        <v>10</v>
      </c>
    </row>
    <row r="13972" spans="1:2" x14ac:dyDescent="0.25">
      <c r="A13972">
        <v>37025419000</v>
      </c>
      <c r="B13972" t="s">
        <v>57</v>
      </c>
    </row>
    <row r="13973" spans="1:2" x14ac:dyDescent="0.25">
      <c r="A13973">
        <v>3702549</v>
      </c>
      <c r="B13973" t="s">
        <v>57</v>
      </c>
    </row>
    <row r="13974" spans="1:2" x14ac:dyDescent="0.25">
      <c r="A13974">
        <v>37025491000</v>
      </c>
      <c r="B13974" t="s">
        <v>5953</v>
      </c>
    </row>
    <row r="13975" spans="1:2" x14ac:dyDescent="0.25">
      <c r="A13975">
        <v>37025499000</v>
      </c>
      <c r="B13975" t="s">
        <v>57</v>
      </c>
    </row>
    <row r="13976" spans="1:2" x14ac:dyDescent="0.25">
      <c r="A13976">
        <v>370255</v>
      </c>
      <c r="B13976" t="s">
        <v>5960</v>
      </c>
    </row>
    <row r="13977" spans="1:2" x14ac:dyDescent="0.25">
      <c r="A13977">
        <v>37025510</v>
      </c>
      <c r="B13977" t="s">
        <v>5952</v>
      </c>
    </row>
    <row r="13978" spans="1:2" x14ac:dyDescent="0.25">
      <c r="A13978">
        <v>37025510100</v>
      </c>
      <c r="B13978" t="s">
        <v>5961</v>
      </c>
    </row>
    <row r="13979" spans="1:2" x14ac:dyDescent="0.25">
      <c r="A13979">
        <v>37025510900</v>
      </c>
      <c r="B13979" t="s">
        <v>57</v>
      </c>
    </row>
    <row r="13980" spans="1:2" x14ac:dyDescent="0.25">
      <c r="A13980">
        <v>37025590000</v>
      </c>
      <c r="B13980" t="s">
        <v>57</v>
      </c>
    </row>
    <row r="13981" spans="1:2" x14ac:dyDescent="0.25">
      <c r="A13981">
        <v>37025600000</v>
      </c>
      <c r="B13981" t="s">
        <v>5962</v>
      </c>
    </row>
    <row r="13982" spans="1:2" x14ac:dyDescent="0.25">
      <c r="A13982">
        <v>37029</v>
      </c>
      <c r="B13982" t="s">
        <v>567</v>
      </c>
    </row>
    <row r="13983" spans="1:2" x14ac:dyDescent="0.25">
      <c r="A13983">
        <v>37029600</v>
      </c>
      <c r="B13983" t="s">
        <v>5963</v>
      </c>
    </row>
    <row r="13984" spans="1:2" x14ac:dyDescent="0.25">
      <c r="A13984">
        <v>37029600100</v>
      </c>
      <c r="B13984" t="s">
        <v>5964</v>
      </c>
    </row>
    <row r="13985" spans="1:2" x14ac:dyDescent="0.25">
      <c r="A13985">
        <v>37029600900</v>
      </c>
      <c r="B13985" t="s">
        <v>57</v>
      </c>
    </row>
    <row r="13986" spans="1:2" x14ac:dyDescent="0.25">
      <c r="A13986">
        <v>37029700</v>
      </c>
      <c r="B13986" t="s">
        <v>5965</v>
      </c>
    </row>
    <row r="13987" spans="1:2" x14ac:dyDescent="0.25">
      <c r="A13987">
        <v>37029700100</v>
      </c>
      <c r="B13987" t="s">
        <v>5964</v>
      </c>
    </row>
    <row r="13988" spans="1:2" x14ac:dyDescent="0.25">
      <c r="A13988">
        <v>37029700900</v>
      </c>
      <c r="B13988" t="s">
        <v>57</v>
      </c>
    </row>
    <row r="13989" spans="1:2" x14ac:dyDescent="0.25">
      <c r="A13989">
        <v>37029800000</v>
      </c>
      <c r="B13989" t="s">
        <v>5962</v>
      </c>
    </row>
    <row r="13990" spans="1:2" x14ac:dyDescent="0.25">
      <c r="A13990">
        <v>3703</v>
      </c>
      <c r="B13990" t="s">
        <v>5966</v>
      </c>
    </row>
    <row r="13991" spans="1:2" x14ac:dyDescent="0.25">
      <c r="A13991">
        <v>370310</v>
      </c>
      <c r="B13991" t="s">
        <v>5967</v>
      </c>
    </row>
    <row r="13992" spans="1:2" x14ac:dyDescent="0.25">
      <c r="A13992">
        <v>37031010000</v>
      </c>
      <c r="B13992" t="s">
        <v>5928</v>
      </c>
    </row>
    <row r="13993" spans="1:2" x14ac:dyDescent="0.25">
      <c r="A13993">
        <v>3703102</v>
      </c>
      <c r="B13993" t="s">
        <v>5929</v>
      </c>
    </row>
    <row r="13994" spans="1:2" x14ac:dyDescent="0.25">
      <c r="A13994">
        <v>37031021000</v>
      </c>
      <c r="B13994" t="s">
        <v>5968</v>
      </c>
    </row>
    <row r="13995" spans="1:2" x14ac:dyDescent="0.25">
      <c r="A13995">
        <v>37031029000</v>
      </c>
      <c r="B13995" t="s">
        <v>10</v>
      </c>
    </row>
    <row r="13996" spans="1:2" x14ac:dyDescent="0.25">
      <c r="A13996">
        <v>37032000</v>
      </c>
      <c r="B13996" t="e">
        <f>- Los demas. para fotografia En colores (policroma)</f>
        <v>#NAME?</v>
      </c>
    </row>
    <row r="13997" spans="1:2" x14ac:dyDescent="0.25">
      <c r="A13997">
        <v>370320001</v>
      </c>
      <c r="B13997" t="s">
        <v>5969</v>
      </c>
    </row>
    <row r="13998" spans="1:2" x14ac:dyDescent="0.25">
      <c r="A13998">
        <v>37032000110</v>
      </c>
      <c r="B13998" t="s">
        <v>5970</v>
      </c>
    </row>
    <row r="13999" spans="1:2" x14ac:dyDescent="0.25">
      <c r="A13999">
        <v>37032000120</v>
      </c>
      <c r="B13999" t="s">
        <v>5971</v>
      </c>
    </row>
    <row r="14000" spans="1:2" x14ac:dyDescent="0.25">
      <c r="A14000">
        <v>37032000130</v>
      </c>
      <c r="B14000" t="s">
        <v>5972</v>
      </c>
    </row>
    <row r="14001" spans="1:2" x14ac:dyDescent="0.25">
      <c r="A14001">
        <v>37032000140</v>
      </c>
      <c r="B14001" t="s">
        <v>5973</v>
      </c>
    </row>
    <row r="14002" spans="1:2" x14ac:dyDescent="0.25">
      <c r="A14002">
        <v>37032000150</v>
      </c>
      <c r="B14002" t="s">
        <v>5974</v>
      </c>
    </row>
    <row r="14003" spans="1:2" x14ac:dyDescent="0.25">
      <c r="A14003">
        <v>37032000160</v>
      </c>
      <c r="B14003" t="s">
        <v>5975</v>
      </c>
    </row>
    <row r="14004" spans="1:2" x14ac:dyDescent="0.25">
      <c r="A14004">
        <v>37032000190</v>
      </c>
      <c r="B14004" t="s">
        <v>10</v>
      </c>
    </row>
    <row r="14005" spans="1:2" x14ac:dyDescent="0.25">
      <c r="A14005">
        <v>37032000200</v>
      </c>
      <c r="B14005" t="s">
        <v>5976</v>
      </c>
    </row>
    <row r="14006" spans="1:2" x14ac:dyDescent="0.25">
      <c r="A14006">
        <v>37032000900</v>
      </c>
      <c r="B14006" t="s">
        <v>10</v>
      </c>
    </row>
    <row r="14007" spans="1:2" x14ac:dyDescent="0.25">
      <c r="A14007">
        <v>370390</v>
      </c>
      <c r="B14007" t="e">
        <f>- Los demas</f>
        <v>#NAME?</v>
      </c>
    </row>
    <row r="14008" spans="1:2" x14ac:dyDescent="0.25">
      <c r="A14008">
        <v>37039010000</v>
      </c>
      <c r="B14008" t="s">
        <v>5977</v>
      </c>
    </row>
    <row r="14009" spans="1:2" x14ac:dyDescent="0.25">
      <c r="A14009">
        <v>37039090000</v>
      </c>
      <c r="B14009" t="s">
        <v>10</v>
      </c>
    </row>
    <row r="14010" spans="1:2" x14ac:dyDescent="0.25">
      <c r="A14010">
        <v>37040000000</v>
      </c>
      <c r="B14010" t="s">
        <v>5978</v>
      </c>
    </row>
    <row r="14011" spans="1:2" x14ac:dyDescent="0.25">
      <c r="A14011">
        <v>370500</v>
      </c>
      <c r="B14011" t="s">
        <v>5979</v>
      </c>
    </row>
    <row r="14012" spans="1:2" x14ac:dyDescent="0.25">
      <c r="A14012">
        <v>37050010000</v>
      </c>
      <c r="B14012" t="s">
        <v>5980</v>
      </c>
    </row>
    <row r="14013" spans="1:2" x14ac:dyDescent="0.25">
      <c r="A14013">
        <v>37050090000</v>
      </c>
      <c r="B14013" t="s">
        <v>57</v>
      </c>
    </row>
    <row r="14014" spans="1:2" x14ac:dyDescent="0.25">
      <c r="A14014">
        <v>3706</v>
      </c>
      <c r="B14014" t="s">
        <v>5981</v>
      </c>
    </row>
    <row r="14015" spans="1:2" x14ac:dyDescent="0.25">
      <c r="A14015">
        <v>37061000</v>
      </c>
      <c r="B14015" t="s">
        <v>5982</v>
      </c>
    </row>
    <row r="14016" spans="1:2" x14ac:dyDescent="0.25">
      <c r="A14016">
        <v>37061000100</v>
      </c>
      <c r="B14016" t="s">
        <v>5983</v>
      </c>
    </row>
    <row r="14017" spans="1:2" x14ac:dyDescent="0.25">
      <c r="A14017">
        <v>37061000900</v>
      </c>
      <c r="B14017" t="s">
        <v>57</v>
      </c>
    </row>
    <row r="14018" spans="1:2" x14ac:dyDescent="0.25">
      <c r="A14018">
        <v>37069000</v>
      </c>
      <c r="B14018" t="e">
        <f>- las demas</f>
        <v>#NAME?</v>
      </c>
    </row>
    <row r="14019" spans="1:2" x14ac:dyDescent="0.25">
      <c r="A14019">
        <v>37069000100</v>
      </c>
      <c r="B14019" t="s">
        <v>5983</v>
      </c>
    </row>
    <row r="14020" spans="1:2" x14ac:dyDescent="0.25">
      <c r="A14020">
        <v>37069000900</v>
      </c>
      <c r="B14020" t="s">
        <v>57</v>
      </c>
    </row>
    <row r="14021" spans="1:2" x14ac:dyDescent="0.25">
      <c r="A14021">
        <v>3707</v>
      </c>
      <c r="B14021" t="s">
        <v>5984</v>
      </c>
    </row>
    <row r="14022" spans="1:2" x14ac:dyDescent="0.25">
      <c r="A14022">
        <v>37071000000</v>
      </c>
      <c r="B14022" t="e">
        <f>-Emulsiones para sensibilizar superficies</f>
        <v>#NAME?</v>
      </c>
    </row>
    <row r="14023" spans="1:2" x14ac:dyDescent="0.25">
      <c r="A14023">
        <v>370790</v>
      </c>
      <c r="B14023" t="e">
        <f>- Los demas</f>
        <v>#NAME?</v>
      </c>
    </row>
    <row r="14024" spans="1:2" x14ac:dyDescent="0.25">
      <c r="A14024">
        <v>37079010000</v>
      </c>
      <c r="B14024" t="s">
        <v>5985</v>
      </c>
    </row>
    <row r="14025" spans="1:2" x14ac:dyDescent="0.25">
      <c r="A14025">
        <v>3707902</v>
      </c>
      <c r="B14025" t="s">
        <v>5986</v>
      </c>
    </row>
    <row r="14026" spans="1:2" x14ac:dyDescent="0.25">
      <c r="A14026">
        <v>37079021000</v>
      </c>
      <c r="B14026" t="s">
        <v>5987</v>
      </c>
    </row>
    <row r="14027" spans="1:2" x14ac:dyDescent="0.25">
      <c r="A14027">
        <v>37079029000</v>
      </c>
      <c r="B14027" t="s">
        <v>10</v>
      </c>
    </row>
    <row r="14028" spans="1:2" x14ac:dyDescent="0.25">
      <c r="A14028">
        <v>37079030000</v>
      </c>
      <c r="B14028" t="s">
        <v>5988</v>
      </c>
    </row>
    <row r="14029" spans="1:2" x14ac:dyDescent="0.25">
      <c r="A14029">
        <v>37079090</v>
      </c>
      <c r="B14029" t="s">
        <v>10</v>
      </c>
    </row>
    <row r="14030" spans="1:2" x14ac:dyDescent="0.25">
      <c r="A14030">
        <v>37079090100</v>
      </c>
      <c r="B14030" t="s">
        <v>5989</v>
      </c>
    </row>
    <row r="14031" spans="1:2" x14ac:dyDescent="0.25">
      <c r="A14031">
        <v>37079090200</v>
      </c>
      <c r="B14031" t="s">
        <v>5990</v>
      </c>
    </row>
    <row r="14032" spans="1:2" x14ac:dyDescent="0.25">
      <c r="A14032">
        <v>37079090300</v>
      </c>
      <c r="B14032" t="s">
        <v>5991</v>
      </c>
    </row>
    <row r="14033" spans="1:2" x14ac:dyDescent="0.25">
      <c r="A14033">
        <v>37079090400</v>
      </c>
      <c r="B14033" t="s">
        <v>5992</v>
      </c>
    </row>
    <row r="14034" spans="1:2" x14ac:dyDescent="0.25">
      <c r="A14034">
        <v>37079090500</v>
      </c>
      <c r="B14034" t="s">
        <v>5993</v>
      </c>
    </row>
    <row r="14035" spans="1:2" x14ac:dyDescent="0.25">
      <c r="A14035">
        <v>37079090900</v>
      </c>
      <c r="B14035" t="s">
        <v>10</v>
      </c>
    </row>
    <row r="14036" spans="1:2" x14ac:dyDescent="0.25">
      <c r="A14036">
        <v>3801</v>
      </c>
      <c r="B14036" t="s">
        <v>5994</v>
      </c>
    </row>
    <row r="14037" spans="1:2" x14ac:dyDescent="0.25">
      <c r="A14037">
        <v>38011000000</v>
      </c>
      <c r="B14037" t="e">
        <f>-Grafito artificial</f>
        <v>#NAME?</v>
      </c>
    </row>
    <row r="14038" spans="1:2" x14ac:dyDescent="0.25">
      <c r="A14038">
        <v>380120</v>
      </c>
      <c r="B14038" t="e">
        <f>- Grafito coloidal o semicoloidal</f>
        <v>#NAME?</v>
      </c>
    </row>
    <row r="14039" spans="1:2" x14ac:dyDescent="0.25">
      <c r="A14039">
        <v>38012010000</v>
      </c>
      <c r="B14039" t="s">
        <v>5995</v>
      </c>
    </row>
    <row r="14040" spans="1:2" x14ac:dyDescent="0.25">
      <c r="A14040">
        <v>38012090</v>
      </c>
      <c r="B14040" t="s">
        <v>10</v>
      </c>
    </row>
    <row r="14041" spans="1:2" x14ac:dyDescent="0.25">
      <c r="A14041">
        <v>38012090100</v>
      </c>
      <c r="B14041" t="s">
        <v>5996</v>
      </c>
    </row>
    <row r="14042" spans="1:2" x14ac:dyDescent="0.25">
      <c r="A14042">
        <v>38012090200</v>
      </c>
      <c r="B14042" t="s">
        <v>5997</v>
      </c>
    </row>
    <row r="14043" spans="1:2" x14ac:dyDescent="0.25">
      <c r="A14043">
        <v>380130</v>
      </c>
      <c r="B14043" t="e">
        <f>- Pastas carbonosas para electrodos y Pastas similares para el revestimiento interior de hornos</f>
        <v>#NAME?</v>
      </c>
    </row>
    <row r="14044" spans="1:2" x14ac:dyDescent="0.25">
      <c r="A14044">
        <v>38013010000</v>
      </c>
      <c r="B14044" t="s">
        <v>5998</v>
      </c>
    </row>
    <row r="14045" spans="1:2" x14ac:dyDescent="0.25">
      <c r="A14045">
        <v>38013090000</v>
      </c>
      <c r="B14045" t="s">
        <v>57</v>
      </c>
    </row>
    <row r="14046" spans="1:2" x14ac:dyDescent="0.25">
      <c r="A14046">
        <v>38019000</v>
      </c>
      <c r="B14046" t="e">
        <f>- las demas</f>
        <v>#NAME?</v>
      </c>
    </row>
    <row r="14047" spans="1:2" x14ac:dyDescent="0.25">
      <c r="A14047">
        <v>38019000100</v>
      </c>
      <c r="B14047" t="s">
        <v>5999</v>
      </c>
    </row>
    <row r="14048" spans="1:2" x14ac:dyDescent="0.25">
      <c r="A14048">
        <v>38019000900</v>
      </c>
      <c r="B14048" t="s">
        <v>10</v>
      </c>
    </row>
    <row r="14049" spans="1:2" x14ac:dyDescent="0.25">
      <c r="A14049">
        <v>3802</v>
      </c>
      <c r="B14049" t="s">
        <v>6000</v>
      </c>
    </row>
    <row r="14050" spans="1:2" x14ac:dyDescent="0.25">
      <c r="A14050">
        <v>38021000000</v>
      </c>
      <c r="B14050" t="e">
        <f>-Carbon activado</f>
        <v>#NAME?</v>
      </c>
    </row>
    <row r="14051" spans="1:2" x14ac:dyDescent="0.25">
      <c r="A14051">
        <v>380290</v>
      </c>
      <c r="B14051" t="e">
        <f>- Los demas</f>
        <v>#NAME?</v>
      </c>
    </row>
    <row r="14052" spans="1:2" x14ac:dyDescent="0.25">
      <c r="A14052">
        <v>38029010</v>
      </c>
      <c r="B14052" t="s">
        <v>6001</v>
      </c>
    </row>
    <row r="14053" spans="1:2" x14ac:dyDescent="0.25">
      <c r="A14053">
        <v>38029010100</v>
      </c>
      <c r="B14053" t="s">
        <v>1831</v>
      </c>
    </row>
    <row r="14054" spans="1:2" x14ac:dyDescent="0.25">
      <c r="A14054">
        <v>38029010900</v>
      </c>
      <c r="B14054" t="s">
        <v>57</v>
      </c>
    </row>
    <row r="14055" spans="1:2" x14ac:dyDescent="0.25">
      <c r="A14055">
        <v>38029020000</v>
      </c>
      <c r="B14055" t="s">
        <v>6002</v>
      </c>
    </row>
    <row r="14056" spans="1:2" x14ac:dyDescent="0.25">
      <c r="A14056">
        <v>38029030000</v>
      </c>
      <c r="B14056" t="s">
        <v>6003</v>
      </c>
    </row>
    <row r="14057" spans="1:2" x14ac:dyDescent="0.25">
      <c r="A14057">
        <v>38029040</v>
      </c>
      <c r="B14057" t="s">
        <v>6004</v>
      </c>
    </row>
    <row r="14058" spans="1:2" x14ac:dyDescent="0.25">
      <c r="A14058">
        <v>38029040100</v>
      </c>
      <c r="B14058" t="s">
        <v>6005</v>
      </c>
    </row>
    <row r="14059" spans="1:2" x14ac:dyDescent="0.25">
      <c r="A14059">
        <v>38029040900</v>
      </c>
      <c r="B14059" t="s">
        <v>57</v>
      </c>
    </row>
    <row r="14060" spans="1:2" x14ac:dyDescent="0.25">
      <c r="A14060">
        <v>38029050000</v>
      </c>
      <c r="B14060" t="s">
        <v>1942</v>
      </c>
    </row>
    <row r="14061" spans="1:2" x14ac:dyDescent="0.25">
      <c r="A14061">
        <v>38029090</v>
      </c>
      <c r="B14061" t="s">
        <v>10</v>
      </c>
    </row>
    <row r="14062" spans="1:2" x14ac:dyDescent="0.25">
      <c r="A14062">
        <v>38029090100</v>
      </c>
      <c r="B14062" t="s">
        <v>6006</v>
      </c>
    </row>
    <row r="14063" spans="1:2" x14ac:dyDescent="0.25">
      <c r="A14063">
        <v>38029090900</v>
      </c>
      <c r="B14063" t="s">
        <v>10</v>
      </c>
    </row>
    <row r="14064" spans="1:2" x14ac:dyDescent="0.25">
      <c r="A14064">
        <v>380300</v>
      </c>
      <c r="B14064" t="s">
        <v>6007</v>
      </c>
    </row>
    <row r="14065" spans="1:2" x14ac:dyDescent="0.25">
      <c r="A14065">
        <v>38030010000</v>
      </c>
      <c r="B14065" t="s">
        <v>1197</v>
      </c>
    </row>
    <row r="14066" spans="1:2" x14ac:dyDescent="0.25">
      <c r="A14066">
        <v>38030090000</v>
      </c>
      <c r="B14066" t="s">
        <v>10</v>
      </c>
    </row>
    <row r="14067" spans="1:2" x14ac:dyDescent="0.25">
      <c r="A14067">
        <v>380400</v>
      </c>
      <c r="B14067" t="s">
        <v>6008</v>
      </c>
    </row>
    <row r="14068" spans="1:2" x14ac:dyDescent="0.25">
      <c r="A14068">
        <v>3804001</v>
      </c>
      <c r="B14068" t="s">
        <v>6009</v>
      </c>
    </row>
    <row r="14069" spans="1:2" x14ac:dyDescent="0.25">
      <c r="A14069">
        <v>38040011000</v>
      </c>
      <c r="B14069" t="s">
        <v>6010</v>
      </c>
    </row>
    <row r="14070" spans="1:2" x14ac:dyDescent="0.25">
      <c r="A14070">
        <v>38040012000</v>
      </c>
      <c r="B14070" t="s">
        <v>6011</v>
      </c>
    </row>
    <row r="14071" spans="1:2" x14ac:dyDescent="0.25">
      <c r="A14071">
        <v>38040020</v>
      </c>
      <c r="B14071" t="s">
        <v>6012</v>
      </c>
    </row>
    <row r="14072" spans="1:2" x14ac:dyDescent="0.25">
      <c r="A14072">
        <v>38040020100</v>
      </c>
      <c r="B14072" t="s">
        <v>2251</v>
      </c>
    </row>
    <row r="14073" spans="1:2" x14ac:dyDescent="0.25">
      <c r="A14073">
        <v>38040020200</v>
      </c>
      <c r="B14073" t="s">
        <v>2151</v>
      </c>
    </row>
    <row r="14074" spans="1:2" x14ac:dyDescent="0.25">
      <c r="A14074">
        <v>38040020300</v>
      </c>
      <c r="B14074" t="s">
        <v>6013</v>
      </c>
    </row>
    <row r="14075" spans="1:2" x14ac:dyDescent="0.25">
      <c r="A14075">
        <v>38040020900</v>
      </c>
      <c r="B14075" t="s">
        <v>10</v>
      </c>
    </row>
    <row r="14076" spans="1:2" x14ac:dyDescent="0.25">
      <c r="A14076">
        <v>3805</v>
      </c>
      <c r="B14076" t="s">
        <v>6014</v>
      </c>
    </row>
    <row r="14077" spans="1:2" x14ac:dyDescent="0.25">
      <c r="A14077">
        <v>38051000</v>
      </c>
      <c r="B14077" t="e">
        <f>- esencias de trementina. de madera de pino o de pasta celulosica al Sulfato (Sulfato de trementina)</f>
        <v>#NAME?</v>
      </c>
    </row>
    <row r="14078" spans="1:2" x14ac:dyDescent="0.25">
      <c r="A14078">
        <v>38051000100</v>
      </c>
      <c r="B14078" t="s">
        <v>6015</v>
      </c>
    </row>
    <row r="14079" spans="1:2" x14ac:dyDescent="0.25">
      <c r="A14079">
        <v>38051000200</v>
      </c>
      <c r="B14079" t="s">
        <v>6016</v>
      </c>
    </row>
    <row r="14080" spans="1:2" x14ac:dyDescent="0.25">
      <c r="A14080">
        <v>38051000300</v>
      </c>
      <c r="B14080" t="s">
        <v>6017</v>
      </c>
    </row>
    <row r="14081" spans="1:2" x14ac:dyDescent="0.25">
      <c r="A14081">
        <v>380590</v>
      </c>
      <c r="B14081" t="e">
        <f>- Los demas</f>
        <v>#NAME?</v>
      </c>
    </row>
    <row r="14082" spans="1:2" x14ac:dyDescent="0.25">
      <c r="A14082">
        <v>38059010000</v>
      </c>
      <c r="B14082" t="s">
        <v>6018</v>
      </c>
    </row>
    <row r="14083" spans="1:2" x14ac:dyDescent="0.25">
      <c r="A14083">
        <v>38059090</v>
      </c>
      <c r="B14083" t="s">
        <v>10</v>
      </c>
    </row>
    <row r="14084" spans="1:2" x14ac:dyDescent="0.25">
      <c r="A14084">
        <v>38059090100</v>
      </c>
      <c r="B14084" t="s">
        <v>6019</v>
      </c>
    </row>
    <row r="14085" spans="1:2" x14ac:dyDescent="0.25">
      <c r="A14085">
        <v>38059090200</v>
      </c>
      <c r="B14085" t="s">
        <v>6020</v>
      </c>
    </row>
    <row r="14086" spans="1:2" x14ac:dyDescent="0.25">
      <c r="A14086">
        <v>38059090900</v>
      </c>
      <c r="B14086" t="s">
        <v>10</v>
      </c>
    </row>
    <row r="14087" spans="1:2" x14ac:dyDescent="0.25">
      <c r="A14087">
        <v>3806</v>
      </c>
      <c r="B14087" t="s">
        <v>6021</v>
      </c>
    </row>
    <row r="14088" spans="1:2" x14ac:dyDescent="0.25">
      <c r="A14088">
        <v>38061000</v>
      </c>
      <c r="B14088" t="e">
        <f>- Colofonias y acidos resinicos</f>
        <v>#NAME?</v>
      </c>
    </row>
    <row r="14089" spans="1:2" x14ac:dyDescent="0.25">
      <c r="A14089">
        <v>38061000100</v>
      </c>
      <c r="B14089" t="s">
        <v>6022</v>
      </c>
    </row>
    <row r="14090" spans="1:2" x14ac:dyDescent="0.25">
      <c r="A14090">
        <v>38061000200</v>
      </c>
      <c r="B14090" t="s">
        <v>6023</v>
      </c>
    </row>
    <row r="14091" spans="1:2" x14ac:dyDescent="0.25">
      <c r="A14091">
        <v>38062000</v>
      </c>
      <c r="B14091" t="e">
        <f>- sales de colofonias. de acidos resinicos o de derivados de Colofonias o de acidos resinicos. excepto las sales de aductos de Colofonias</f>
        <v>#NAME?</v>
      </c>
    </row>
    <row r="14092" spans="1:2" x14ac:dyDescent="0.25">
      <c r="A14092">
        <v>38062000100</v>
      </c>
      <c r="B14092" t="s">
        <v>6024</v>
      </c>
    </row>
    <row r="14093" spans="1:2" x14ac:dyDescent="0.25">
      <c r="A14093">
        <v>38062000200</v>
      </c>
      <c r="B14093" t="s">
        <v>6025</v>
      </c>
    </row>
    <row r="14094" spans="1:2" x14ac:dyDescent="0.25">
      <c r="A14094">
        <v>38062000900</v>
      </c>
      <c r="B14094" t="s">
        <v>57</v>
      </c>
    </row>
    <row r="14095" spans="1:2" x14ac:dyDescent="0.25">
      <c r="A14095">
        <v>38063000000</v>
      </c>
      <c r="B14095" t="e">
        <f>-gomas ester</f>
        <v>#NAME?</v>
      </c>
    </row>
    <row r="14096" spans="1:2" x14ac:dyDescent="0.25">
      <c r="A14096">
        <v>380690</v>
      </c>
      <c r="B14096" t="e">
        <f>- Los demas</f>
        <v>#NAME?</v>
      </c>
    </row>
    <row r="14097" spans="1:2" x14ac:dyDescent="0.25">
      <c r="A14097">
        <v>3806901</v>
      </c>
      <c r="B14097" t="s">
        <v>6026</v>
      </c>
    </row>
    <row r="14098" spans="1:2" x14ac:dyDescent="0.25">
      <c r="A14098">
        <v>38069011</v>
      </c>
      <c r="B14098" t="s">
        <v>6027</v>
      </c>
    </row>
    <row r="14099" spans="1:2" x14ac:dyDescent="0.25">
      <c r="A14099">
        <v>38069011100</v>
      </c>
      <c r="B14099" t="s">
        <v>6028</v>
      </c>
    </row>
    <row r="14100" spans="1:2" x14ac:dyDescent="0.25">
      <c r="A14100">
        <v>38069011200</v>
      </c>
      <c r="B14100" t="s">
        <v>6029</v>
      </c>
    </row>
    <row r="14101" spans="1:2" x14ac:dyDescent="0.25">
      <c r="A14101">
        <v>38069011300</v>
      </c>
      <c r="B14101" t="s">
        <v>6030</v>
      </c>
    </row>
    <row r="14102" spans="1:2" x14ac:dyDescent="0.25">
      <c r="A14102">
        <v>38069011900</v>
      </c>
      <c r="B14102" t="s">
        <v>57</v>
      </c>
    </row>
    <row r="14103" spans="1:2" x14ac:dyDescent="0.25">
      <c r="A14103">
        <v>38069012</v>
      </c>
      <c r="B14103" t="s">
        <v>6031</v>
      </c>
    </row>
    <row r="14104" spans="1:2" x14ac:dyDescent="0.25">
      <c r="A14104">
        <v>38069012100</v>
      </c>
      <c r="B14104" t="s">
        <v>6032</v>
      </c>
    </row>
    <row r="14105" spans="1:2" x14ac:dyDescent="0.25">
      <c r="A14105">
        <v>38069012200</v>
      </c>
      <c r="B14105" t="s">
        <v>6033</v>
      </c>
    </row>
    <row r="14106" spans="1:2" x14ac:dyDescent="0.25">
      <c r="A14106">
        <v>38069012300</v>
      </c>
      <c r="B14106" t="s">
        <v>6034</v>
      </c>
    </row>
    <row r="14107" spans="1:2" x14ac:dyDescent="0.25">
      <c r="A14107">
        <v>38069019</v>
      </c>
      <c r="B14107" t="s">
        <v>10</v>
      </c>
    </row>
    <row r="14108" spans="1:2" x14ac:dyDescent="0.25">
      <c r="A14108">
        <v>38069019100</v>
      </c>
      <c r="B14108" t="s">
        <v>6035</v>
      </c>
    </row>
    <row r="14109" spans="1:2" x14ac:dyDescent="0.25">
      <c r="A14109">
        <v>38069019200</v>
      </c>
      <c r="B14109" t="s">
        <v>6036</v>
      </c>
    </row>
    <row r="14110" spans="1:2" x14ac:dyDescent="0.25">
      <c r="A14110">
        <v>38069019900</v>
      </c>
      <c r="B14110" t="s">
        <v>10</v>
      </c>
    </row>
    <row r="14111" spans="1:2" x14ac:dyDescent="0.25">
      <c r="A14111">
        <v>38069090000</v>
      </c>
      <c r="B14111" t="s">
        <v>10</v>
      </c>
    </row>
    <row r="14112" spans="1:2" x14ac:dyDescent="0.25">
      <c r="A14112">
        <v>38070000</v>
      </c>
      <c r="B14112" t="s">
        <v>6037</v>
      </c>
    </row>
    <row r="14113" spans="1:2" x14ac:dyDescent="0.25">
      <c r="A14113">
        <v>38070000100</v>
      </c>
      <c r="B14113" t="s">
        <v>6038</v>
      </c>
    </row>
    <row r="14114" spans="1:2" x14ac:dyDescent="0.25">
      <c r="A14114">
        <v>38070000900</v>
      </c>
      <c r="B14114" t="s">
        <v>10</v>
      </c>
    </row>
    <row r="14115" spans="1:2" x14ac:dyDescent="0.25">
      <c r="A14115">
        <v>3808</v>
      </c>
      <c r="B14115" t="s">
        <v>6039</v>
      </c>
    </row>
    <row r="14116" spans="1:2" x14ac:dyDescent="0.25">
      <c r="A14116">
        <v>38085</v>
      </c>
      <c r="B14116" t="s">
        <v>6040</v>
      </c>
    </row>
    <row r="14117" spans="1:2" x14ac:dyDescent="0.25">
      <c r="A14117">
        <v>38085200000</v>
      </c>
      <c r="B14117" t="s">
        <v>6041</v>
      </c>
    </row>
    <row r="14118" spans="1:2" x14ac:dyDescent="0.25">
      <c r="A14118">
        <v>380859</v>
      </c>
      <c r="B14118" t="e">
        <f>- - Los demas.</f>
        <v>#NAME?</v>
      </c>
    </row>
    <row r="14119" spans="1:2" x14ac:dyDescent="0.25">
      <c r="A14119">
        <v>38085910</v>
      </c>
      <c r="B14119" t="s">
        <v>6042</v>
      </c>
    </row>
    <row r="14120" spans="1:2" x14ac:dyDescent="0.25">
      <c r="A14120">
        <v>38085910100</v>
      </c>
      <c r="B14120" t="s">
        <v>6043</v>
      </c>
    </row>
    <row r="14121" spans="1:2" x14ac:dyDescent="0.25">
      <c r="A14121">
        <v>38085910200</v>
      </c>
      <c r="B14121" t="s">
        <v>6044</v>
      </c>
    </row>
    <row r="14122" spans="1:2" x14ac:dyDescent="0.25">
      <c r="A14122">
        <v>38085910300</v>
      </c>
      <c r="B14122" t="s">
        <v>3411</v>
      </c>
    </row>
    <row r="14123" spans="1:2" x14ac:dyDescent="0.25">
      <c r="A14123">
        <v>38085910900</v>
      </c>
      <c r="B14123" t="s">
        <v>10</v>
      </c>
    </row>
    <row r="14124" spans="1:2" x14ac:dyDescent="0.25">
      <c r="A14124">
        <v>3808592</v>
      </c>
      <c r="B14124" t="s">
        <v>6045</v>
      </c>
    </row>
    <row r="14125" spans="1:2" x14ac:dyDescent="0.25">
      <c r="A14125">
        <v>38085921</v>
      </c>
      <c r="B14125" t="s">
        <v>6046</v>
      </c>
    </row>
    <row r="14126" spans="1:2" x14ac:dyDescent="0.25">
      <c r="A14126">
        <v>38085921100</v>
      </c>
      <c r="B14126" t="s">
        <v>6047</v>
      </c>
    </row>
    <row r="14127" spans="1:2" x14ac:dyDescent="0.25">
      <c r="A14127">
        <v>38085921200</v>
      </c>
      <c r="B14127" t="s">
        <v>6048</v>
      </c>
    </row>
    <row r="14128" spans="1:2" x14ac:dyDescent="0.25">
      <c r="A14128">
        <v>38085922000</v>
      </c>
      <c r="B14128" t="s">
        <v>6049</v>
      </c>
    </row>
    <row r="14129" spans="1:2" x14ac:dyDescent="0.25">
      <c r="A14129">
        <v>38085923000</v>
      </c>
      <c r="B14129" t="s">
        <v>6050</v>
      </c>
    </row>
    <row r="14130" spans="1:2" x14ac:dyDescent="0.25">
      <c r="A14130">
        <v>38085929</v>
      </c>
      <c r="B14130" t="s">
        <v>10</v>
      </c>
    </row>
    <row r="14131" spans="1:2" x14ac:dyDescent="0.25">
      <c r="A14131">
        <v>38085929100</v>
      </c>
      <c r="B14131" t="s">
        <v>6051</v>
      </c>
    </row>
    <row r="14132" spans="1:2" x14ac:dyDescent="0.25">
      <c r="A14132">
        <v>380859292</v>
      </c>
      <c r="B14132" t="s">
        <v>6052</v>
      </c>
    </row>
    <row r="14133" spans="1:2" x14ac:dyDescent="0.25">
      <c r="A14133">
        <v>38085929210</v>
      </c>
      <c r="B14133" t="s">
        <v>6053</v>
      </c>
    </row>
    <row r="14134" spans="1:2" x14ac:dyDescent="0.25">
      <c r="A14134">
        <v>38085929220</v>
      </c>
      <c r="B14134" t="s">
        <v>6054</v>
      </c>
    </row>
    <row r="14135" spans="1:2" x14ac:dyDescent="0.25">
      <c r="A14135">
        <v>38085929230</v>
      </c>
      <c r="B14135" t="s">
        <v>6055</v>
      </c>
    </row>
    <row r="14136" spans="1:2" x14ac:dyDescent="0.25">
      <c r="A14136">
        <v>380859293</v>
      </c>
      <c r="B14136" t="s">
        <v>6056</v>
      </c>
    </row>
    <row r="14137" spans="1:2" x14ac:dyDescent="0.25">
      <c r="A14137">
        <v>38085929310</v>
      </c>
      <c r="B14137" t="s">
        <v>6057</v>
      </c>
    </row>
    <row r="14138" spans="1:2" x14ac:dyDescent="0.25">
      <c r="A14138">
        <v>38085929320</v>
      </c>
      <c r="B14138" t="s">
        <v>6058</v>
      </c>
    </row>
    <row r="14139" spans="1:2" x14ac:dyDescent="0.25">
      <c r="A14139">
        <v>38085929330</v>
      </c>
      <c r="B14139" t="s">
        <v>6059</v>
      </c>
    </row>
    <row r="14140" spans="1:2" x14ac:dyDescent="0.25">
      <c r="A14140">
        <v>38085929340</v>
      </c>
      <c r="B14140" t="s">
        <v>6060</v>
      </c>
    </row>
    <row r="14141" spans="1:2" x14ac:dyDescent="0.25">
      <c r="A14141">
        <v>380859294</v>
      </c>
      <c r="B14141" t="s">
        <v>6061</v>
      </c>
    </row>
    <row r="14142" spans="1:2" x14ac:dyDescent="0.25">
      <c r="A14142">
        <v>38085929410</v>
      </c>
      <c r="B14142" t="s">
        <v>6062</v>
      </c>
    </row>
    <row r="14143" spans="1:2" x14ac:dyDescent="0.25">
      <c r="A14143">
        <v>38085929420</v>
      </c>
      <c r="B14143" t="s">
        <v>6063</v>
      </c>
    </row>
    <row r="14144" spans="1:2" x14ac:dyDescent="0.25">
      <c r="A14144">
        <v>38085929490</v>
      </c>
      <c r="B14144" t="s">
        <v>10</v>
      </c>
    </row>
    <row r="14145" spans="1:2" x14ac:dyDescent="0.25">
      <c r="A14145">
        <v>38085929900</v>
      </c>
      <c r="B14145" t="s">
        <v>10</v>
      </c>
    </row>
    <row r="14146" spans="1:2" x14ac:dyDescent="0.25">
      <c r="A14146">
        <v>38086</v>
      </c>
      <c r="B14146" t="s">
        <v>6064</v>
      </c>
    </row>
    <row r="14147" spans="1:2" x14ac:dyDescent="0.25">
      <c r="A14147">
        <v>38086100000</v>
      </c>
      <c r="B14147" t="s">
        <v>6065</v>
      </c>
    </row>
    <row r="14148" spans="1:2" x14ac:dyDescent="0.25">
      <c r="A14148">
        <v>380862</v>
      </c>
      <c r="B14148" t="s">
        <v>6066</v>
      </c>
    </row>
    <row r="14149" spans="1:2" x14ac:dyDescent="0.25">
      <c r="A14149">
        <v>38086210000</v>
      </c>
      <c r="B14149" t="s">
        <v>6067</v>
      </c>
    </row>
    <row r="14150" spans="1:2" x14ac:dyDescent="0.25">
      <c r="A14150">
        <v>38086290</v>
      </c>
      <c r="B14150" t="s">
        <v>10</v>
      </c>
    </row>
    <row r="14151" spans="1:2" x14ac:dyDescent="0.25">
      <c r="A14151">
        <v>38086290100</v>
      </c>
      <c r="B14151" t="s">
        <v>6068</v>
      </c>
    </row>
    <row r="14152" spans="1:2" x14ac:dyDescent="0.25">
      <c r="A14152">
        <v>38086290200</v>
      </c>
      <c r="B14152" t="s">
        <v>6069</v>
      </c>
    </row>
    <row r="14153" spans="1:2" x14ac:dyDescent="0.25">
      <c r="A14153">
        <v>38086290900</v>
      </c>
      <c r="B14153" t="s">
        <v>10</v>
      </c>
    </row>
    <row r="14154" spans="1:2" x14ac:dyDescent="0.25">
      <c r="A14154">
        <v>380869</v>
      </c>
      <c r="B14154" t="e">
        <f>- - Los demas</f>
        <v>#NAME?</v>
      </c>
    </row>
    <row r="14155" spans="1:2" x14ac:dyDescent="0.25">
      <c r="A14155">
        <v>38086910000</v>
      </c>
      <c r="B14155" t="s">
        <v>6067</v>
      </c>
    </row>
    <row r="14156" spans="1:2" x14ac:dyDescent="0.25">
      <c r="A14156">
        <v>38086990000</v>
      </c>
      <c r="B14156" t="s">
        <v>10</v>
      </c>
    </row>
    <row r="14157" spans="1:2" x14ac:dyDescent="0.25">
      <c r="A14157">
        <v>38089</v>
      </c>
      <c r="B14157" t="s">
        <v>28</v>
      </c>
    </row>
    <row r="14158" spans="1:2" x14ac:dyDescent="0.25">
      <c r="A14158">
        <v>380891</v>
      </c>
      <c r="B14158" t="e">
        <f>- - Insecticidas</f>
        <v>#NAME?</v>
      </c>
    </row>
    <row r="14159" spans="1:2" x14ac:dyDescent="0.25">
      <c r="A14159">
        <v>3808911</v>
      </c>
      <c r="B14159" t="s">
        <v>6042</v>
      </c>
    </row>
    <row r="14160" spans="1:2" x14ac:dyDescent="0.25">
      <c r="A14160">
        <v>38089111000</v>
      </c>
      <c r="B14160" t="s">
        <v>6070</v>
      </c>
    </row>
    <row r="14161" spans="1:2" x14ac:dyDescent="0.25">
      <c r="A14161">
        <v>38089119000</v>
      </c>
      <c r="B14161" t="s">
        <v>10</v>
      </c>
    </row>
    <row r="14162" spans="1:2" x14ac:dyDescent="0.25">
      <c r="A14162">
        <v>38089120</v>
      </c>
      <c r="B14162" t="s">
        <v>6071</v>
      </c>
    </row>
    <row r="14163" spans="1:2" x14ac:dyDescent="0.25">
      <c r="A14163">
        <v>380891201</v>
      </c>
      <c r="B14163" t="s">
        <v>6072</v>
      </c>
    </row>
    <row r="14164" spans="1:2" x14ac:dyDescent="0.25">
      <c r="A14164">
        <v>38089120110</v>
      </c>
      <c r="B14164" t="s">
        <v>6073</v>
      </c>
    </row>
    <row r="14165" spans="1:2" x14ac:dyDescent="0.25">
      <c r="A14165">
        <v>38089120120</v>
      </c>
      <c r="B14165" t="s">
        <v>6074</v>
      </c>
    </row>
    <row r="14166" spans="1:2" x14ac:dyDescent="0.25">
      <c r="A14166">
        <v>38089120190</v>
      </c>
      <c r="B14166" t="s">
        <v>10</v>
      </c>
    </row>
    <row r="14167" spans="1:2" x14ac:dyDescent="0.25">
      <c r="A14167">
        <v>38089120300</v>
      </c>
      <c r="B14167" t="s">
        <v>6075</v>
      </c>
    </row>
    <row r="14168" spans="1:2" x14ac:dyDescent="0.25">
      <c r="A14168">
        <v>38089120400</v>
      </c>
      <c r="B14168" t="s">
        <v>6076</v>
      </c>
    </row>
    <row r="14169" spans="1:2" x14ac:dyDescent="0.25">
      <c r="A14169">
        <v>38089120500</v>
      </c>
      <c r="B14169" t="s">
        <v>6077</v>
      </c>
    </row>
    <row r="14170" spans="1:2" x14ac:dyDescent="0.25">
      <c r="A14170">
        <v>38089120900</v>
      </c>
      <c r="B14170" t="s">
        <v>10</v>
      </c>
    </row>
    <row r="14171" spans="1:2" x14ac:dyDescent="0.25">
      <c r="A14171">
        <v>3808919</v>
      </c>
      <c r="B14171" t="s">
        <v>10</v>
      </c>
    </row>
    <row r="14172" spans="1:2" x14ac:dyDescent="0.25">
      <c r="A14172">
        <v>38089191</v>
      </c>
      <c r="B14172" t="s">
        <v>6078</v>
      </c>
    </row>
    <row r="14173" spans="1:2" x14ac:dyDescent="0.25">
      <c r="A14173">
        <v>38089191100</v>
      </c>
      <c r="B14173" t="s">
        <v>6079</v>
      </c>
    </row>
    <row r="14174" spans="1:2" x14ac:dyDescent="0.25">
      <c r="A14174">
        <v>38089191200</v>
      </c>
      <c r="B14174" t="s">
        <v>6080</v>
      </c>
    </row>
    <row r="14175" spans="1:2" x14ac:dyDescent="0.25">
      <c r="A14175">
        <v>38089192</v>
      </c>
      <c r="B14175" t="s">
        <v>6072</v>
      </c>
    </row>
    <row r="14176" spans="1:2" x14ac:dyDescent="0.25">
      <c r="A14176">
        <v>380891921</v>
      </c>
      <c r="B14176" t="s">
        <v>6051</v>
      </c>
    </row>
    <row r="14177" spans="1:2" x14ac:dyDescent="0.25">
      <c r="A14177">
        <v>38089192110</v>
      </c>
      <c r="B14177" t="s">
        <v>6073</v>
      </c>
    </row>
    <row r="14178" spans="1:2" x14ac:dyDescent="0.25">
      <c r="A14178">
        <v>38089192120</v>
      </c>
      <c r="B14178" t="s">
        <v>6074</v>
      </c>
    </row>
    <row r="14179" spans="1:2" x14ac:dyDescent="0.25">
      <c r="A14179">
        <v>38089192190</v>
      </c>
      <c r="B14179" t="s">
        <v>10</v>
      </c>
    </row>
    <row r="14180" spans="1:2" x14ac:dyDescent="0.25">
      <c r="A14180">
        <v>380891929</v>
      </c>
      <c r="B14180" t="s">
        <v>10</v>
      </c>
    </row>
    <row r="14181" spans="1:2" x14ac:dyDescent="0.25">
      <c r="A14181">
        <v>38089192910</v>
      </c>
      <c r="B14181" t="s">
        <v>6073</v>
      </c>
    </row>
    <row r="14182" spans="1:2" x14ac:dyDescent="0.25">
      <c r="A14182">
        <v>38089192920</v>
      </c>
      <c r="B14182" t="s">
        <v>6074</v>
      </c>
    </row>
    <row r="14183" spans="1:2" x14ac:dyDescent="0.25">
      <c r="A14183">
        <v>38089192990</v>
      </c>
      <c r="B14183" t="s">
        <v>10</v>
      </c>
    </row>
    <row r="14184" spans="1:2" x14ac:dyDescent="0.25">
      <c r="A14184">
        <v>38089193000</v>
      </c>
      <c r="B14184" t="s">
        <v>6081</v>
      </c>
    </row>
    <row r="14185" spans="1:2" x14ac:dyDescent="0.25">
      <c r="A14185">
        <v>38089194000</v>
      </c>
      <c r="B14185" t="s">
        <v>6082</v>
      </c>
    </row>
    <row r="14186" spans="1:2" x14ac:dyDescent="0.25">
      <c r="A14186">
        <v>38089195000</v>
      </c>
      <c r="B14186" t="s">
        <v>6075</v>
      </c>
    </row>
    <row r="14187" spans="1:2" x14ac:dyDescent="0.25">
      <c r="A14187">
        <v>38089196</v>
      </c>
      <c r="B14187" t="s">
        <v>6083</v>
      </c>
    </row>
    <row r="14188" spans="1:2" x14ac:dyDescent="0.25">
      <c r="A14188">
        <v>38089196100</v>
      </c>
      <c r="B14188" t="s">
        <v>6084</v>
      </c>
    </row>
    <row r="14189" spans="1:2" x14ac:dyDescent="0.25">
      <c r="A14189">
        <v>38089196200</v>
      </c>
      <c r="B14189" t="s">
        <v>6085</v>
      </c>
    </row>
    <row r="14190" spans="1:2" x14ac:dyDescent="0.25">
      <c r="A14190">
        <v>38089197</v>
      </c>
      <c r="B14190" t="s">
        <v>6086</v>
      </c>
    </row>
    <row r="14191" spans="1:2" x14ac:dyDescent="0.25">
      <c r="A14191">
        <v>38089197100</v>
      </c>
      <c r="B14191" t="s">
        <v>6076</v>
      </c>
    </row>
    <row r="14192" spans="1:2" x14ac:dyDescent="0.25">
      <c r="A14192">
        <v>38089197200</v>
      </c>
      <c r="B14192" t="s">
        <v>6077</v>
      </c>
    </row>
    <row r="14193" spans="1:2" x14ac:dyDescent="0.25">
      <c r="A14193">
        <v>38089198000</v>
      </c>
      <c r="B14193" t="s">
        <v>6087</v>
      </c>
    </row>
    <row r="14194" spans="1:2" x14ac:dyDescent="0.25">
      <c r="A14194">
        <v>38089199</v>
      </c>
      <c r="B14194" t="s">
        <v>10</v>
      </c>
    </row>
    <row r="14195" spans="1:2" x14ac:dyDescent="0.25">
      <c r="A14195">
        <v>38089199100</v>
      </c>
      <c r="B14195" t="s">
        <v>6051</v>
      </c>
    </row>
    <row r="14196" spans="1:2" x14ac:dyDescent="0.25">
      <c r="A14196">
        <v>38089199200</v>
      </c>
      <c r="B14196" t="s">
        <v>6088</v>
      </c>
    </row>
    <row r="14197" spans="1:2" x14ac:dyDescent="0.25">
      <c r="A14197">
        <v>38089199300</v>
      </c>
      <c r="B14197" t="s">
        <v>6089</v>
      </c>
    </row>
    <row r="14198" spans="1:2" x14ac:dyDescent="0.25">
      <c r="A14198">
        <v>38089199400</v>
      </c>
      <c r="B14198" t="s">
        <v>6090</v>
      </c>
    </row>
    <row r="14199" spans="1:2" x14ac:dyDescent="0.25">
      <c r="A14199">
        <v>38089199500</v>
      </c>
      <c r="B14199" t="s">
        <v>6091</v>
      </c>
    </row>
    <row r="14200" spans="1:2" x14ac:dyDescent="0.25">
      <c r="A14200">
        <v>380891999</v>
      </c>
      <c r="B14200" t="s">
        <v>10</v>
      </c>
    </row>
    <row r="14201" spans="1:2" x14ac:dyDescent="0.25">
      <c r="A14201">
        <v>3808919991</v>
      </c>
      <c r="B14201" t="s">
        <v>6092</v>
      </c>
    </row>
    <row r="14202" spans="1:2" x14ac:dyDescent="0.25">
      <c r="A14202">
        <v>38089199911</v>
      </c>
      <c r="B14202" t="s">
        <v>6093</v>
      </c>
    </row>
    <row r="14203" spans="1:2" x14ac:dyDescent="0.25">
      <c r="A14203">
        <v>38089199912</v>
      </c>
      <c r="B14203" t="s">
        <v>6094</v>
      </c>
    </row>
    <row r="14204" spans="1:2" x14ac:dyDescent="0.25">
      <c r="A14204">
        <v>38089199913</v>
      </c>
      <c r="B14204" t="s">
        <v>6095</v>
      </c>
    </row>
    <row r="14205" spans="1:2" x14ac:dyDescent="0.25">
      <c r="A14205">
        <v>38089199914</v>
      </c>
      <c r="B14205" t="s">
        <v>6096</v>
      </c>
    </row>
    <row r="14206" spans="1:2" x14ac:dyDescent="0.25">
      <c r="A14206">
        <v>38089199915</v>
      </c>
      <c r="B14206" t="s">
        <v>6097</v>
      </c>
    </row>
    <row r="14207" spans="1:2" x14ac:dyDescent="0.25">
      <c r="A14207">
        <v>38089199916</v>
      </c>
      <c r="B14207" t="s">
        <v>6098</v>
      </c>
    </row>
    <row r="14208" spans="1:2" x14ac:dyDescent="0.25">
      <c r="A14208">
        <v>38089199917</v>
      </c>
      <c r="B14208" t="s">
        <v>6099</v>
      </c>
    </row>
    <row r="14209" spans="1:2" x14ac:dyDescent="0.25">
      <c r="A14209">
        <v>38089199919</v>
      </c>
      <c r="B14209" t="s">
        <v>10</v>
      </c>
    </row>
    <row r="14210" spans="1:2" x14ac:dyDescent="0.25">
      <c r="A14210">
        <v>38089199920</v>
      </c>
      <c r="B14210" t="s">
        <v>6100</v>
      </c>
    </row>
    <row r="14211" spans="1:2" x14ac:dyDescent="0.25">
      <c r="A14211">
        <v>38089199930</v>
      </c>
      <c r="B14211" t="s">
        <v>6101</v>
      </c>
    </row>
    <row r="14212" spans="1:2" x14ac:dyDescent="0.25">
      <c r="A14212">
        <v>3808919994</v>
      </c>
      <c r="B14212" t="s">
        <v>6102</v>
      </c>
    </row>
    <row r="14213" spans="1:2" x14ac:dyDescent="0.25">
      <c r="A14213">
        <v>38089199941</v>
      </c>
      <c r="B14213" t="s">
        <v>6103</v>
      </c>
    </row>
    <row r="14214" spans="1:2" x14ac:dyDescent="0.25">
      <c r="A14214">
        <v>38089199942</v>
      </c>
      <c r="B14214" t="s">
        <v>6104</v>
      </c>
    </row>
    <row r="14215" spans="1:2" x14ac:dyDescent="0.25">
      <c r="A14215">
        <v>38089199943</v>
      </c>
      <c r="B14215" t="s">
        <v>6105</v>
      </c>
    </row>
    <row r="14216" spans="1:2" x14ac:dyDescent="0.25">
      <c r="A14216">
        <v>38089199944</v>
      </c>
      <c r="B14216" t="s">
        <v>6106</v>
      </c>
    </row>
    <row r="14217" spans="1:2" x14ac:dyDescent="0.25">
      <c r="A14217">
        <v>38089199945</v>
      </c>
      <c r="B14217" t="s">
        <v>6107</v>
      </c>
    </row>
    <row r="14218" spans="1:2" x14ac:dyDescent="0.25">
      <c r="A14218">
        <v>38089199946</v>
      </c>
      <c r="B14218" t="s">
        <v>6108</v>
      </c>
    </row>
    <row r="14219" spans="1:2" x14ac:dyDescent="0.25">
      <c r="A14219">
        <v>38089199947</v>
      </c>
      <c r="B14219" t="s">
        <v>6109</v>
      </c>
    </row>
    <row r="14220" spans="1:2" x14ac:dyDescent="0.25">
      <c r="A14220">
        <v>38089199948</v>
      </c>
      <c r="B14220" t="s">
        <v>6110</v>
      </c>
    </row>
    <row r="14221" spans="1:2" x14ac:dyDescent="0.25">
      <c r="A14221">
        <v>38089199949</v>
      </c>
      <c r="B14221" t="s">
        <v>6111</v>
      </c>
    </row>
    <row r="14222" spans="1:2" x14ac:dyDescent="0.25">
      <c r="A14222">
        <v>38089199950</v>
      </c>
      <c r="B14222" t="s">
        <v>6112</v>
      </c>
    </row>
    <row r="14223" spans="1:2" x14ac:dyDescent="0.25">
      <c r="A14223">
        <v>38089199960</v>
      </c>
      <c r="B14223" t="s">
        <v>6113</v>
      </c>
    </row>
    <row r="14224" spans="1:2" x14ac:dyDescent="0.25">
      <c r="A14224">
        <v>38089199990</v>
      </c>
      <c r="B14224" t="s">
        <v>10</v>
      </c>
    </row>
    <row r="14225" spans="1:2" x14ac:dyDescent="0.25">
      <c r="A14225">
        <v>380892</v>
      </c>
      <c r="B14225" t="e">
        <f>- - Fungicidas</f>
        <v>#NAME?</v>
      </c>
    </row>
    <row r="14226" spans="1:2" x14ac:dyDescent="0.25">
      <c r="A14226">
        <v>3808921</v>
      </c>
      <c r="B14226" t="s">
        <v>6042</v>
      </c>
    </row>
    <row r="14227" spans="1:2" x14ac:dyDescent="0.25">
      <c r="A14227">
        <v>38089211000</v>
      </c>
      <c r="B14227" t="s">
        <v>6070</v>
      </c>
    </row>
    <row r="14228" spans="1:2" x14ac:dyDescent="0.25">
      <c r="A14228">
        <v>38089219000</v>
      </c>
      <c r="B14228" t="s">
        <v>10</v>
      </c>
    </row>
    <row r="14229" spans="1:2" x14ac:dyDescent="0.25">
      <c r="A14229">
        <v>38089220</v>
      </c>
      <c r="B14229" t="s">
        <v>6071</v>
      </c>
    </row>
    <row r="14230" spans="1:2" x14ac:dyDescent="0.25">
      <c r="A14230">
        <v>38089220100</v>
      </c>
      <c r="B14230" t="s">
        <v>6114</v>
      </c>
    </row>
    <row r="14231" spans="1:2" x14ac:dyDescent="0.25">
      <c r="A14231">
        <v>38089220200</v>
      </c>
      <c r="B14231" t="s">
        <v>6115</v>
      </c>
    </row>
    <row r="14232" spans="1:2" x14ac:dyDescent="0.25">
      <c r="A14232">
        <v>38089220300</v>
      </c>
      <c r="B14232" t="s">
        <v>6116</v>
      </c>
    </row>
    <row r="14233" spans="1:2" x14ac:dyDescent="0.25">
      <c r="A14233">
        <v>38089220900</v>
      </c>
      <c r="B14233" t="s">
        <v>10</v>
      </c>
    </row>
    <row r="14234" spans="1:2" x14ac:dyDescent="0.25">
      <c r="A14234">
        <v>3808929</v>
      </c>
      <c r="B14234" t="s">
        <v>10</v>
      </c>
    </row>
    <row r="14235" spans="1:2" x14ac:dyDescent="0.25">
      <c r="A14235">
        <v>38089291</v>
      </c>
      <c r="B14235" t="s">
        <v>6117</v>
      </c>
    </row>
    <row r="14236" spans="1:2" x14ac:dyDescent="0.25">
      <c r="A14236">
        <v>38089291100</v>
      </c>
      <c r="B14236" t="s">
        <v>6118</v>
      </c>
    </row>
    <row r="14237" spans="1:2" x14ac:dyDescent="0.25">
      <c r="A14237">
        <v>38089291200</v>
      </c>
      <c r="B14237" t="s">
        <v>6119</v>
      </c>
    </row>
    <row r="14238" spans="1:2" x14ac:dyDescent="0.25">
      <c r="A14238">
        <v>38089291300</v>
      </c>
      <c r="B14238" t="s">
        <v>6120</v>
      </c>
    </row>
    <row r="14239" spans="1:2" x14ac:dyDescent="0.25">
      <c r="A14239">
        <v>38089292</v>
      </c>
      <c r="B14239" t="s">
        <v>6121</v>
      </c>
    </row>
    <row r="14240" spans="1:2" x14ac:dyDescent="0.25">
      <c r="A14240">
        <v>38089292100</v>
      </c>
      <c r="B14240" t="s">
        <v>6114</v>
      </c>
    </row>
    <row r="14241" spans="1:2" x14ac:dyDescent="0.25">
      <c r="A14241">
        <v>38089292200</v>
      </c>
      <c r="B14241" t="s">
        <v>6122</v>
      </c>
    </row>
    <row r="14242" spans="1:2" x14ac:dyDescent="0.25">
      <c r="A14242">
        <v>38089293</v>
      </c>
      <c r="B14242" t="s">
        <v>6123</v>
      </c>
    </row>
    <row r="14243" spans="1:2" x14ac:dyDescent="0.25">
      <c r="A14243">
        <v>38089293100</v>
      </c>
      <c r="B14243" t="s">
        <v>6115</v>
      </c>
    </row>
    <row r="14244" spans="1:2" x14ac:dyDescent="0.25">
      <c r="A14244">
        <v>38089293200</v>
      </c>
      <c r="B14244" t="s">
        <v>6116</v>
      </c>
    </row>
    <row r="14245" spans="1:2" x14ac:dyDescent="0.25">
      <c r="A14245">
        <v>38089294000</v>
      </c>
      <c r="B14245" t="s">
        <v>6124</v>
      </c>
    </row>
    <row r="14246" spans="1:2" x14ac:dyDescent="0.25">
      <c r="A14246">
        <v>38089295</v>
      </c>
      <c r="B14246" t="s">
        <v>6125</v>
      </c>
    </row>
    <row r="14247" spans="1:2" x14ac:dyDescent="0.25">
      <c r="A14247">
        <v>38089295100</v>
      </c>
      <c r="B14247" t="s">
        <v>6126</v>
      </c>
    </row>
    <row r="14248" spans="1:2" x14ac:dyDescent="0.25">
      <c r="A14248">
        <v>38089295200</v>
      </c>
      <c r="B14248" t="s">
        <v>6127</v>
      </c>
    </row>
    <row r="14249" spans="1:2" x14ac:dyDescent="0.25">
      <c r="A14249">
        <v>38089295900</v>
      </c>
      <c r="B14249" t="s">
        <v>10</v>
      </c>
    </row>
    <row r="14250" spans="1:2" x14ac:dyDescent="0.25">
      <c r="A14250">
        <v>38089296000</v>
      </c>
      <c r="B14250" t="s">
        <v>6128</v>
      </c>
    </row>
    <row r="14251" spans="1:2" x14ac:dyDescent="0.25">
      <c r="A14251">
        <v>38089297000</v>
      </c>
      <c r="B14251" t="s">
        <v>6129</v>
      </c>
    </row>
    <row r="14252" spans="1:2" x14ac:dyDescent="0.25">
      <c r="A14252">
        <v>38089299</v>
      </c>
      <c r="B14252" t="s">
        <v>10</v>
      </c>
    </row>
    <row r="14253" spans="1:2" x14ac:dyDescent="0.25">
      <c r="A14253">
        <v>38089299100</v>
      </c>
      <c r="B14253" t="s">
        <v>6130</v>
      </c>
    </row>
    <row r="14254" spans="1:2" x14ac:dyDescent="0.25">
      <c r="A14254">
        <v>38089299200</v>
      </c>
      <c r="B14254" t="s">
        <v>6131</v>
      </c>
    </row>
    <row r="14255" spans="1:2" x14ac:dyDescent="0.25">
      <c r="A14255">
        <v>38089299300</v>
      </c>
      <c r="B14255" t="s">
        <v>6132</v>
      </c>
    </row>
    <row r="14256" spans="1:2" x14ac:dyDescent="0.25">
      <c r="A14256">
        <v>38089299400</v>
      </c>
      <c r="B14256" t="s">
        <v>6133</v>
      </c>
    </row>
    <row r="14257" spans="1:2" x14ac:dyDescent="0.25">
      <c r="A14257">
        <v>38089299500</v>
      </c>
      <c r="B14257" t="s">
        <v>6134</v>
      </c>
    </row>
    <row r="14258" spans="1:2" x14ac:dyDescent="0.25">
      <c r="A14258">
        <v>38089299600</v>
      </c>
      <c r="B14258" t="s">
        <v>6135</v>
      </c>
    </row>
    <row r="14259" spans="1:2" x14ac:dyDescent="0.25">
      <c r="A14259">
        <v>38089299700</v>
      </c>
      <c r="B14259" t="s">
        <v>6136</v>
      </c>
    </row>
    <row r="14260" spans="1:2" x14ac:dyDescent="0.25">
      <c r="A14260">
        <v>380892999</v>
      </c>
      <c r="B14260" t="s">
        <v>10</v>
      </c>
    </row>
    <row r="14261" spans="1:2" x14ac:dyDescent="0.25">
      <c r="A14261">
        <v>38089299910</v>
      </c>
      <c r="B14261" t="s">
        <v>6101</v>
      </c>
    </row>
    <row r="14262" spans="1:2" x14ac:dyDescent="0.25">
      <c r="A14262">
        <v>38089299920</v>
      </c>
      <c r="B14262" t="s">
        <v>6137</v>
      </c>
    </row>
    <row r="14263" spans="1:2" x14ac:dyDescent="0.25">
      <c r="A14263">
        <v>38089299940</v>
      </c>
      <c r="B14263" t="s">
        <v>6138</v>
      </c>
    </row>
    <row r="14264" spans="1:2" x14ac:dyDescent="0.25">
      <c r="A14264">
        <v>38089299990</v>
      </c>
      <c r="B14264" t="s">
        <v>10</v>
      </c>
    </row>
    <row r="14265" spans="1:2" x14ac:dyDescent="0.25">
      <c r="A14265">
        <v>380893</v>
      </c>
      <c r="B14265" t="e">
        <f>- - Herbicidas. inhibidores de germinacion y reguladores del crecimiento de las plantas</f>
        <v>#NAME?</v>
      </c>
    </row>
    <row r="14266" spans="1:2" x14ac:dyDescent="0.25">
      <c r="A14266">
        <v>3808931</v>
      </c>
      <c r="B14266" t="s">
        <v>6139</v>
      </c>
    </row>
    <row r="14267" spans="1:2" x14ac:dyDescent="0.25">
      <c r="A14267">
        <v>38089311000</v>
      </c>
      <c r="B14267" t="s">
        <v>6070</v>
      </c>
    </row>
    <row r="14268" spans="1:2" x14ac:dyDescent="0.25">
      <c r="A14268">
        <v>38089319000</v>
      </c>
      <c r="B14268" t="s">
        <v>10</v>
      </c>
    </row>
    <row r="14269" spans="1:2" x14ac:dyDescent="0.25">
      <c r="A14269">
        <v>3808932</v>
      </c>
      <c r="B14269" t="s">
        <v>6140</v>
      </c>
    </row>
    <row r="14270" spans="1:2" x14ac:dyDescent="0.25">
      <c r="A14270">
        <v>38089321</v>
      </c>
      <c r="B14270" t="s">
        <v>6070</v>
      </c>
    </row>
    <row r="14271" spans="1:2" x14ac:dyDescent="0.25">
      <c r="A14271">
        <v>38089321200</v>
      </c>
      <c r="B14271" t="s">
        <v>6141</v>
      </c>
    </row>
    <row r="14272" spans="1:2" x14ac:dyDescent="0.25">
      <c r="A14272">
        <v>38089321300</v>
      </c>
      <c r="B14272" t="s">
        <v>6142</v>
      </c>
    </row>
    <row r="14273" spans="1:2" x14ac:dyDescent="0.25">
      <c r="A14273">
        <v>38089321400</v>
      </c>
      <c r="B14273" t="s">
        <v>6143</v>
      </c>
    </row>
    <row r="14274" spans="1:2" x14ac:dyDescent="0.25">
      <c r="A14274">
        <v>38089321500</v>
      </c>
      <c r="B14274" t="s">
        <v>6144</v>
      </c>
    </row>
    <row r="14275" spans="1:2" x14ac:dyDescent="0.25">
      <c r="A14275">
        <v>38089321600</v>
      </c>
      <c r="B14275" t="s">
        <v>6145</v>
      </c>
    </row>
    <row r="14276" spans="1:2" x14ac:dyDescent="0.25">
      <c r="A14276">
        <v>380893217</v>
      </c>
      <c r="B14276" t="s">
        <v>6146</v>
      </c>
    </row>
    <row r="14277" spans="1:2" x14ac:dyDescent="0.25">
      <c r="A14277">
        <v>38089321710</v>
      </c>
      <c r="B14277" t="s">
        <v>6147</v>
      </c>
    </row>
    <row r="14278" spans="1:2" x14ac:dyDescent="0.25">
      <c r="A14278">
        <v>38089321720</v>
      </c>
      <c r="B14278" t="s">
        <v>6148</v>
      </c>
    </row>
    <row r="14279" spans="1:2" x14ac:dyDescent="0.25">
      <c r="A14279">
        <v>38089321900</v>
      </c>
      <c r="B14279" t="s">
        <v>10</v>
      </c>
    </row>
    <row r="14280" spans="1:2" x14ac:dyDescent="0.25">
      <c r="A14280">
        <v>38089322</v>
      </c>
      <c r="B14280" t="s">
        <v>6149</v>
      </c>
    </row>
    <row r="14281" spans="1:2" x14ac:dyDescent="0.25">
      <c r="A14281">
        <v>38089322100</v>
      </c>
      <c r="B14281" t="s">
        <v>6150</v>
      </c>
    </row>
    <row r="14282" spans="1:2" x14ac:dyDescent="0.25">
      <c r="A14282">
        <v>38089322200</v>
      </c>
      <c r="B14282" t="s">
        <v>6151</v>
      </c>
    </row>
    <row r="14283" spans="1:2" x14ac:dyDescent="0.25">
      <c r="A14283">
        <v>38089322300</v>
      </c>
      <c r="B14283" t="s">
        <v>6152</v>
      </c>
    </row>
    <row r="14284" spans="1:2" x14ac:dyDescent="0.25">
      <c r="A14284">
        <v>38089323</v>
      </c>
      <c r="B14284" t="s">
        <v>6153</v>
      </c>
    </row>
    <row r="14285" spans="1:2" x14ac:dyDescent="0.25">
      <c r="A14285">
        <v>38089323300</v>
      </c>
      <c r="B14285" t="s">
        <v>6148</v>
      </c>
    </row>
    <row r="14286" spans="1:2" x14ac:dyDescent="0.25">
      <c r="A14286">
        <v>38089323400</v>
      </c>
      <c r="B14286" t="s">
        <v>6141</v>
      </c>
    </row>
    <row r="14287" spans="1:2" x14ac:dyDescent="0.25">
      <c r="A14287">
        <v>38089324</v>
      </c>
      <c r="B14287" t="s">
        <v>6154</v>
      </c>
    </row>
    <row r="14288" spans="1:2" x14ac:dyDescent="0.25">
      <c r="A14288">
        <v>38089324100</v>
      </c>
      <c r="B14288" t="s">
        <v>6155</v>
      </c>
    </row>
    <row r="14289" spans="1:2" x14ac:dyDescent="0.25">
      <c r="A14289">
        <v>38089324200</v>
      </c>
      <c r="B14289" t="s">
        <v>6156</v>
      </c>
    </row>
    <row r="14290" spans="1:2" x14ac:dyDescent="0.25">
      <c r="A14290">
        <v>38089324300</v>
      </c>
      <c r="B14290" t="s">
        <v>6142</v>
      </c>
    </row>
    <row r="14291" spans="1:2" x14ac:dyDescent="0.25">
      <c r="A14291">
        <v>38089325</v>
      </c>
      <c r="B14291" t="s">
        <v>6157</v>
      </c>
    </row>
    <row r="14292" spans="1:2" x14ac:dyDescent="0.25">
      <c r="A14292">
        <v>38089325100</v>
      </c>
      <c r="B14292" t="s">
        <v>6143</v>
      </c>
    </row>
    <row r="14293" spans="1:2" x14ac:dyDescent="0.25">
      <c r="A14293">
        <v>38089325200</v>
      </c>
      <c r="B14293" t="s">
        <v>6144</v>
      </c>
    </row>
    <row r="14294" spans="1:2" x14ac:dyDescent="0.25">
      <c r="A14294">
        <v>38089325300</v>
      </c>
      <c r="B14294" t="s">
        <v>6158</v>
      </c>
    </row>
    <row r="14295" spans="1:2" x14ac:dyDescent="0.25">
      <c r="A14295">
        <v>38089326000</v>
      </c>
      <c r="B14295" t="s">
        <v>6159</v>
      </c>
    </row>
    <row r="14296" spans="1:2" x14ac:dyDescent="0.25">
      <c r="A14296">
        <v>38089327000</v>
      </c>
      <c r="B14296" t="s">
        <v>6160</v>
      </c>
    </row>
    <row r="14297" spans="1:2" x14ac:dyDescent="0.25">
      <c r="A14297">
        <v>38089328</v>
      </c>
      <c r="B14297" t="s">
        <v>6161</v>
      </c>
    </row>
    <row r="14298" spans="1:2" x14ac:dyDescent="0.25">
      <c r="A14298">
        <v>38089328100</v>
      </c>
      <c r="B14298" t="s">
        <v>6147</v>
      </c>
    </row>
    <row r="14299" spans="1:2" x14ac:dyDescent="0.25">
      <c r="A14299">
        <v>38089328200</v>
      </c>
      <c r="B14299" t="s">
        <v>6162</v>
      </c>
    </row>
    <row r="14300" spans="1:2" x14ac:dyDescent="0.25">
      <c r="A14300">
        <v>38089329</v>
      </c>
      <c r="B14300" t="s">
        <v>10</v>
      </c>
    </row>
    <row r="14301" spans="1:2" x14ac:dyDescent="0.25">
      <c r="A14301">
        <v>38089329300</v>
      </c>
      <c r="B14301" t="s">
        <v>6163</v>
      </c>
    </row>
    <row r="14302" spans="1:2" x14ac:dyDescent="0.25">
      <c r="A14302">
        <v>38089329400</v>
      </c>
      <c r="B14302" t="s">
        <v>6164</v>
      </c>
    </row>
    <row r="14303" spans="1:2" x14ac:dyDescent="0.25">
      <c r="A14303">
        <v>38089329500</v>
      </c>
      <c r="B14303" t="s">
        <v>6165</v>
      </c>
    </row>
    <row r="14304" spans="1:2" x14ac:dyDescent="0.25">
      <c r="A14304">
        <v>38089329600</v>
      </c>
      <c r="B14304" t="s">
        <v>6166</v>
      </c>
    </row>
    <row r="14305" spans="1:2" x14ac:dyDescent="0.25">
      <c r="A14305">
        <v>38089329700</v>
      </c>
      <c r="B14305" t="s">
        <v>6167</v>
      </c>
    </row>
    <row r="14306" spans="1:2" x14ac:dyDescent="0.25">
      <c r="A14306">
        <v>38089329800</v>
      </c>
      <c r="B14306" t="s">
        <v>6168</v>
      </c>
    </row>
    <row r="14307" spans="1:2" x14ac:dyDescent="0.25">
      <c r="A14307">
        <v>380893299</v>
      </c>
      <c r="B14307" t="s">
        <v>10</v>
      </c>
    </row>
    <row r="14308" spans="1:2" x14ac:dyDescent="0.25">
      <c r="A14308">
        <v>3808932991</v>
      </c>
      <c r="B14308" t="s">
        <v>6169</v>
      </c>
    </row>
    <row r="14309" spans="1:2" x14ac:dyDescent="0.25">
      <c r="A14309">
        <v>38089329911</v>
      </c>
      <c r="B14309" t="s">
        <v>6170</v>
      </c>
    </row>
    <row r="14310" spans="1:2" x14ac:dyDescent="0.25">
      <c r="A14310">
        <v>38089329912</v>
      </c>
      <c r="B14310" t="s">
        <v>6171</v>
      </c>
    </row>
    <row r="14311" spans="1:2" x14ac:dyDescent="0.25">
      <c r="A14311">
        <v>38089329919</v>
      </c>
      <c r="B14311" t="s">
        <v>10</v>
      </c>
    </row>
    <row r="14312" spans="1:2" x14ac:dyDescent="0.25">
      <c r="A14312">
        <v>38089329930</v>
      </c>
      <c r="B14312" t="s">
        <v>6172</v>
      </c>
    </row>
    <row r="14313" spans="1:2" x14ac:dyDescent="0.25">
      <c r="A14313">
        <v>38089329940</v>
      </c>
      <c r="B14313" t="s">
        <v>6173</v>
      </c>
    </row>
    <row r="14314" spans="1:2" x14ac:dyDescent="0.25">
      <c r="A14314">
        <v>38089329990</v>
      </c>
      <c r="B14314" t="s">
        <v>10</v>
      </c>
    </row>
    <row r="14315" spans="1:2" x14ac:dyDescent="0.25">
      <c r="A14315">
        <v>3808933</v>
      </c>
      <c r="B14315" t="s">
        <v>6174</v>
      </c>
    </row>
    <row r="14316" spans="1:2" x14ac:dyDescent="0.25">
      <c r="A14316">
        <v>38089331000</v>
      </c>
      <c r="B14316" t="s">
        <v>6070</v>
      </c>
    </row>
    <row r="14317" spans="1:2" x14ac:dyDescent="0.25">
      <c r="A14317">
        <v>38089332000</v>
      </c>
      <c r="B14317" t="s">
        <v>6175</v>
      </c>
    </row>
    <row r="14318" spans="1:2" x14ac:dyDescent="0.25">
      <c r="A14318">
        <v>38089333000</v>
      </c>
      <c r="B14318" t="s">
        <v>10</v>
      </c>
    </row>
    <row r="14319" spans="1:2" x14ac:dyDescent="0.25">
      <c r="A14319">
        <v>3808934</v>
      </c>
      <c r="B14319" t="s">
        <v>6176</v>
      </c>
    </row>
    <row r="14320" spans="1:2" x14ac:dyDescent="0.25">
      <c r="A14320">
        <v>38089341000</v>
      </c>
      <c r="B14320" t="s">
        <v>6070</v>
      </c>
    </row>
    <row r="14321" spans="1:2" x14ac:dyDescent="0.25">
      <c r="A14321">
        <v>38089349000</v>
      </c>
      <c r="B14321" t="s">
        <v>10</v>
      </c>
    </row>
    <row r="14322" spans="1:2" x14ac:dyDescent="0.25">
      <c r="A14322">
        <v>3808935</v>
      </c>
      <c r="B14322" t="s">
        <v>6177</v>
      </c>
    </row>
    <row r="14323" spans="1:2" x14ac:dyDescent="0.25">
      <c r="A14323">
        <v>38089351000</v>
      </c>
      <c r="B14323" t="s">
        <v>6070</v>
      </c>
    </row>
    <row r="14324" spans="1:2" x14ac:dyDescent="0.25">
      <c r="A14324">
        <v>38089352000</v>
      </c>
      <c r="B14324" t="s">
        <v>6178</v>
      </c>
    </row>
    <row r="14325" spans="1:2" x14ac:dyDescent="0.25">
      <c r="A14325">
        <v>38089359</v>
      </c>
      <c r="B14325" t="s">
        <v>10</v>
      </c>
    </row>
    <row r="14326" spans="1:2" x14ac:dyDescent="0.25">
      <c r="A14326">
        <v>38089359200</v>
      </c>
      <c r="B14326" t="s">
        <v>6179</v>
      </c>
    </row>
    <row r="14327" spans="1:2" x14ac:dyDescent="0.25">
      <c r="A14327">
        <v>38089359300</v>
      </c>
      <c r="B14327" t="s">
        <v>6180</v>
      </c>
    </row>
    <row r="14328" spans="1:2" x14ac:dyDescent="0.25">
      <c r="A14328">
        <v>38089359400</v>
      </c>
      <c r="B14328" t="s">
        <v>6181</v>
      </c>
    </row>
    <row r="14329" spans="1:2" x14ac:dyDescent="0.25">
      <c r="A14329">
        <v>38089359500</v>
      </c>
      <c r="B14329" t="s">
        <v>6182</v>
      </c>
    </row>
    <row r="14330" spans="1:2" x14ac:dyDescent="0.25">
      <c r="A14330">
        <v>38089359900</v>
      </c>
      <c r="B14330" t="s">
        <v>10</v>
      </c>
    </row>
    <row r="14331" spans="1:2" x14ac:dyDescent="0.25">
      <c r="A14331">
        <v>380894</v>
      </c>
      <c r="B14331" t="e">
        <f>- - Desinfectantes</f>
        <v>#NAME?</v>
      </c>
    </row>
    <row r="14332" spans="1:2" x14ac:dyDescent="0.25">
      <c r="A14332">
        <v>3808941</v>
      </c>
      <c r="B14332" t="s">
        <v>6042</v>
      </c>
    </row>
    <row r="14333" spans="1:2" x14ac:dyDescent="0.25">
      <c r="A14333">
        <v>38089411000</v>
      </c>
      <c r="B14333" t="s">
        <v>6070</v>
      </c>
    </row>
    <row r="14334" spans="1:2" x14ac:dyDescent="0.25">
      <c r="A14334">
        <v>38089419</v>
      </c>
      <c r="B14334" t="s">
        <v>10</v>
      </c>
    </row>
    <row r="14335" spans="1:2" x14ac:dyDescent="0.25">
      <c r="A14335">
        <v>38089419100</v>
      </c>
      <c r="B14335" t="s">
        <v>6183</v>
      </c>
    </row>
    <row r="14336" spans="1:2" x14ac:dyDescent="0.25">
      <c r="A14336">
        <v>38089419900</v>
      </c>
      <c r="B14336" t="s">
        <v>57</v>
      </c>
    </row>
    <row r="14337" spans="1:2" x14ac:dyDescent="0.25">
      <c r="A14337">
        <v>3808942</v>
      </c>
      <c r="B14337" t="s">
        <v>6045</v>
      </c>
    </row>
    <row r="14338" spans="1:2" x14ac:dyDescent="0.25">
      <c r="A14338">
        <v>38089421</v>
      </c>
      <c r="B14338" t="s">
        <v>6070</v>
      </c>
    </row>
    <row r="14339" spans="1:2" x14ac:dyDescent="0.25">
      <c r="A14339">
        <v>38089421100</v>
      </c>
      <c r="B14339" t="s">
        <v>6184</v>
      </c>
    </row>
    <row r="14340" spans="1:2" x14ac:dyDescent="0.25">
      <c r="A14340">
        <v>38089421900</v>
      </c>
      <c r="B14340" t="s">
        <v>10</v>
      </c>
    </row>
    <row r="14341" spans="1:2" x14ac:dyDescent="0.25">
      <c r="A14341">
        <v>38089422000</v>
      </c>
      <c r="B14341" t="s">
        <v>6185</v>
      </c>
    </row>
    <row r="14342" spans="1:2" x14ac:dyDescent="0.25">
      <c r="A14342">
        <v>38089429</v>
      </c>
      <c r="B14342" t="s">
        <v>10</v>
      </c>
    </row>
    <row r="14343" spans="1:2" x14ac:dyDescent="0.25">
      <c r="A14343">
        <v>38089429200</v>
      </c>
      <c r="B14343" t="s">
        <v>6186</v>
      </c>
    </row>
    <row r="14344" spans="1:2" x14ac:dyDescent="0.25">
      <c r="A14344">
        <v>38089429300</v>
      </c>
      <c r="B14344" t="s">
        <v>6187</v>
      </c>
    </row>
    <row r="14345" spans="1:2" x14ac:dyDescent="0.25">
      <c r="A14345">
        <v>38089429900</v>
      </c>
      <c r="B14345" t="s">
        <v>10</v>
      </c>
    </row>
    <row r="14346" spans="1:2" x14ac:dyDescent="0.25">
      <c r="A14346">
        <v>380899</v>
      </c>
      <c r="B14346" t="e">
        <f>- - Los demas</f>
        <v>#NAME?</v>
      </c>
    </row>
    <row r="14347" spans="1:2" x14ac:dyDescent="0.25">
      <c r="A14347">
        <v>3808991</v>
      </c>
      <c r="B14347" t="s">
        <v>6042</v>
      </c>
    </row>
    <row r="14348" spans="1:2" x14ac:dyDescent="0.25">
      <c r="A14348">
        <v>38089911000</v>
      </c>
      <c r="B14348" t="s">
        <v>6070</v>
      </c>
    </row>
    <row r="14349" spans="1:2" x14ac:dyDescent="0.25">
      <c r="A14349">
        <v>38089919</v>
      </c>
      <c r="B14349" t="s">
        <v>10</v>
      </c>
    </row>
    <row r="14350" spans="1:2" x14ac:dyDescent="0.25">
      <c r="A14350">
        <v>38089919100</v>
      </c>
      <c r="B14350" t="s">
        <v>6188</v>
      </c>
    </row>
    <row r="14351" spans="1:2" x14ac:dyDescent="0.25">
      <c r="A14351">
        <v>38089919900</v>
      </c>
      <c r="B14351" t="s">
        <v>10</v>
      </c>
    </row>
    <row r="14352" spans="1:2" x14ac:dyDescent="0.25">
      <c r="A14352">
        <v>38089920</v>
      </c>
      <c r="B14352" t="s">
        <v>6071</v>
      </c>
    </row>
    <row r="14353" spans="1:2" x14ac:dyDescent="0.25">
      <c r="A14353">
        <v>380899201</v>
      </c>
      <c r="B14353" t="s">
        <v>6189</v>
      </c>
    </row>
    <row r="14354" spans="1:2" x14ac:dyDescent="0.25">
      <c r="A14354">
        <v>38089920110</v>
      </c>
      <c r="B14354" t="s">
        <v>6190</v>
      </c>
    </row>
    <row r="14355" spans="1:2" x14ac:dyDescent="0.25">
      <c r="A14355">
        <v>38089920120</v>
      </c>
      <c r="B14355" t="s">
        <v>6191</v>
      </c>
    </row>
    <row r="14356" spans="1:2" x14ac:dyDescent="0.25">
      <c r="A14356">
        <v>38089920130</v>
      </c>
      <c r="B14356" t="s">
        <v>6192</v>
      </c>
    </row>
    <row r="14357" spans="1:2" x14ac:dyDescent="0.25">
      <c r="A14357">
        <v>380899202</v>
      </c>
      <c r="B14357" t="s">
        <v>6193</v>
      </c>
    </row>
    <row r="14358" spans="1:2" x14ac:dyDescent="0.25">
      <c r="A14358">
        <v>38089920210</v>
      </c>
      <c r="B14358" t="s">
        <v>6194</v>
      </c>
    </row>
    <row r="14359" spans="1:2" x14ac:dyDescent="0.25">
      <c r="A14359">
        <v>38089920220</v>
      </c>
      <c r="B14359" t="s">
        <v>6195</v>
      </c>
    </row>
    <row r="14360" spans="1:2" x14ac:dyDescent="0.25">
      <c r="A14360">
        <v>38089920900</v>
      </c>
      <c r="B14360" t="s">
        <v>10</v>
      </c>
    </row>
    <row r="14361" spans="1:2" x14ac:dyDescent="0.25">
      <c r="A14361">
        <v>3808999</v>
      </c>
      <c r="B14361" t="s">
        <v>10</v>
      </c>
    </row>
    <row r="14362" spans="1:2" x14ac:dyDescent="0.25">
      <c r="A14362">
        <v>38089991</v>
      </c>
      <c r="B14362" t="s">
        <v>6189</v>
      </c>
    </row>
    <row r="14363" spans="1:2" x14ac:dyDescent="0.25">
      <c r="A14363">
        <v>38089991100</v>
      </c>
      <c r="B14363" t="s">
        <v>6190</v>
      </c>
    </row>
    <row r="14364" spans="1:2" x14ac:dyDescent="0.25">
      <c r="A14364">
        <v>38089991200</v>
      </c>
      <c r="B14364" t="s">
        <v>6191</v>
      </c>
    </row>
    <row r="14365" spans="1:2" x14ac:dyDescent="0.25">
      <c r="A14365">
        <v>38089991300</v>
      </c>
      <c r="B14365" t="s">
        <v>6192</v>
      </c>
    </row>
    <row r="14366" spans="1:2" x14ac:dyDescent="0.25">
      <c r="A14366">
        <v>38089992</v>
      </c>
      <c r="B14366" t="s">
        <v>6196</v>
      </c>
    </row>
    <row r="14367" spans="1:2" x14ac:dyDescent="0.25">
      <c r="A14367">
        <v>38089992100</v>
      </c>
      <c r="B14367" t="s">
        <v>6194</v>
      </c>
    </row>
    <row r="14368" spans="1:2" x14ac:dyDescent="0.25">
      <c r="A14368">
        <v>38089992200</v>
      </c>
      <c r="B14368" t="s">
        <v>6195</v>
      </c>
    </row>
    <row r="14369" spans="1:2" x14ac:dyDescent="0.25">
      <c r="A14369">
        <v>38089993</v>
      </c>
      <c r="B14369" t="s">
        <v>6197</v>
      </c>
    </row>
    <row r="14370" spans="1:2" x14ac:dyDescent="0.25">
      <c r="A14370">
        <v>38089993100</v>
      </c>
      <c r="B14370" t="s">
        <v>6198</v>
      </c>
    </row>
    <row r="14371" spans="1:2" x14ac:dyDescent="0.25">
      <c r="A14371">
        <v>38089993200</v>
      </c>
      <c r="B14371" t="s">
        <v>6199</v>
      </c>
    </row>
    <row r="14372" spans="1:2" x14ac:dyDescent="0.25">
      <c r="A14372">
        <v>38089993900</v>
      </c>
      <c r="B14372" t="s">
        <v>10</v>
      </c>
    </row>
    <row r="14373" spans="1:2" x14ac:dyDescent="0.25">
      <c r="A14373">
        <v>38089994000</v>
      </c>
      <c r="B14373" t="s">
        <v>6200</v>
      </c>
    </row>
    <row r="14374" spans="1:2" x14ac:dyDescent="0.25">
      <c r="A14374">
        <v>38089995</v>
      </c>
      <c r="B14374" t="s">
        <v>6201</v>
      </c>
    </row>
    <row r="14375" spans="1:2" x14ac:dyDescent="0.25">
      <c r="A14375">
        <v>38089995100</v>
      </c>
      <c r="B14375" t="s">
        <v>6202</v>
      </c>
    </row>
    <row r="14376" spans="1:2" x14ac:dyDescent="0.25">
      <c r="A14376">
        <v>380899952</v>
      </c>
      <c r="B14376" t="s">
        <v>6203</v>
      </c>
    </row>
    <row r="14377" spans="1:2" x14ac:dyDescent="0.25">
      <c r="A14377">
        <v>38089995210</v>
      </c>
      <c r="B14377" t="s">
        <v>6204</v>
      </c>
    </row>
    <row r="14378" spans="1:2" x14ac:dyDescent="0.25">
      <c r="A14378">
        <v>38089995220</v>
      </c>
      <c r="B14378" t="s">
        <v>6205</v>
      </c>
    </row>
    <row r="14379" spans="1:2" x14ac:dyDescent="0.25">
      <c r="A14379">
        <v>38089995900</v>
      </c>
      <c r="B14379" t="s">
        <v>10</v>
      </c>
    </row>
    <row r="14380" spans="1:2" x14ac:dyDescent="0.25">
      <c r="A14380">
        <v>38089996</v>
      </c>
      <c r="B14380" t="s">
        <v>6206</v>
      </c>
    </row>
    <row r="14381" spans="1:2" x14ac:dyDescent="0.25">
      <c r="A14381">
        <v>38089996100</v>
      </c>
      <c r="B14381" t="s">
        <v>6207</v>
      </c>
    </row>
    <row r="14382" spans="1:2" x14ac:dyDescent="0.25">
      <c r="A14382">
        <v>38089996200</v>
      </c>
      <c r="B14382" t="s">
        <v>6208</v>
      </c>
    </row>
    <row r="14383" spans="1:2" x14ac:dyDescent="0.25">
      <c r="A14383">
        <v>38089996300</v>
      </c>
      <c r="B14383" t="s">
        <v>6209</v>
      </c>
    </row>
    <row r="14384" spans="1:2" x14ac:dyDescent="0.25">
      <c r="A14384">
        <v>38089996900</v>
      </c>
      <c r="B14384" t="s">
        <v>10</v>
      </c>
    </row>
    <row r="14385" spans="1:2" x14ac:dyDescent="0.25">
      <c r="A14385">
        <v>38089999000</v>
      </c>
      <c r="B14385" t="s">
        <v>10</v>
      </c>
    </row>
    <row r="14386" spans="1:2" x14ac:dyDescent="0.25">
      <c r="A14386">
        <v>3809</v>
      </c>
      <c r="B14386" t="s">
        <v>6210</v>
      </c>
    </row>
    <row r="14387" spans="1:2" x14ac:dyDescent="0.25">
      <c r="A14387">
        <v>380910</v>
      </c>
      <c r="B14387" t="e">
        <f>- a base de materias amilaceas</f>
        <v>#NAME?</v>
      </c>
    </row>
    <row r="14388" spans="1:2" x14ac:dyDescent="0.25">
      <c r="A14388">
        <v>38091010</v>
      </c>
      <c r="B14388" t="s">
        <v>6211</v>
      </c>
    </row>
    <row r="14389" spans="1:2" x14ac:dyDescent="0.25">
      <c r="A14389">
        <v>38091010100</v>
      </c>
      <c r="B14389" t="s">
        <v>5561</v>
      </c>
    </row>
    <row r="14390" spans="1:2" x14ac:dyDescent="0.25">
      <c r="A14390">
        <v>38091010900</v>
      </c>
      <c r="B14390" t="s">
        <v>10</v>
      </c>
    </row>
    <row r="14391" spans="1:2" x14ac:dyDescent="0.25">
      <c r="A14391">
        <v>38091090000</v>
      </c>
      <c r="B14391" t="s">
        <v>10</v>
      </c>
    </row>
    <row r="14392" spans="1:2" x14ac:dyDescent="0.25">
      <c r="A14392">
        <v>38099</v>
      </c>
      <c r="B14392" t="s">
        <v>28</v>
      </c>
    </row>
    <row r="14393" spans="1:2" x14ac:dyDescent="0.25">
      <c r="A14393">
        <v>380991</v>
      </c>
      <c r="B14393" t="e">
        <f>- - de Los tipos utilizados En la industria textil o industrias similares</f>
        <v>#NAME?</v>
      </c>
    </row>
    <row r="14394" spans="1:2" x14ac:dyDescent="0.25">
      <c r="A14394">
        <v>38099110</v>
      </c>
      <c r="B14394" t="s">
        <v>6212</v>
      </c>
    </row>
    <row r="14395" spans="1:2" x14ac:dyDescent="0.25">
      <c r="A14395">
        <v>38099110100</v>
      </c>
      <c r="B14395" t="s">
        <v>5561</v>
      </c>
    </row>
    <row r="14396" spans="1:2" x14ac:dyDescent="0.25">
      <c r="A14396">
        <v>38099110900</v>
      </c>
      <c r="B14396" t="s">
        <v>10</v>
      </c>
    </row>
    <row r="14397" spans="1:2" x14ac:dyDescent="0.25">
      <c r="A14397">
        <v>38099120000</v>
      </c>
      <c r="B14397" t="s">
        <v>6213</v>
      </c>
    </row>
    <row r="14398" spans="1:2" x14ac:dyDescent="0.25">
      <c r="A14398">
        <v>38099130000</v>
      </c>
      <c r="B14398" t="s">
        <v>6214</v>
      </c>
    </row>
    <row r="14399" spans="1:2" x14ac:dyDescent="0.25">
      <c r="A14399">
        <v>3809914</v>
      </c>
      <c r="B14399" t="s">
        <v>6215</v>
      </c>
    </row>
    <row r="14400" spans="1:2" x14ac:dyDescent="0.25">
      <c r="A14400">
        <v>38099141000</v>
      </c>
      <c r="B14400" t="s">
        <v>6216</v>
      </c>
    </row>
    <row r="14401" spans="1:2" x14ac:dyDescent="0.25">
      <c r="A14401">
        <v>38099149000</v>
      </c>
      <c r="B14401" t="s">
        <v>10</v>
      </c>
    </row>
    <row r="14402" spans="1:2" x14ac:dyDescent="0.25">
      <c r="A14402">
        <v>38099190000</v>
      </c>
      <c r="B14402" t="s">
        <v>10</v>
      </c>
    </row>
    <row r="14403" spans="1:2" x14ac:dyDescent="0.25">
      <c r="A14403">
        <v>380992</v>
      </c>
      <c r="B14403" t="e">
        <f>- - de Los tipos utilizados En la industria del papel o industrias similares</f>
        <v>#NAME?</v>
      </c>
    </row>
    <row r="14404" spans="1:2" x14ac:dyDescent="0.25">
      <c r="A14404">
        <v>3809921</v>
      </c>
      <c r="B14404" t="s">
        <v>6215</v>
      </c>
    </row>
    <row r="14405" spans="1:2" x14ac:dyDescent="0.25">
      <c r="A14405">
        <v>38099211000</v>
      </c>
      <c r="B14405" t="s">
        <v>6216</v>
      </c>
    </row>
    <row r="14406" spans="1:2" x14ac:dyDescent="0.25">
      <c r="A14406">
        <v>38099219000</v>
      </c>
      <c r="B14406" t="s">
        <v>10</v>
      </c>
    </row>
    <row r="14407" spans="1:2" x14ac:dyDescent="0.25">
      <c r="A14407">
        <v>38099290</v>
      </c>
      <c r="B14407" t="s">
        <v>10</v>
      </c>
    </row>
    <row r="14408" spans="1:2" x14ac:dyDescent="0.25">
      <c r="A14408">
        <v>38099290100</v>
      </c>
      <c r="B14408" t="s">
        <v>6217</v>
      </c>
    </row>
    <row r="14409" spans="1:2" x14ac:dyDescent="0.25">
      <c r="A14409">
        <v>380992902</v>
      </c>
      <c r="B14409" t="s">
        <v>6218</v>
      </c>
    </row>
    <row r="14410" spans="1:2" x14ac:dyDescent="0.25">
      <c r="A14410">
        <v>38099290210</v>
      </c>
      <c r="B14410" t="s">
        <v>6219</v>
      </c>
    </row>
    <row r="14411" spans="1:2" x14ac:dyDescent="0.25">
      <c r="A14411">
        <v>38099290220</v>
      </c>
      <c r="B14411" t="s">
        <v>6220</v>
      </c>
    </row>
    <row r="14412" spans="1:2" x14ac:dyDescent="0.25">
      <c r="A14412">
        <v>38099290290</v>
      </c>
      <c r="B14412" t="s">
        <v>10</v>
      </c>
    </row>
    <row r="14413" spans="1:2" x14ac:dyDescent="0.25">
      <c r="A14413">
        <v>38099290900</v>
      </c>
      <c r="B14413" t="s">
        <v>10</v>
      </c>
    </row>
    <row r="14414" spans="1:2" x14ac:dyDescent="0.25">
      <c r="A14414">
        <v>380993</v>
      </c>
      <c r="B14414" t="e">
        <f>- - de Los tipos utilizados En la industria del cuero o industrias similares</f>
        <v>#NAME?</v>
      </c>
    </row>
    <row r="14415" spans="1:2" x14ac:dyDescent="0.25">
      <c r="A14415">
        <v>3809931</v>
      </c>
      <c r="B14415" t="s">
        <v>6215</v>
      </c>
    </row>
    <row r="14416" spans="1:2" x14ac:dyDescent="0.25">
      <c r="A14416">
        <v>38099311000</v>
      </c>
      <c r="B14416" t="s">
        <v>6216</v>
      </c>
    </row>
    <row r="14417" spans="1:2" x14ac:dyDescent="0.25">
      <c r="A14417">
        <v>38099319000</v>
      </c>
      <c r="B14417" t="s">
        <v>10</v>
      </c>
    </row>
    <row r="14418" spans="1:2" x14ac:dyDescent="0.25">
      <c r="A14418">
        <v>38099390</v>
      </c>
      <c r="B14418" t="s">
        <v>10</v>
      </c>
    </row>
    <row r="14419" spans="1:2" x14ac:dyDescent="0.25">
      <c r="A14419">
        <v>38099390100</v>
      </c>
      <c r="B14419" t="s">
        <v>6221</v>
      </c>
    </row>
    <row r="14420" spans="1:2" x14ac:dyDescent="0.25">
      <c r="A14420">
        <v>38099390200</v>
      </c>
      <c r="B14420" t="s">
        <v>6222</v>
      </c>
    </row>
    <row r="14421" spans="1:2" x14ac:dyDescent="0.25">
      <c r="A14421">
        <v>38099390900</v>
      </c>
      <c r="B14421" t="s">
        <v>10</v>
      </c>
    </row>
    <row r="14422" spans="1:2" x14ac:dyDescent="0.25">
      <c r="A14422">
        <v>3810</v>
      </c>
      <c r="B14422" t="s">
        <v>6223</v>
      </c>
    </row>
    <row r="14423" spans="1:2" x14ac:dyDescent="0.25">
      <c r="A14423">
        <v>381010</v>
      </c>
      <c r="B14423" t="e">
        <f>- Preparaciones para el decapado de Metal, Pastas y Polvos para soldar. constituidos por Metal y otros Productos</f>
        <v>#NAME?</v>
      </c>
    </row>
    <row r="14424" spans="1:2" x14ac:dyDescent="0.25">
      <c r="A14424">
        <v>38101010000</v>
      </c>
      <c r="B14424" t="s">
        <v>6224</v>
      </c>
    </row>
    <row r="14425" spans="1:2" x14ac:dyDescent="0.25">
      <c r="A14425">
        <v>38101020000</v>
      </c>
      <c r="B14425" t="s">
        <v>6225</v>
      </c>
    </row>
    <row r="14426" spans="1:2" x14ac:dyDescent="0.25">
      <c r="A14426">
        <v>38109000</v>
      </c>
      <c r="B14426" t="e">
        <f>- Los demas</f>
        <v>#NAME?</v>
      </c>
    </row>
    <row r="14427" spans="1:2" x14ac:dyDescent="0.25">
      <c r="A14427">
        <v>38109000100</v>
      </c>
      <c r="B14427" t="s">
        <v>6226</v>
      </c>
    </row>
    <row r="14428" spans="1:2" x14ac:dyDescent="0.25">
      <c r="A14428">
        <v>38109000200</v>
      </c>
      <c r="B14428" t="s">
        <v>6227</v>
      </c>
    </row>
    <row r="14429" spans="1:2" x14ac:dyDescent="0.25">
      <c r="A14429">
        <v>3811</v>
      </c>
      <c r="B14429" t="s">
        <v>6228</v>
      </c>
    </row>
    <row r="14430" spans="1:2" x14ac:dyDescent="0.25">
      <c r="A14430">
        <v>38111</v>
      </c>
      <c r="B14430" t="s">
        <v>6229</v>
      </c>
    </row>
    <row r="14431" spans="1:2" x14ac:dyDescent="0.25">
      <c r="A14431">
        <v>38111100000</v>
      </c>
      <c r="B14431" t="e">
        <f>--a base de compuestos de plomo</f>
        <v>#NAME?</v>
      </c>
    </row>
    <row r="14432" spans="1:2" x14ac:dyDescent="0.25">
      <c r="A14432">
        <v>38111900000</v>
      </c>
      <c r="B14432" t="e">
        <f>--las demas</f>
        <v>#NAME?</v>
      </c>
    </row>
    <row r="14433" spans="1:2" x14ac:dyDescent="0.25">
      <c r="A14433">
        <v>38112</v>
      </c>
      <c r="B14433" t="s">
        <v>6230</v>
      </c>
    </row>
    <row r="14434" spans="1:2" x14ac:dyDescent="0.25">
      <c r="A14434">
        <v>381121</v>
      </c>
      <c r="B14434" t="e">
        <f>- - que contengan Aceites de petroleo o de mineral bituminoso</f>
        <v>#NAME?</v>
      </c>
    </row>
    <row r="14435" spans="1:2" x14ac:dyDescent="0.25">
      <c r="A14435">
        <v>38112110000</v>
      </c>
      <c r="B14435" t="s">
        <v>6231</v>
      </c>
    </row>
    <row r="14436" spans="1:2" x14ac:dyDescent="0.25">
      <c r="A14436">
        <v>38112120000</v>
      </c>
      <c r="B14436" t="s">
        <v>6232</v>
      </c>
    </row>
    <row r="14437" spans="1:2" x14ac:dyDescent="0.25">
      <c r="A14437">
        <v>38112130000</v>
      </c>
      <c r="B14437" t="s">
        <v>6233</v>
      </c>
    </row>
    <row r="14438" spans="1:2" x14ac:dyDescent="0.25">
      <c r="A14438">
        <v>38112140000</v>
      </c>
      <c r="B14438" t="s">
        <v>6234</v>
      </c>
    </row>
    <row r="14439" spans="1:2" x14ac:dyDescent="0.25">
      <c r="A14439">
        <v>38112150000</v>
      </c>
      <c r="B14439" t="s">
        <v>6235</v>
      </c>
    </row>
    <row r="14440" spans="1:2" x14ac:dyDescent="0.25">
      <c r="A14440">
        <v>38112190</v>
      </c>
      <c r="B14440" t="s">
        <v>10</v>
      </c>
    </row>
    <row r="14441" spans="1:2" x14ac:dyDescent="0.25">
      <c r="A14441">
        <v>38112190100</v>
      </c>
      <c r="B14441" t="s">
        <v>6236</v>
      </c>
    </row>
    <row r="14442" spans="1:2" x14ac:dyDescent="0.25">
      <c r="A14442">
        <v>38112190200</v>
      </c>
      <c r="B14442" t="s">
        <v>6237</v>
      </c>
    </row>
    <row r="14443" spans="1:2" x14ac:dyDescent="0.25">
      <c r="A14443">
        <v>38112190300</v>
      </c>
      <c r="B14443" t="s">
        <v>6238</v>
      </c>
    </row>
    <row r="14444" spans="1:2" x14ac:dyDescent="0.25">
      <c r="A14444">
        <v>38112190400</v>
      </c>
      <c r="B14444" t="s">
        <v>6239</v>
      </c>
    </row>
    <row r="14445" spans="1:2" x14ac:dyDescent="0.25">
      <c r="A14445">
        <v>38112190900</v>
      </c>
      <c r="B14445" t="s">
        <v>10</v>
      </c>
    </row>
    <row r="14446" spans="1:2" x14ac:dyDescent="0.25">
      <c r="A14446">
        <v>381129</v>
      </c>
      <c r="B14446" t="e">
        <f>- - Los demas</f>
        <v>#NAME?</v>
      </c>
    </row>
    <row r="14447" spans="1:2" x14ac:dyDescent="0.25">
      <c r="A14447">
        <v>38112910000</v>
      </c>
      <c r="B14447" t="s">
        <v>6233</v>
      </c>
    </row>
    <row r="14448" spans="1:2" x14ac:dyDescent="0.25">
      <c r="A14448">
        <v>38112920000</v>
      </c>
      <c r="B14448" t="s">
        <v>6234</v>
      </c>
    </row>
    <row r="14449" spans="1:2" x14ac:dyDescent="0.25">
      <c r="A14449">
        <v>38112990</v>
      </c>
      <c r="B14449" t="s">
        <v>10</v>
      </c>
    </row>
    <row r="14450" spans="1:2" x14ac:dyDescent="0.25">
      <c r="A14450">
        <v>38112990100</v>
      </c>
      <c r="B14450" t="s">
        <v>6236</v>
      </c>
    </row>
    <row r="14451" spans="1:2" x14ac:dyDescent="0.25">
      <c r="A14451">
        <v>38112990200</v>
      </c>
      <c r="B14451" t="s">
        <v>6237</v>
      </c>
    </row>
    <row r="14452" spans="1:2" x14ac:dyDescent="0.25">
      <c r="A14452">
        <v>38112990300</v>
      </c>
      <c r="B14452" t="s">
        <v>6238</v>
      </c>
    </row>
    <row r="14453" spans="1:2" x14ac:dyDescent="0.25">
      <c r="A14453">
        <v>38112990400</v>
      </c>
      <c r="B14453" t="s">
        <v>6240</v>
      </c>
    </row>
    <row r="14454" spans="1:2" x14ac:dyDescent="0.25">
      <c r="A14454">
        <v>38112990900</v>
      </c>
      <c r="B14454" t="s">
        <v>10</v>
      </c>
    </row>
    <row r="14455" spans="1:2" x14ac:dyDescent="0.25">
      <c r="A14455">
        <v>381190</v>
      </c>
      <c r="B14455" t="e">
        <f>- Los demas</f>
        <v>#NAME?</v>
      </c>
    </row>
    <row r="14456" spans="1:2" x14ac:dyDescent="0.25">
      <c r="A14456">
        <v>38119010000</v>
      </c>
      <c r="B14456" t="s">
        <v>6241</v>
      </c>
    </row>
    <row r="14457" spans="1:2" x14ac:dyDescent="0.25">
      <c r="A14457">
        <v>38119090</v>
      </c>
      <c r="B14457" t="s">
        <v>10</v>
      </c>
    </row>
    <row r="14458" spans="1:2" x14ac:dyDescent="0.25">
      <c r="A14458">
        <v>381190901</v>
      </c>
      <c r="B14458" t="s">
        <v>6242</v>
      </c>
    </row>
    <row r="14459" spans="1:2" x14ac:dyDescent="0.25">
      <c r="A14459">
        <v>38119090110</v>
      </c>
      <c r="B14459" t="s">
        <v>6243</v>
      </c>
    </row>
    <row r="14460" spans="1:2" x14ac:dyDescent="0.25">
      <c r="A14460">
        <v>38119090120</v>
      </c>
      <c r="B14460" t="s">
        <v>6244</v>
      </c>
    </row>
    <row r="14461" spans="1:2" x14ac:dyDescent="0.25">
      <c r="A14461">
        <v>3811909019</v>
      </c>
      <c r="B14461" t="s">
        <v>10</v>
      </c>
    </row>
    <row r="14462" spans="1:2" x14ac:dyDescent="0.25">
      <c r="A14462">
        <v>38119090191</v>
      </c>
      <c r="B14462" t="s">
        <v>6245</v>
      </c>
    </row>
    <row r="14463" spans="1:2" x14ac:dyDescent="0.25">
      <c r="A14463">
        <v>38119090199</v>
      </c>
      <c r="B14463" t="s">
        <v>10</v>
      </c>
    </row>
    <row r="14464" spans="1:2" x14ac:dyDescent="0.25">
      <c r="A14464">
        <v>381190902</v>
      </c>
      <c r="B14464" t="s">
        <v>6246</v>
      </c>
    </row>
    <row r="14465" spans="1:2" x14ac:dyDescent="0.25">
      <c r="A14465">
        <v>38119090210</v>
      </c>
      <c r="B14465" t="s">
        <v>6247</v>
      </c>
    </row>
    <row r="14466" spans="1:2" x14ac:dyDescent="0.25">
      <c r="A14466">
        <v>38119090220</v>
      </c>
      <c r="B14466" t="s">
        <v>6248</v>
      </c>
    </row>
    <row r="14467" spans="1:2" x14ac:dyDescent="0.25">
      <c r="A14467">
        <v>38119090290</v>
      </c>
      <c r="B14467" t="s">
        <v>10</v>
      </c>
    </row>
    <row r="14468" spans="1:2" x14ac:dyDescent="0.25">
      <c r="A14468">
        <v>3812</v>
      </c>
      <c r="B14468" t="s">
        <v>6249</v>
      </c>
    </row>
    <row r="14469" spans="1:2" x14ac:dyDescent="0.25">
      <c r="A14469">
        <v>38121000</v>
      </c>
      <c r="B14469" t="e">
        <f>- Aceleradores de vulcanizacion preparados</f>
        <v>#NAME?</v>
      </c>
    </row>
    <row r="14470" spans="1:2" x14ac:dyDescent="0.25">
      <c r="A14470">
        <v>38121000100</v>
      </c>
      <c r="B14470" t="s">
        <v>6250</v>
      </c>
    </row>
    <row r="14471" spans="1:2" x14ac:dyDescent="0.25">
      <c r="A14471">
        <v>38121000200</v>
      </c>
      <c r="B14471" t="s">
        <v>6251</v>
      </c>
    </row>
    <row r="14472" spans="1:2" x14ac:dyDescent="0.25">
      <c r="A14472">
        <v>38121000300</v>
      </c>
      <c r="B14472" t="s">
        <v>6252</v>
      </c>
    </row>
    <row r="14473" spans="1:2" x14ac:dyDescent="0.25">
      <c r="A14473">
        <v>38121000400</v>
      </c>
      <c r="B14473" t="s">
        <v>6253</v>
      </c>
    </row>
    <row r="14474" spans="1:2" x14ac:dyDescent="0.25">
      <c r="A14474">
        <v>38121000900</v>
      </c>
      <c r="B14474" t="s">
        <v>10</v>
      </c>
    </row>
    <row r="14475" spans="1:2" x14ac:dyDescent="0.25">
      <c r="A14475">
        <v>38122000</v>
      </c>
      <c r="B14475" t="e">
        <f>- Plastificantes compuestos para caucho o plastico</f>
        <v>#NAME?</v>
      </c>
    </row>
    <row r="14476" spans="1:2" x14ac:dyDescent="0.25">
      <c r="A14476">
        <v>38122000100</v>
      </c>
      <c r="B14476" t="s">
        <v>6254</v>
      </c>
    </row>
    <row r="14477" spans="1:2" x14ac:dyDescent="0.25">
      <c r="A14477">
        <v>38122000200</v>
      </c>
      <c r="B14477" t="s">
        <v>6255</v>
      </c>
    </row>
    <row r="14478" spans="1:2" x14ac:dyDescent="0.25">
      <c r="A14478">
        <v>38123</v>
      </c>
      <c r="B14478" t="s">
        <v>6256</v>
      </c>
    </row>
    <row r="14479" spans="1:2" x14ac:dyDescent="0.25">
      <c r="A14479">
        <v>38123100000</v>
      </c>
      <c r="B14479" t="s">
        <v>6257</v>
      </c>
    </row>
    <row r="14480" spans="1:2" x14ac:dyDescent="0.25">
      <c r="A14480">
        <v>381239</v>
      </c>
      <c r="B14480" t="e">
        <f>- - Los demas</f>
        <v>#NAME?</v>
      </c>
    </row>
    <row r="14481" spans="1:2" x14ac:dyDescent="0.25">
      <c r="A14481">
        <v>3812391</v>
      </c>
      <c r="B14481" t="s">
        <v>6254</v>
      </c>
    </row>
    <row r="14482" spans="1:2" x14ac:dyDescent="0.25">
      <c r="A14482">
        <v>38123911000</v>
      </c>
      <c r="B14482" t="s">
        <v>6258</v>
      </c>
    </row>
    <row r="14483" spans="1:2" x14ac:dyDescent="0.25">
      <c r="A14483">
        <v>38123912000</v>
      </c>
      <c r="B14483" t="s">
        <v>6259</v>
      </c>
    </row>
    <row r="14484" spans="1:2" x14ac:dyDescent="0.25">
      <c r="A14484">
        <v>38123919000</v>
      </c>
      <c r="B14484" t="s">
        <v>10</v>
      </c>
    </row>
    <row r="14485" spans="1:2" x14ac:dyDescent="0.25">
      <c r="A14485">
        <v>3812392</v>
      </c>
      <c r="B14485" t="s">
        <v>6255</v>
      </c>
    </row>
    <row r="14486" spans="1:2" x14ac:dyDescent="0.25">
      <c r="A14486">
        <v>38123921000</v>
      </c>
      <c r="B14486" t="s">
        <v>6258</v>
      </c>
    </row>
    <row r="14487" spans="1:2" x14ac:dyDescent="0.25">
      <c r="A14487">
        <v>38123929</v>
      </c>
      <c r="B14487" t="s">
        <v>10</v>
      </c>
    </row>
    <row r="14488" spans="1:2" x14ac:dyDescent="0.25">
      <c r="A14488">
        <v>38123929100</v>
      </c>
      <c r="B14488" t="s">
        <v>6260</v>
      </c>
    </row>
    <row r="14489" spans="1:2" x14ac:dyDescent="0.25">
      <c r="A14489">
        <v>381239299</v>
      </c>
      <c r="B14489" t="s">
        <v>10</v>
      </c>
    </row>
    <row r="14490" spans="1:2" x14ac:dyDescent="0.25">
      <c r="A14490">
        <v>38123929910</v>
      </c>
      <c r="B14490" t="s">
        <v>5574</v>
      </c>
    </row>
    <row r="14491" spans="1:2" x14ac:dyDescent="0.25">
      <c r="A14491">
        <v>38123929990</v>
      </c>
      <c r="B14491" t="s">
        <v>10</v>
      </c>
    </row>
    <row r="14492" spans="1:2" x14ac:dyDescent="0.25">
      <c r="A14492">
        <v>381300</v>
      </c>
      <c r="B14492" t="s">
        <v>6261</v>
      </c>
    </row>
    <row r="14493" spans="1:2" x14ac:dyDescent="0.25">
      <c r="A14493">
        <v>38130010</v>
      </c>
      <c r="B14493" t="s">
        <v>6262</v>
      </c>
    </row>
    <row r="14494" spans="1:2" x14ac:dyDescent="0.25">
      <c r="A14494">
        <v>38130010100</v>
      </c>
      <c r="B14494" t="s">
        <v>6263</v>
      </c>
    </row>
    <row r="14495" spans="1:2" x14ac:dyDescent="0.25">
      <c r="A14495">
        <v>38130010200</v>
      </c>
      <c r="B14495" t="s">
        <v>6264</v>
      </c>
    </row>
    <row r="14496" spans="1:2" x14ac:dyDescent="0.25">
      <c r="A14496">
        <v>38130020</v>
      </c>
      <c r="B14496" t="s">
        <v>6265</v>
      </c>
    </row>
    <row r="14497" spans="1:2" x14ac:dyDescent="0.25">
      <c r="A14497">
        <v>38130020100</v>
      </c>
      <c r="B14497" t="s">
        <v>6263</v>
      </c>
    </row>
    <row r="14498" spans="1:2" x14ac:dyDescent="0.25">
      <c r="A14498">
        <v>38130020200</v>
      </c>
      <c r="B14498" t="s">
        <v>6264</v>
      </c>
    </row>
    <row r="14499" spans="1:2" x14ac:dyDescent="0.25">
      <c r="A14499">
        <v>38130030</v>
      </c>
      <c r="B14499" t="s">
        <v>6266</v>
      </c>
    </row>
    <row r="14500" spans="1:2" x14ac:dyDescent="0.25">
      <c r="A14500">
        <v>381300301</v>
      </c>
      <c r="B14500" t="s">
        <v>6263</v>
      </c>
    </row>
    <row r="14501" spans="1:2" x14ac:dyDescent="0.25">
      <c r="A14501">
        <v>38130030110</v>
      </c>
      <c r="B14501" t="s">
        <v>6267</v>
      </c>
    </row>
    <row r="14502" spans="1:2" x14ac:dyDescent="0.25">
      <c r="A14502">
        <v>38130030120</v>
      </c>
      <c r="B14502" t="s">
        <v>6268</v>
      </c>
    </row>
    <row r="14503" spans="1:2" x14ac:dyDescent="0.25">
      <c r="A14503">
        <v>38130030130</v>
      </c>
      <c r="B14503" t="s">
        <v>6269</v>
      </c>
    </row>
    <row r="14504" spans="1:2" x14ac:dyDescent="0.25">
      <c r="A14504">
        <v>38130030190</v>
      </c>
      <c r="B14504" t="s">
        <v>57</v>
      </c>
    </row>
    <row r="14505" spans="1:2" x14ac:dyDescent="0.25">
      <c r="A14505">
        <v>38130030200</v>
      </c>
      <c r="B14505" t="s">
        <v>6264</v>
      </c>
    </row>
    <row r="14506" spans="1:2" x14ac:dyDescent="0.25">
      <c r="A14506">
        <v>38130040</v>
      </c>
      <c r="B14506" t="s">
        <v>6270</v>
      </c>
    </row>
    <row r="14507" spans="1:2" x14ac:dyDescent="0.25">
      <c r="A14507">
        <v>38130040100</v>
      </c>
      <c r="B14507" t="s">
        <v>6263</v>
      </c>
    </row>
    <row r="14508" spans="1:2" x14ac:dyDescent="0.25">
      <c r="A14508">
        <v>38130040200</v>
      </c>
      <c r="B14508" t="s">
        <v>6264</v>
      </c>
    </row>
    <row r="14509" spans="1:2" x14ac:dyDescent="0.25">
      <c r="A14509">
        <v>38130090</v>
      </c>
      <c r="B14509" t="s">
        <v>10</v>
      </c>
    </row>
    <row r="14510" spans="1:2" x14ac:dyDescent="0.25">
      <c r="A14510">
        <v>381300901</v>
      </c>
      <c r="B14510" t="s">
        <v>6263</v>
      </c>
    </row>
    <row r="14511" spans="1:2" x14ac:dyDescent="0.25">
      <c r="A14511">
        <v>38130090110</v>
      </c>
      <c r="B14511" t="s">
        <v>6271</v>
      </c>
    </row>
    <row r="14512" spans="1:2" x14ac:dyDescent="0.25">
      <c r="A14512">
        <v>38130090120</v>
      </c>
      <c r="B14512" t="s">
        <v>6272</v>
      </c>
    </row>
    <row r="14513" spans="1:2" x14ac:dyDescent="0.25">
      <c r="A14513">
        <v>38130090130</v>
      </c>
      <c r="B14513" t="s">
        <v>6273</v>
      </c>
    </row>
    <row r="14514" spans="1:2" x14ac:dyDescent="0.25">
      <c r="A14514">
        <v>38130090140</v>
      </c>
      <c r="B14514" t="s">
        <v>6274</v>
      </c>
    </row>
    <row r="14515" spans="1:2" x14ac:dyDescent="0.25">
      <c r="A14515">
        <v>38130090190</v>
      </c>
      <c r="B14515" t="s">
        <v>57</v>
      </c>
    </row>
    <row r="14516" spans="1:2" x14ac:dyDescent="0.25">
      <c r="A14516">
        <v>381300902</v>
      </c>
      <c r="B14516" t="s">
        <v>6264</v>
      </c>
    </row>
    <row r="14517" spans="1:2" x14ac:dyDescent="0.25">
      <c r="A14517">
        <v>38130090210</v>
      </c>
      <c r="B14517" t="s">
        <v>6275</v>
      </c>
    </row>
    <row r="14518" spans="1:2" x14ac:dyDescent="0.25">
      <c r="A14518">
        <v>38130090290</v>
      </c>
      <c r="B14518" t="s">
        <v>57</v>
      </c>
    </row>
    <row r="14519" spans="1:2" x14ac:dyDescent="0.25">
      <c r="A14519">
        <v>381400</v>
      </c>
      <c r="B14519" t="s">
        <v>6276</v>
      </c>
    </row>
    <row r="14520" spans="1:2" x14ac:dyDescent="0.25">
      <c r="A14520">
        <v>38140010000</v>
      </c>
      <c r="B14520" t="s">
        <v>6277</v>
      </c>
    </row>
    <row r="14521" spans="1:2" x14ac:dyDescent="0.25">
      <c r="A14521">
        <v>38140020000</v>
      </c>
      <c r="B14521" t="s">
        <v>6278</v>
      </c>
    </row>
    <row r="14522" spans="1:2" x14ac:dyDescent="0.25">
      <c r="A14522">
        <v>38140030000</v>
      </c>
      <c r="B14522" t="s">
        <v>6279</v>
      </c>
    </row>
    <row r="14523" spans="1:2" x14ac:dyDescent="0.25">
      <c r="A14523">
        <v>38140090</v>
      </c>
      <c r="B14523" t="s">
        <v>10</v>
      </c>
    </row>
    <row r="14524" spans="1:2" x14ac:dyDescent="0.25">
      <c r="A14524">
        <v>38140090100</v>
      </c>
      <c r="B14524" t="s">
        <v>6275</v>
      </c>
    </row>
    <row r="14525" spans="1:2" x14ac:dyDescent="0.25">
      <c r="A14525">
        <v>381400909</v>
      </c>
      <c r="B14525" t="s">
        <v>10</v>
      </c>
    </row>
    <row r="14526" spans="1:2" x14ac:dyDescent="0.25">
      <c r="A14526">
        <v>38140090910</v>
      </c>
      <c r="B14526" t="s">
        <v>6280</v>
      </c>
    </row>
    <row r="14527" spans="1:2" x14ac:dyDescent="0.25">
      <c r="A14527">
        <v>38140090990</v>
      </c>
      <c r="B14527" t="s">
        <v>10</v>
      </c>
    </row>
    <row r="14528" spans="1:2" x14ac:dyDescent="0.25">
      <c r="A14528">
        <v>3815</v>
      </c>
      <c r="B14528" t="s">
        <v>6281</v>
      </c>
    </row>
    <row r="14529" spans="1:2" x14ac:dyDescent="0.25">
      <c r="A14529">
        <v>38151</v>
      </c>
      <c r="B14529" t="s">
        <v>6282</v>
      </c>
    </row>
    <row r="14530" spans="1:2" x14ac:dyDescent="0.25">
      <c r="A14530">
        <v>38151100000</v>
      </c>
      <c r="B14530" t="e">
        <f>--Con niquel o sus compuestos como sustancia activa</f>
        <v>#NAME?</v>
      </c>
    </row>
    <row r="14531" spans="1:2" x14ac:dyDescent="0.25">
      <c r="A14531">
        <v>381512</v>
      </c>
      <c r="B14531" t="e">
        <f>- - Con Metal precioso o sus compuestos como sustancia activa</f>
        <v>#NAME?</v>
      </c>
    </row>
    <row r="14532" spans="1:2" x14ac:dyDescent="0.25">
      <c r="A14532">
        <v>38151210</v>
      </c>
      <c r="B14532" t="s">
        <v>6283</v>
      </c>
    </row>
    <row r="14533" spans="1:2" x14ac:dyDescent="0.25">
      <c r="A14533">
        <v>38151210100</v>
      </c>
      <c r="B14533" t="s">
        <v>6284</v>
      </c>
    </row>
    <row r="14534" spans="1:2" x14ac:dyDescent="0.25">
      <c r="A14534">
        <v>38151210200</v>
      </c>
      <c r="B14534" t="s">
        <v>6285</v>
      </c>
    </row>
    <row r="14535" spans="1:2" x14ac:dyDescent="0.25">
      <c r="A14535">
        <v>38151210900</v>
      </c>
      <c r="B14535" t="s">
        <v>10</v>
      </c>
    </row>
    <row r="14536" spans="1:2" x14ac:dyDescent="0.25">
      <c r="A14536">
        <v>38151220</v>
      </c>
      <c r="B14536" t="s">
        <v>6286</v>
      </c>
    </row>
    <row r="14537" spans="1:2" x14ac:dyDescent="0.25">
      <c r="A14537">
        <v>38151220100</v>
      </c>
      <c r="B14537" t="s">
        <v>6284</v>
      </c>
    </row>
    <row r="14538" spans="1:2" x14ac:dyDescent="0.25">
      <c r="A14538">
        <v>38151220200</v>
      </c>
      <c r="B14538" t="s">
        <v>6285</v>
      </c>
    </row>
    <row r="14539" spans="1:2" x14ac:dyDescent="0.25">
      <c r="A14539">
        <v>38151220900</v>
      </c>
      <c r="B14539" t="s">
        <v>10</v>
      </c>
    </row>
    <row r="14540" spans="1:2" x14ac:dyDescent="0.25">
      <c r="A14540">
        <v>38151290</v>
      </c>
      <c r="B14540" t="s">
        <v>10</v>
      </c>
    </row>
    <row r="14541" spans="1:2" x14ac:dyDescent="0.25">
      <c r="A14541">
        <v>38151290100</v>
      </c>
      <c r="B14541" t="s">
        <v>6284</v>
      </c>
    </row>
    <row r="14542" spans="1:2" x14ac:dyDescent="0.25">
      <c r="A14542">
        <v>38151290200</v>
      </c>
      <c r="B14542" t="s">
        <v>6285</v>
      </c>
    </row>
    <row r="14543" spans="1:2" x14ac:dyDescent="0.25">
      <c r="A14543">
        <v>38151290900</v>
      </c>
      <c r="B14543" t="s">
        <v>10</v>
      </c>
    </row>
    <row r="14544" spans="1:2" x14ac:dyDescent="0.25">
      <c r="A14544">
        <v>38151900000</v>
      </c>
      <c r="B14544" t="e">
        <f>--Los demas</f>
        <v>#NAME?</v>
      </c>
    </row>
    <row r="14545" spans="1:2" x14ac:dyDescent="0.25">
      <c r="A14545">
        <v>381590</v>
      </c>
      <c r="B14545" t="e">
        <f>- Los demas</f>
        <v>#NAME?</v>
      </c>
    </row>
    <row r="14546" spans="1:2" x14ac:dyDescent="0.25">
      <c r="A14546">
        <v>38159010000</v>
      </c>
      <c r="B14546" t="s">
        <v>6287</v>
      </c>
    </row>
    <row r="14547" spans="1:2" x14ac:dyDescent="0.25">
      <c r="A14547">
        <v>3815909</v>
      </c>
      <c r="B14547" t="s">
        <v>10</v>
      </c>
    </row>
    <row r="14548" spans="1:2" x14ac:dyDescent="0.25">
      <c r="A14548">
        <v>38159091000</v>
      </c>
      <c r="B14548" t="s">
        <v>6288</v>
      </c>
    </row>
    <row r="14549" spans="1:2" x14ac:dyDescent="0.25">
      <c r="A14549">
        <v>38159092000</v>
      </c>
      <c r="B14549" t="s">
        <v>6289</v>
      </c>
    </row>
    <row r="14550" spans="1:2" x14ac:dyDescent="0.25">
      <c r="A14550">
        <v>38159093000</v>
      </c>
      <c r="B14550" t="s">
        <v>6290</v>
      </c>
    </row>
    <row r="14551" spans="1:2" x14ac:dyDescent="0.25">
      <c r="A14551">
        <v>38159099</v>
      </c>
      <c r="B14551" t="s">
        <v>10</v>
      </c>
    </row>
    <row r="14552" spans="1:2" x14ac:dyDescent="0.25">
      <c r="A14552">
        <v>38159099100</v>
      </c>
      <c r="B14552" t="s">
        <v>6291</v>
      </c>
    </row>
    <row r="14553" spans="1:2" x14ac:dyDescent="0.25">
      <c r="A14553">
        <v>38159099200</v>
      </c>
      <c r="B14553" t="s">
        <v>6292</v>
      </c>
    </row>
    <row r="14554" spans="1:2" x14ac:dyDescent="0.25">
      <c r="A14554">
        <v>38159099300</v>
      </c>
      <c r="B14554" t="s">
        <v>6293</v>
      </c>
    </row>
    <row r="14555" spans="1:2" x14ac:dyDescent="0.25">
      <c r="A14555">
        <v>38159099900</v>
      </c>
      <c r="B14555" t="s">
        <v>10</v>
      </c>
    </row>
    <row r="14556" spans="1:2" x14ac:dyDescent="0.25">
      <c r="A14556">
        <v>381600</v>
      </c>
      <c r="B14556" t="s">
        <v>6294</v>
      </c>
    </row>
    <row r="14557" spans="1:2" x14ac:dyDescent="0.25">
      <c r="A14557">
        <v>3816001</v>
      </c>
      <c r="B14557" t="s">
        <v>6295</v>
      </c>
    </row>
    <row r="14558" spans="1:2" x14ac:dyDescent="0.25">
      <c r="A14558">
        <v>38160011000</v>
      </c>
      <c r="B14558" t="s">
        <v>6296</v>
      </c>
    </row>
    <row r="14559" spans="1:2" x14ac:dyDescent="0.25">
      <c r="A14559">
        <v>38160012000</v>
      </c>
      <c r="B14559" t="s">
        <v>6297</v>
      </c>
    </row>
    <row r="14560" spans="1:2" x14ac:dyDescent="0.25">
      <c r="A14560">
        <v>38160019000</v>
      </c>
      <c r="B14560" t="s">
        <v>10</v>
      </c>
    </row>
    <row r="14561" spans="1:2" x14ac:dyDescent="0.25">
      <c r="A14561">
        <v>3816002</v>
      </c>
      <c r="B14561" t="s">
        <v>6298</v>
      </c>
    </row>
    <row r="14562" spans="1:2" x14ac:dyDescent="0.25">
      <c r="A14562">
        <v>38160021000</v>
      </c>
      <c r="B14562" t="s">
        <v>6299</v>
      </c>
    </row>
    <row r="14563" spans="1:2" x14ac:dyDescent="0.25">
      <c r="A14563">
        <v>38160029000</v>
      </c>
      <c r="B14563" t="s">
        <v>57</v>
      </c>
    </row>
    <row r="14564" spans="1:2" x14ac:dyDescent="0.25">
      <c r="A14564">
        <v>38160090000</v>
      </c>
      <c r="B14564" t="s">
        <v>10</v>
      </c>
    </row>
    <row r="14565" spans="1:2" x14ac:dyDescent="0.25">
      <c r="A14565">
        <v>381700</v>
      </c>
      <c r="B14565" t="s">
        <v>6300</v>
      </c>
    </row>
    <row r="14566" spans="1:2" x14ac:dyDescent="0.25">
      <c r="A14566">
        <v>38170010</v>
      </c>
      <c r="B14566" t="s">
        <v>6301</v>
      </c>
    </row>
    <row r="14567" spans="1:2" x14ac:dyDescent="0.25">
      <c r="A14567">
        <v>381700101</v>
      </c>
      <c r="B14567" t="s">
        <v>6302</v>
      </c>
    </row>
    <row r="14568" spans="1:2" x14ac:dyDescent="0.25">
      <c r="A14568">
        <v>38170010110</v>
      </c>
      <c r="B14568" t="s">
        <v>6303</v>
      </c>
    </row>
    <row r="14569" spans="1:2" x14ac:dyDescent="0.25">
      <c r="A14569">
        <v>38170010190</v>
      </c>
      <c r="B14569" t="s">
        <v>57</v>
      </c>
    </row>
    <row r="14570" spans="1:2" x14ac:dyDescent="0.25">
      <c r="A14570">
        <v>381700109</v>
      </c>
      <c r="B14570" t="s">
        <v>57</v>
      </c>
    </row>
    <row r="14571" spans="1:2" x14ac:dyDescent="0.25">
      <c r="A14571">
        <v>38170010910</v>
      </c>
      <c r="B14571" t="s">
        <v>6303</v>
      </c>
    </row>
    <row r="14572" spans="1:2" x14ac:dyDescent="0.25">
      <c r="A14572">
        <v>38170010990</v>
      </c>
      <c r="B14572" t="s">
        <v>57</v>
      </c>
    </row>
    <row r="14573" spans="1:2" x14ac:dyDescent="0.25">
      <c r="A14573">
        <v>38170020</v>
      </c>
      <c r="B14573" t="s">
        <v>6304</v>
      </c>
    </row>
    <row r="14574" spans="1:2" x14ac:dyDescent="0.25">
      <c r="A14574">
        <v>38170020100</v>
      </c>
      <c r="B14574" t="s">
        <v>6303</v>
      </c>
    </row>
    <row r="14575" spans="1:2" x14ac:dyDescent="0.25">
      <c r="A14575">
        <v>38170020900</v>
      </c>
      <c r="B14575" t="s">
        <v>57</v>
      </c>
    </row>
    <row r="14576" spans="1:2" x14ac:dyDescent="0.25">
      <c r="A14576">
        <v>381800</v>
      </c>
      <c r="B14576" t="s">
        <v>6305</v>
      </c>
    </row>
    <row r="14577" spans="1:2" x14ac:dyDescent="0.25">
      <c r="A14577">
        <v>38180010000</v>
      </c>
      <c r="B14577" t="s">
        <v>6306</v>
      </c>
    </row>
    <row r="14578" spans="1:2" x14ac:dyDescent="0.25">
      <c r="A14578">
        <v>38180090000</v>
      </c>
      <c r="B14578" t="s">
        <v>10</v>
      </c>
    </row>
    <row r="14579" spans="1:2" x14ac:dyDescent="0.25">
      <c r="A14579">
        <v>38190000</v>
      </c>
      <c r="B14579" t="s">
        <v>6307</v>
      </c>
    </row>
    <row r="14580" spans="1:2" x14ac:dyDescent="0.25">
      <c r="A14580">
        <v>38190000100</v>
      </c>
      <c r="B14580" t="s">
        <v>2040</v>
      </c>
    </row>
    <row r="14581" spans="1:2" x14ac:dyDescent="0.25">
      <c r="A14581">
        <v>38190000900</v>
      </c>
      <c r="B14581" t="s">
        <v>10</v>
      </c>
    </row>
    <row r="14582" spans="1:2" x14ac:dyDescent="0.25">
      <c r="A14582">
        <v>38200000000</v>
      </c>
      <c r="B14582" t="s">
        <v>6308</v>
      </c>
    </row>
    <row r="14583" spans="1:2" x14ac:dyDescent="0.25">
      <c r="A14583">
        <v>38210000</v>
      </c>
      <c r="B14583" t="s">
        <v>6309</v>
      </c>
    </row>
    <row r="14584" spans="1:2" x14ac:dyDescent="0.25">
      <c r="A14584">
        <v>38210000100</v>
      </c>
      <c r="B14584" t="s">
        <v>6310</v>
      </c>
    </row>
    <row r="14585" spans="1:2" x14ac:dyDescent="0.25">
      <c r="A14585">
        <v>38210000200</v>
      </c>
      <c r="B14585" t="s">
        <v>6311</v>
      </c>
    </row>
    <row r="14586" spans="1:2" x14ac:dyDescent="0.25">
      <c r="A14586">
        <v>38210000900</v>
      </c>
      <c r="B14586" t="s">
        <v>10</v>
      </c>
    </row>
    <row r="14587" spans="1:2" x14ac:dyDescent="0.25">
      <c r="A14587">
        <v>382200</v>
      </c>
      <c r="B14587" t="s">
        <v>6312</v>
      </c>
    </row>
    <row r="14588" spans="1:2" x14ac:dyDescent="0.25">
      <c r="A14588">
        <v>38220010000</v>
      </c>
      <c r="B14588" t="s">
        <v>6313</v>
      </c>
    </row>
    <row r="14589" spans="1:2" x14ac:dyDescent="0.25">
      <c r="A14589">
        <v>38220090</v>
      </c>
      <c r="B14589" t="s">
        <v>10</v>
      </c>
    </row>
    <row r="14590" spans="1:2" x14ac:dyDescent="0.25">
      <c r="A14590">
        <v>382200901</v>
      </c>
      <c r="B14590" t="s">
        <v>6314</v>
      </c>
    </row>
    <row r="14591" spans="1:2" x14ac:dyDescent="0.25">
      <c r="A14591">
        <v>3822009011</v>
      </c>
      <c r="B14591" t="s">
        <v>6315</v>
      </c>
    </row>
    <row r="14592" spans="1:2" x14ac:dyDescent="0.25">
      <c r="A14592">
        <v>38220090111</v>
      </c>
      <c r="B14592" t="s">
        <v>2399</v>
      </c>
    </row>
    <row r="14593" spans="1:2" x14ac:dyDescent="0.25">
      <c r="A14593">
        <v>38220090112</v>
      </c>
      <c r="B14593" t="s">
        <v>6316</v>
      </c>
    </row>
    <row r="14594" spans="1:2" x14ac:dyDescent="0.25">
      <c r="A14594">
        <v>38220090119</v>
      </c>
      <c r="B14594" t="s">
        <v>10</v>
      </c>
    </row>
    <row r="14595" spans="1:2" x14ac:dyDescent="0.25">
      <c r="A14595">
        <v>38220090190</v>
      </c>
      <c r="B14595" t="s">
        <v>10</v>
      </c>
    </row>
    <row r="14596" spans="1:2" x14ac:dyDescent="0.25">
      <c r="A14596">
        <v>38220090200</v>
      </c>
      <c r="B14596" t="s">
        <v>2430</v>
      </c>
    </row>
    <row r="14597" spans="1:2" x14ac:dyDescent="0.25">
      <c r="A14597">
        <v>38220090300</v>
      </c>
      <c r="B14597" t="s">
        <v>6317</v>
      </c>
    </row>
    <row r="14598" spans="1:2" x14ac:dyDescent="0.25">
      <c r="A14598">
        <v>3823</v>
      </c>
      <c r="B14598" t="s">
        <v>6318</v>
      </c>
    </row>
    <row r="14599" spans="1:2" x14ac:dyDescent="0.25">
      <c r="A14599">
        <v>38231</v>
      </c>
      <c r="B14599" t="s">
        <v>6319</v>
      </c>
    </row>
    <row r="14600" spans="1:2" x14ac:dyDescent="0.25">
      <c r="A14600">
        <v>38231100000</v>
      </c>
      <c r="B14600" t="e">
        <f>--acido estearico</f>
        <v>#NAME?</v>
      </c>
    </row>
    <row r="14601" spans="1:2" x14ac:dyDescent="0.25">
      <c r="A14601">
        <v>38231200000</v>
      </c>
      <c r="B14601" t="e">
        <f>--acido oleico</f>
        <v>#NAME?</v>
      </c>
    </row>
    <row r="14602" spans="1:2" x14ac:dyDescent="0.25">
      <c r="A14602">
        <v>38231300000</v>
      </c>
      <c r="B14602" t="s">
        <v>6320</v>
      </c>
    </row>
    <row r="14603" spans="1:2" x14ac:dyDescent="0.25">
      <c r="A14603">
        <v>382319</v>
      </c>
      <c r="B14603" t="e">
        <f>- - Los demas</f>
        <v>#NAME?</v>
      </c>
    </row>
    <row r="14604" spans="1:2" x14ac:dyDescent="0.25">
      <c r="A14604">
        <v>38231910000</v>
      </c>
      <c r="B14604" t="s">
        <v>2988</v>
      </c>
    </row>
    <row r="14605" spans="1:2" x14ac:dyDescent="0.25">
      <c r="A14605">
        <v>38231990000</v>
      </c>
      <c r="B14605" t="s">
        <v>10</v>
      </c>
    </row>
    <row r="14606" spans="1:2" x14ac:dyDescent="0.25">
      <c r="A14606">
        <v>382370</v>
      </c>
      <c r="B14606" t="e">
        <f>- Alcoholes grasos industriales</f>
        <v>#NAME?</v>
      </c>
    </row>
    <row r="14607" spans="1:2" x14ac:dyDescent="0.25">
      <c r="A14607">
        <v>38237010000</v>
      </c>
      <c r="B14607" t="s">
        <v>6321</v>
      </c>
    </row>
    <row r="14608" spans="1:2" x14ac:dyDescent="0.25">
      <c r="A14608">
        <v>38237020000</v>
      </c>
      <c r="B14608" t="s">
        <v>6322</v>
      </c>
    </row>
    <row r="14609" spans="1:2" x14ac:dyDescent="0.25">
      <c r="A14609">
        <v>38237040000</v>
      </c>
      <c r="B14609" t="s">
        <v>6323</v>
      </c>
    </row>
    <row r="14610" spans="1:2" x14ac:dyDescent="0.25">
      <c r="A14610">
        <v>38237090</v>
      </c>
      <c r="B14610" t="s">
        <v>10</v>
      </c>
    </row>
    <row r="14611" spans="1:2" x14ac:dyDescent="0.25">
      <c r="A14611">
        <v>38237090100</v>
      </c>
      <c r="B14611" t="s">
        <v>6324</v>
      </c>
    </row>
    <row r="14612" spans="1:2" x14ac:dyDescent="0.25">
      <c r="A14612">
        <v>38237090900</v>
      </c>
      <c r="B14612" t="s">
        <v>10</v>
      </c>
    </row>
    <row r="14613" spans="1:2" x14ac:dyDescent="0.25">
      <c r="A14613">
        <v>3824</v>
      </c>
      <c r="B14613" t="s">
        <v>6325</v>
      </c>
    </row>
    <row r="14614" spans="1:2" x14ac:dyDescent="0.25">
      <c r="A14614">
        <v>38241000000</v>
      </c>
      <c r="B14614" t="e">
        <f>-Preparaciones aglutinantes para moldes o nucleos de fundicion</f>
        <v>#NAME?</v>
      </c>
    </row>
    <row r="14615" spans="1:2" x14ac:dyDescent="0.25">
      <c r="A14615">
        <v>38243000</v>
      </c>
      <c r="B14615" t="e">
        <f>- Carburos metalicos sin aglomerar mezclados entre si o Con aglutinantes metalicos</f>
        <v>#NAME?</v>
      </c>
    </row>
    <row r="14616" spans="1:2" x14ac:dyDescent="0.25">
      <c r="A14616">
        <v>38243000100</v>
      </c>
      <c r="B14616" t="s">
        <v>6326</v>
      </c>
    </row>
    <row r="14617" spans="1:2" x14ac:dyDescent="0.25">
      <c r="A14617">
        <v>38243000200</v>
      </c>
      <c r="B14617" t="s">
        <v>6327</v>
      </c>
    </row>
    <row r="14618" spans="1:2" x14ac:dyDescent="0.25">
      <c r="A14618">
        <v>38244000000</v>
      </c>
      <c r="B14618" t="e">
        <f>-Aditivos preparados para cementos. morteros u hormigones</f>
        <v>#NAME?</v>
      </c>
    </row>
    <row r="14619" spans="1:2" x14ac:dyDescent="0.25">
      <c r="A14619">
        <v>38245000000</v>
      </c>
      <c r="B14619" t="e">
        <f>-morteros y hormigones. no refractarios</f>
        <v>#NAME?</v>
      </c>
    </row>
    <row r="14620" spans="1:2" x14ac:dyDescent="0.25">
      <c r="A14620">
        <v>38246000000</v>
      </c>
      <c r="B14620" t="s">
        <v>6328</v>
      </c>
    </row>
    <row r="14621" spans="1:2" x14ac:dyDescent="0.25">
      <c r="A14621">
        <v>38247</v>
      </c>
      <c r="B14621" t="s">
        <v>6329</v>
      </c>
    </row>
    <row r="14622" spans="1:2" x14ac:dyDescent="0.25">
      <c r="A14622">
        <v>382471</v>
      </c>
      <c r="B14622" t="s">
        <v>6330</v>
      </c>
    </row>
    <row r="14623" spans="1:2" x14ac:dyDescent="0.25">
      <c r="A14623">
        <v>38247110000</v>
      </c>
      <c r="B14623" t="s">
        <v>6331</v>
      </c>
    </row>
    <row r="14624" spans="1:2" x14ac:dyDescent="0.25">
      <c r="A14624">
        <v>38247190000</v>
      </c>
      <c r="B14624" t="s">
        <v>57</v>
      </c>
    </row>
    <row r="14625" spans="1:2" x14ac:dyDescent="0.25">
      <c r="A14625">
        <v>38247200000</v>
      </c>
      <c r="B14625" t="e">
        <f>--que contengan Bromoclorodifluorometano. bromotrifluorometano o dibromotetrafluoroetanos</f>
        <v>#NAME?</v>
      </c>
    </row>
    <row r="14626" spans="1:2" x14ac:dyDescent="0.25">
      <c r="A14626">
        <v>38247300000</v>
      </c>
      <c r="B14626" t="e">
        <f>--que contengan hidrobromofluorocarburos (HBFC)</f>
        <v>#NAME?</v>
      </c>
    </row>
    <row r="14627" spans="1:2" x14ac:dyDescent="0.25">
      <c r="A14627">
        <v>382474</v>
      </c>
      <c r="B14627" t="s">
        <v>6332</v>
      </c>
    </row>
    <row r="14628" spans="1:2" x14ac:dyDescent="0.25">
      <c r="A14628">
        <v>38247410000</v>
      </c>
      <c r="B14628" t="s">
        <v>6333</v>
      </c>
    </row>
    <row r="14629" spans="1:2" x14ac:dyDescent="0.25">
      <c r="A14629">
        <v>38247420000</v>
      </c>
      <c r="B14629" t="s">
        <v>6334</v>
      </c>
    </row>
    <row r="14630" spans="1:2" x14ac:dyDescent="0.25">
      <c r="A14630">
        <v>38247490000</v>
      </c>
      <c r="B14630" t="s">
        <v>57</v>
      </c>
    </row>
    <row r="14631" spans="1:2" x14ac:dyDescent="0.25">
      <c r="A14631">
        <v>38247500000</v>
      </c>
      <c r="B14631" t="e">
        <f>--que contengan Tetracloruro de carbono</f>
        <v>#NAME?</v>
      </c>
    </row>
    <row r="14632" spans="1:2" x14ac:dyDescent="0.25">
      <c r="A14632">
        <v>38247600000</v>
      </c>
      <c r="B14632" t="s">
        <v>6335</v>
      </c>
    </row>
    <row r="14633" spans="1:2" x14ac:dyDescent="0.25">
      <c r="A14633">
        <v>38247700000</v>
      </c>
      <c r="B14633" t="e">
        <f>--que contengan bromometano (bromuro de metilo) o bromoclorometano</f>
        <v>#NAME?</v>
      </c>
    </row>
    <row r="14634" spans="1:2" x14ac:dyDescent="0.25">
      <c r="A14634">
        <v>382478</v>
      </c>
      <c r="B14634" t="s">
        <v>6336</v>
      </c>
    </row>
    <row r="14635" spans="1:2" x14ac:dyDescent="0.25">
      <c r="A14635">
        <v>38247810000</v>
      </c>
      <c r="B14635" t="s">
        <v>6337</v>
      </c>
    </row>
    <row r="14636" spans="1:2" x14ac:dyDescent="0.25">
      <c r="A14636">
        <v>38247890</v>
      </c>
      <c r="B14636" t="s">
        <v>57</v>
      </c>
    </row>
    <row r="14637" spans="1:2" x14ac:dyDescent="0.25">
      <c r="A14637">
        <v>38247890100</v>
      </c>
      <c r="B14637" t="s">
        <v>6338</v>
      </c>
    </row>
    <row r="14638" spans="1:2" x14ac:dyDescent="0.25">
      <c r="A14638">
        <v>38247890200</v>
      </c>
      <c r="B14638" t="s">
        <v>6274</v>
      </c>
    </row>
    <row r="14639" spans="1:2" x14ac:dyDescent="0.25">
      <c r="A14639">
        <v>38247890900</v>
      </c>
      <c r="B14639" t="s">
        <v>57</v>
      </c>
    </row>
    <row r="14640" spans="1:2" x14ac:dyDescent="0.25">
      <c r="A14640">
        <v>38247900000</v>
      </c>
      <c r="B14640" t="e">
        <f>--las demas</f>
        <v>#NAME?</v>
      </c>
    </row>
    <row r="14641" spans="1:2" x14ac:dyDescent="0.25">
      <c r="A14641">
        <v>38248</v>
      </c>
      <c r="B14641" t="s">
        <v>6339</v>
      </c>
    </row>
    <row r="14642" spans="1:2" x14ac:dyDescent="0.25">
      <c r="A14642">
        <v>382481</v>
      </c>
      <c r="B14642" t="e">
        <f>- - que contengan Oxirano (Oxido de Etileno)</f>
        <v>#NAME?</v>
      </c>
    </row>
    <row r="14643" spans="1:2" x14ac:dyDescent="0.25">
      <c r="A14643">
        <v>38248110000</v>
      </c>
      <c r="B14643" t="s">
        <v>6340</v>
      </c>
    </row>
    <row r="14644" spans="1:2" x14ac:dyDescent="0.25">
      <c r="A14644">
        <v>38248190000</v>
      </c>
      <c r="B14644" t="s">
        <v>57</v>
      </c>
    </row>
    <row r="14645" spans="1:2" x14ac:dyDescent="0.25">
      <c r="A14645">
        <v>38248200000</v>
      </c>
      <c r="B14645" t="s">
        <v>6341</v>
      </c>
    </row>
    <row r="14646" spans="1:2" x14ac:dyDescent="0.25">
      <c r="A14646">
        <v>38248300000</v>
      </c>
      <c r="B14646" t="s">
        <v>6342</v>
      </c>
    </row>
    <row r="14647" spans="1:2" x14ac:dyDescent="0.25">
      <c r="A14647">
        <v>38248400000</v>
      </c>
      <c r="B14647" t="s">
        <v>6343</v>
      </c>
    </row>
    <row r="14648" spans="1:2" x14ac:dyDescent="0.25">
      <c r="A14648">
        <v>38248500000</v>
      </c>
      <c r="B14648" t="s">
        <v>6344</v>
      </c>
    </row>
    <row r="14649" spans="1:2" x14ac:dyDescent="0.25">
      <c r="A14649">
        <v>38248600000</v>
      </c>
      <c r="B14649" t="e">
        <f>--que contengan Pentaclorobenceno (ISO) o Hexaclorobenceno (ISO)</f>
        <v>#NAME?</v>
      </c>
    </row>
    <row r="14650" spans="1:2" x14ac:dyDescent="0.25">
      <c r="A14650">
        <v>38248700000</v>
      </c>
      <c r="B14650" t="e">
        <f>--que contengan acido perfluorooctano sulfonico o sus sales. perfluorooctano sulfonamidas o fluoruro de perfluorooctano sulfonilo</f>
        <v>#NAME?</v>
      </c>
    </row>
    <row r="14651" spans="1:2" x14ac:dyDescent="0.25">
      <c r="A14651">
        <v>38248800000</v>
      </c>
      <c r="B14651" t="s">
        <v>6345</v>
      </c>
    </row>
    <row r="14652" spans="1:2" x14ac:dyDescent="0.25">
      <c r="A14652">
        <v>38249</v>
      </c>
      <c r="B14652" t="s">
        <v>28</v>
      </c>
    </row>
    <row r="14653" spans="1:2" x14ac:dyDescent="0.25">
      <c r="A14653">
        <v>38249100000</v>
      </c>
      <c r="B14653" t="s">
        <v>6346</v>
      </c>
    </row>
    <row r="14654" spans="1:2" x14ac:dyDescent="0.25">
      <c r="A14654">
        <v>382499</v>
      </c>
      <c r="B14654" t="e">
        <f>- - Los demas</f>
        <v>#NAME?</v>
      </c>
    </row>
    <row r="14655" spans="1:2" x14ac:dyDescent="0.25">
      <c r="A14655">
        <v>3824991</v>
      </c>
      <c r="B14655" t="s">
        <v>6347</v>
      </c>
    </row>
    <row r="14656" spans="1:2" x14ac:dyDescent="0.25">
      <c r="A14656">
        <v>38249911000</v>
      </c>
      <c r="B14656" t="s">
        <v>6348</v>
      </c>
    </row>
    <row r="14657" spans="1:2" x14ac:dyDescent="0.25">
      <c r="A14657">
        <v>38249912000</v>
      </c>
      <c r="B14657" t="s">
        <v>6349</v>
      </c>
    </row>
    <row r="14658" spans="1:2" x14ac:dyDescent="0.25">
      <c r="A14658">
        <v>38249913000</v>
      </c>
      <c r="B14658" t="s">
        <v>6350</v>
      </c>
    </row>
    <row r="14659" spans="1:2" x14ac:dyDescent="0.25">
      <c r="A14659">
        <v>38249914000</v>
      </c>
      <c r="B14659" t="s">
        <v>6351</v>
      </c>
    </row>
    <row r="14660" spans="1:2" x14ac:dyDescent="0.25">
      <c r="A14660">
        <v>38249915000</v>
      </c>
      <c r="B14660" t="s">
        <v>6352</v>
      </c>
    </row>
    <row r="14661" spans="1:2" x14ac:dyDescent="0.25">
      <c r="A14661">
        <v>38249919000</v>
      </c>
      <c r="B14661" t="s">
        <v>10</v>
      </c>
    </row>
    <row r="14662" spans="1:2" x14ac:dyDescent="0.25">
      <c r="A14662">
        <v>3824992</v>
      </c>
      <c r="B14662" t="s">
        <v>6353</v>
      </c>
    </row>
    <row r="14663" spans="1:2" x14ac:dyDescent="0.25">
      <c r="A14663">
        <v>38249921</v>
      </c>
      <c r="B14663" t="s">
        <v>6354</v>
      </c>
    </row>
    <row r="14664" spans="1:2" x14ac:dyDescent="0.25">
      <c r="A14664">
        <v>38249921100</v>
      </c>
      <c r="B14664" t="s">
        <v>6355</v>
      </c>
    </row>
    <row r="14665" spans="1:2" x14ac:dyDescent="0.25">
      <c r="A14665">
        <v>38249921200</v>
      </c>
      <c r="B14665" t="s">
        <v>6356</v>
      </c>
    </row>
    <row r="14666" spans="1:2" x14ac:dyDescent="0.25">
      <c r="A14666">
        <v>38249922</v>
      </c>
      <c r="B14666" t="s">
        <v>6357</v>
      </c>
    </row>
    <row r="14667" spans="1:2" x14ac:dyDescent="0.25">
      <c r="A14667">
        <v>38249922100</v>
      </c>
      <c r="B14667" t="s">
        <v>6358</v>
      </c>
    </row>
    <row r="14668" spans="1:2" x14ac:dyDescent="0.25">
      <c r="A14668">
        <v>38249922200</v>
      </c>
      <c r="B14668" t="s">
        <v>6359</v>
      </c>
    </row>
    <row r="14669" spans="1:2" x14ac:dyDescent="0.25">
      <c r="A14669">
        <v>38249923000</v>
      </c>
      <c r="B14669" t="s">
        <v>6360</v>
      </c>
    </row>
    <row r="14670" spans="1:2" x14ac:dyDescent="0.25">
      <c r="A14670">
        <v>38249924</v>
      </c>
      <c r="B14670" t="s">
        <v>6361</v>
      </c>
    </row>
    <row r="14671" spans="1:2" x14ac:dyDescent="0.25">
      <c r="A14671">
        <v>38249924100</v>
      </c>
      <c r="B14671" t="s">
        <v>6362</v>
      </c>
    </row>
    <row r="14672" spans="1:2" x14ac:dyDescent="0.25">
      <c r="A14672">
        <v>38249924200</v>
      </c>
      <c r="B14672" t="s">
        <v>6363</v>
      </c>
    </row>
    <row r="14673" spans="1:2" x14ac:dyDescent="0.25">
      <c r="A14673">
        <v>38249925</v>
      </c>
      <c r="B14673" t="s">
        <v>6364</v>
      </c>
    </row>
    <row r="14674" spans="1:2" x14ac:dyDescent="0.25">
      <c r="A14674">
        <v>38249925100</v>
      </c>
      <c r="B14674" t="s">
        <v>6365</v>
      </c>
    </row>
    <row r="14675" spans="1:2" x14ac:dyDescent="0.25">
      <c r="A14675">
        <v>38249925200</v>
      </c>
      <c r="B14675" t="s">
        <v>6366</v>
      </c>
    </row>
    <row r="14676" spans="1:2" x14ac:dyDescent="0.25">
      <c r="A14676">
        <v>38249925300</v>
      </c>
      <c r="B14676" t="s">
        <v>6367</v>
      </c>
    </row>
    <row r="14677" spans="1:2" x14ac:dyDescent="0.25">
      <c r="A14677">
        <v>38249929</v>
      </c>
      <c r="B14677" t="s">
        <v>10</v>
      </c>
    </row>
    <row r="14678" spans="1:2" x14ac:dyDescent="0.25">
      <c r="A14678">
        <v>38249929100</v>
      </c>
      <c r="B14678" t="s">
        <v>6368</v>
      </c>
    </row>
    <row r="14679" spans="1:2" x14ac:dyDescent="0.25">
      <c r="A14679">
        <v>38249929200</v>
      </c>
      <c r="B14679" t="s">
        <v>6369</v>
      </c>
    </row>
    <row r="14680" spans="1:2" x14ac:dyDescent="0.25">
      <c r="A14680">
        <v>38249929900</v>
      </c>
      <c r="B14680" t="s">
        <v>10</v>
      </c>
    </row>
    <row r="14681" spans="1:2" x14ac:dyDescent="0.25">
      <c r="A14681">
        <v>3824993</v>
      </c>
      <c r="B14681" t="s">
        <v>6370</v>
      </c>
    </row>
    <row r="14682" spans="1:2" x14ac:dyDescent="0.25">
      <c r="A14682">
        <v>38249931</v>
      </c>
      <c r="B14682" t="s">
        <v>6371</v>
      </c>
    </row>
    <row r="14683" spans="1:2" x14ac:dyDescent="0.25">
      <c r="A14683">
        <v>38249931100</v>
      </c>
      <c r="B14683" t="s">
        <v>6372</v>
      </c>
    </row>
    <row r="14684" spans="1:2" x14ac:dyDescent="0.25">
      <c r="A14684">
        <v>38249931200</v>
      </c>
      <c r="B14684" t="s">
        <v>6373</v>
      </c>
    </row>
    <row r="14685" spans="1:2" x14ac:dyDescent="0.25">
      <c r="A14685">
        <v>38249931300</v>
      </c>
      <c r="B14685" t="s">
        <v>6374</v>
      </c>
    </row>
    <row r="14686" spans="1:2" x14ac:dyDescent="0.25">
      <c r="A14686">
        <v>38249931900</v>
      </c>
      <c r="B14686" t="s">
        <v>10</v>
      </c>
    </row>
    <row r="14687" spans="1:2" x14ac:dyDescent="0.25">
      <c r="A14687">
        <v>38249932000</v>
      </c>
      <c r="B14687" t="s">
        <v>6375</v>
      </c>
    </row>
    <row r="14688" spans="1:2" x14ac:dyDescent="0.25">
      <c r="A14688">
        <v>38249933000</v>
      </c>
      <c r="B14688" t="s">
        <v>6376</v>
      </c>
    </row>
    <row r="14689" spans="1:2" x14ac:dyDescent="0.25">
      <c r="A14689">
        <v>38249934000</v>
      </c>
      <c r="B14689" t="s">
        <v>6377</v>
      </c>
    </row>
    <row r="14690" spans="1:2" x14ac:dyDescent="0.25">
      <c r="A14690">
        <v>38249935000</v>
      </c>
      <c r="B14690" t="s">
        <v>6378</v>
      </c>
    </row>
    <row r="14691" spans="1:2" x14ac:dyDescent="0.25">
      <c r="A14691">
        <v>38249936000</v>
      </c>
      <c r="B14691" t="s">
        <v>6379</v>
      </c>
    </row>
    <row r="14692" spans="1:2" x14ac:dyDescent="0.25">
      <c r="A14692">
        <v>38249939</v>
      </c>
      <c r="B14692" t="s">
        <v>57</v>
      </c>
    </row>
    <row r="14693" spans="1:2" x14ac:dyDescent="0.25">
      <c r="A14693">
        <v>38249939100</v>
      </c>
      <c r="B14693" t="s">
        <v>6380</v>
      </c>
    </row>
    <row r="14694" spans="1:2" x14ac:dyDescent="0.25">
      <c r="A14694">
        <v>38249939200</v>
      </c>
      <c r="B14694" t="s">
        <v>6381</v>
      </c>
    </row>
    <row r="14695" spans="1:2" x14ac:dyDescent="0.25">
      <c r="A14695">
        <v>38249939900</v>
      </c>
      <c r="B14695" t="s">
        <v>10</v>
      </c>
    </row>
    <row r="14696" spans="1:2" x14ac:dyDescent="0.25">
      <c r="A14696">
        <v>3824994</v>
      </c>
      <c r="B14696" t="s">
        <v>6382</v>
      </c>
    </row>
    <row r="14697" spans="1:2" x14ac:dyDescent="0.25">
      <c r="A14697">
        <v>38249941000</v>
      </c>
      <c r="B14697" t="s">
        <v>6383</v>
      </c>
    </row>
    <row r="14698" spans="1:2" x14ac:dyDescent="0.25">
      <c r="A14698">
        <v>38249942000</v>
      </c>
      <c r="B14698" t="s">
        <v>6384</v>
      </c>
    </row>
    <row r="14699" spans="1:2" x14ac:dyDescent="0.25">
      <c r="A14699">
        <v>38249943000</v>
      </c>
      <c r="B14699" t="s">
        <v>6385</v>
      </c>
    </row>
    <row r="14700" spans="1:2" x14ac:dyDescent="0.25">
      <c r="A14700">
        <v>38249949000</v>
      </c>
      <c r="B14700" t="s">
        <v>10</v>
      </c>
    </row>
    <row r="14701" spans="1:2" x14ac:dyDescent="0.25">
      <c r="A14701">
        <v>3824995</v>
      </c>
      <c r="B14701" t="s">
        <v>6386</v>
      </c>
    </row>
    <row r="14702" spans="1:2" x14ac:dyDescent="0.25">
      <c r="A14702">
        <v>38249951000</v>
      </c>
      <c r="B14702" t="s">
        <v>6387</v>
      </c>
    </row>
    <row r="14703" spans="1:2" x14ac:dyDescent="0.25">
      <c r="A14703">
        <v>38249952000</v>
      </c>
      <c r="B14703" t="s">
        <v>6388</v>
      </c>
    </row>
    <row r="14704" spans="1:2" x14ac:dyDescent="0.25">
      <c r="A14704">
        <v>38249953000</v>
      </c>
      <c r="B14704" t="s">
        <v>6389</v>
      </c>
    </row>
    <row r="14705" spans="1:2" x14ac:dyDescent="0.25">
      <c r="A14705">
        <v>38249954000</v>
      </c>
      <c r="B14705" t="s">
        <v>6390</v>
      </c>
    </row>
    <row r="14706" spans="1:2" x14ac:dyDescent="0.25">
      <c r="A14706">
        <v>38249959000</v>
      </c>
      <c r="B14706" t="s">
        <v>10</v>
      </c>
    </row>
    <row r="14707" spans="1:2" x14ac:dyDescent="0.25">
      <c r="A14707">
        <v>3824997</v>
      </c>
      <c r="B14707" t="s">
        <v>6391</v>
      </c>
    </row>
    <row r="14708" spans="1:2" x14ac:dyDescent="0.25">
      <c r="A14708">
        <v>38249971000</v>
      </c>
      <c r="B14708" t="s">
        <v>6392</v>
      </c>
    </row>
    <row r="14709" spans="1:2" x14ac:dyDescent="0.25">
      <c r="A14709">
        <v>38249972000</v>
      </c>
      <c r="B14709" t="s">
        <v>6393</v>
      </c>
    </row>
    <row r="14710" spans="1:2" x14ac:dyDescent="0.25">
      <c r="A14710">
        <v>38249973000</v>
      </c>
      <c r="B14710" t="s">
        <v>6394</v>
      </c>
    </row>
    <row r="14711" spans="1:2" x14ac:dyDescent="0.25">
      <c r="A14711">
        <v>38249974000</v>
      </c>
      <c r="B14711" t="s">
        <v>6395</v>
      </c>
    </row>
    <row r="14712" spans="1:2" x14ac:dyDescent="0.25">
      <c r="A14712">
        <v>38249975</v>
      </c>
      <c r="B14712" t="s">
        <v>6396</v>
      </c>
    </row>
    <row r="14713" spans="1:2" x14ac:dyDescent="0.25">
      <c r="A14713">
        <v>38249975100</v>
      </c>
      <c r="B14713" t="s">
        <v>6397</v>
      </c>
    </row>
    <row r="14714" spans="1:2" x14ac:dyDescent="0.25">
      <c r="A14714">
        <v>38249975200</v>
      </c>
      <c r="B14714" t="s">
        <v>6398</v>
      </c>
    </row>
    <row r="14715" spans="1:2" x14ac:dyDescent="0.25">
      <c r="A14715">
        <v>38249975300</v>
      </c>
      <c r="B14715" t="s">
        <v>6399</v>
      </c>
    </row>
    <row r="14716" spans="1:2" x14ac:dyDescent="0.25">
      <c r="A14716">
        <v>38249976000</v>
      </c>
      <c r="B14716" t="s">
        <v>6400</v>
      </c>
    </row>
    <row r="14717" spans="1:2" x14ac:dyDescent="0.25">
      <c r="A14717">
        <v>38249977000</v>
      </c>
      <c r="B14717" t="s">
        <v>6401</v>
      </c>
    </row>
    <row r="14718" spans="1:2" x14ac:dyDescent="0.25">
      <c r="A14718">
        <v>38249978000</v>
      </c>
      <c r="B14718" t="s">
        <v>6402</v>
      </c>
    </row>
    <row r="14719" spans="1:2" x14ac:dyDescent="0.25">
      <c r="A14719">
        <v>38249979</v>
      </c>
      <c r="B14719" t="s">
        <v>10</v>
      </c>
    </row>
    <row r="14720" spans="1:2" x14ac:dyDescent="0.25">
      <c r="A14720">
        <v>38249979100</v>
      </c>
      <c r="B14720" t="s">
        <v>5561</v>
      </c>
    </row>
    <row r="14721" spans="1:2" x14ac:dyDescent="0.25">
      <c r="A14721">
        <v>38249979200</v>
      </c>
      <c r="B14721" t="s">
        <v>2291</v>
      </c>
    </row>
    <row r="14722" spans="1:2" x14ac:dyDescent="0.25">
      <c r="A14722">
        <v>38249979900</v>
      </c>
      <c r="B14722" t="s">
        <v>10</v>
      </c>
    </row>
    <row r="14723" spans="1:2" x14ac:dyDescent="0.25">
      <c r="A14723">
        <v>3824998</v>
      </c>
      <c r="B14723" t="s">
        <v>6403</v>
      </c>
    </row>
    <row r="14724" spans="1:2" x14ac:dyDescent="0.25">
      <c r="A14724">
        <v>38249981000</v>
      </c>
      <c r="B14724" t="s">
        <v>6404</v>
      </c>
    </row>
    <row r="14725" spans="1:2" x14ac:dyDescent="0.25">
      <c r="A14725">
        <v>38249982</v>
      </c>
      <c r="B14725" t="s">
        <v>6405</v>
      </c>
    </row>
    <row r="14726" spans="1:2" x14ac:dyDescent="0.25">
      <c r="A14726">
        <v>38249982100</v>
      </c>
      <c r="B14726" t="s">
        <v>6406</v>
      </c>
    </row>
    <row r="14727" spans="1:2" x14ac:dyDescent="0.25">
      <c r="A14727">
        <v>38249982200</v>
      </c>
      <c r="B14727" t="s">
        <v>6407</v>
      </c>
    </row>
    <row r="14728" spans="1:2" x14ac:dyDescent="0.25">
      <c r="A14728">
        <v>38249983</v>
      </c>
      <c r="B14728" t="s">
        <v>6408</v>
      </c>
    </row>
    <row r="14729" spans="1:2" x14ac:dyDescent="0.25">
      <c r="A14729">
        <v>38249983100</v>
      </c>
      <c r="B14729" t="s">
        <v>6409</v>
      </c>
    </row>
    <row r="14730" spans="1:2" x14ac:dyDescent="0.25">
      <c r="A14730">
        <v>38249983200</v>
      </c>
      <c r="B14730" t="s">
        <v>6410</v>
      </c>
    </row>
    <row r="14731" spans="1:2" x14ac:dyDescent="0.25">
      <c r="A14731">
        <v>38249985000</v>
      </c>
      <c r="B14731" t="s">
        <v>6411</v>
      </c>
    </row>
    <row r="14732" spans="1:2" x14ac:dyDescent="0.25">
      <c r="A14732">
        <v>38249986</v>
      </c>
      <c r="B14732" t="s">
        <v>6412</v>
      </c>
    </row>
    <row r="14733" spans="1:2" x14ac:dyDescent="0.25">
      <c r="A14733">
        <v>38249986100</v>
      </c>
      <c r="B14733" t="s">
        <v>6413</v>
      </c>
    </row>
    <row r="14734" spans="1:2" x14ac:dyDescent="0.25">
      <c r="A14734">
        <v>38249986200</v>
      </c>
      <c r="B14734" t="s">
        <v>6414</v>
      </c>
    </row>
    <row r="14735" spans="1:2" x14ac:dyDescent="0.25">
      <c r="A14735">
        <v>38249986300</v>
      </c>
      <c r="B14735" t="s">
        <v>6415</v>
      </c>
    </row>
    <row r="14736" spans="1:2" x14ac:dyDescent="0.25">
      <c r="A14736">
        <v>38249987000</v>
      </c>
      <c r="B14736" t="s">
        <v>6416</v>
      </c>
    </row>
    <row r="14737" spans="1:2" x14ac:dyDescent="0.25">
      <c r="A14737">
        <v>38249988</v>
      </c>
      <c r="B14737" t="s">
        <v>6417</v>
      </c>
    </row>
    <row r="14738" spans="1:2" x14ac:dyDescent="0.25">
      <c r="A14738">
        <v>38249988100</v>
      </c>
      <c r="B14738" t="s">
        <v>6418</v>
      </c>
    </row>
    <row r="14739" spans="1:2" x14ac:dyDescent="0.25">
      <c r="A14739">
        <v>38249988900</v>
      </c>
      <c r="B14739" t="s">
        <v>10</v>
      </c>
    </row>
    <row r="14740" spans="1:2" x14ac:dyDescent="0.25">
      <c r="A14740">
        <v>38249989</v>
      </c>
      <c r="B14740" t="s">
        <v>10</v>
      </c>
    </row>
    <row r="14741" spans="1:2" x14ac:dyDescent="0.25">
      <c r="A14741">
        <v>38249989100</v>
      </c>
      <c r="B14741" t="s">
        <v>6419</v>
      </c>
    </row>
    <row r="14742" spans="1:2" x14ac:dyDescent="0.25">
      <c r="A14742">
        <v>38249989200</v>
      </c>
      <c r="B14742" t="s">
        <v>6420</v>
      </c>
    </row>
    <row r="14743" spans="1:2" x14ac:dyDescent="0.25">
      <c r="A14743">
        <v>38249989300</v>
      </c>
      <c r="B14743" t="s">
        <v>6421</v>
      </c>
    </row>
    <row r="14744" spans="1:2" x14ac:dyDescent="0.25">
      <c r="A14744">
        <v>38249989400</v>
      </c>
      <c r="B14744" t="s">
        <v>6422</v>
      </c>
    </row>
    <row r="14745" spans="1:2" x14ac:dyDescent="0.25">
      <c r="A14745">
        <v>38249989500</v>
      </c>
      <c r="B14745" t="s">
        <v>6423</v>
      </c>
    </row>
    <row r="14746" spans="1:2" x14ac:dyDescent="0.25">
      <c r="A14746">
        <v>38249989700</v>
      </c>
      <c r="B14746" t="s">
        <v>6424</v>
      </c>
    </row>
    <row r="14747" spans="1:2" x14ac:dyDescent="0.25">
      <c r="A14747">
        <v>3824998991</v>
      </c>
      <c r="B14747" t="s">
        <v>6425</v>
      </c>
    </row>
    <row r="14748" spans="1:2" x14ac:dyDescent="0.25">
      <c r="A14748">
        <v>38249989911</v>
      </c>
      <c r="B14748" t="s">
        <v>6426</v>
      </c>
    </row>
    <row r="14749" spans="1:2" x14ac:dyDescent="0.25">
      <c r="A14749">
        <v>38249989912</v>
      </c>
      <c r="B14749" t="s">
        <v>6427</v>
      </c>
    </row>
    <row r="14750" spans="1:2" x14ac:dyDescent="0.25">
      <c r="A14750">
        <v>38249989920</v>
      </c>
      <c r="B14750" t="s">
        <v>6428</v>
      </c>
    </row>
    <row r="14751" spans="1:2" x14ac:dyDescent="0.25">
      <c r="A14751">
        <v>38249989930</v>
      </c>
      <c r="B14751" t="s">
        <v>6429</v>
      </c>
    </row>
    <row r="14752" spans="1:2" x14ac:dyDescent="0.25">
      <c r="A14752">
        <v>38249989990</v>
      </c>
      <c r="B14752" t="s">
        <v>10</v>
      </c>
    </row>
    <row r="14753" spans="1:2" x14ac:dyDescent="0.25">
      <c r="A14753">
        <v>3825</v>
      </c>
      <c r="B14753" t="s">
        <v>6430</v>
      </c>
    </row>
    <row r="14754" spans="1:2" x14ac:dyDescent="0.25">
      <c r="A14754">
        <v>38251000000</v>
      </c>
      <c r="B14754" t="e">
        <f>-desechos y desperdicios municipales</f>
        <v>#NAME?</v>
      </c>
    </row>
    <row r="14755" spans="1:2" x14ac:dyDescent="0.25">
      <c r="A14755">
        <v>38252000000</v>
      </c>
      <c r="B14755" t="e">
        <f>-Lodos de depuracion</f>
        <v>#NAME?</v>
      </c>
    </row>
    <row r="14756" spans="1:2" x14ac:dyDescent="0.25">
      <c r="A14756">
        <v>38253000000</v>
      </c>
      <c r="B14756" t="e">
        <f>-desechos clinicos</f>
        <v>#NAME?</v>
      </c>
    </row>
    <row r="14757" spans="1:2" x14ac:dyDescent="0.25">
      <c r="A14757">
        <v>38254</v>
      </c>
      <c r="B14757" t="s">
        <v>6431</v>
      </c>
    </row>
    <row r="14758" spans="1:2" x14ac:dyDescent="0.25">
      <c r="A14758">
        <v>38254100000</v>
      </c>
      <c r="B14758" t="e">
        <f>--halogenados</f>
        <v>#NAME?</v>
      </c>
    </row>
    <row r="14759" spans="1:2" x14ac:dyDescent="0.25">
      <c r="A14759">
        <v>38254900000</v>
      </c>
      <c r="B14759" t="e">
        <f>--Los demas</f>
        <v>#NAME?</v>
      </c>
    </row>
    <row r="14760" spans="1:2" x14ac:dyDescent="0.25">
      <c r="A14760">
        <v>38255000000</v>
      </c>
      <c r="B14760" t="e">
        <f>-desechos de soluciones decapantes. fluidos hidraulicos. liquidos para frenos y liquidos anticongelantes</f>
        <v>#NAME?</v>
      </c>
    </row>
    <row r="14761" spans="1:2" x14ac:dyDescent="0.25">
      <c r="A14761">
        <v>38256</v>
      </c>
      <c r="B14761" t="s">
        <v>6432</v>
      </c>
    </row>
    <row r="14762" spans="1:2" x14ac:dyDescent="0.25">
      <c r="A14762">
        <v>38256100</v>
      </c>
      <c r="B14762" t="e">
        <f>- - que contengan principalmente componentes organicos</f>
        <v>#NAME?</v>
      </c>
    </row>
    <row r="14763" spans="1:2" x14ac:dyDescent="0.25">
      <c r="A14763">
        <v>38256100100</v>
      </c>
      <c r="B14763" t="s">
        <v>6433</v>
      </c>
    </row>
    <row r="14764" spans="1:2" x14ac:dyDescent="0.25">
      <c r="A14764">
        <v>38256100900</v>
      </c>
      <c r="B14764" t="s">
        <v>10</v>
      </c>
    </row>
    <row r="14765" spans="1:2" x14ac:dyDescent="0.25">
      <c r="A14765">
        <v>38256900000</v>
      </c>
      <c r="B14765" t="e">
        <f>--Los demas</f>
        <v>#NAME?</v>
      </c>
    </row>
    <row r="14766" spans="1:2" x14ac:dyDescent="0.25">
      <c r="A14766">
        <v>38259000</v>
      </c>
      <c r="B14766" t="e">
        <f>- Los demas</f>
        <v>#NAME?</v>
      </c>
    </row>
    <row r="14767" spans="1:2" x14ac:dyDescent="0.25">
      <c r="A14767">
        <v>38259000100</v>
      </c>
      <c r="B14767" t="s">
        <v>6434</v>
      </c>
    </row>
    <row r="14768" spans="1:2" x14ac:dyDescent="0.25">
      <c r="A14768">
        <v>38259000900</v>
      </c>
      <c r="B14768" t="s">
        <v>10</v>
      </c>
    </row>
    <row r="14769" spans="1:2" x14ac:dyDescent="0.25">
      <c r="A14769">
        <v>38260000</v>
      </c>
      <c r="B14769" t="s">
        <v>6435</v>
      </c>
    </row>
    <row r="14770" spans="1:2" x14ac:dyDescent="0.25">
      <c r="A14770">
        <v>38260000100</v>
      </c>
      <c r="B14770" t="s">
        <v>6436</v>
      </c>
    </row>
    <row r="14771" spans="1:2" x14ac:dyDescent="0.25">
      <c r="A14771">
        <v>382600002</v>
      </c>
      <c r="B14771" t="s">
        <v>6437</v>
      </c>
    </row>
    <row r="14772" spans="1:2" x14ac:dyDescent="0.25">
      <c r="A14772">
        <v>38260000210</v>
      </c>
      <c r="B14772" t="s">
        <v>6438</v>
      </c>
    </row>
    <row r="14773" spans="1:2" x14ac:dyDescent="0.25">
      <c r="A14773">
        <v>38260000290</v>
      </c>
      <c r="B14773" t="s">
        <v>57</v>
      </c>
    </row>
    <row r="14774" spans="1:2" x14ac:dyDescent="0.25">
      <c r="A14774">
        <v>38260000900</v>
      </c>
      <c r="B14774" t="s">
        <v>57</v>
      </c>
    </row>
    <row r="14775" spans="1:2" x14ac:dyDescent="0.25">
      <c r="A14775">
        <v>3901</v>
      </c>
      <c r="B14775" t="s">
        <v>6439</v>
      </c>
    </row>
    <row r="14776" spans="1:2" x14ac:dyDescent="0.25">
      <c r="A14776">
        <v>390110</v>
      </c>
      <c r="B14776" t="s">
        <v>6440</v>
      </c>
    </row>
    <row r="14777" spans="1:2" x14ac:dyDescent="0.25">
      <c r="A14777">
        <v>39011010</v>
      </c>
      <c r="B14777" t="s">
        <v>6441</v>
      </c>
    </row>
    <row r="14778" spans="1:2" x14ac:dyDescent="0.25">
      <c r="A14778">
        <v>39011010100</v>
      </c>
      <c r="B14778" t="s">
        <v>6442</v>
      </c>
    </row>
    <row r="14779" spans="1:2" x14ac:dyDescent="0.25">
      <c r="A14779">
        <v>39011010200</v>
      </c>
      <c r="B14779" t="s">
        <v>6443</v>
      </c>
    </row>
    <row r="14780" spans="1:2" x14ac:dyDescent="0.25">
      <c r="A14780">
        <v>3901109</v>
      </c>
      <c r="B14780" t="s">
        <v>10</v>
      </c>
    </row>
    <row r="14781" spans="1:2" x14ac:dyDescent="0.25">
      <c r="A14781">
        <v>39011091</v>
      </c>
      <c r="B14781" t="s">
        <v>6442</v>
      </c>
    </row>
    <row r="14782" spans="1:2" x14ac:dyDescent="0.25">
      <c r="A14782">
        <v>39011091100</v>
      </c>
      <c r="B14782" t="s">
        <v>6444</v>
      </c>
    </row>
    <row r="14783" spans="1:2" x14ac:dyDescent="0.25">
      <c r="A14783">
        <v>39011091900</v>
      </c>
      <c r="B14783" t="s">
        <v>10</v>
      </c>
    </row>
    <row r="14784" spans="1:2" x14ac:dyDescent="0.25">
      <c r="A14784">
        <v>39011092</v>
      </c>
      <c r="B14784" t="s">
        <v>6443</v>
      </c>
    </row>
    <row r="14785" spans="1:2" x14ac:dyDescent="0.25">
      <c r="A14785">
        <v>39011092100</v>
      </c>
      <c r="B14785" t="s">
        <v>6444</v>
      </c>
    </row>
    <row r="14786" spans="1:2" x14ac:dyDescent="0.25">
      <c r="A14786">
        <v>39011092900</v>
      </c>
      <c r="B14786" t="s">
        <v>10</v>
      </c>
    </row>
    <row r="14787" spans="1:2" x14ac:dyDescent="0.25">
      <c r="A14787">
        <v>390120</v>
      </c>
      <c r="B14787" t="s">
        <v>6445</v>
      </c>
    </row>
    <row r="14788" spans="1:2" x14ac:dyDescent="0.25">
      <c r="A14788">
        <v>3901201</v>
      </c>
      <c r="B14788" t="s">
        <v>6442</v>
      </c>
    </row>
    <row r="14789" spans="1:2" x14ac:dyDescent="0.25">
      <c r="A14789">
        <v>39012011000</v>
      </c>
      <c r="B14789" t="s">
        <v>6446</v>
      </c>
    </row>
    <row r="14790" spans="1:2" x14ac:dyDescent="0.25">
      <c r="A14790">
        <v>39012019000</v>
      </c>
      <c r="B14790" t="s">
        <v>10</v>
      </c>
    </row>
    <row r="14791" spans="1:2" x14ac:dyDescent="0.25">
      <c r="A14791">
        <v>3901202</v>
      </c>
      <c r="B14791" t="s">
        <v>6443</v>
      </c>
    </row>
    <row r="14792" spans="1:2" x14ac:dyDescent="0.25">
      <c r="A14792">
        <v>39012021000</v>
      </c>
      <c r="B14792" t="s">
        <v>6446</v>
      </c>
    </row>
    <row r="14793" spans="1:2" x14ac:dyDescent="0.25">
      <c r="A14793">
        <v>39012029</v>
      </c>
      <c r="B14793" t="s">
        <v>10</v>
      </c>
    </row>
    <row r="14794" spans="1:2" x14ac:dyDescent="0.25">
      <c r="A14794">
        <v>39012029100</v>
      </c>
      <c r="B14794" t="s">
        <v>5574</v>
      </c>
    </row>
    <row r="14795" spans="1:2" x14ac:dyDescent="0.25">
      <c r="A14795">
        <v>39012029900</v>
      </c>
      <c r="B14795" t="s">
        <v>10</v>
      </c>
    </row>
    <row r="14796" spans="1:2" x14ac:dyDescent="0.25">
      <c r="A14796">
        <v>390130</v>
      </c>
      <c r="B14796" t="e">
        <f>- Copolimeros de Etileno y Acetato de vinilo</f>
        <v>#NAME?</v>
      </c>
    </row>
    <row r="14797" spans="1:2" x14ac:dyDescent="0.25">
      <c r="A14797">
        <v>39013010000</v>
      </c>
      <c r="B14797" t="s">
        <v>6447</v>
      </c>
    </row>
    <row r="14798" spans="1:2" x14ac:dyDescent="0.25">
      <c r="A14798">
        <v>39013090000</v>
      </c>
      <c r="B14798" t="s">
        <v>10</v>
      </c>
    </row>
    <row r="14799" spans="1:2" x14ac:dyDescent="0.25">
      <c r="A14799">
        <v>39014000000</v>
      </c>
      <c r="B14799" t="s">
        <v>6448</v>
      </c>
    </row>
    <row r="14800" spans="1:2" x14ac:dyDescent="0.25">
      <c r="A14800">
        <v>390190</v>
      </c>
      <c r="B14800" t="e">
        <f>- Los demas</f>
        <v>#NAME?</v>
      </c>
    </row>
    <row r="14801" spans="1:2" x14ac:dyDescent="0.25">
      <c r="A14801">
        <v>39019010000</v>
      </c>
      <c r="B14801" t="s">
        <v>6449</v>
      </c>
    </row>
    <row r="14802" spans="1:2" x14ac:dyDescent="0.25">
      <c r="A14802">
        <v>39019020000</v>
      </c>
      <c r="B14802" t="s">
        <v>6450</v>
      </c>
    </row>
    <row r="14803" spans="1:2" x14ac:dyDescent="0.25">
      <c r="A14803">
        <v>39019030000</v>
      </c>
      <c r="B14803" t="s">
        <v>6451</v>
      </c>
    </row>
    <row r="14804" spans="1:2" x14ac:dyDescent="0.25">
      <c r="A14804">
        <v>39019040000</v>
      </c>
      <c r="B14804" t="s">
        <v>6452</v>
      </c>
    </row>
    <row r="14805" spans="1:2" x14ac:dyDescent="0.25">
      <c r="A14805">
        <v>39019050000</v>
      </c>
      <c r="B14805" t="s">
        <v>6453</v>
      </c>
    </row>
    <row r="14806" spans="1:2" x14ac:dyDescent="0.25">
      <c r="A14806">
        <v>39019090</v>
      </c>
      <c r="B14806" t="s">
        <v>10</v>
      </c>
    </row>
    <row r="14807" spans="1:2" x14ac:dyDescent="0.25">
      <c r="A14807">
        <v>39019090100</v>
      </c>
      <c r="B14807" t="s">
        <v>6454</v>
      </c>
    </row>
    <row r="14808" spans="1:2" x14ac:dyDescent="0.25">
      <c r="A14808">
        <v>39019090900</v>
      </c>
      <c r="B14808" t="s">
        <v>10</v>
      </c>
    </row>
    <row r="14809" spans="1:2" x14ac:dyDescent="0.25">
      <c r="A14809">
        <v>3902</v>
      </c>
      <c r="B14809" t="s">
        <v>6455</v>
      </c>
    </row>
    <row r="14810" spans="1:2" x14ac:dyDescent="0.25">
      <c r="A14810">
        <v>390210</v>
      </c>
      <c r="B14810" t="e">
        <f>- Polipropileno</f>
        <v>#NAME?</v>
      </c>
    </row>
    <row r="14811" spans="1:2" x14ac:dyDescent="0.25">
      <c r="A14811">
        <v>39021010000</v>
      </c>
      <c r="B14811" t="s">
        <v>6442</v>
      </c>
    </row>
    <row r="14812" spans="1:2" x14ac:dyDescent="0.25">
      <c r="A14812">
        <v>39021020000</v>
      </c>
      <c r="B14812" t="s">
        <v>6443</v>
      </c>
    </row>
    <row r="14813" spans="1:2" x14ac:dyDescent="0.25">
      <c r="A14813">
        <v>39022000000</v>
      </c>
      <c r="B14813" t="e">
        <f>-Poliisobutileno</f>
        <v>#NAME?</v>
      </c>
    </row>
    <row r="14814" spans="1:2" x14ac:dyDescent="0.25">
      <c r="A14814">
        <v>39023000</v>
      </c>
      <c r="B14814" t="e">
        <f>- Copolimeros de propileno</f>
        <v>#NAME?</v>
      </c>
    </row>
    <row r="14815" spans="1:2" x14ac:dyDescent="0.25">
      <c r="A14815">
        <v>39023000100</v>
      </c>
      <c r="B14815" t="s">
        <v>6456</v>
      </c>
    </row>
    <row r="14816" spans="1:2" x14ac:dyDescent="0.25">
      <c r="A14816">
        <v>39023000200</v>
      </c>
      <c r="B14816" t="s">
        <v>6457</v>
      </c>
    </row>
    <row r="14817" spans="1:2" x14ac:dyDescent="0.25">
      <c r="A14817">
        <v>39023000900</v>
      </c>
      <c r="B14817" t="s">
        <v>10</v>
      </c>
    </row>
    <row r="14818" spans="1:2" x14ac:dyDescent="0.25">
      <c r="A14818">
        <v>39029000000</v>
      </c>
      <c r="B14818" t="e">
        <f>-Los demas</f>
        <v>#NAME?</v>
      </c>
    </row>
    <row r="14819" spans="1:2" x14ac:dyDescent="0.25">
      <c r="A14819">
        <v>3903</v>
      </c>
      <c r="B14819" t="s">
        <v>6458</v>
      </c>
    </row>
    <row r="14820" spans="1:2" x14ac:dyDescent="0.25">
      <c r="A14820">
        <v>39031</v>
      </c>
      <c r="B14820" t="s">
        <v>6459</v>
      </c>
    </row>
    <row r="14821" spans="1:2" x14ac:dyDescent="0.25">
      <c r="A14821">
        <v>390311</v>
      </c>
      <c r="B14821" t="e">
        <f>- - Expandible</f>
        <v>#NAME?</v>
      </c>
    </row>
    <row r="14822" spans="1:2" x14ac:dyDescent="0.25">
      <c r="A14822">
        <v>39031110</v>
      </c>
      <c r="B14822" t="s">
        <v>6442</v>
      </c>
    </row>
    <row r="14823" spans="1:2" x14ac:dyDescent="0.25">
      <c r="A14823">
        <v>39031110100</v>
      </c>
      <c r="B14823" t="s">
        <v>6460</v>
      </c>
    </row>
    <row r="14824" spans="1:2" x14ac:dyDescent="0.25">
      <c r="A14824">
        <v>39031110900</v>
      </c>
      <c r="B14824" t="s">
        <v>10</v>
      </c>
    </row>
    <row r="14825" spans="1:2" x14ac:dyDescent="0.25">
      <c r="A14825">
        <v>39031120</v>
      </c>
      <c r="B14825" t="s">
        <v>6443</v>
      </c>
    </row>
    <row r="14826" spans="1:2" x14ac:dyDescent="0.25">
      <c r="A14826">
        <v>39031120100</v>
      </c>
      <c r="B14826" t="s">
        <v>6460</v>
      </c>
    </row>
    <row r="14827" spans="1:2" x14ac:dyDescent="0.25">
      <c r="A14827">
        <v>39031120900</v>
      </c>
      <c r="B14827" t="s">
        <v>10</v>
      </c>
    </row>
    <row r="14828" spans="1:2" x14ac:dyDescent="0.25">
      <c r="A14828">
        <v>39031900000</v>
      </c>
      <c r="B14828" t="e">
        <f>--Los demas</f>
        <v>#NAME?</v>
      </c>
    </row>
    <row r="14829" spans="1:2" x14ac:dyDescent="0.25">
      <c r="A14829">
        <v>39032000000</v>
      </c>
      <c r="B14829" t="e">
        <f>-Copolimeros de Estireno-Acrilonitrilo (SAN)</f>
        <v>#NAME?</v>
      </c>
    </row>
    <row r="14830" spans="1:2" x14ac:dyDescent="0.25">
      <c r="A14830">
        <v>390330</v>
      </c>
      <c r="B14830" t="e">
        <f>- Copolimeros de Acrilonitrilo-butadieno-Estireno (ABS)</f>
        <v>#NAME?</v>
      </c>
    </row>
    <row r="14831" spans="1:2" x14ac:dyDescent="0.25">
      <c r="A14831">
        <v>39033010</v>
      </c>
      <c r="B14831" t="s">
        <v>6442</v>
      </c>
    </row>
    <row r="14832" spans="1:2" x14ac:dyDescent="0.25">
      <c r="A14832">
        <v>39033010100</v>
      </c>
      <c r="B14832" t="s">
        <v>6447</v>
      </c>
    </row>
    <row r="14833" spans="1:2" x14ac:dyDescent="0.25">
      <c r="A14833">
        <v>390330102</v>
      </c>
      <c r="B14833" t="s">
        <v>6461</v>
      </c>
    </row>
    <row r="14834" spans="1:2" x14ac:dyDescent="0.25">
      <c r="A14834">
        <v>39033010210</v>
      </c>
      <c r="B14834" t="s">
        <v>6460</v>
      </c>
    </row>
    <row r="14835" spans="1:2" x14ac:dyDescent="0.25">
      <c r="A14835">
        <v>39033010290</v>
      </c>
      <c r="B14835" t="s">
        <v>10</v>
      </c>
    </row>
    <row r="14836" spans="1:2" x14ac:dyDescent="0.25">
      <c r="A14836">
        <v>39033020</v>
      </c>
      <c r="B14836" t="s">
        <v>6443</v>
      </c>
    </row>
    <row r="14837" spans="1:2" x14ac:dyDescent="0.25">
      <c r="A14837">
        <v>39033020100</v>
      </c>
      <c r="B14837" t="s">
        <v>6447</v>
      </c>
    </row>
    <row r="14838" spans="1:2" x14ac:dyDescent="0.25">
      <c r="A14838">
        <v>390330202</v>
      </c>
      <c r="B14838" t="s">
        <v>6461</v>
      </c>
    </row>
    <row r="14839" spans="1:2" x14ac:dyDescent="0.25">
      <c r="A14839">
        <v>39033020210</v>
      </c>
      <c r="B14839" t="s">
        <v>6460</v>
      </c>
    </row>
    <row r="14840" spans="1:2" x14ac:dyDescent="0.25">
      <c r="A14840">
        <v>39033020290</v>
      </c>
      <c r="B14840" t="s">
        <v>10</v>
      </c>
    </row>
    <row r="14841" spans="1:2" x14ac:dyDescent="0.25">
      <c r="A14841">
        <v>390390</v>
      </c>
      <c r="B14841" t="e">
        <f>- Los demas</f>
        <v>#NAME?</v>
      </c>
    </row>
    <row r="14842" spans="1:2" x14ac:dyDescent="0.25">
      <c r="A14842">
        <v>39039010000</v>
      </c>
      <c r="B14842" t="s">
        <v>6462</v>
      </c>
    </row>
    <row r="14843" spans="1:2" x14ac:dyDescent="0.25">
      <c r="A14843">
        <v>39039020000</v>
      </c>
      <c r="B14843" t="s">
        <v>6463</v>
      </c>
    </row>
    <row r="14844" spans="1:2" x14ac:dyDescent="0.25">
      <c r="A14844">
        <v>39039090</v>
      </c>
      <c r="B14844" t="s">
        <v>10</v>
      </c>
    </row>
    <row r="14845" spans="1:2" x14ac:dyDescent="0.25">
      <c r="A14845">
        <v>39039090100</v>
      </c>
      <c r="B14845" t="s">
        <v>6464</v>
      </c>
    </row>
    <row r="14846" spans="1:2" x14ac:dyDescent="0.25">
      <c r="A14846">
        <v>39039090200</v>
      </c>
      <c r="B14846" t="s">
        <v>6465</v>
      </c>
    </row>
    <row r="14847" spans="1:2" x14ac:dyDescent="0.25">
      <c r="A14847">
        <v>39039090900</v>
      </c>
      <c r="B14847" t="s">
        <v>10</v>
      </c>
    </row>
    <row r="14848" spans="1:2" x14ac:dyDescent="0.25">
      <c r="A14848">
        <v>3904</v>
      </c>
      <c r="B14848" t="s">
        <v>6466</v>
      </c>
    </row>
    <row r="14849" spans="1:2" x14ac:dyDescent="0.25">
      <c r="A14849">
        <v>390410</v>
      </c>
      <c r="B14849" t="e">
        <f ca="1">- poli(Cloruro de vinilo) sin mezclar Con otras sustancias</f>
        <v>#NAME?</v>
      </c>
    </row>
    <row r="14850" spans="1:2" x14ac:dyDescent="0.25">
      <c r="A14850">
        <v>39041010000</v>
      </c>
      <c r="B14850" t="s">
        <v>6467</v>
      </c>
    </row>
    <row r="14851" spans="1:2" x14ac:dyDescent="0.25">
      <c r="A14851">
        <v>39041020000</v>
      </c>
      <c r="B14851" t="s">
        <v>6468</v>
      </c>
    </row>
    <row r="14852" spans="1:2" x14ac:dyDescent="0.25">
      <c r="A14852">
        <v>39041090000</v>
      </c>
      <c r="B14852" t="s">
        <v>10</v>
      </c>
    </row>
    <row r="14853" spans="1:2" x14ac:dyDescent="0.25">
      <c r="A14853">
        <v>39042</v>
      </c>
      <c r="B14853" t="s">
        <v>6469</v>
      </c>
    </row>
    <row r="14854" spans="1:2" x14ac:dyDescent="0.25">
      <c r="A14854">
        <v>39042100000</v>
      </c>
      <c r="B14854" t="e">
        <f>--sin plastificar</f>
        <v>#NAME?</v>
      </c>
    </row>
    <row r="14855" spans="1:2" x14ac:dyDescent="0.25">
      <c r="A14855">
        <v>39042200000</v>
      </c>
      <c r="B14855" t="e">
        <f>--Plastificados</f>
        <v>#NAME?</v>
      </c>
    </row>
    <row r="14856" spans="1:2" x14ac:dyDescent="0.25">
      <c r="A14856">
        <v>39043000000</v>
      </c>
      <c r="B14856" t="e">
        <f>-Copolimeros de Cloruro de vinilo y Acetato de vinilo</f>
        <v>#NAME?</v>
      </c>
    </row>
    <row r="14857" spans="1:2" x14ac:dyDescent="0.25">
      <c r="A14857">
        <v>390440</v>
      </c>
      <c r="B14857" t="e">
        <f>- Los demas Copolimeros de Cloruro de vinilo</f>
        <v>#NAME?</v>
      </c>
    </row>
    <row r="14858" spans="1:2" x14ac:dyDescent="0.25">
      <c r="A14858">
        <v>39044010000</v>
      </c>
      <c r="B14858" t="s">
        <v>6470</v>
      </c>
    </row>
    <row r="14859" spans="1:2" x14ac:dyDescent="0.25">
      <c r="A14859">
        <v>39044090000</v>
      </c>
      <c r="B14859" t="s">
        <v>10</v>
      </c>
    </row>
    <row r="14860" spans="1:2" x14ac:dyDescent="0.25">
      <c r="A14860">
        <v>390450</v>
      </c>
      <c r="B14860" t="e">
        <f>- Polimeros de Cloruro de vinilideno</f>
        <v>#NAME?</v>
      </c>
    </row>
    <row r="14861" spans="1:2" x14ac:dyDescent="0.25">
      <c r="A14861">
        <v>39045010000</v>
      </c>
      <c r="B14861" t="s">
        <v>6471</v>
      </c>
    </row>
    <row r="14862" spans="1:2" x14ac:dyDescent="0.25">
      <c r="A14862">
        <v>39045090000</v>
      </c>
      <c r="B14862" t="s">
        <v>10</v>
      </c>
    </row>
    <row r="14863" spans="1:2" x14ac:dyDescent="0.25">
      <c r="A14863">
        <v>39046</v>
      </c>
      <c r="B14863" t="s">
        <v>6472</v>
      </c>
    </row>
    <row r="14864" spans="1:2" x14ac:dyDescent="0.25">
      <c r="A14864">
        <v>390461</v>
      </c>
      <c r="B14864" t="e">
        <f>- - Politetrafluoroetileno</f>
        <v>#NAME?</v>
      </c>
    </row>
    <row r="14865" spans="1:2" x14ac:dyDescent="0.25">
      <c r="A14865">
        <v>39046110000</v>
      </c>
      <c r="B14865" t="s">
        <v>6447</v>
      </c>
    </row>
    <row r="14866" spans="1:2" x14ac:dyDescent="0.25">
      <c r="A14866">
        <v>39046190000</v>
      </c>
      <c r="B14866" t="s">
        <v>10</v>
      </c>
    </row>
    <row r="14867" spans="1:2" x14ac:dyDescent="0.25">
      <c r="A14867">
        <v>390469</v>
      </c>
      <c r="B14867" t="e">
        <f>- - Los demas</f>
        <v>#NAME?</v>
      </c>
    </row>
    <row r="14868" spans="1:2" x14ac:dyDescent="0.25">
      <c r="A14868">
        <v>39046910000</v>
      </c>
      <c r="B14868" t="s">
        <v>6473</v>
      </c>
    </row>
    <row r="14869" spans="1:2" x14ac:dyDescent="0.25">
      <c r="A14869">
        <v>39046990</v>
      </c>
      <c r="B14869" t="s">
        <v>10</v>
      </c>
    </row>
    <row r="14870" spans="1:2" x14ac:dyDescent="0.25">
      <c r="A14870">
        <v>39046990100</v>
      </c>
      <c r="B14870" t="s">
        <v>6474</v>
      </c>
    </row>
    <row r="14871" spans="1:2" x14ac:dyDescent="0.25">
      <c r="A14871">
        <v>39046990200</v>
      </c>
      <c r="B14871" t="s">
        <v>6475</v>
      </c>
    </row>
    <row r="14872" spans="1:2" x14ac:dyDescent="0.25">
      <c r="A14872">
        <v>39046990900</v>
      </c>
      <c r="B14872" t="s">
        <v>10</v>
      </c>
    </row>
    <row r="14873" spans="1:2" x14ac:dyDescent="0.25">
      <c r="A14873">
        <v>390490</v>
      </c>
      <c r="B14873" t="e">
        <f>- Los demas</f>
        <v>#NAME?</v>
      </c>
    </row>
    <row r="14874" spans="1:2" x14ac:dyDescent="0.25">
      <c r="A14874">
        <v>39049010000</v>
      </c>
      <c r="B14874" t="s">
        <v>6476</v>
      </c>
    </row>
    <row r="14875" spans="1:2" x14ac:dyDescent="0.25">
      <c r="A14875">
        <v>39049090000</v>
      </c>
      <c r="B14875" t="s">
        <v>10</v>
      </c>
    </row>
    <row r="14876" spans="1:2" x14ac:dyDescent="0.25">
      <c r="A14876">
        <v>3905</v>
      </c>
      <c r="B14876" t="s">
        <v>6477</v>
      </c>
    </row>
    <row r="14877" spans="1:2" x14ac:dyDescent="0.25">
      <c r="A14877">
        <v>39051</v>
      </c>
      <c r="B14877" t="s">
        <v>6478</v>
      </c>
    </row>
    <row r="14878" spans="1:2" x14ac:dyDescent="0.25">
      <c r="A14878">
        <v>39051200000</v>
      </c>
      <c r="B14878" t="e">
        <f>--En dispersion acuosa</f>
        <v>#NAME?</v>
      </c>
    </row>
    <row r="14879" spans="1:2" x14ac:dyDescent="0.25">
      <c r="A14879">
        <v>390519</v>
      </c>
      <c r="B14879" t="e">
        <f>- - Los demas</f>
        <v>#NAME?</v>
      </c>
    </row>
    <row r="14880" spans="1:2" x14ac:dyDescent="0.25">
      <c r="A14880">
        <v>39051910000</v>
      </c>
      <c r="B14880" t="s">
        <v>6479</v>
      </c>
    </row>
    <row r="14881" spans="1:2" x14ac:dyDescent="0.25">
      <c r="A14881">
        <v>39051990</v>
      </c>
      <c r="B14881" t="s">
        <v>10</v>
      </c>
    </row>
    <row r="14882" spans="1:2" x14ac:dyDescent="0.25">
      <c r="A14882">
        <v>39051990100</v>
      </c>
      <c r="B14882" t="s">
        <v>6461</v>
      </c>
    </row>
    <row r="14883" spans="1:2" x14ac:dyDescent="0.25">
      <c r="A14883">
        <v>39051990900</v>
      </c>
      <c r="B14883" t="s">
        <v>10</v>
      </c>
    </row>
    <row r="14884" spans="1:2" x14ac:dyDescent="0.25">
      <c r="A14884">
        <v>39052</v>
      </c>
      <c r="B14884" t="s">
        <v>6480</v>
      </c>
    </row>
    <row r="14885" spans="1:2" x14ac:dyDescent="0.25">
      <c r="A14885">
        <v>39052100000</v>
      </c>
      <c r="B14885" t="e">
        <f>--En dispersion acuosa</f>
        <v>#NAME?</v>
      </c>
    </row>
    <row r="14886" spans="1:2" x14ac:dyDescent="0.25">
      <c r="A14886">
        <v>39052900</v>
      </c>
      <c r="B14886" t="e">
        <f>- - Los demas</f>
        <v>#NAME?</v>
      </c>
    </row>
    <row r="14887" spans="1:2" x14ac:dyDescent="0.25">
      <c r="A14887">
        <v>39052900100</v>
      </c>
      <c r="B14887" t="s">
        <v>6461</v>
      </c>
    </row>
    <row r="14888" spans="1:2" x14ac:dyDescent="0.25">
      <c r="A14888">
        <v>39052900900</v>
      </c>
      <c r="B14888" t="s">
        <v>10</v>
      </c>
    </row>
    <row r="14889" spans="1:2" x14ac:dyDescent="0.25">
      <c r="A14889">
        <v>39053000000</v>
      </c>
      <c r="B14889" t="s">
        <v>6481</v>
      </c>
    </row>
    <row r="14890" spans="1:2" x14ac:dyDescent="0.25">
      <c r="A14890">
        <v>39059</v>
      </c>
      <c r="B14890" t="s">
        <v>28</v>
      </c>
    </row>
    <row r="14891" spans="1:2" x14ac:dyDescent="0.25">
      <c r="A14891">
        <v>390591</v>
      </c>
      <c r="B14891" t="e">
        <f>- - Copolimeros</f>
        <v>#NAME?</v>
      </c>
    </row>
    <row r="14892" spans="1:2" x14ac:dyDescent="0.25">
      <c r="A14892">
        <v>39059130000</v>
      </c>
      <c r="B14892" t="s">
        <v>6482</v>
      </c>
    </row>
    <row r="14893" spans="1:2" x14ac:dyDescent="0.25">
      <c r="A14893">
        <v>39059190000</v>
      </c>
      <c r="B14893" t="s">
        <v>10</v>
      </c>
    </row>
    <row r="14894" spans="1:2" x14ac:dyDescent="0.25">
      <c r="A14894">
        <v>390599</v>
      </c>
      <c r="B14894" t="e">
        <f>- - Los demas</f>
        <v>#NAME?</v>
      </c>
    </row>
    <row r="14895" spans="1:2" x14ac:dyDescent="0.25">
      <c r="A14895">
        <v>39059910000</v>
      </c>
      <c r="B14895" t="s">
        <v>6483</v>
      </c>
    </row>
    <row r="14896" spans="1:2" x14ac:dyDescent="0.25">
      <c r="A14896">
        <v>39059920000</v>
      </c>
      <c r="B14896" t="s">
        <v>6484</v>
      </c>
    </row>
    <row r="14897" spans="1:2" x14ac:dyDescent="0.25">
      <c r="A14897">
        <v>39059930000</v>
      </c>
      <c r="B14897" t="s">
        <v>6485</v>
      </c>
    </row>
    <row r="14898" spans="1:2" x14ac:dyDescent="0.25">
      <c r="A14898">
        <v>39059990</v>
      </c>
      <c r="B14898" t="s">
        <v>10</v>
      </c>
    </row>
    <row r="14899" spans="1:2" x14ac:dyDescent="0.25">
      <c r="A14899">
        <v>39059990100</v>
      </c>
      <c r="B14899" t="s">
        <v>6486</v>
      </c>
    </row>
    <row r="14900" spans="1:2" x14ac:dyDescent="0.25">
      <c r="A14900">
        <v>39059990900</v>
      </c>
      <c r="B14900" t="s">
        <v>10</v>
      </c>
    </row>
    <row r="14901" spans="1:2" x14ac:dyDescent="0.25">
      <c r="A14901">
        <v>3906</v>
      </c>
      <c r="B14901" t="s">
        <v>6487</v>
      </c>
    </row>
    <row r="14902" spans="1:2" x14ac:dyDescent="0.25">
      <c r="A14902">
        <v>39061000</v>
      </c>
      <c r="B14902" t="e">
        <f ca="1">- poli(metacrilato de metilo)</f>
        <v>#NAME?</v>
      </c>
    </row>
    <row r="14903" spans="1:2" x14ac:dyDescent="0.25">
      <c r="A14903">
        <v>39061000100</v>
      </c>
      <c r="B14903" t="s">
        <v>6447</v>
      </c>
    </row>
    <row r="14904" spans="1:2" x14ac:dyDescent="0.25">
      <c r="A14904">
        <v>390610002</v>
      </c>
      <c r="B14904" t="s">
        <v>6461</v>
      </c>
    </row>
    <row r="14905" spans="1:2" x14ac:dyDescent="0.25">
      <c r="A14905">
        <v>39061000210</v>
      </c>
      <c r="B14905" t="s">
        <v>6460</v>
      </c>
    </row>
    <row r="14906" spans="1:2" x14ac:dyDescent="0.25">
      <c r="A14906">
        <v>39061000290</v>
      </c>
      <c r="B14906" t="s">
        <v>10</v>
      </c>
    </row>
    <row r="14907" spans="1:2" x14ac:dyDescent="0.25">
      <c r="A14907">
        <v>390690</v>
      </c>
      <c r="B14907" t="e">
        <f>- Los demas</f>
        <v>#NAME?</v>
      </c>
    </row>
    <row r="14908" spans="1:2" x14ac:dyDescent="0.25">
      <c r="A14908">
        <v>3906901</v>
      </c>
      <c r="B14908" t="s">
        <v>6488</v>
      </c>
    </row>
    <row r="14909" spans="1:2" x14ac:dyDescent="0.25">
      <c r="A14909">
        <v>39069011000</v>
      </c>
      <c r="B14909" t="s">
        <v>6489</v>
      </c>
    </row>
    <row r="14910" spans="1:2" x14ac:dyDescent="0.25">
      <c r="A14910">
        <v>39069012000</v>
      </c>
      <c r="B14910" t="s">
        <v>6490</v>
      </c>
    </row>
    <row r="14911" spans="1:2" x14ac:dyDescent="0.25">
      <c r="A14911">
        <v>39069019</v>
      </c>
      <c r="B14911" t="s">
        <v>10</v>
      </c>
    </row>
    <row r="14912" spans="1:2" x14ac:dyDescent="0.25">
      <c r="A14912">
        <v>39069019100</v>
      </c>
      <c r="B14912" t="s">
        <v>6491</v>
      </c>
    </row>
    <row r="14913" spans="1:2" x14ac:dyDescent="0.25">
      <c r="A14913">
        <v>39069019200</v>
      </c>
      <c r="B14913" t="s">
        <v>6492</v>
      </c>
    </row>
    <row r="14914" spans="1:2" x14ac:dyDescent="0.25">
      <c r="A14914">
        <v>39069019900</v>
      </c>
      <c r="B14914" t="s">
        <v>10</v>
      </c>
    </row>
    <row r="14915" spans="1:2" x14ac:dyDescent="0.25">
      <c r="A14915">
        <v>3906902</v>
      </c>
      <c r="B14915" t="s">
        <v>6493</v>
      </c>
    </row>
    <row r="14916" spans="1:2" x14ac:dyDescent="0.25">
      <c r="A14916">
        <v>39069021000</v>
      </c>
      <c r="B14916" t="s">
        <v>6489</v>
      </c>
    </row>
    <row r="14917" spans="1:2" x14ac:dyDescent="0.25">
      <c r="A14917">
        <v>39069022000</v>
      </c>
      <c r="B14917" t="s">
        <v>6494</v>
      </c>
    </row>
    <row r="14918" spans="1:2" x14ac:dyDescent="0.25">
      <c r="A14918">
        <v>39069029000</v>
      </c>
      <c r="B14918" t="s">
        <v>10</v>
      </c>
    </row>
    <row r="14919" spans="1:2" x14ac:dyDescent="0.25">
      <c r="A14919">
        <v>3906903</v>
      </c>
      <c r="B14919" t="s">
        <v>6495</v>
      </c>
    </row>
    <row r="14920" spans="1:2" x14ac:dyDescent="0.25">
      <c r="A14920">
        <v>39069031000</v>
      </c>
      <c r="B14920" t="s">
        <v>6489</v>
      </c>
    </row>
    <row r="14921" spans="1:2" x14ac:dyDescent="0.25">
      <c r="A14921">
        <v>39069032000</v>
      </c>
      <c r="B14921" t="s">
        <v>6490</v>
      </c>
    </row>
    <row r="14922" spans="1:2" x14ac:dyDescent="0.25">
      <c r="A14922">
        <v>39069039000</v>
      </c>
      <c r="B14922" t="s">
        <v>10</v>
      </c>
    </row>
    <row r="14923" spans="1:2" x14ac:dyDescent="0.25">
      <c r="A14923">
        <v>3906904</v>
      </c>
      <c r="B14923" t="s">
        <v>6461</v>
      </c>
    </row>
    <row r="14924" spans="1:2" x14ac:dyDescent="0.25">
      <c r="A14924">
        <v>39069041000</v>
      </c>
      <c r="B14924" t="s">
        <v>6489</v>
      </c>
    </row>
    <row r="14925" spans="1:2" x14ac:dyDescent="0.25">
      <c r="A14925">
        <v>39069042000</v>
      </c>
      <c r="B14925" t="s">
        <v>6490</v>
      </c>
    </row>
    <row r="14926" spans="1:2" x14ac:dyDescent="0.25">
      <c r="A14926">
        <v>39069043000</v>
      </c>
      <c r="B14926" t="s">
        <v>6496</v>
      </c>
    </row>
    <row r="14927" spans="1:2" x14ac:dyDescent="0.25">
      <c r="A14927">
        <v>39069044000</v>
      </c>
      <c r="B14927" t="s">
        <v>6497</v>
      </c>
    </row>
    <row r="14928" spans="1:2" x14ac:dyDescent="0.25">
      <c r="A14928">
        <v>39069045000</v>
      </c>
      <c r="B14928" t="s">
        <v>6498</v>
      </c>
    </row>
    <row r="14929" spans="1:2" x14ac:dyDescent="0.25">
      <c r="A14929">
        <v>39069046000</v>
      </c>
      <c r="B14929" t="s">
        <v>6499</v>
      </c>
    </row>
    <row r="14930" spans="1:2" x14ac:dyDescent="0.25">
      <c r="A14930">
        <v>39069047000</v>
      </c>
      <c r="B14930" t="s">
        <v>6500</v>
      </c>
    </row>
    <row r="14931" spans="1:2" x14ac:dyDescent="0.25">
      <c r="A14931">
        <v>39069048000</v>
      </c>
      <c r="B14931" t="s">
        <v>6501</v>
      </c>
    </row>
    <row r="14932" spans="1:2" x14ac:dyDescent="0.25">
      <c r="A14932">
        <v>39069049</v>
      </c>
      <c r="B14932" t="s">
        <v>10</v>
      </c>
    </row>
    <row r="14933" spans="1:2" x14ac:dyDescent="0.25">
      <c r="A14933">
        <v>39069049100</v>
      </c>
      <c r="B14933" t="s">
        <v>6502</v>
      </c>
    </row>
    <row r="14934" spans="1:2" x14ac:dyDescent="0.25">
      <c r="A14934">
        <v>39069049900</v>
      </c>
      <c r="B14934" t="s">
        <v>10</v>
      </c>
    </row>
    <row r="14935" spans="1:2" x14ac:dyDescent="0.25">
      <c r="A14935">
        <v>3907</v>
      </c>
      <c r="B14935" t="s">
        <v>6503</v>
      </c>
    </row>
    <row r="14936" spans="1:2" x14ac:dyDescent="0.25">
      <c r="A14936">
        <v>390710</v>
      </c>
      <c r="B14936" t="e">
        <f>- Poliacetales</f>
        <v>#NAME?</v>
      </c>
    </row>
    <row r="14937" spans="1:2" x14ac:dyDescent="0.25">
      <c r="A14937">
        <v>39071010000</v>
      </c>
      <c r="B14937" t="s">
        <v>6504</v>
      </c>
    </row>
    <row r="14938" spans="1:2" x14ac:dyDescent="0.25">
      <c r="A14938">
        <v>39071020000</v>
      </c>
      <c r="B14938" t="s">
        <v>6505</v>
      </c>
    </row>
    <row r="14939" spans="1:2" x14ac:dyDescent="0.25">
      <c r="A14939">
        <v>3907103</v>
      </c>
      <c r="B14939" t="s">
        <v>6506</v>
      </c>
    </row>
    <row r="14940" spans="1:2" x14ac:dyDescent="0.25">
      <c r="A14940">
        <v>39071031000</v>
      </c>
      <c r="B14940" t="s">
        <v>6507</v>
      </c>
    </row>
    <row r="14941" spans="1:2" x14ac:dyDescent="0.25">
      <c r="A14941">
        <v>39071039000</v>
      </c>
      <c r="B14941" t="s">
        <v>10</v>
      </c>
    </row>
    <row r="14942" spans="1:2" x14ac:dyDescent="0.25">
      <c r="A14942">
        <v>3907104</v>
      </c>
      <c r="B14942" t="s">
        <v>6508</v>
      </c>
    </row>
    <row r="14943" spans="1:2" x14ac:dyDescent="0.25">
      <c r="A14943">
        <v>39071041000</v>
      </c>
      <c r="B14943" t="s">
        <v>6507</v>
      </c>
    </row>
    <row r="14944" spans="1:2" x14ac:dyDescent="0.25">
      <c r="A14944">
        <v>39071042000</v>
      </c>
      <c r="B14944" t="s">
        <v>6509</v>
      </c>
    </row>
    <row r="14945" spans="1:2" x14ac:dyDescent="0.25">
      <c r="A14945">
        <v>39071049000</v>
      </c>
      <c r="B14945" t="s">
        <v>10</v>
      </c>
    </row>
    <row r="14946" spans="1:2" x14ac:dyDescent="0.25">
      <c r="A14946">
        <v>3907109</v>
      </c>
      <c r="B14946" t="s">
        <v>10</v>
      </c>
    </row>
    <row r="14947" spans="1:2" x14ac:dyDescent="0.25">
      <c r="A14947">
        <v>39071091000</v>
      </c>
      <c r="B14947" t="s">
        <v>6510</v>
      </c>
    </row>
    <row r="14948" spans="1:2" x14ac:dyDescent="0.25">
      <c r="A14948">
        <v>39071099000</v>
      </c>
      <c r="B14948" t="s">
        <v>10</v>
      </c>
    </row>
    <row r="14949" spans="1:2" x14ac:dyDescent="0.25">
      <c r="A14949">
        <v>390720</v>
      </c>
      <c r="B14949" t="e">
        <f>- Los demas polieteres</f>
        <v>#NAME?</v>
      </c>
    </row>
    <row r="14950" spans="1:2" x14ac:dyDescent="0.25">
      <c r="A14950">
        <v>3907201</v>
      </c>
      <c r="B14950" t="s">
        <v>6511</v>
      </c>
    </row>
    <row r="14951" spans="1:2" x14ac:dyDescent="0.25">
      <c r="A14951">
        <v>39072011000</v>
      </c>
      <c r="B14951" t="s">
        <v>6442</v>
      </c>
    </row>
    <row r="14952" spans="1:2" x14ac:dyDescent="0.25">
      <c r="A14952">
        <v>39072012000</v>
      </c>
      <c r="B14952" t="s">
        <v>6443</v>
      </c>
    </row>
    <row r="14953" spans="1:2" x14ac:dyDescent="0.25">
      <c r="A14953">
        <v>39072020000</v>
      </c>
      <c r="B14953" t="s">
        <v>6512</v>
      </c>
    </row>
    <row r="14954" spans="1:2" x14ac:dyDescent="0.25">
      <c r="A14954">
        <v>3907203</v>
      </c>
      <c r="B14954" t="s">
        <v>6513</v>
      </c>
    </row>
    <row r="14955" spans="1:2" x14ac:dyDescent="0.25">
      <c r="A14955">
        <v>39072031000</v>
      </c>
      <c r="B14955" t="s">
        <v>6514</v>
      </c>
    </row>
    <row r="14956" spans="1:2" x14ac:dyDescent="0.25">
      <c r="A14956">
        <v>39072039</v>
      </c>
      <c r="B14956" t="s">
        <v>10</v>
      </c>
    </row>
    <row r="14957" spans="1:2" x14ac:dyDescent="0.25">
      <c r="A14957">
        <v>390720391</v>
      </c>
      <c r="B14957" t="s">
        <v>6515</v>
      </c>
    </row>
    <row r="14958" spans="1:2" x14ac:dyDescent="0.25">
      <c r="A14958">
        <v>39072039110</v>
      </c>
      <c r="B14958" t="s">
        <v>6516</v>
      </c>
    </row>
    <row r="14959" spans="1:2" x14ac:dyDescent="0.25">
      <c r="A14959">
        <v>39072039120</v>
      </c>
      <c r="B14959" t="s">
        <v>6517</v>
      </c>
    </row>
    <row r="14960" spans="1:2" x14ac:dyDescent="0.25">
      <c r="A14960">
        <v>39072039130</v>
      </c>
      <c r="B14960" t="s">
        <v>6518</v>
      </c>
    </row>
    <row r="14961" spans="1:2" x14ac:dyDescent="0.25">
      <c r="A14961">
        <v>39072039190</v>
      </c>
      <c r="B14961" t="s">
        <v>10</v>
      </c>
    </row>
    <row r="14962" spans="1:2" x14ac:dyDescent="0.25">
      <c r="A14962">
        <v>390720392</v>
      </c>
      <c r="B14962" t="s">
        <v>6519</v>
      </c>
    </row>
    <row r="14963" spans="1:2" x14ac:dyDescent="0.25">
      <c r="A14963">
        <v>39072039210</v>
      </c>
      <c r="B14963" t="s">
        <v>6520</v>
      </c>
    </row>
    <row r="14964" spans="1:2" x14ac:dyDescent="0.25">
      <c r="A14964">
        <v>39072039290</v>
      </c>
      <c r="B14964" t="s">
        <v>10</v>
      </c>
    </row>
    <row r="14965" spans="1:2" x14ac:dyDescent="0.25">
      <c r="A14965">
        <v>390720399</v>
      </c>
      <c r="B14965" t="s">
        <v>10</v>
      </c>
    </row>
    <row r="14966" spans="1:2" x14ac:dyDescent="0.25">
      <c r="A14966">
        <v>3907203991</v>
      </c>
      <c r="B14966" t="s">
        <v>6518</v>
      </c>
    </row>
    <row r="14967" spans="1:2" x14ac:dyDescent="0.25">
      <c r="A14967">
        <v>39072039911</v>
      </c>
      <c r="B14967" t="s">
        <v>6521</v>
      </c>
    </row>
    <row r="14968" spans="1:2" x14ac:dyDescent="0.25">
      <c r="A14968">
        <v>39072039919</v>
      </c>
      <c r="B14968" t="s">
        <v>10</v>
      </c>
    </row>
    <row r="14969" spans="1:2" x14ac:dyDescent="0.25">
      <c r="A14969">
        <v>39072039990</v>
      </c>
      <c r="B14969" t="s">
        <v>10</v>
      </c>
    </row>
    <row r="14970" spans="1:2" x14ac:dyDescent="0.25">
      <c r="A14970">
        <v>3907204</v>
      </c>
      <c r="B14970" t="s">
        <v>6522</v>
      </c>
    </row>
    <row r="14971" spans="1:2" x14ac:dyDescent="0.25">
      <c r="A14971">
        <v>39072041000</v>
      </c>
      <c r="B14971" t="s">
        <v>6523</v>
      </c>
    </row>
    <row r="14972" spans="1:2" x14ac:dyDescent="0.25">
      <c r="A14972">
        <v>39072042000</v>
      </c>
      <c r="B14972" t="s">
        <v>6524</v>
      </c>
    </row>
    <row r="14973" spans="1:2" x14ac:dyDescent="0.25">
      <c r="A14973">
        <v>39072049000</v>
      </c>
      <c r="B14973" t="s">
        <v>10</v>
      </c>
    </row>
    <row r="14974" spans="1:2" x14ac:dyDescent="0.25">
      <c r="A14974">
        <v>39072090000</v>
      </c>
      <c r="B14974" t="s">
        <v>10</v>
      </c>
    </row>
    <row r="14975" spans="1:2" x14ac:dyDescent="0.25">
      <c r="A14975">
        <v>390730</v>
      </c>
      <c r="B14975" t="e">
        <f>- Resinas epoxi</f>
        <v>#NAME?</v>
      </c>
    </row>
    <row r="14976" spans="1:2" x14ac:dyDescent="0.25">
      <c r="A14976">
        <v>3907301</v>
      </c>
      <c r="B14976" t="s">
        <v>6442</v>
      </c>
    </row>
    <row r="14977" spans="1:2" x14ac:dyDescent="0.25">
      <c r="A14977">
        <v>39073011000</v>
      </c>
      <c r="B14977" t="s">
        <v>6447</v>
      </c>
    </row>
    <row r="14978" spans="1:2" x14ac:dyDescent="0.25">
      <c r="A14978">
        <v>39073019</v>
      </c>
      <c r="B14978" t="s">
        <v>57</v>
      </c>
    </row>
    <row r="14979" spans="1:2" x14ac:dyDescent="0.25">
      <c r="A14979">
        <v>39073019100</v>
      </c>
      <c r="B14979" t="s">
        <v>6525</v>
      </c>
    </row>
    <row r="14980" spans="1:2" x14ac:dyDescent="0.25">
      <c r="A14980">
        <v>39073019900</v>
      </c>
      <c r="B14980" t="s">
        <v>57</v>
      </c>
    </row>
    <row r="14981" spans="1:2" x14ac:dyDescent="0.25">
      <c r="A14981">
        <v>3907302</v>
      </c>
      <c r="B14981" t="s">
        <v>6443</v>
      </c>
    </row>
    <row r="14982" spans="1:2" x14ac:dyDescent="0.25">
      <c r="A14982">
        <v>39073021000</v>
      </c>
      <c r="B14982" t="s">
        <v>6526</v>
      </c>
    </row>
    <row r="14983" spans="1:2" x14ac:dyDescent="0.25">
      <c r="A14983">
        <v>39073022000</v>
      </c>
      <c r="B14983" t="s">
        <v>6527</v>
      </c>
    </row>
    <row r="14984" spans="1:2" x14ac:dyDescent="0.25">
      <c r="A14984">
        <v>39073029</v>
      </c>
      <c r="B14984" t="s">
        <v>57</v>
      </c>
    </row>
    <row r="14985" spans="1:2" x14ac:dyDescent="0.25">
      <c r="A14985">
        <v>39073029100</v>
      </c>
      <c r="B14985" t="s">
        <v>6525</v>
      </c>
    </row>
    <row r="14986" spans="1:2" x14ac:dyDescent="0.25">
      <c r="A14986">
        <v>39073029900</v>
      </c>
      <c r="B14986" t="s">
        <v>57</v>
      </c>
    </row>
    <row r="14987" spans="1:2" x14ac:dyDescent="0.25">
      <c r="A14987">
        <v>390740</v>
      </c>
      <c r="B14987" t="e">
        <f>- Policarbonatos</f>
        <v>#NAME?</v>
      </c>
    </row>
    <row r="14988" spans="1:2" x14ac:dyDescent="0.25">
      <c r="A14988">
        <v>39074010000</v>
      </c>
      <c r="B14988" t="s">
        <v>6528</v>
      </c>
    </row>
    <row r="14989" spans="1:2" x14ac:dyDescent="0.25">
      <c r="A14989">
        <v>39074090000</v>
      </c>
      <c r="B14989" t="s">
        <v>10</v>
      </c>
    </row>
    <row r="14990" spans="1:2" x14ac:dyDescent="0.25">
      <c r="A14990">
        <v>390750</v>
      </c>
      <c r="B14990" t="e">
        <f>- Resinas alcidicas</f>
        <v>#NAME?</v>
      </c>
    </row>
    <row r="14991" spans="1:2" x14ac:dyDescent="0.25">
      <c r="A14991">
        <v>39075010000</v>
      </c>
      <c r="B14991" t="s">
        <v>6447</v>
      </c>
    </row>
    <row r="14992" spans="1:2" x14ac:dyDescent="0.25">
      <c r="A14992">
        <v>39075090000</v>
      </c>
      <c r="B14992" t="s">
        <v>57</v>
      </c>
    </row>
    <row r="14993" spans="1:2" x14ac:dyDescent="0.25">
      <c r="A14993">
        <v>39076</v>
      </c>
      <c r="B14993" t="s">
        <v>6529</v>
      </c>
    </row>
    <row r="14994" spans="1:2" x14ac:dyDescent="0.25">
      <c r="A14994">
        <v>39076100</v>
      </c>
      <c r="B14994" t="s">
        <v>6530</v>
      </c>
    </row>
    <row r="14995" spans="1:2" x14ac:dyDescent="0.25">
      <c r="A14995">
        <v>390761001</v>
      </c>
      <c r="B14995" t="s">
        <v>6461</v>
      </c>
    </row>
    <row r="14996" spans="1:2" x14ac:dyDescent="0.25">
      <c r="A14996">
        <v>3907610011</v>
      </c>
      <c r="B14996" t="s">
        <v>6460</v>
      </c>
    </row>
    <row r="14997" spans="1:2" x14ac:dyDescent="0.25">
      <c r="A14997">
        <v>39076100111</v>
      </c>
      <c r="B14997" t="s">
        <v>6531</v>
      </c>
    </row>
    <row r="14998" spans="1:2" x14ac:dyDescent="0.25">
      <c r="A14998">
        <v>39076100119</v>
      </c>
      <c r="B14998" t="s">
        <v>10</v>
      </c>
    </row>
    <row r="14999" spans="1:2" x14ac:dyDescent="0.25">
      <c r="A14999">
        <v>39076100190</v>
      </c>
      <c r="B14999" t="s">
        <v>10</v>
      </c>
    </row>
    <row r="15000" spans="1:2" x14ac:dyDescent="0.25">
      <c r="A15000">
        <v>39076100900</v>
      </c>
      <c r="B15000" t="s">
        <v>10</v>
      </c>
    </row>
    <row r="15001" spans="1:2" x14ac:dyDescent="0.25">
      <c r="A15001">
        <v>39076900</v>
      </c>
      <c r="B15001" t="e">
        <f>- - Los demas</f>
        <v>#NAME?</v>
      </c>
    </row>
    <row r="15002" spans="1:2" x14ac:dyDescent="0.25">
      <c r="A15002">
        <v>390769001</v>
      </c>
      <c r="B15002" t="s">
        <v>6532</v>
      </c>
    </row>
    <row r="15003" spans="1:2" x14ac:dyDescent="0.25">
      <c r="A15003">
        <v>39076900110</v>
      </c>
      <c r="B15003" t="s">
        <v>6460</v>
      </c>
    </row>
    <row r="15004" spans="1:2" x14ac:dyDescent="0.25">
      <c r="A15004">
        <v>39076900190</v>
      </c>
      <c r="B15004" t="s">
        <v>10</v>
      </c>
    </row>
    <row r="15005" spans="1:2" x14ac:dyDescent="0.25">
      <c r="A15005">
        <v>39076900900</v>
      </c>
      <c r="B15005" t="s">
        <v>10</v>
      </c>
    </row>
    <row r="15006" spans="1:2" x14ac:dyDescent="0.25">
      <c r="A15006">
        <v>39077000000</v>
      </c>
      <c r="B15006" t="e">
        <f ca="1">-poli(acido lactico)</f>
        <v>#NAME?</v>
      </c>
    </row>
    <row r="15007" spans="1:2" x14ac:dyDescent="0.25">
      <c r="A15007">
        <v>39079</v>
      </c>
      <c r="B15007" t="s">
        <v>6533</v>
      </c>
    </row>
    <row r="15008" spans="1:2" x14ac:dyDescent="0.25">
      <c r="A15008">
        <v>39079100</v>
      </c>
      <c r="B15008" t="e">
        <f>- - no Saturados</f>
        <v>#NAME?</v>
      </c>
    </row>
    <row r="15009" spans="1:2" x14ac:dyDescent="0.25">
      <c r="A15009">
        <v>39079100100</v>
      </c>
      <c r="B15009" t="s">
        <v>6534</v>
      </c>
    </row>
    <row r="15010" spans="1:2" x14ac:dyDescent="0.25">
      <c r="A15010">
        <v>39079100200</v>
      </c>
      <c r="B15010" t="s">
        <v>6535</v>
      </c>
    </row>
    <row r="15011" spans="1:2" x14ac:dyDescent="0.25">
      <c r="A15011">
        <v>39079100900</v>
      </c>
      <c r="B15011" t="s">
        <v>10</v>
      </c>
    </row>
    <row r="15012" spans="1:2" x14ac:dyDescent="0.25">
      <c r="A15012">
        <v>390799</v>
      </c>
      <c r="B15012" t="e">
        <f>- - Los demas</f>
        <v>#NAME?</v>
      </c>
    </row>
    <row r="15013" spans="1:2" x14ac:dyDescent="0.25">
      <c r="A15013">
        <v>3907991</v>
      </c>
      <c r="B15013" t="s">
        <v>6536</v>
      </c>
    </row>
    <row r="15014" spans="1:2" x14ac:dyDescent="0.25">
      <c r="A15014">
        <v>39079911000</v>
      </c>
      <c r="B15014" t="s">
        <v>6537</v>
      </c>
    </row>
    <row r="15015" spans="1:2" x14ac:dyDescent="0.25">
      <c r="A15015">
        <v>39079912000</v>
      </c>
      <c r="B15015" t="s">
        <v>6538</v>
      </c>
    </row>
    <row r="15016" spans="1:2" x14ac:dyDescent="0.25">
      <c r="A15016">
        <v>39079919000</v>
      </c>
      <c r="B15016" t="s">
        <v>10</v>
      </c>
    </row>
    <row r="15017" spans="1:2" x14ac:dyDescent="0.25">
      <c r="A15017">
        <v>3907999</v>
      </c>
      <c r="B15017" t="s">
        <v>10</v>
      </c>
    </row>
    <row r="15018" spans="1:2" x14ac:dyDescent="0.25">
      <c r="A15018">
        <v>39079991000</v>
      </c>
      <c r="B15018" t="s">
        <v>6447</v>
      </c>
    </row>
    <row r="15019" spans="1:2" x14ac:dyDescent="0.25">
      <c r="A15019">
        <v>39079992000</v>
      </c>
      <c r="B15019" t="s">
        <v>6539</v>
      </c>
    </row>
    <row r="15020" spans="1:2" x14ac:dyDescent="0.25">
      <c r="A15020">
        <v>39079993000</v>
      </c>
      <c r="B15020" t="s">
        <v>6540</v>
      </c>
    </row>
    <row r="15021" spans="1:2" x14ac:dyDescent="0.25">
      <c r="A15021">
        <v>39079994000</v>
      </c>
      <c r="B15021" t="s">
        <v>6541</v>
      </c>
    </row>
    <row r="15022" spans="1:2" x14ac:dyDescent="0.25">
      <c r="A15022">
        <v>39079995000</v>
      </c>
      <c r="B15022" t="s">
        <v>6542</v>
      </c>
    </row>
    <row r="15023" spans="1:2" x14ac:dyDescent="0.25">
      <c r="A15023">
        <v>39079999</v>
      </c>
      <c r="B15023" t="s">
        <v>10</v>
      </c>
    </row>
    <row r="15024" spans="1:2" x14ac:dyDescent="0.25">
      <c r="A15024">
        <v>390799991</v>
      </c>
      <c r="B15024" t="s">
        <v>6543</v>
      </c>
    </row>
    <row r="15025" spans="1:2" x14ac:dyDescent="0.25">
      <c r="A15025">
        <v>39079999110</v>
      </c>
      <c r="B15025" t="s">
        <v>6544</v>
      </c>
    </row>
    <row r="15026" spans="1:2" x14ac:dyDescent="0.25">
      <c r="A15026">
        <v>39079999120</v>
      </c>
      <c r="B15026" t="s">
        <v>6545</v>
      </c>
    </row>
    <row r="15027" spans="1:2" x14ac:dyDescent="0.25">
      <c r="A15027">
        <v>39079999190</v>
      </c>
      <c r="B15027" t="s">
        <v>10</v>
      </c>
    </row>
    <row r="15028" spans="1:2" x14ac:dyDescent="0.25">
      <c r="A15028">
        <v>39079999200</v>
      </c>
      <c r="B15028" t="s">
        <v>6535</v>
      </c>
    </row>
    <row r="15029" spans="1:2" x14ac:dyDescent="0.25">
      <c r="A15029">
        <v>39079999900</v>
      </c>
      <c r="B15029" t="s">
        <v>57</v>
      </c>
    </row>
    <row r="15030" spans="1:2" x14ac:dyDescent="0.25">
      <c r="A15030">
        <v>3908</v>
      </c>
      <c r="B15030" t="s">
        <v>6546</v>
      </c>
    </row>
    <row r="15031" spans="1:2" x14ac:dyDescent="0.25">
      <c r="A15031">
        <v>390810</v>
      </c>
      <c r="B15031" t="s">
        <v>6547</v>
      </c>
    </row>
    <row r="15032" spans="1:2" x14ac:dyDescent="0.25">
      <c r="A15032">
        <v>3908101</v>
      </c>
      <c r="B15032" t="s">
        <v>6447</v>
      </c>
    </row>
    <row r="15033" spans="1:2" x14ac:dyDescent="0.25">
      <c r="A15033">
        <v>39081011000</v>
      </c>
      <c r="B15033" t="s">
        <v>6548</v>
      </c>
    </row>
    <row r="15034" spans="1:2" x14ac:dyDescent="0.25">
      <c r="A15034">
        <v>39081012000</v>
      </c>
      <c r="B15034" t="s">
        <v>6549</v>
      </c>
    </row>
    <row r="15035" spans="1:2" x14ac:dyDescent="0.25">
      <c r="A15035">
        <v>39081013000</v>
      </c>
      <c r="B15035" t="s">
        <v>6550</v>
      </c>
    </row>
    <row r="15036" spans="1:2" x14ac:dyDescent="0.25">
      <c r="A15036">
        <v>39081014000</v>
      </c>
      <c r="B15036" t="s">
        <v>6551</v>
      </c>
    </row>
    <row r="15037" spans="1:2" x14ac:dyDescent="0.25">
      <c r="A15037">
        <v>39081019</v>
      </c>
      <c r="B15037" t="s">
        <v>57</v>
      </c>
    </row>
    <row r="15038" spans="1:2" x14ac:dyDescent="0.25">
      <c r="A15038">
        <v>39081019100</v>
      </c>
      <c r="B15038" t="s">
        <v>6552</v>
      </c>
    </row>
    <row r="15039" spans="1:2" x14ac:dyDescent="0.25">
      <c r="A15039">
        <v>39081019200</v>
      </c>
      <c r="B15039" t="s">
        <v>6553</v>
      </c>
    </row>
    <row r="15040" spans="1:2" x14ac:dyDescent="0.25">
      <c r="A15040">
        <v>39081019300</v>
      </c>
      <c r="B15040" t="s">
        <v>6554</v>
      </c>
    </row>
    <row r="15041" spans="1:2" x14ac:dyDescent="0.25">
      <c r="A15041">
        <v>3908102</v>
      </c>
      <c r="B15041" t="s">
        <v>6461</v>
      </c>
    </row>
    <row r="15042" spans="1:2" x14ac:dyDescent="0.25">
      <c r="A15042">
        <v>39081021000</v>
      </c>
      <c r="B15042" t="s">
        <v>6548</v>
      </c>
    </row>
    <row r="15043" spans="1:2" x14ac:dyDescent="0.25">
      <c r="A15043">
        <v>39081022000</v>
      </c>
      <c r="B15043" t="s">
        <v>6549</v>
      </c>
    </row>
    <row r="15044" spans="1:2" x14ac:dyDescent="0.25">
      <c r="A15044">
        <v>39081023000</v>
      </c>
      <c r="B15044" t="s">
        <v>6550</v>
      </c>
    </row>
    <row r="15045" spans="1:2" x14ac:dyDescent="0.25">
      <c r="A15045">
        <v>39081024</v>
      </c>
      <c r="B15045" t="s">
        <v>6551</v>
      </c>
    </row>
    <row r="15046" spans="1:2" x14ac:dyDescent="0.25">
      <c r="A15046">
        <v>39081024100</v>
      </c>
      <c r="B15046" t="s">
        <v>6555</v>
      </c>
    </row>
    <row r="15047" spans="1:2" x14ac:dyDescent="0.25">
      <c r="A15047">
        <v>39081024200</v>
      </c>
      <c r="B15047" t="s">
        <v>6556</v>
      </c>
    </row>
    <row r="15048" spans="1:2" x14ac:dyDescent="0.25">
      <c r="A15048">
        <v>39081029</v>
      </c>
      <c r="B15048" t="s">
        <v>57</v>
      </c>
    </row>
    <row r="15049" spans="1:2" x14ac:dyDescent="0.25">
      <c r="A15049">
        <v>39081029100</v>
      </c>
      <c r="B15049" t="s">
        <v>6552</v>
      </c>
    </row>
    <row r="15050" spans="1:2" x14ac:dyDescent="0.25">
      <c r="A15050">
        <v>39081029200</v>
      </c>
      <c r="B15050" t="s">
        <v>6553</v>
      </c>
    </row>
    <row r="15051" spans="1:2" x14ac:dyDescent="0.25">
      <c r="A15051">
        <v>39081029300</v>
      </c>
      <c r="B15051" t="s">
        <v>6554</v>
      </c>
    </row>
    <row r="15052" spans="1:2" x14ac:dyDescent="0.25">
      <c r="A15052">
        <v>390890</v>
      </c>
      <c r="B15052" t="e">
        <f>- las demas</f>
        <v>#NAME?</v>
      </c>
    </row>
    <row r="15053" spans="1:2" x14ac:dyDescent="0.25">
      <c r="A15053">
        <v>39089010000</v>
      </c>
      <c r="B15053" t="s">
        <v>6557</v>
      </c>
    </row>
    <row r="15054" spans="1:2" x14ac:dyDescent="0.25">
      <c r="A15054">
        <v>39089020000</v>
      </c>
      <c r="B15054" t="s">
        <v>6558</v>
      </c>
    </row>
    <row r="15055" spans="1:2" x14ac:dyDescent="0.25">
      <c r="A15055">
        <v>39089090000</v>
      </c>
      <c r="B15055" t="s">
        <v>57</v>
      </c>
    </row>
    <row r="15056" spans="1:2" x14ac:dyDescent="0.25">
      <c r="A15056">
        <v>3909</v>
      </c>
      <c r="B15056" t="s">
        <v>6559</v>
      </c>
    </row>
    <row r="15057" spans="1:2" x14ac:dyDescent="0.25">
      <c r="A15057">
        <v>39091000</v>
      </c>
      <c r="B15057" t="e">
        <f>- Resinas ureicas, Resinas de tiourea</f>
        <v>#NAME?</v>
      </c>
    </row>
    <row r="15058" spans="1:2" x14ac:dyDescent="0.25">
      <c r="A15058">
        <v>39091000100</v>
      </c>
      <c r="B15058" t="s">
        <v>6560</v>
      </c>
    </row>
    <row r="15059" spans="1:2" x14ac:dyDescent="0.25">
      <c r="A15059">
        <v>39091000200</v>
      </c>
      <c r="B15059" t="s">
        <v>6561</v>
      </c>
    </row>
    <row r="15060" spans="1:2" x14ac:dyDescent="0.25">
      <c r="A15060">
        <v>390920</v>
      </c>
      <c r="B15060" t="e">
        <f>- Resinas melaminicas</f>
        <v>#NAME?</v>
      </c>
    </row>
    <row r="15061" spans="1:2" x14ac:dyDescent="0.25">
      <c r="A15061">
        <v>3909201</v>
      </c>
      <c r="B15061" t="s">
        <v>6442</v>
      </c>
    </row>
    <row r="15062" spans="1:2" x14ac:dyDescent="0.25">
      <c r="A15062">
        <v>39092011000</v>
      </c>
      <c r="B15062" t="s">
        <v>6562</v>
      </c>
    </row>
    <row r="15063" spans="1:2" x14ac:dyDescent="0.25">
      <c r="A15063">
        <v>39092019000</v>
      </c>
      <c r="B15063" t="s">
        <v>57</v>
      </c>
    </row>
    <row r="15064" spans="1:2" x14ac:dyDescent="0.25">
      <c r="A15064">
        <v>3909202</v>
      </c>
      <c r="B15064" t="s">
        <v>6443</v>
      </c>
    </row>
    <row r="15065" spans="1:2" x14ac:dyDescent="0.25">
      <c r="A15065">
        <v>39092021000</v>
      </c>
      <c r="B15065" t="s">
        <v>6562</v>
      </c>
    </row>
    <row r="15066" spans="1:2" x14ac:dyDescent="0.25">
      <c r="A15066">
        <v>39092029000</v>
      </c>
      <c r="B15066" t="s">
        <v>57</v>
      </c>
    </row>
    <row r="15067" spans="1:2" x14ac:dyDescent="0.25">
      <c r="A15067">
        <v>39093</v>
      </c>
      <c r="B15067" t="s">
        <v>6563</v>
      </c>
    </row>
    <row r="15068" spans="1:2" x14ac:dyDescent="0.25">
      <c r="A15068">
        <v>39093100000</v>
      </c>
      <c r="B15068" t="e">
        <f ca="1">--poli(metilenfenilisocianato) (MDI En bruto. MDI polimerico)</f>
        <v>#NAME?</v>
      </c>
    </row>
    <row r="15069" spans="1:2" x14ac:dyDescent="0.25">
      <c r="A15069">
        <v>39093900000</v>
      </c>
      <c r="B15069" t="e">
        <f>--las demas</f>
        <v>#NAME?</v>
      </c>
    </row>
    <row r="15070" spans="1:2" x14ac:dyDescent="0.25">
      <c r="A15070">
        <v>390940</v>
      </c>
      <c r="B15070" t="e">
        <f>- Resinas fenolicas</f>
        <v>#NAME?</v>
      </c>
    </row>
    <row r="15071" spans="1:2" x14ac:dyDescent="0.25">
      <c r="A15071">
        <v>3909401</v>
      </c>
      <c r="B15071" t="s">
        <v>6564</v>
      </c>
    </row>
    <row r="15072" spans="1:2" x14ac:dyDescent="0.25">
      <c r="A15072">
        <v>39094011000</v>
      </c>
      <c r="B15072" t="s">
        <v>6565</v>
      </c>
    </row>
    <row r="15073" spans="1:2" x14ac:dyDescent="0.25">
      <c r="A15073">
        <v>39094019000</v>
      </c>
      <c r="B15073" t="s">
        <v>57</v>
      </c>
    </row>
    <row r="15074" spans="1:2" x14ac:dyDescent="0.25">
      <c r="A15074">
        <v>3909409</v>
      </c>
      <c r="B15074" t="s">
        <v>57</v>
      </c>
    </row>
    <row r="15075" spans="1:2" x14ac:dyDescent="0.25">
      <c r="A15075">
        <v>39094091000</v>
      </c>
      <c r="B15075" t="s">
        <v>6565</v>
      </c>
    </row>
    <row r="15076" spans="1:2" x14ac:dyDescent="0.25">
      <c r="A15076">
        <v>39094099000</v>
      </c>
      <c r="B15076" t="s">
        <v>57</v>
      </c>
    </row>
    <row r="15077" spans="1:2" x14ac:dyDescent="0.25">
      <c r="A15077">
        <v>390950</v>
      </c>
      <c r="B15077" t="e">
        <f>- Poliuretanos</f>
        <v>#NAME?</v>
      </c>
    </row>
    <row r="15078" spans="1:2" x14ac:dyDescent="0.25">
      <c r="A15078">
        <v>3909501</v>
      </c>
      <c r="B15078" t="s">
        <v>6447</v>
      </c>
    </row>
    <row r="15079" spans="1:2" x14ac:dyDescent="0.25">
      <c r="A15079">
        <v>39095011000</v>
      </c>
      <c r="B15079" t="s">
        <v>6566</v>
      </c>
    </row>
    <row r="15080" spans="1:2" x14ac:dyDescent="0.25">
      <c r="A15080">
        <v>39095012000</v>
      </c>
      <c r="B15080" t="s">
        <v>6567</v>
      </c>
    </row>
    <row r="15081" spans="1:2" x14ac:dyDescent="0.25">
      <c r="A15081">
        <v>39095019000</v>
      </c>
      <c r="B15081" t="s">
        <v>10</v>
      </c>
    </row>
    <row r="15082" spans="1:2" x14ac:dyDescent="0.25">
      <c r="A15082">
        <v>3909502</v>
      </c>
      <c r="B15082" t="s">
        <v>6461</v>
      </c>
    </row>
    <row r="15083" spans="1:2" x14ac:dyDescent="0.25">
      <c r="A15083">
        <v>39095021000</v>
      </c>
      <c r="B15083" t="s">
        <v>6568</v>
      </c>
    </row>
    <row r="15084" spans="1:2" x14ac:dyDescent="0.25">
      <c r="A15084">
        <v>39095029000</v>
      </c>
      <c r="B15084" t="s">
        <v>10</v>
      </c>
    </row>
    <row r="15085" spans="1:2" x14ac:dyDescent="0.25">
      <c r="A15085">
        <v>391000</v>
      </c>
      <c r="B15085" t="s">
        <v>6569</v>
      </c>
    </row>
    <row r="15086" spans="1:2" x14ac:dyDescent="0.25">
      <c r="A15086">
        <v>3910001</v>
      </c>
      <c r="B15086" t="s">
        <v>6570</v>
      </c>
    </row>
    <row r="15087" spans="1:2" x14ac:dyDescent="0.25">
      <c r="A15087">
        <v>39100011000</v>
      </c>
      <c r="B15087" t="s">
        <v>6571</v>
      </c>
    </row>
    <row r="15088" spans="1:2" x14ac:dyDescent="0.25">
      <c r="A15088">
        <v>39100012000</v>
      </c>
      <c r="B15088" t="s">
        <v>6572</v>
      </c>
    </row>
    <row r="15089" spans="1:2" x14ac:dyDescent="0.25">
      <c r="A15089">
        <v>39100013000</v>
      </c>
      <c r="B15089" t="s">
        <v>6573</v>
      </c>
    </row>
    <row r="15090" spans="1:2" x14ac:dyDescent="0.25">
      <c r="A15090">
        <v>39100019000</v>
      </c>
      <c r="B15090" t="s">
        <v>10</v>
      </c>
    </row>
    <row r="15091" spans="1:2" x14ac:dyDescent="0.25">
      <c r="A15091">
        <v>3910002</v>
      </c>
      <c r="B15091" t="s">
        <v>6574</v>
      </c>
    </row>
    <row r="15092" spans="1:2" x14ac:dyDescent="0.25">
      <c r="A15092">
        <v>39100021000</v>
      </c>
      <c r="B15092" t="s">
        <v>6575</v>
      </c>
    </row>
    <row r="15093" spans="1:2" x14ac:dyDescent="0.25">
      <c r="A15093">
        <v>39100029000</v>
      </c>
      <c r="B15093" t="s">
        <v>10</v>
      </c>
    </row>
    <row r="15094" spans="1:2" x14ac:dyDescent="0.25">
      <c r="A15094">
        <v>39100030000</v>
      </c>
      <c r="B15094" t="s">
        <v>6576</v>
      </c>
    </row>
    <row r="15095" spans="1:2" x14ac:dyDescent="0.25">
      <c r="A15095">
        <v>39100090000</v>
      </c>
      <c r="B15095" t="s">
        <v>57</v>
      </c>
    </row>
    <row r="15096" spans="1:2" x14ac:dyDescent="0.25">
      <c r="A15096">
        <v>3911</v>
      </c>
      <c r="B15096" t="s">
        <v>6577</v>
      </c>
    </row>
    <row r="15097" spans="1:2" x14ac:dyDescent="0.25">
      <c r="A15097">
        <v>391110</v>
      </c>
      <c r="B15097" t="e">
        <f>- Resinas de petroleo. Resinas de cumarona. Resinas de indeno. Resinas de cumarona-indeno y politerpenos</f>
        <v>#NAME?</v>
      </c>
    </row>
    <row r="15098" spans="1:2" x14ac:dyDescent="0.25">
      <c r="A15098">
        <v>39111010</v>
      </c>
      <c r="B15098" t="s">
        <v>6442</v>
      </c>
    </row>
    <row r="15099" spans="1:2" x14ac:dyDescent="0.25">
      <c r="A15099">
        <v>39111010100</v>
      </c>
      <c r="B15099" t="s">
        <v>6578</v>
      </c>
    </row>
    <row r="15100" spans="1:2" x14ac:dyDescent="0.25">
      <c r="A15100">
        <v>39111010200</v>
      </c>
      <c r="B15100" t="s">
        <v>6579</v>
      </c>
    </row>
    <row r="15101" spans="1:2" x14ac:dyDescent="0.25">
      <c r="A15101">
        <v>39111010300</v>
      </c>
      <c r="B15101" t="s">
        <v>6580</v>
      </c>
    </row>
    <row r="15102" spans="1:2" x14ac:dyDescent="0.25">
      <c r="A15102">
        <v>39111010400</v>
      </c>
      <c r="B15102" t="s">
        <v>6581</v>
      </c>
    </row>
    <row r="15103" spans="1:2" x14ac:dyDescent="0.25">
      <c r="A15103">
        <v>39111010500</v>
      </c>
      <c r="B15103" t="s">
        <v>6582</v>
      </c>
    </row>
    <row r="15104" spans="1:2" x14ac:dyDescent="0.25">
      <c r="A15104">
        <v>3911102</v>
      </c>
      <c r="B15104" t="s">
        <v>6443</v>
      </c>
    </row>
    <row r="15105" spans="1:2" x14ac:dyDescent="0.25">
      <c r="A15105">
        <v>39111021000</v>
      </c>
      <c r="B15105" t="s">
        <v>6583</v>
      </c>
    </row>
    <row r="15106" spans="1:2" x14ac:dyDescent="0.25">
      <c r="A15106">
        <v>39111029</v>
      </c>
      <c r="B15106" t="s">
        <v>57</v>
      </c>
    </row>
    <row r="15107" spans="1:2" x14ac:dyDescent="0.25">
      <c r="A15107">
        <v>39111029100</v>
      </c>
      <c r="B15107" t="s">
        <v>6578</v>
      </c>
    </row>
    <row r="15108" spans="1:2" x14ac:dyDescent="0.25">
      <c r="A15108">
        <v>39111029200</v>
      </c>
      <c r="B15108" t="s">
        <v>6579</v>
      </c>
    </row>
    <row r="15109" spans="1:2" x14ac:dyDescent="0.25">
      <c r="A15109">
        <v>39111029300</v>
      </c>
      <c r="B15109" t="s">
        <v>6580</v>
      </c>
    </row>
    <row r="15110" spans="1:2" x14ac:dyDescent="0.25">
      <c r="A15110">
        <v>39111029400</v>
      </c>
      <c r="B15110" t="s">
        <v>6581</v>
      </c>
    </row>
    <row r="15111" spans="1:2" x14ac:dyDescent="0.25">
      <c r="A15111">
        <v>39111029500</v>
      </c>
      <c r="B15111" t="s">
        <v>6582</v>
      </c>
    </row>
    <row r="15112" spans="1:2" x14ac:dyDescent="0.25">
      <c r="A15112">
        <v>391190</v>
      </c>
      <c r="B15112" t="e">
        <f>- Los demas</f>
        <v>#NAME?</v>
      </c>
    </row>
    <row r="15113" spans="1:2" x14ac:dyDescent="0.25">
      <c r="A15113">
        <v>3911901</v>
      </c>
      <c r="B15113" t="s">
        <v>6442</v>
      </c>
    </row>
    <row r="15114" spans="1:2" x14ac:dyDescent="0.25">
      <c r="A15114">
        <v>39119011000</v>
      </c>
      <c r="B15114" t="s">
        <v>6584</v>
      </c>
    </row>
    <row r="15115" spans="1:2" x14ac:dyDescent="0.25">
      <c r="A15115">
        <v>39119012000</v>
      </c>
      <c r="B15115" t="s">
        <v>6585</v>
      </c>
    </row>
    <row r="15116" spans="1:2" x14ac:dyDescent="0.25">
      <c r="A15116">
        <v>39119013000</v>
      </c>
      <c r="B15116" t="s">
        <v>6586</v>
      </c>
    </row>
    <row r="15117" spans="1:2" x14ac:dyDescent="0.25">
      <c r="A15117">
        <v>39119014000</v>
      </c>
      <c r="B15117" t="s">
        <v>6587</v>
      </c>
    </row>
    <row r="15118" spans="1:2" x14ac:dyDescent="0.25">
      <c r="A15118">
        <v>39119019</v>
      </c>
      <c r="B15118" t="s">
        <v>10</v>
      </c>
    </row>
    <row r="15119" spans="1:2" x14ac:dyDescent="0.25">
      <c r="A15119">
        <v>39119019100</v>
      </c>
      <c r="B15119" t="s">
        <v>6588</v>
      </c>
    </row>
    <row r="15120" spans="1:2" x14ac:dyDescent="0.25">
      <c r="A15120">
        <v>39119019200</v>
      </c>
      <c r="B15120" t="s">
        <v>6589</v>
      </c>
    </row>
    <row r="15121" spans="1:2" x14ac:dyDescent="0.25">
      <c r="A15121">
        <v>39119019900</v>
      </c>
      <c r="B15121" t="s">
        <v>10</v>
      </c>
    </row>
    <row r="15122" spans="1:2" x14ac:dyDescent="0.25">
      <c r="A15122">
        <v>3911902</v>
      </c>
      <c r="B15122" t="s">
        <v>6443</v>
      </c>
    </row>
    <row r="15123" spans="1:2" x14ac:dyDescent="0.25">
      <c r="A15123">
        <v>39119021000</v>
      </c>
      <c r="B15123" t="s">
        <v>6584</v>
      </c>
    </row>
    <row r="15124" spans="1:2" x14ac:dyDescent="0.25">
      <c r="A15124">
        <v>39119022000</v>
      </c>
      <c r="B15124" t="s">
        <v>6590</v>
      </c>
    </row>
    <row r="15125" spans="1:2" x14ac:dyDescent="0.25">
      <c r="A15125">
        <v>39119023000</v>
      </c>
      <c r="B15125" t="s">
        <v>6591</v>
      </c>
    </row>
    <row r="15126" spans="1:2" x14ac:dyDescent="0.25">
      <c r="A15126">
        <v>39119024000</v>
      </c>
      <c r="B15126" t="s">
        <v>6585</v>
      </c>
    </row>
    <row r="15127" spans="1:2" x14ac:dyDescent="0.25">
      <c r="A15127">
        <v>39119025000</v>
      </c>
      <c r="B15127" t="s">
        <v>6586</v>
      </c>
    </row>
    <row r="15128" spans="1:2" x14ac:dyDescent="0.25">
      <c r="A15128">
        <v>39119026000</v>
      </c>
      <c r="B15128" t="s">
        <v>6588</v>
      </c>
    </row>
    <row r="15129" spans="1:2" x14ac:dyDescent="0.25">
      <c r="A15129">
        <v>39119027000</v>
      </c>
      <c r="B15129" t="s">
        <v>6592</v>
      </c>
    </row>
    <row r="15130" spans="1:2" x14ac:dyDescent="0.25">
      <c r="A15130">
        <v>39119029</v>
      </c>
      <c r="B15130" t="s">
        <v>10</v>
      </c>
    </row>
    <row r="15131" spans="1:2" x14ac:dyDescent="0.25">
      <c r="A15131">
        <v>39119029100</v>
      </c>
      <c r="B15131" t="s">
        <v>6589</v>
      </c>
    </row>
    <row r="15132" spans="1:2" x14ac:dyDescent="0.25">
      <c r="A15132">
        <v>39119029300</v>
      </c>
      <c r="B15132" t="s">
        <v>6593</v>
      </c>
    </row>
    <row r="15133" spans="1:2" x14ac:dyDescent="0.25">
      <c r="A15133">
        <v>39119029900</v>
      </c>
      <c r="B15133" t="s">
        <v>10</v>
      </c>
    </row>
    <row r="15134" spans="1:2" x14ac:dyDescent="0.25">
      <c r="A15134">
        <v>3912</v>
      </c>
      <c r="B15134" t="s">
        <v>6594</v>
      </c>
    </row>
    <row r="15135" spans="1:2" x14ac:dyDescent="0.25">
      <c r="A15135">
        <v>39121</v>
      </c>
      <c r="B15135" t="s">
        <v>6595</v>
      </c>
    </row>
    <row r="15136" spans="1:2" x14ac:dyDescent="0.25">
      <c r="A15136">
        <v>391211</v>
      </c>
      <c r="B15136" t="e">
        <f>- - sin plastificar</f>
        <v>#NAME?</v>
      </c>
    </row>
    <row r="15137" spans="1:2" x14ac:dyDescent="0.25">
      <c r="A15137">
        <v>39121110000</v>
      </c>
      <c r="B15137" t="s">
        <v>6442</v>
      </c>
    </row>
    <row r="15138" spans="1:2" x14ac:dyDescent="0.25">
      <c r="A15138">
        <v>39121120000</v>
      </c>
      <c r="B15138" t="s">
        <v>6443</v>
      </c>
    </row>
    <row r="15139" spans="1:2" x14ac:dyDescent="0.25">
      <c r="A15139">
        <v>39121200000</v>
      </c>
      <c r="B15139" t="e">
        <f>--Plastificados</f>
        <v>#NAME?</v>
      </c>
    </row>
    <row r="15140" spans="1:2" x14ac:dyDescent="0.25">
      <c r="A15140">
        <v>391220</v>
      </c>
      <c r="B15140" t="e">
        <f>- Nitratos de celulosa (incluidos Los colodiones)</f>
        <v>#NAME?</v>
      </c>
    </row>
    <row r="15141" spans="1:2" x14ac:dyDescent="0.25">
      <c r="A15141">
        <v>39122010</v>
      </c>
      <c r="B15141" t="s">
        <v>6442</v>
      </c>
    </row>
    <row r="15142" spans="1:2" x14ac:dyDescent="0.25">
      <c r="A15142">
        <v>39122010100</v>
      </c>
      <c r="B15142" t="s">
        <v>6596</v>
      </c>
    </row>
    <row r="15143" spans="1:2" x14ac:dyDescent="0.25">
      <c r="A15143">
        <v>39122010900</v>
      </c>
      <c r="B15143" t="s">
        <v>10</v>
      </c>
    </row>
    <row r="15144" spans="1:2" x14ac:dyDescent="0.25">
      <c r="A15144">
        <v>3912202</v>
      </c>
      <c r="B15144" t="s">
        <v>6443</v>
      </c>
    </row>
    <row r="15145" spans="1:2" x14ac:dyDescent="0.25">
      <c r="A15145">
        <v>39122021</v>
      </c>
      <c r="B15145" t="s">
        <v>6597</v>
      </c>
    </row>
    <row r="15146" spans="1:2" x14ac:dyDescent="0.25">
      <c r="A15146">
        <v>39122021100</v>
      </c>
      <c r="B15146" t="s">
        <v>6598</v>
      </c>
    </row>
    <row r="15147" spans="1:2" x14ac:dyDescent="0.25">
      <c r="A15147">
        <v>39122021900</v>
      </c>
      <c r="B15147" t="s">
        <v>10</v>
      </c>
    </row>
    <row r="15148" spans="1:2" x14ac:dyDescent="0.25">
      <c r="A15148">
        <v>39122029</v>
      </c>
      <c r="B15148" t="s">
        <v>10</v>
      </c>
    </row>
    <row r="15149" spans="1:2" x14ac:dyDescent="0.25">
      <c r="A15149">
        <v>39122029100</v>
      </c>
      <c r="B15149" t="s">
        <v>6599</v>
      </c>
    </row>
    <row r="15150" spans="1:2" x14ac:dyDescent="0.25">
      <c r="A15150">
        <v>39122029900</v>
      </c>
      <c r="B15150" t="s">
        <v>6600</v>
      </c>
    </row>
    <row r="15151" spans="1:2" x14ac:dyDescent="0.25">
      <c r="A15151">
        <v>39123</v>
      </c>
      <c r="B15151" t="s">
        <v>6601</v>
      </c>
    </row>
    <row r="15152" spans="1:2" x14ac:dyDescent="0.25">
      <c r="A15152">
        <v>391231</v>
      </c>
      <c r="B15152" t="e">
        <f>- - Carboximetilcelulosa y sus sales</f>
        <v>#NAME?</v>
      </c>
    </row>
    <row r="15153" spans="1:2" x14ac:dyDescent="0.25">
      <c r="A15153">
        <v>3912311</v>
      </c>
      <c r="B15153" t="s">
        <v>6602</v>
      </c>
    </row>
    <row r="15154" spans="1:2" x14ac:dyDescent="0.25">
      <c r="A15154">
        <v>39123111000</v>
      </c>
      <c r="B15154" t="s">
        <v>6603</v>
      </c>
    </row>
    <row r="15155" spans="1:2" x14ac:dyDescent="0.25">
      <c r="A15155">
        <v>39123119000</v>
      </c>
      <c r="B15155" t="s">
        <v>57</v>
      </c>
    </row>
    <row r="15156" spans="1:2" x14ac:dyDescent="0.25">
      <c r="A15156">
        <v>3912312</v>
      </c>
      <c r="B15156" t="s">
        <v>2195</v>
      </c>
    </row>
    <row r="15157" spans="1:2" x14ac:dyDescent="0.25">
      <c r="A15157">
        <v>39123121000</v>
      </c>
      <c r="B15157" t="s">
        <v>6604</v>
      </c>
    </row>
    <row r="15158" spans="1:2" x14ac:dyDescent="0.25">
      <c r="A15158">
        <v>39123129000</v>
      </c>
      <c r="B15158" t="s">
        <v>57</v>
      </c>
    </row>
    <row r="15159" spans="1:2" x14ac:dyDescent="0.25">
      <c r="A15159">
        <v>391239</v>
      </c>
      <c r="B15159" t="e">
        <f>- - Los demas</f>
        <v>#NAME?</v>
      </c>
    </row>
    <row r="15160" spans="1:2" x14ac:dyDescent="0.25">
      <c r="A15160">
        <v>39123910</v>
      </c>
      <c r="B15160" t="s">
        <v>6605</v>
      </c>
    </row>
    <row r="15161" spans="1:2" x14ac:dyDescent="0.25">
      <c r="A15161">
        <v>39123910100</v>
      </c>
      <c r="B15161" t="s">
        <v>6606</v>
      </c>
    </row>
    <row r="15162" spans="1:2" x14ac:dyDescent="0.25">
      <c r="A15162">
        <v>39123910200</v>
      </c>
      <c r="B15162" t="s">
        <v>6607</v>
      </c>
    </row>
    <row r="15163" spans="1:2" x14ac:dyDescent="0.25">
      <c r="A15163">
        <v>39123910300</v>
      </c>
      <c r="B15163" t="s">
        <v>6608</v>
      </c>
    </row>
    <row r="15164" spans="1:2" x14ac:dyDescent="0.25">
      <c r="A15164">
        <v>39123920000</v>
      </c>
      <c r="B15164" t="s">
        <v>6609</v>
      </c>
    </row>
    <row r="15165" spans="1:2" x14ac:dyDescent="0.25">
      <c r="A15165">
        <v>39123930000</v>
      </c>
      <c r="B15165" t="s">
        <v>6610</v>
      </c>
    </row>
    <row r="15166" spans="1:2" x14ac:dyDescent="0.25">
      <c r="A15166">
        <v>39123990000</v>
      </c>
      <c r="B15166" t="s">
        <v>10</v>
      </c>
    </row>
    <row r="15167" spans="1:2" x14ac:dyDescent="0.25">
      <c r="A15167">
        <v>391290</v>
      </c>
      <c r="B15167" t="e">
        <f>- Los demas</f>
        <v>#NAME?</v>
      </c>
    </row>
    <row r="15168" spans="1:2" x14ac:dyDescent="0.25">
      <c r="A15168">
        <v>39129010000</v>
      </c>
      <c r="B15168" t="s">
        <v>6611</v>
      </c>
    </row>
    <row r="15169" spans="1:2" x14ac:dyDescent="0.25">
      <c r="A15169">
        <v>39129020000</v>
      </c>
      <c r="B15169" t="s">
        <v>6612</v>
      </c>
    </row>
    <row r="15170" spans="1:2" x14ac:dyDescent="0.25">
      <c r="A15170">
        <v>3912903</v>
      </c>
      <c r="B15170" t="s">
        <v>6613</v>
      </c>
    </row>
    <row r="15171" spans="1:2" x14ac:dyDescent="0.25">
      <c r="A15171">
        <v>39129031</v>
      </c>
      <c r="B15171" t="s">
        <v>1806</v>
      </c>
    </row>
    <row r="15172" spans="1:2" x14ac:dyDescent="0.25">
      <c r="A15172">
        <v>39129031100</v>
      </c>
      <c r="B15172" t="s">
        <v>6614</v>
      </c>
    </row>
    <row r="15173" spans="1:2" x14ac:dyDescent="0.25">
      <c r="A15173">
        <v>39129031900</v>
      </c>
      <c r="B15173" t="s">
        <v>57</v>
      </c>
    </row>
    <row r="15174" spans="1:2" x14ac:dyDescent="0.25">
      <c r="A15174">
        <v>39129039000</v>
      </c>
      <c r="B15174" t="s">
        <v>57</v>
      </c>
    </row>
    <row r="15175" spans="1:2" x14ac:dyDescent="0.25">
      <c r="A15175">
        <v>39129040000</v>
      </c>
      <c r="B15175" t="s">
        <v>6615</v>
      </c>
    </row>
    <row r="15176" spans="1:2" x14ac:dyDescent="0.25">
      <c r="A15176">
        <v>39129090000</v>
      </c>
      <c r="B15176" t="s">
        <v>10</v>
      </c>
    </row>
    <row r="15177" spans="1:2" x14ac:dyDescent="0.25">
      <c r="A15177">
        <v>3913</v>
      </c>
      <c r="B15177" t="s">
        <v>6616</v>
      </c>
    </row>
    <row r="15178" spans="1:2" x14ac:dyDescent="0.25">
      <c r="A15178">
        <v>39131000</v>
      </c>
      <c r="B15178" t="e">
        <f>- acido alginico. sus sales y sus esteres</f>
        <v>#NAME?</v>
      </c>
    </row>
    <row r="15179" spans="1:2" x14ac:dyDescent="0.25">
      <c r="A15179">
        <v>39131000100</v>
      </c>
      <c r="B15179" t="s">
        <v>6617</v>
      </c>
    </row>
    <row r="15180" spans="1:2" x14ac:dyDescent="0.25">
      <c r="A15180">
        <v>391310002</v>
      </c>
      <c r="B15180" t="s">
        <v>2195</v>
      </c>
    </row>
    <row r="15181" spans="1:2" x14ac:dyDescent="0.25">
      <c r="A15181">
        <v>39131000210</v>
      </c>
      <c r="B15181" t="s">
        <v>2151</v>
      </c>
    </row>
    <row r="15182" spans="1:2" x14ac:dyDescent="0.25">
      <c r="A15182">
        <v>39131000290</v>
      </c>
      <c r="B15182" t="s">
        <v>10</v>
      </c>
    </row>
    <row r="15183" spans="1:2" x14ac:dyDescent="0.25">
      <c r="A15183">
        <v>391310003</v>
      </c>
      <c r="B15183" t="s">
        <v>2966</v>
      </c>
    </row>
    <row r="15184" spans="1:2" x14ac:dyDescent="0.25">
      <c r="A15184">
        <v>39131000310</v>
      </c>
      <c r="B15184" t="s">
        <v>6618</v>
      </c>
    </row>
    <row r="15185" spans="1:2" x14ac:dyDescent="0.25">
      <c r="A15185">
        <v>39131000390</v>
      </c>
      <c r="B15185" t="s">
        <v>10</v>
      </c>
    </row>
    <row r="15186" spans="1:2" x14ac:dyDescent="0.25">
      <c r="A15186">
        <v>391390</v>
      </c>
      <c r="B15186" t="e">
        <f>- Los demas</f>
        <v>#NAME?</v>
      </c>
    </row>
    <row r="15187" spans="1:2" x14ac:dyDescent="0.25">
      <c r="A15187">
        <v>3913901</v>
      </c>
      <c r="B15187" t="s">
        <v>6619</v>
      </c>
    </row>
    <row r="15188" spans="1:2" x14ac:dyDescent="0.25">
      <c r="A15188">
        <v>39139011000</v>
      </c>
      <c r="B15188" t="s">
        <v>6620</v>
      </c>
    </row>
    <row r="15189" spans="1:2" x14ac:dyDescent="0.25">
      <c r="A15189">
        <v>39139012000</v>
      </c>
      <c r="B15189" t="s">
        <v>6621</v>
      </c>
    </row>
    <row r="15190" spans="1:2" x14ac:dyDescent="0.25">
      <c r="A15190">
        <v>39139019</v>
      </c>
      <c r="B15190" t="s">
        <v>10</v>
      </c>
    </row>
    <row r="15191" spans="1:2" x14ac:dyDescent="0.25">
      <c r="A15191">
        <v>39139019100</v>
      </c>
      <c r="B15191" t="s">
        <v>6622</v>
      </c>
    </row>
    <row r="15192" spans="1:2" x14ac:dyDescent="0.25">
      <c r="A15192">
        <v>39139019200</v>
      </c>
      <c r="B15192" t="s">
        <v>6623</v>
      </c>
    </row>
    <row r="15193" spans="1:2" x14ac:dyDescent="0.25">
      <c r="A15193">
        <v>39139019900</v>
      </c>
      <c r="B15193" t="s">
        <v>10</v>
      </c>
    </row>
    <row r="15194" spans="1:2" x14ac:dyDescent="0.25">
      <c r="A15194">
        <v>39139020000</v>
      </c>
      <c r="B15194" t="s">
        <v>6624</v>
      </c>
    </row>
    <row r="15195" spans="1:2" x14ac:dyDescent="0.25">
      <c r="A15195">
        <v>39139030000</v>
      </c>
      <c r="B15195" t="s">
        <v>6625</v>
      </c>
    </row>
    <row r="15196" spans="1:2" x14ac:dyDescent="0.25">
      <c r="A15196">
        <v>39139040</v>
      </c>
      <c r="B15196" t="s">
        <v>6626</v>
      </c>
    </row>
    <row r="15197" spans="1:2" x14ac:dyDescent="0.25">
      <c r="A15197">
        <v>39139040100</v>
      </c>
      <c r="B15197" t="s">
        <v>6627</v>
      </c>
    </row>
    <row r="15198" spans="1:2" x14ac:dyDescent="0.25">
      <c r="A15198">
        <v>39139040900</v>
      </c>
      <c r="B15198" t="s">
        <v>57</v>
      </c>
    </row>
    <row r="15199" spans="1:2" x14ac:dyDescent="0.25">
      <c r="A15199">
        <v>39139050000</v>
      </c>
      <c r="B15199" t="s">
        <v>6628</v>
      </c>
    </row>
    <row r="15200" spans="1:2" x14ac:dyDescent="0.25">
      <c r="A15200">
        <v>39139060000</v>
      </c>
      <c r="B15200" t="s">
        <v>6629</v>
      </c>
    </row>
    <row r="15201" spans="1:2" x14ac:dyDescent="0.25">
      <c r="A15201">
        <v>39139090000</v>
      </c>
      <c r="B15201" t="s">
        <v>10</v>
      </c>
    </row>
    <row r="15202" spans="1:2" x14ac:dyDescent="0.25">
      <c r="A15202">
        <v>391400</v>
      </c>
      <c r="B15202" t="s">
        <v>6630</v>
      </c>
    </row>
    <row r="15203" spans="1:2" x14ac:dyDescent="0.25">
      <c r="A15203">
        <v>3914001</v>
      </c>
      <c r="B15203" t="s">
        <v>6631</v>
      </c>
    </row>
    <row r="15204" spans="1:2" x14ac:dyDescent="0.25">
      <c r="A15204">
        <v>39140011000</v>
      </c>
      <c r="B15204" t="s">
        <v>6632</v>
      </c>
    </row>
    <row r="15205" spans="1:2" x14ac:dyDescent="0.25">
      <c r="A15205">
        <v>39140019000</v>
      </c>
      <c r="B15205" t="s">
        <v>10</v>
      </c>
    </row>
    <row r="15206" spans="1:2" x14ac:dyDescent="0.25">
      <c r="A15206">
        <v>39140090</v>
      </c>
      <c r="B15206" t="s">
        <v>10</v>
      </c>
    </row>
    <row r="15207" spans="1:2" x14ac:dyDescent="0.25">
      <c r="A15207">
        <v>39140090100</v>
      </c>
      <c r="B15207" t="s">
        <v>6633</v>
      </c>
    </row>
    <row r="15208" spans="1:2" x14ac:dyDescent="0.25">
      <c r="A15208">
        <v>39140090200</v>
      </c>
      <c r="B15208" t="s">
        <v>6634</v>
      </c>
    </row>
    <row r="15209" spans="1:2" x14ac:dyDescent="0.25">
      <c r="A15209">
        <v>39140090900</v>
      </c>
      <c r="B15209" t="s">
        <v>10</v>
      </c>
    </row>
    <row r="15210" spans="1:2" x14ac:dyDescent="0.25">
      <c r="A15210">
        <v>3915</v>
      </c>
      <c r="B15210" t="s">
        <v>6635</v>
      </c>
    </row>
    <row r="15211" spans="1:2" x14ac:dyDescent="0.25">
      <c r="A15211">
        <v>39151000000</v>
      </c>
      <c r="B15211" t="e">
        <f>-de Polimeros de Etileno</f>
        <v>#NAME?</v>
      </c>
    </row>
    <row r="15212" spans="1:2" x14ac:dyDescent="0.25">
      <c r="A15212">
        <v>39152000000</v>
      </c>
      <c r="B15212" t="e">
        <f>-de Polimeros de Estireno</f>
        <v>#NAME?</v>
      </c>
    </row>
    <row r="15213" spans="1:2" x14ac:dyDescent="0.25">
      <c r="A15213">
        <v>39153000000</v>
      </c>
      <c r="B15213" t="e">
        <f>-de Polimeros de Cloruro de vinilo</f>
        <v>#NAME?</v>
      </c>
    </row>
    <row r="15214" spans="1:2" x14ac:dyDescent="0.25">
      <c r="A15214">
        <v>39159000</v>
      </c>
      <c r="B15214" t="e">
        <f>- de Los demas plasticos</f>
        <v>#NAME?</v>
      </c>
    </row>
    <row r="15215" spans="1:2" x14ac:dyDescent="0.25">
      <c r="A15215">
        <v>39159000100</v>
      </c>
      <c r="B15215" t="s">
        <v>5414</v>
      </c>
    </row>
    <row r="15216" spans="1:2" x14ac:dyDescent="0.25">
      <c r="A15216">
        <v>39159000200</v>
      </c>
      <c r="B15216" t="s">
        <v>6636</v>
      </c>
    </row>
    <row r="15217" spans="1:2" x14ac:dyDescent="0.25">
      <c r="A15217">
        <v>39159000300</v>
      </c>
      <c r="B15217" t="s">
        <v>6637</v>
      </c>
    </row>
    <row r="15218" spans="1:2" x14ac:dyDescent="0.25">
      <c r="A15218">
        <v>39159000900</v>
      </c>
      <c r="B15218" t="s">
        <v>10</v>
      </c>
    </row>
    <row r="15219" spans="1:2" x14ac:dyDescent="0.25">
      <c r="A15219">
        <v>3916</v>
      </c>
      <c r="B15219" t="s">
        <v>6638</v>
      </c>
    </row>
    <row r="15220" spans="1:2" x14ac:dyDescent="0.25">
      <c r="A15220">
        <v>39161000</v>
      </c>
      <c r="B15220" t="e">
        <f>- de Polimeros de Etileno</f>
        <v>#NAME?</v>
      </c>
    </row>
    <row r="15221" spans="1:2" x14ac:dyDescent="0.25">
      <c r="A15221">
        <v>39161000100</v>
      </c>
      <c r="B15221" t="s">
        <v>6639</v>
      </c>
    </row>
    <row r="15222" spans="1:2" x14ac:dyDescent="0.25">
      <c r="A15222">
        <v>39161000200</v>
      </c>
      <c r="B15222" t="s">
        <v>6640</v>
      </c>
    </row>
    <row r="15223" spans="1:2" x14ac:dyDescent="0.25">
      <c r="A15223">
        <v>39162000</v>
      </c>
      <c r="B15223" t="e">
        <f>- de Polimeros de Cloruro de vinilo</f>
        <v>#NAME?</v>
      </c>
    </row>
    <row r="15224" spans="1:2" x14ac:dyDescent="0.25">
      <c r="A15224">
        <v>39162000100</v>
      </c>
      <c r="B15224" t="s">
        <v>6639</v>
      </c>
    </row>
    <row r="15225" spans="1:2" x14ac:dyDescent="0.25">
      <c r="A15225">
        <v>391620002</v>
      </c>
      <c r="B15225" t="s">
        <v>6640</v>
      </c>
    </row>
    <row r="15226" spans="1:2" x14ac:dyDescent="0.25">
      <c r="A15226">
        <v>39162000210</v>
      </c>
      <c r="B15226" t="s">
        <v>6641</v>
      </c>
    </row>
    <row r="15227" spans="1:2" x14ac:dyDescent="0.25">
      <c r="A15227">
        <v>39162000290</v>
      </c>
      <c r="B15227" t="s">
        <v>10</v>
      </c>
    </row>
    <row r="15228" spans="1:2" x14ac:dyDescent="0.25">
      <c r="A15228">
        <v>391690</v>
      </c>
      <c r="B15228" t="e">
        <f>- de Los demas plasticos</f>
        <v>#NAME?</v>
      </c>
    </row>
    <row r="15229" spans="1:2" x14ac:dyDescent="0.25">
      <c r="A15229">
        <v>39169010</v>
      </c>
      <c r="B15229" t="s">
        <v>6639</v>
      </c>
    </row>
    <row r="15230" spans="1:2" x14ac:dyDescent="0.25">
      <c r="A15230">
        <v>39169010100</v>
      </c>
      <c r="B15230" t="s">
        <v>5414</v>
      </c>
    </row>
    <row r="15231" spans="1:2" x14ac:dyDescent="0.25">
      <c r="A15231">
        <v>39169010200</v>
      </c>
      <c r="B15231" t="s">
        <v>6637</v>
      </c>
    </row>
    <row r="15232" spans="1:2" x14ac:dyDescent="0.25">
      <c r="A15232">
        <v>39169010900</v>
      </c>
      <c r="B15232" t="s">
        <v>10</v>
      </c>
    </row>
    <row r="15233" spans="1:2" x14ac:dyDescent="0.25">
      <c r="A15233">
        <v>39169090</v>
      </c>
      <c r="B15233" t="s">
        <v>10</v>
      </c>
    </row>
    <row r="15234" spans="1:2" x14ac:dyDescent="0.25">
      <c r="A15234">
        <v>39169090100</v>
      </c>
      <c r="B15234" t="s">
        <v>5414</v>
      </c>
    </row>
    <row r="15235" spans="1:2" x14ac:dyDescent="0.25">
      <c r="A15235">
        <v>39169090200</v>
      </c>
      <c r="B15235" t="s">
        <v>6637</v>
      </c>
    </row>
    <row r="15236" spans="1:2" x14ac:dyDescent="0.25">
      <c r="A15236">
        <v>39169090300</v>
      </c>
      <c r="B15236" t="s">
        <v>6642</v>
      </c>
    </row>
    <row r="15237" spans="1:2" x14ac:dyDescent="0.25">
      <c r="A15237">
        <v>39169090400</v>
      </c>
      <c r="B15237" t="s">
        <v>5618</v>
      </c>
    </row>
    <row r="15238" spans="1:2" x14ac:dyDescent="0.25">
      <c r="A15238">
        <v>39169090900</v>
      </c>
      <c r="B15238" t="s">
        <v>10</v>
      </c>
    </row>
    <row r="15239" spans="1:2" x14ac:dyDescent="0.25">
      <c r="A15239">
        <v>3917</v>
      </c>
      <c r="B15239" t="s">
        <v>6643</v>
      </c>
    </row>
    <row r="15240" spans="1:2" x14ac:dyDescent="0.25">
      <c r="A15240">
        <v>391710</v>
      </c>
      <c r="B15240" t="e">
        <f>- Tripas artificiales de proteinas endurecidas o de plasticos celulosicos</f>
        <v>#NAME?</v>
      </c>
    </row>
    <row r="15241" spans="1:2" x14ac:dyDescent="0.25">
      <c r="A15241">
        <v>39171010</v>
      </c>
      <c r="B15241" t="s">
        <v>6644</v>
      </c>
    </row>
    <row r="15242" spans="1:2" x14ac:dyDescent="0.25">
      <c r="A15242">
        <v>39171010100</v>
      </c>
      <c r="B15242" t="s">
        <v>6627</v>
      </c>
    </row>
    <row r="15243" spans="1:2" x14ac:dyDescent="0.25">
      <c r="A15243">
        <v>39171010900</v>
      </c>
      <c r="B15243" t="s">
        <v>57</v>
      </c>
    </row>
    <row r="15244" spans="1:2" x14ac:dyDescent="0.25">
      <c r="A15244">
        <v>3917102</v>
      </c>
      <c r="B15244" t="s">
        <v>6645</v>
      </c>
    </row>
    <row r="15245" spans="1:2" x14ac:dyDescent="0.25">
      <c r="A15245">
        <v>39171021000</v>
      </c>
      <c r="B15245" t="s">
        <v>6646</v>
      </c>
    </row>
    <row r="15246" spans="1:2" x14ac:dyDescent="0.25">
      <c r="A15246">
        <v>39171029000</v>
      </c>
      <c r="B15246" t="s">
        <v>57</v>
      </c>
    </row>
    <row r="15247" spans="1:2" x14ac:dyDescent="0.25">
      <c r="A15247">
        <v>39172</v>
      </c>
      <c r="B15247" t="s">
        <v>6647</v>
      </c>
    </row>
    <row r="15248" spans="1:2" x14ac:dyDescent="0.25">
      <c r="A15248">
        <v>39172100</v>
      </c>
      <c r="B15248" t="e">
        <f>- - de Polimeros de Etileno</f>
        <v>#NAME?</v>
      </c>
    </row>
    <row r="15249" spans="1:2" x14ac:dyDescent="0.25">
      <c r="A15249">
        <v>39172100100</v>
      </c>
      <c r="B15249" t="s">
        <v>6648</v>
      </c>
    </row>
    <row r="15250" spans="1:2" x14ac:dyDescent="0.25">
      <c r="A15250">
        <v>39172100200</v>
      </c>
      <c r="B15250" t="s">
        <v>6649</v>
      </c>
    </row>
    <row r="15251" spans="1:2" x14ac:dyDescent="0.25">
      <c r="A15251">
        <v>39172100900</v>
      </c>
      <c r="B15251" t="s">
        <v>10</v>
      </c>
    </row>
    <row r="15252" spans="1:2" x14ac:dyDescent="0.25">
      <c r="A15252">
        <v>39172200</v>
      </c>
      <c r="B15252" t="e">
        <f>- - de Polimeros de propileno</f>
        <v>#NAME?</v>
      </c>
    </row>
    <row r="15253" spans="1:2" x14ac:dyDescent="0.25">
      <c r="A15253">
        <v>39172200100</v>
      </c>
      <c r="B15253" t="s">
        <v>6648</v>
      </c>
    </row>
    <row r="15254" spans="1:2" x14ac:dyDescent="0.25">
      <c r="A15254">
        <v>39172200200</v>
      </c>
      <c r="B15254" t="s">
        <v>6649</v>
      </c>
    </row>
    <row r="15255" spans="1:2" x14ac:dyDescent="0.25">
      <c r="A15255">
        <v>39172200900</v>
      </c>
      <c r="B15255" t="s">
        <v>10</v>
      </c>
    </row>
    <row r="15256" spans="1:2" x14ac:dyDescent="0.25">
      <c r="A15256">
        <v>39172300</v>
      </c>
      <c r="B15256" t="e">
        <f>- - de Polimeros de Cloruro de vinilo</f>
        <v>#NAME?</v>
      </c>
    </row>
    <row r="15257" spans="1:2" x14ac:dyDescent="0.25">
      <c r="A15257">
        <v>39172300100</v>
      </c>
      <c r="B15257" t="s">
        <v>6648</v>
      </c>
    </row>
    <row r="15258" spans="1:2" x14ac:dyDescent="0.25">
      <c r="A15258">
        <v>39172300200</v>
      </c>
      <c r="B15258" t="s">
        <v>6649</v>
      </c>
    </row>
    <row r="15259" spans="1:2" x14ac:dyDescent="0.25">
      <c r="A15259">
        <v>39172300900</v>
      </c>
      <c r="B15259" t="s">
        <v>10</v>
      </c>
    </row>
    <row r="15260" spans="1:2" x14ac:dyDescent="0.25">
      <c r="A15260">
        <v>39172900</v>
      </c>
      <c r="B15260" t="e">
        <f>- - de Los demas plasticos</f>
        <v>#NAME?</v>
      </c>
    </row>
    <row r="15261" spans="1:2" x14ac:dyDescent="0.25">
      <c r="A15261">
        <v>39172900100</v>
      </c>
      <c r="B15261" t="s">
        <v>6650</v>
      </c>
    </row>
    <row r="15262" spans="1:2" x14ac:dyDescent="0.25">
      <c r="A15262">
        <v>39172900200</v>
      </c>
      <c r="B15262" t="s">
        <v>6649</v>
      </c>
    </row>
    <row r="15263" spans="1:2" x14ac:dyDescent="0.25">
      <c r="A15263">
        <v>391729009</v>
      </c>
      <c r="B15263" t="s">
        <v>10</v>
      </c>
    </row>
    <row r="15264" spans="1:2" x14ac:dyDescent="0.25">
      <c r="A15264">
        <v>39172900910</v>
      </c>
      <c r="B15264" t="s">
        <v>6648</v>
      </c>
    </row>
    <row r="15265" spans="1:2" x14ac:dyDescent="0.25">
      <c r="A15265">
        <v>39172900990</v>
      </c>
      <c r="B15265" t="s">
        <v>10</v>
      </c>
    </row>
    <row r="15266" spans="1:2" x14ac:dyDescent="0.25">
      <c r="A15266">
        <v>39173</v>
      </c>
      <c r="B15266" t="s">
        <v>6651</v>
      </c>
    </row>
    <row r="15267" spans="1:2" x14ac:dyDescent="0.25">
      <c r="A15267">
        <v>39173100000</v>
      </c>
      <c r="B15267" t="s">
        <v>6652</v>
      </c>
    </row>
    <row r="15268" spans="1:2" x14ac:dyDescent="0.25">
      <c r="A15268">
        <v>391732</v>
      </c>
      <c r="B15268" t="e">
        <f>- - Los demas. sin reforzar ni combinar Con otras materias. sin accesorios</f>
        <v>#NAME?</v>
      </c>
    </row>
    <row r="15269" spans="1:2" x14ac:dyDescent="0.25">
      <c r="A15269">
        <v>39173210</v>
      </c>
      <c r="B15269" t="s">
        <v>6653</v>
      </c>
    </row>
    <row r="15270" spans="1:2" x14ac:dyDescent="0.25">
      <c r="A15270">
        <v>39173210100</v>
      </c>
      <c r="B15270" t="s">
        <v>6654</v>
      </c>
    </row>
    <row r="15271" spans="1:2" x14ac:dyDescent="0.25">
      <c r="A15271">
        <v>39173210200</v>
      </c>
      <c r="B15271" t="s">
        <v>6648</v>
      </c>
    </row>
    <row r="15272" spans="1:2" x14ac:dyDescent="0.25">
      <c r="A15272">
        <v>39173210900</v>
      </c>
      <c r="B15272" t="s">
        <v>10</v>
      </c>
    </row>
    <row r="15273" spans="1:2" x14ac:dyDescent="0.25">
      <c r="A15273">
        <v>3917322</v>
      </c>
      <c r="B15273" t="s">
        <v>5414</v>
      </c>
    </row>
    <row r="15274" spans="1:2" x14ac:dyDescent="0.25">
      <c r="A15274">
        <v>39173221000</v>
      </c>
      <c r="B15274" t="s">
        <v>6655</v>
      </c>
    </row>
    <row r="15275" spans="1:2" x14ac:dyDescent="0.25">
      <c r="A15275">
        <v>39173229</v>
      </c>
      <c r="B15275" t="s">
        <v>10</v>
      </c>
    </row>
    <row r="15276" spans="1:2" x14ac:dyDescent="0.25">
      <c r="A15276">
        <v>39173229100</v>
      </c>
      <c r="B15276" t="s">
        <v>6654</v>
      </c>
    </row>
    <row r="15277" spans="1:2" x14ac:dyDescent="0.25">
      <c r="A15277">
        <v>39173229200</v>
      </c>
      <c r="B15277" t="s">
        <v>6648</v>
      </c>
    </row>
    <row r="15278" spans="1:2" x14ac:dyDescent="0.25">
      <c r="A15278">
        <v>39173229900</v>
      </c>
      <c r="B15278" t="s">
        <v>10</v>
      </c>
    </row>
    <row r="15279" spans="1:2" x14ac:dyDescent="0.25">
      <c r="A15279">
        <v>39173230</v>
      </c>
      <c r="B15279" t="s">
        <v>6656</v>
      </c>
    </row>
    <row r="15280" spans="1:2" x14ac:dyDescent="0.25">
      <c r="A15280">
        <v>39173230100</v>
      </c>
      <c r="B15280" t="s">
        <v>6654</v>
      </c>
    </row>
    <row r="15281" spans="1:2" x14ac:dyDescent="0.25">
      <c r="A15281">
        <v>39173230200</v>
      </c>
      <c r="B15281" t="s">
        <v>6648</v>
      </c>
    </row>
    <row r="15282" spans="1:2" x14ac:dyDescent="0.25">
      <c r="A15282">
        <v>39173230900</v>
      </c>
      <c r="B15282" t="s">
        <v>10</v>
      </c>
    </row>
    <row r="15283" spans="1:2" x14ac:dyDescent="0.25">
      <c r="A15283">
        <v>39173240000</v>
      </c>
      <c r="B15283" t="s">
        <v>5618</v>
      </c>
    </row>
    <row r="15284" spans="1:2" x14ac:dyDescent="0.25">
      <c r="A15284">
        <v>3917325</v>
      </c>
      <c r="B15284" t="s">
        <v>6657</v>
      </c>
    </row>
    <row r="15285" spans="1:2" x14ac:dyDescent="0.25">
      <c r="A15285">
        <v>39173251000</v>
      </c>
      <c r="B15285" t="s">
        <v>6658</v>
      </c>
    </row>
    <row r="15286" spans="1:2" x14ac:dyDescent="0.25">
      <c r="A15286">
        <v>39173259</v>
      </c>
      <c r="B15286" t="s">
        <v>10</v>
      </c>
    </row>
    <row r="15287" spans="1:2" x14ac:dyDescent="0.25">
      <c r="A15287">
        <v>39173259100</v>
      </c>
      <c r="B15287" t="s">
        <v>6648</v>
      </c>
    </row>
    <row r="15288" spans="1:2" x14ac:dyDescent="0.25">
      <c r="A15288">
        <v>39173259900</v>
      </c>
      <c r="B15288" t="s">
        <v>10</v>
      </c>
    </row>
    <row r="15289" spans="1:2" x14ac:dyDescent="0.25">
      <c r="A15289">
        <v>39173290</v>
      </c>
      <c r="B15289" t="s">
        <v>10</v>
      </c>
    </row>
    <row r="15290" spans="1:2" x14ac:dyDescent="0.25">
      <c r="A15290">
        <v>39173290100</v>
      </c>
      <c r="B15290" t="s">
        <v>6654</v>
      </c>
    </row>
    <row r="15291" spans="1:2" x14ac:dyDescent="0.25">
      <c r="A15291">
        <v>39173290200</v>
      </c>
      <c r="B15291" t="s">
        <v>6648</v>
      </c>
    </row>
    <row r="15292" spans="1:2" x14ac:dyDescent="0.25">
      <c r="A15292">
        <v>391732909</v>
      </c>
      <c r="B15292" t="s">
        <v>10</v>
      </c>
    </row>
    <row r="15293" spans="1:2" x14ac:dyDescent="0.25">
      <c r="A15293">
        <v>39173290910</v>
      </c>
      <c r="B15293" t="s">
        <v>5415</v>
      </c>
    </row>
    <row r="15294" spans="1:2" x14ac:dyDescent="0.25">
      <c r="A15294">
        <v>39173290920</v>
      </c>
      <c r="B15294" t="s">
        <v>6659</v>
      </c>
    </row>
    <row r="15295" spans="1:2" x14ac:dyDescent="0.25">
      <c r="A15295">
        <v>39173290990</v>
      </c>
      <c r="B15295" t="s">
        <v>10</v>
      </c>
    </row>
    <row r="15296" spans="1:2" x14ac:dyDescent="0.25">
      <c r="A15296">
        <v>39173300</v>
      </c>
      <c r="B15296" t="e">
        <f>- - Los demas. sin reforzar ni combinar Con otras materias. Con accesorios</f>
        <v>#NAME?</v>
      </c>
    </row>
    <row r="15297" spans="1:2" x14ac:dyDescent="0.25">
      <c r="A15297">
        <v>391733001</v>
      </c>
      <c r="B15297" t="s">
        <v>6660</v>
      </c>
    </row>
    <row r="15298" spans="1:2" x14ac:dyDescent="0.25">
      <c r="A15298">
        <v>39173300110</v>
      </c>
      <c r="B15298" t="s">
        <v>6661</v>
      </c>
    </row>
    <row r="15299" spans="1:2" x14ac:dyDescent="0.25">
      <c r="A15299">
        <v>39173300190</v>
      </c>
      <c r="B15299" t="s">
        <v>10</v>
      </c>
    </row>
    <row r="15300" spans="1:2" x14ac:dyDescent="0.25">
      <c r="A15300">
        <v>391733002</v>
      </c>
      <c r="B15300" t="s">
        <v>6662</v>
      </c>
    </row>
    <row r="15301" spans="1:2" x14ac:dyDescent="0.25">
      <c r="A15301">
        <v>39173300210</v>
      </c>
      <c r="B15301" t="s">
        <v>6661</v>
      </c>
    </row>
    <row r="15302" spans="1:2" x14ac:dyDescent="0.25">
      <c r="A15302">
        <v>39173300290</v>
      </c>
      <c r="B15302" t="s">
        <v>10</v>
      </c>
    </row>
    <row r="15303" spans="1:2" x14ac:dyDescent="0.25">
      <c r="A15303">
        <v>391733003</v>
      </c>
      <c r="B15303" t="s">
        <v>6659</v>
      </c>
    </row>
    <row r="15304" spans="1:2" x14ac:dyDescent="0.25">
      <c r="A15304">
        <v>39173300310</v>
      </c>
      <c r="B15304" t="s">
        <v>6663</v>
      </c>
    </row>
    <row r="15305" spans="1:2" x14ac:dyDescent="0.25">
      <c r="A15305">
        <v>39173300390</v>
      </c>
      <c r="B15305" t="s">
        <v>10</v>
      </c>
    </row>
    <row r="15306" spans="1:2" x14ac:dyDescent="0.25">
      <c r="A15306">
        <v>391733004</v>
      </c>
      <c r="B15306" t="s">
        <v>6664</v>
      </c>
    </row>
    <row r="15307" spans="1:2" x14ac:dyDescent="0.25">
      <c r="A15307">
        <v>39173300410</v>
      </c>
      <c r="B15307" t="s">
        <v>6665</v>
      </c>
    </row>
    <row r="15308" spans="1:2" x14ac:dyDescent="0.25">
      <c r="A15308">
        <v>39173300490</v>
      </c>
      <c r="B15308" t="s">
        <v>10</v>
      </c>
    </row>
    <row r="15309" spans="1:2" x14ac:dyDescent="0.25">
      <c r="A15309">
        <v>391733005</v>
      </c>
      <c r="B15309" t="s">
        <v>5618</v>
      </c>
    </row>
    <row r="15310" spans="1:2" x14ac:dyDescent="0.25">
      <c r="A15310">
        <v>39173300510</v>
      </c>
      <c r="B15310" t="s">
        <v>6661</v>
      </c>
    </row>
    <row r="15311" spans="1:2" x14ac:dyDescent="0.25">
      <c r="A15311">
        <v>39173300590</v>
      </c>
      <c r="B15311" t="s">
        <v>10</v>
      </c>
    </row>
    <row r="15312" spans="1:2" x14ac:dyDescent="0.25">
      <c r="A15312">
        <v>391733009</v>
      </c>
      <c r="B15312" t="s">
        <v>10</v>
      </c>
    </row>
    <row r="15313" spans="1:2" x14ac:dyDescent="0.25">
      <c r="A15313">
        <v>39173300910</v>
      </c>
      <c r="B15313" t="s">
        <v>6661</v>
      </c>
    </row>
    <row r="15314" spans="1:2" x14ac:dyDescent="0.25">
      <c r="A15314">
        <v>39173300990</v>
      </c>
      <c r="B15314" t="s">
        <v>10</v>
      </c>
    </row>
    <row r="15315" spans="1:2" x14ac:dyDescent="0.25">
      <c r="A15315">
        <v>39173900</v>
      </c>
      <c r="B15315" t="e">
        <f>- - Los demas</f>
        <v>#NAME?</v>
      </c>
    </row>
    <row r="15316" spans="1:2" x14ac:dyDescent="0.25">
      <c r="A15316">
        <v>39173900100</v>
      </c>
      <c r="B15316" t="s">
        <v>6654</v>
      </c>
    </row>
    <row r="15317" spans="1:2" x14ac:dyDescent="0.25">
      <c r="A15317">
        <v>391739009</v>
      </c>
      <c r="B15317" t="s">
        <v>6666</v>
      </c>
    </row>
    <row r="15318" spans="1:2" x14ac:dyDescent="0.25">
      <c r="A15318">
        <v>39173900910</v>
      </c>
      <c r="B15318" t="s">
        <v>6667</v>
      </c>
    </row>
    <row r="15319" spans="1:2" x14ac:dyDescent="0.25">
      <c r="A15319">
        <v>39173900920</v>
      </c>
      <c r="B15319" t="s">
        <v>6668</v>
      </c>
    </row>
    <row r="15320" spans="1:2" x14ac:dyDescent="0.25">
      <c r="A15320">
        <v>39173900930</v>
      </c>
      <c r="B15320" t="s">
        <v>6669</v>
      </c>
    </row>
    <row r="15321" spans="1:2" x14ac:dyDescent="0.25">
      <c r="A15321">
        <v>39173900990</v>
      </c>
      <c r="B15321" t="s">
        <v>10</v>
      </c>
    </row>
    <row r="15322" spans="1:2" x14ac:dyDescent="0.25">
      <c r="A15322">
        <v>391740</v>
      </c>
      <c r="B15322" t="e">
        <f>- accesorios</f>
        <v>#NAME?</v>
      </c>
    </row>
    <row r="15323" spans="1:2" x14ac:dyDescent="0.25">
      <c r="A15323">
        <v>39174010</v>
      </c>
      <c r="B15323" t="s">
        <v>6670</v>
      </c>
    </row>
    <row r="15324" spans="1:2" x14ac:dyDescent="0.25">
      <c r="A15324">
        <v>39174010100</v>
      </c>
      <c r="B15324" t="s">
        <v>6671</v>
      </c>
    </row>
    <row r="15325" spans="1:2" x14ac:dyDescent="0.25">
      <c r="A15325">
        <v>39174010200</v>
      </c>
      <c r="B15325" t="s">
        <v>6672</v>
      </c>
    </row>
    <row r="15326" spans="1:2" x14ac:dyDescent="0.25">
      <c r="A15326">
        <v>39174010900</v>
      </c>
      <c r="B15326" t="s">
        <v>10</v>
      </c>
    </row>
    <row r="15327" spans="1:2" x14ac:dyDescent="0.25">
      <c r="A15327">
        <v>39174090</v>
      </c>
      <c r="B15327" t="s">
        <v>10</v>
      </c>
    </row>
    <row r="15328" spans="1:2" x14ac:dyDescent="0.25">
      <c r="A15328">
        <v>391740901</v>
      </c>
      <c r="B15328" t="s">
        <v>6671</v>
      </c>
    </row>
    <row r="15329" spans="1:2" x14ac:dyDescent="0.25">
      <c r="A15329">
        <v>39174090110</v>
      </c>
      <c r="B15329" t="s">
        <v>6673</v>
      </c>
    </row>
    <row r="15330" spans="1:2" x14ac:dyDescent="0.25">
      <c r="A15330">
        <v>39174090190</v>
      </c>
      <c r="B15330" t="s">
        <v>10</v>
      </c>
    </row>
    <row r="15331" spans="1:2" x14ac:dyDescent="0.25">
      <c r="A15331">
        <v>391740902</v>
      </c>
      <c r="B15331" t="s">
        <v>6672</v>
      </c>
    </row>
    <row r="15332" spans="1:2" x14ac:dyDescent="0.25">
      <c r="A15332">
        <v>39174090210</v>
      </c>
      <c r="B15332" t="s">
        <v>6674</v>
      </c>
    </row>
    <row r="15333" spans="1:2" x14ac:dyDescent="0.25">
      <c r="A15333">
        <v>39174090290</v>
      </c>
      <c r="B15333" t="s">
        <v>10</v>
      </c>
    </row>
    <row r="15334" spans="1:2" x14ac:dyDescent="0.25">
      <c r="A15334">
        <v>391740909</v>
      </c>
      <c r="B15334" t="s">
        <v>10</v>
      </c>
    </row>
    <row r="15335" spans="1:2" x14ac:dyDescent="0.25">
      <c r="A15335">
        <v>39174090910</v>
      </c>
      <c r="B15335" t="s">
        <v>6673</v>
      </c>
    </row>
    <row r="15336" spans="1:2" x14ac:dyDescent="0.25">
      <c r="A15336">
        <v>39174090990</v>
      </c>
      <c r="B15336" t="s">
        <v>10</v>
      </c>
    </row>
    <row r="15337" spans="1:2" x14ac:dyDescent="0.25">
      <c r="A15337">
        <v>3918</v>
      </c>
      <c r="B15337" t="s">
        <v>6675</v>
      </c>
    </row>
    <row r="15338" spans="1:2" x14ac:dyDescent="0.25">
      <c r="A15338">
        <v>39181000</v>
      </c>
      <c r="B15338" t="e">
        <f>- de Polimeros de Cloruro de vinilo</f>
        <v>#NAME?</v>
      </c>
    </row>
    <row r="15339" spans="1:2" x14ac:dyDescent="0.25">
      <c r="A15339">
        <v>391810001</v>
      </c>
      <c r="B15339" t="s">
        <v>6676</v>
      </c>
    </row>
    <row r="15340" spans="1:2" x14ac:dyDescent="0.25">
      <c r="A15340">
        <v>39181000110</v>
      </c>
      <c r="B15340" t="s">
        <v>6677</v>
      </c>
    </row>
    <row r="15341" spans="1:2" x14ac:dyDescent="0.25">
      <c r="A15341">
        <v>39181000120</v>
      </c>
      <c r="B15341" t="s">
        <v>6678</v>
      </c>
    </row>
    <row r="15342" spans="1:2" x14ac:dyDescent="0.25">
      <c r="A15342">
        <v>39181000200</v>
      </c>
      <c r="B15342" t="s">
        <v>6679</v>
      </c>
    </row>
    <row r="15343" spans="1:2" x14ac:dyDescent="0.25">
      <c r="A15343">
        <v>39181000300</v>
      </c>
      <c r="B15343" t="s">
        <v>6649</v>
      </c>
    </row>
    <row r="15344" spans="1:2" x14ac:dyDescent="0.25">
      <c r="A15344">
        <v>39189000</v>
      </c>
      <c r="B15344" t="e">
        <f>- de Los demas plasticos</f>
        <v>#NAME?</v>
      </c>
    </row>
    <row r="15345" spans="1:2" x14ac:dyDescent="0.25">
      <c r="A15345">
        <v>391890001</v>
      </c>
      <c r="B15345" t="s">
        <v>6680</v>
      </c>
    </row>
    <row r="15346" spans="1:2" x14ac:dyDescent="0.25">
      <c r="A15346">
        <v>3918900011</v>
      </c>
      <c r="B15346" t="s">
        <v>6677</v>
      </c>
    </row>
    <row r="15347" spans="1:2" x14ac:dyDescent="0.25">
      <c r="A15347">
        <v>39189000111</v>
      </c>
      <c r="B15347" t="s">
        <v>5635</v>
      </c>
    </row>
    <row r="15348" spans="1:2" x14ac:dyDescent="0.25">
      <c r="A15348">
        <v>39189000119</v>
      </c>
      <c r="B15348" t="s">
        <v>10</v>
      </c>
    </row>
    <row r="15349" spans="1:2" x14ac:dyDescent="0.25">
      <c r="A15349">
        <v>39189000120</v>
      </c>
      <c r="B15349" t="s">
        <v>6678</v>
      </c>
    </row>
    <row r="15350" spans="1:2" x14ac:dyDescent="0.25">
      <c r="A15350">
        <v>39189000200</v>
      </c>
      <c r="B15350" t="s">
        <v>6681</v>
      </c>
    </row>
    <row r="15351" spans="1:2" x14ac:dyDescent="0.25">
      <c r="A15351">
        <v>3919</v>
      </c>
      <c r="B15351" t="s">
        <v>6682</v>
      </c>
    </row>
    <row r="15352" spans="1:2" x14ac:dyDescent="0.25">
      <c r="A15352">
        <v>391910</v>
      </c>
      <c r="B15352" t="s">
        <v>6683</v>
      </c>
    </row>
    <row r="15353" spans="1:2" x14ac:dyDescent="0.25">
      <c r="A15353">
        <v>39191010</v>
      </c>
      <c r="B15353" t="s">
        <v>5414</v>
      </c>
    </row>
    <row r="15354" spans="1:2" x14ac:dyDescent="0.25">
      <c r="A15354">
        <v>391910101</v>
      </c>
      <c r="B15354" t="s">
        <v>6684</v>
      </c>
    </row>
    <row r="15355" spans="1:2" x14ac:dyDescent="0.25">
      <c r="A15355">
        <v>39191010110</v>
      </c>
      <c r="B15355" t="s">
        <v>6685</v>
      </c>
    </row>
    <row r="15356" spans="1:2" x14ac:dyDescent="0.25">
      <c r="A15356">
        <v>39191010190</v>
      </c>
      <c r="B15356" t="s">
        <v>57</v>
      </c>
    </row>
    <row r="15357" spans="1:2" x14ac:dyDescent="0.25">
      <c r="A15357">
        <v>391910109</v>
      </c>
      <c r="B15357" t="s">
        <v>57</v>
      </c>
    </row>
    <row r="15358" spans="1:2" x14ac:dyDescent="0.25">
      <c r="A15358">
        <v>39191010910</v>
      </c>
      <c r="B15358" t="s">
        <v>6686</v>
      </c>
    </row>
    <row r="15359" spans="1:2" x14ac:dyDescent="0.25">
      <c r="A15359">
        <v>39191010990</v>
      </c>
      <c r="B15359" t="s">
        <v>57</v>
      </c>
    </row>
    <row r="15360" spans="1:2" x14ac:dyDescent="0.25">
      <c r="A15360">
        <v>39191020</v>
      </c>
      <c r="B15360" t="s">
        <v>6659</v>
      </c>
    </row>
    <row r="15361" spans="1:2" x14ac:dyDescent="0.25">
      <c r="A15361">
        <v>39191020100</v>
      </c>
      <c r="B15361" t="s">
        <v>6684</v>
      </c>
    </row>
    <row r="15362" spans="1:2" x14ac:dyDescent="0.25">
      <c r="A15362">
        <v>39191020900</v>
      </c>
      <c r="B15362" t="s">
        <v>57</v>
      </c>
    </row>
    <row r="15363" spans="1:2" x14ac:dyDescent="0.25">
      <c r="A15363">
        <v>39191090</v>
      </c>
      <c r="B15363" t="s">
        <v>57</v>
      </c>
    </row>
    <row r="15364" spans="1:2" x14ac:dyDescent="0.25">
      <c r="A15364">
        <v>391910901</v>
      </c>
      <c r="B15364" t="s">
        <v>5415</v>
      </c>
    </row>
    <row r="15365" spans="1:2" x14ac:dyDescent="0.25">
      <c r="A15365">
        <v>3919109011</v>
      </c>
      <c r="B15365" t="s">
        <v>6684</v>
      </c>
    </row>
    <row r="15366" spans="1:2" x14ac:dyDescent="0.25">
      <c r="A15366">
        <v>39191090111</v>
      </c>
      <c r="B15366" t="s">
        <v>6687</v>
      </c>
    </row>
    <row r="15367" spans="1:2" x14ac:dyDescent="0.25">
      <c r="A15367">
        <v>39191090119</v>
      </c>
      <c r="B15367" t="s">
        <v>57</v>
      </c>
    </row>
    <row r="15368" spans="1:2" x14ac:dyDescent="0.25">
      <c r="A15368">
        <v>3919109019</v>
      </c>
      <c r="B15368" t="s">
        <v>57</v>
      </c>
    </row>
    <row r="15369" spans="1:2" x14ac:dyDescent="0.25">
      <c r="A15369">
        <v>39191090191</v>
      </c>
      <c r="B15369" t="s">
        <v>6688</v>
      </c>
    </row>
    <row r="15370" spans="1:2" x14ac:dyDescent="0.25">
      <c r="A15370">
        <v>39191090199</v>
      </c>
      <c r="B15370" t="s">
        <v>57</v>
      </c>
    </row>
    <row r="15371" spans="1:2" x14ac:dyDescent="0.25">
      <c r="A15371">
        <v>391910902</v>
      </c>
      <c r="B15371" t="s">
        <v>6664</v>
      </c>
    </row>
    <row r="15372" spans="1:2" x14ac:dyDescent="0.25">
      <c r="A15372">
        <v>39191090210</v>
      </c>
      <c r="B15372" t="s">
        <v>6684</v>
      </c>
    </row>
    <row r="15373" spans="1:2" x14ac:dyDescent="0.25">
      <c r="A15373">
        <v>39191090290</v>
      </c>
      <c r="B15373" t="s">
        <v>57</v>
      </c>
    </row>
    <row r="15374" spans="1:2" x14ac:dyDescent="0.25">
      <c r="A15374">
        <v>391910903</v>
      </c>
      <c r="B15374" t="s">
        <v>6689</v>
      </c>
    </row>
    <row r="15375" spans="1:2" x14ac:dyDescent="0.25">
      <c r="A15375">
        <v>39191090310</v>
      </c>
      <c r="B15375" t="s">
        <v>6684</v>
      </c>
    </row>
    <row r="15376" spans="1:2" x14ac:dyDescent="0.25">
      <c r="A15376">
        <v>39191090390</v>
      </c>
      <c r="B15376" t="s">
        <v>57</v>
      </c>
    </row>
    <row r="15377" spans="1:2" x14ac:dyDescent="0.25">
      <c r="A15377">
        <v>391910904</v>
      </c>
      <c r="B15377" t="s">
        <v>6657</v>
      </c>
    </row>
    <row r="15378" spans="1:2" x14ac:dyDescent="0.25">
      <c r="A15378">
        <v>39191090410</v>
      </c>
      <c r="B15378" t="s">
        <v>6684</v>
      </c>
    </row>
    <row r="15379" spans="1:2" x14ac:dyDescent="0.25">
      <c r="A15379">
        <v>39191090490</v>
      </c>
      <c r="B15379" t="s">
        <v>57</v>
      </c>
    </row>
    <row r="15380" spans="1:2" x14ac:dyDescent="0.25">
      <c r="A15380">
        <v>391910905</v>
      </c>
      <c r="B15380" t="s">
        <v>6690</v>
      </c>
    </row>
    <row r="15381" spans="1:2" x14ac:dyDescent="0.25">
      <c r="A15381">
        <v>39191090510</v>
      </c>
      <c r="B15381" t="s">
        <v>6684</v>
      </c>
    </row>
    <row r="15382" spans="1:2" x14ac:dyDescent="0.25">
      <c r="A15382">
        <v>39191090590</v>
      </c>
      <c r="B15382" t="s">
        <v>57</v>
      </c>
    </row>
    <row r="15383" spans="1:2" x14ac:dyDescent="0.25">
      <c r="A15383">
        <v>391910906</v>
      </c>
      <c r="B15383" t="s">
        <v>6691</v>
      </c>
    </row>
    <row r="15384" spans="1:2" x14ac:dyDescent="0.25">
      <c r="A15384">
        <v>39191090610</v>
      </c>
      <c r="B15384" t="s">
        <v>6684</v>
      </c>
    </row>
    <row r="15385" spans="1:2" x14ac:dyDescent="0.25">
      <c r="A15385">
        <v>39191090690</v>
      </c>
      <c r="B15385" t="s">
        <v>57</v>
      </c>
    </row>
    <row r="15386" spans="1:2" x14ac:dyDescent="0.25">
      <c r="A15386">
        <v>391910909</v>
      </c>
      <c r="B15386" t="s">
        <v>57</v>
      </c>
    </row>
    <row r="15387" spans="1:2" x14ac:dyDescent="0.25">
      <c r="A15387">
        <v>39191090910</v>
      </c>
      <c r="B15387" t="s">
        <v>6684</v>
      </c>
    </row>
    <row r="15388" spans="1:2" x14ac:dyDescent="0.25">
      <c r="A15388">
        <v>39191090990</v>
      </c>
      <c r="B15388" t="s">
        <v>57</v>
      </c>
    </row>
    <row r="15389" spans="1:2" x14ac:dyDescent="0.25">
      <c r="A15389">
        <v>391990</v>
      </c>
      <c r="B15389" t="e">
        <f>- las demas</f>
        <v>#NAME?</v>
      </c>
    </row>
    <row r="15390" spans="1:2" x14ac:dyDescent="0.25">
      <c r="A15390">
        <v>39199010</v>
      </c>
      <c r="B15390" t="s">
        <v>5414</v>
      </c>
    </row>
    <row r="15391" spans="1:2" x14ac:dyDescent="0.25">
      <c r="A15391">
        <v>391990101</v>
      </c>
      <c r="B15391" t="s">
        <v>6692</v>
      </c>
    </row>
    <row r="15392" spans="1:2" x14ac:dyDescent="0.25">
      <c r="A15392">
        <v>39199010110</v>
      </c>
      <c r="B15392" t="s">
        <v>6693</v>
      </c>
    </row>
    <row r="15393" spans="1:2" x14ac:dyDescent="0.25">
      <c r="A15393">
        <v>3919901019</v>
      </c>
      <c r="B15393" t="s">
        <v>57</v>
      </c>
    </row>
    <row r="15394" spans="1:2" x14ac:dyDescent="0.25">
      <c r="A15394">
        <v>39199010191</v>
      </c>
      <c r="B15394" t="s">
        <v>6694</v>
      </c>
    </row>
    <row r="15395" spans="1:2" x14ac:dyDescent="0.25">
      <c r="A15395">
        <v>39199010192</v>
      </c>
      <c r="B15395" t="s">
        <v>5635</v>
      </c>
    </row>
    <row r="15396" spans="1:2" x14ac:dyDescent="0.25">
      <c r="A15396">
        <v>39199010199</v>
      </c>
      <c r="B15396" t="s">
        <v>57</v>
      </c>
    </row>
    <row r="15397" spans="1:2" x14ac:dyDescent="0.25">
      <c r="A15397">
        <v>391990109</v>
      </c>
      <c r="B15397" t="s">
        <v>57</v>
      </c>
    </row>
    <row r="15398" spans="1:2" x14ac:dyDescent="0.25">
      <c r="A15398">
        <v>39199010910</v>
      </c>
      <c r="B15398" t="s">
        <v>6693</v>
      </c>
    </row>
    <row r="15399" spans="1:2" x14ac:dyDescent="0.25">
      <c r="A15399">
        <v>3919901099</v>
      </c>
      <c r="B15399" t="s">
        <v>57</v>
      </c>
    </row>
    <row r="15400" spans="1:2" x14ac:dyDescent="0.25">
      <c r="A15400">
        <v>39199010991</v>
      </c>
      <c r="B15400" t="s">
        <v>6694</v>
      </c>
    </row>
    <row r="15401" spans="1:2" x14ac:dyDescent="0.25">
      <c r="A15401">
        <v>39199010992</v>
      </c>
      <c r="B15401" t="s">
        <v>5635</v>
      </c>
    </row>
    <row r="15402" spans="1:2" x14ac:dyDescent="0.25">
      <c r="A15402">
        <v>39199010999</v>
      </c>
      <c r="B15402" t="s">
        <v>57</v>
      </c>
    </row>
    <row r="15403" spans="1:2" x14ac:dyDescent="0.25">
      <c r="A15403">
        <v>39199020</v>
      </c>
      <c r="B15403" t="s">
        <v>6659</v>
      </c>
    </row>
    <row r="15404" spans="1:2" x14ac:dyDescent="0.25">
      <c r="A15404">
        <v>391990201</v>
      </c>
      <c r="B15404" t="s">
        <v>6695</v>
      </c>
    </row>
    <row r="15405" spans="1:2" x14ac:dyDescent="0.25">
      <c r="A15405">
        <v>39199020110</v>
      </c>
      <c r="B15405" t="s">
        <v>6694</v>
      </c>
    </row>
    <row r="15406" spans="1:2" x14ac:dyDescent="0.25">
      <c r="A15406">
        <v>39199020120</v>
      </c>
      <c r="B15406" t="s">
        <v>5635</v>
      </c>
    </row>
    <row r="15407" spans="1:2" x14ac:dyDescent="0.25">
      <c r="A15407">
        <v>3919902019</v>
      </c>
      <c r="B15407" t="s">
        <v>57</v>
      </c>
    </row>
    <row r="15408" spans="1:2" x14ac:dyDescent="0.25">
      <c r="A15408">
        <v>39199020192</v>
      </c>
      <c r="B15408" t="s">
        <v>6696</v>
      </c>
    </row>
    <row r="15409" spans="1:2" x14ac:dyDescent="0.25">
      <c r="A15409">
        <v>39199020199</v>
      </c>
      <c r="B15409" t="s">
        <v>57</v>
      </c>
    </row>
    <row r="15410" spans="1:2" x14ac:dyDescent="0.25">
      <c r="A15410">
        <v>39199020200</v>
      </c>
      <c r="B15410" t="s">
        <v>6697</v>
      </c>
    </row>
    <row r="15411" spans="1:2" x14ac:dyDescent="0.25">
      <c r="A15411">
        <v>391990209</v>
      </c>
      <c r="B15411" t="s">
        <v>57</v>
      </c>
    </row>
    <row r="15412" spans="1:2" x14ac:dyDescent="0.25">
      <c r="A15412">
        <v>39199020910</v>
      </c>
      <c r="B15412" t="s">
        <v>6694</v>
      </c>
    </row>
    <row r="15413" spans="1:2" x14ac:dyDescent="0.25">
      <c r="A15413">
        <v>39199020920</v>
      </c>
      <c r="B15413" t="s">
        <v>5635</v>
      </c>
    </row>
    <row r="15414" spans="1:2" x14ac:dyDescent="0.25">
      <c r="A15414">
        <v>39199020990</v>
      </c>
      <c r="B15414" t="s">
        <v>57</v>
      </c>
    </row>
    <row r="15415" spans="1:2" x14ac:dyDescent="0.25">
      <c r="A15415">
        <v>39199090</v>
      </c>
      <c r="B15415" t="s">
        <v>57</v>
      </c>
    </row>
    <row r="15416" spans="1:2" x14ac:dyDescent="0.25">
      <c r="A15416">
        <v>391990901</v>
      </c>
      <c r="B15416" t="s">
        <v>5415</v>
      </c>
    </row>
    <row r="15417" spans="1:2" x14ac:dyDescent="0.25">
      <c r="A15417">
        <v>3919909011</v>
      </c>
      <c r="B15417" t="s">
        <v>6695</v>
      </c>
    </row>
    <row r="15418" spans="1:2" x14ac:dyDescent="0.25">
      <c r="A15418">
        <v>39199090111</v>
      </c>
      <c r="B15418" t="s">
        <v>6698</v>
      </c>
    </row>
    <row r="15419" spans="1:2" x14ac:dyDescent="0.25">
      <c r="A15419">
        <v>39199090112</v>
      </c>
      <c r="B15419" t="s">
        <v>6694</v>
      </c>
    </row>
    <row r="15420" spans="1:2" x14ac:dyDescent="0.25">
      <c r="A15420">
        <v>39199090113</v>
      </c>
      <c r="B15420" t="s">
        <v>5635</v>
      </c>
    </row>
    <row r="15421" spans="1:2" x14ac:dyDescent="0.25">
      <c r="A15421">
        <v>39199090119</v>
      </c>
      <c r="B15421" t="s">
        <v>57</v>
      </c>
    </row>
    <row r="15422" spans="1:2" x14ac:dyDescent="0.25">
      <c r="A15422">
        <v>3919909019</v>
      </c>
      <c r="B15422" t="s">
        <v>57</v>
      </c>
    </row>
    <row r="15423" spans="1:2" x14ac:dyDescent="0.25">
      <c r="A15423">
        <v>39199090191</v>
      </c>
      <c r="B15423" t="s">
        <v>6698</v>
      </c>
    </row>
    <row r="15424" spans="1:2" x14ac:dyDescent="0.25">
      <c r="A15424">
        <v>39199090192</v>
      </c>
      <c r="B15424" t="s">
        <v>6699</v>
      </c>
    </row>
    <row r="15425" spans="1:2" x14ac:dyDescent="0.25">
      <c r="A15425">
        <v>39199090193</v>
      </c>
      <c r="B15425" t="s">
        <v>6700</v>
      </c>
    </row>
    <row r="15426" spans="1:2" x14ac:dyDescent="0.25">
      <c r="A15426">
        <v>39199090199</v>
      </c>
      <c r="B15426" t="s">
        <v>57</v>
      </c>
    </row>
    <row r="15427" spans="1:2" x14ac:dyDescent="0.25">
      <c r="A15427">
        <v>391990902</v>
      </c>
      <c r="B15427" t="s">
        <v>6664</v>
      </c>
    </row>
    <row r="15428" spans="1:2" x14ac:dyDescent="0.25">
      <c r="A15428">
        <v>3919909021</v>
      </c>
      <c r="B15428" t="s">
        <v>6695</v>
      </c>
    </row>
    <row r="15429" spans="1:2" x14ac:dyDescent="0.25">
      <c r="A15429">
        <v>39199090211</v>
      </c>
      <c r="B15429" t="s">
        <v>6694</v>
      </c>
    </row>
    <row r="15430" spans="1:2" x14ac:dyDescent="0.25">
      <c r="A15430">
        <v>39199090212</v>
      </c>
      <c r="B15430" t="s">
        <v>5635</v>
      </c>
    </row>
    <row r="15431" spans="1:2" x14ac:dyDescent="0.25">
      <c r="A15431">
        <v>39199090219</v>
      </c>
      <c r="B15431" t="s">
        <v>57</v>
      </c>
    </row>
    <row r="15432" spans="1:2" x14ac:dyDescent="0.25">
      <c r="A15432">
        <v>3919909029</v>
      </c>
      <c r="B15432" t="s">
        <v>57</v>
      </c>
    </row>
    <row r="15433" spans="1:2" x14ac:dyDescent="0.25">
      <c r="A15433">
        <v>39199090291</v>
      </c>
      <c r="B15433" t="s">
        <v>6694</v>
      </c>
    </row>
    <row r="15434" spans="1:2" x14ac:dyDescent="0.25">
      <c r="A15434">
        <v>39199090292</v>
      </c>
      <c r="B15434" t="s">
        <v>5635</v>
      </c>
    </row>
    <row r="15435" spans="1:2" x14ac:dyDescent="0.25">
      <c r="A15435">
        <v>39199090299</v>
      </c>
      <c r="B15435" t="s">
        <v>57</v>
      </c>
    </row>
    <row r="15436" spans="1:2" x14ac:dyDescent="0.25">
      <c r="A15436">
        <v>391990903</v>
      </c>
      <c r="B15436" t="s">
        <v>6689</v>
      </c>
    </row>
    <row r="15437" spans="1:2" x14ac:dyDescent="0.25">
      <c r="A15437">
        <v>39199090311</v>
      </c>
      <c r="B15437" t="s">
        <v>6694</v>
      </c>
    </row>
    <row r="15438" spans="1:2" x14ac:dyDescent="0.25">
      <c r="A15438">
        <v>39199090312</v>
      </c>
      <c r="B15438" t="s">
        <v>5635</v>
      </c>
    </row>
    <row r="15439" spans="1:2" x14ac:dyDescent="0.25">
      <c r="A15439">
        <v>39199090319</v>
      </c>
      <c r="B15439" t="s">
        <v>57</v>
      </c>
    </row>
    <row r="15440" spans="1:2" x14ac:dyDescent="0.25">
      <c r="A15440">
        <v>39199090391</v>
      </c>
      <c r="B15440" t="s">
        <v>6694</v>
      </c>
    </row>
    <row r="15441" spans="1:2" x14ac:dyDescent="0.25">
      <c r="A15441">
        <v>39199090392</v>
      </c>
      <c r="B15441" t="s">
        <v>5635</v>
      </c>
    </row>
    <row r="15442" spans="1:2" x14ac:dyDescent="0.25">
      <c r="A15442">
        <v>39199090399</v>
      </c>
      <c r="B15442" t="s">
        <v>57</v>
      </c>
    </row>
    <row r="15443" spans="1:2" x14ac:dyDescent="0.25">
      <c r="A15443">
        <v>391990904</v>
      </c>
      <c r="B15443" t="s">
        <v>6657</v>
      </c>
    </row>
    <row r="15444" spans="1:2" x14ac:dyDescent="0.25">
      <c r="A15444">
        <v>39199090410</v>
      </c>
      <c r="B15444" t="s">
        <v>6694</v>
      </c>
    </row>
    <row r="15445" spans="1:2" x14ac:dyDescent="0.25">
      <c r="A15445">
        <v>39199090420</v>
      </c>
      <c r="B15445" t="s">
        <v>5635</v>
      </c>
    </row>
    <row r="15446" spans="1:2" x14ac:dyDescent="0.25">
      <c r="A15446">
        <v>39199090490</v>
      </c>
      <c r="B15446" t="s">
        <v>57</v>
      </c>
    </row>
    <row r="15447" spans="1:2" x14ac:dyDescent="0.25">
      <c r="A15447">
        <v>391990905</v>
      </c>
      <c r="B15447" t="s">
        <v>6690</v>
      </c>
    </row>
    <row r="15448" spans="1:2" x14ac:dyDescent="0.25">
      <c r="A15448">
        <v>39199090510</v>
      </c>
      <c r="B15448" t="s">
        <v>6694</v>
      </c>
    </row>
    <row r="15449" spans="1:2" x14ac:dyDescent="0.25">
      <c r="A15449">
        <v>39199090520</v>
      </c>
      <c r="B15449" t="s">
        <v>5635</v>
      </c>
    </row>
    <row r="15450" spans="1:2" x14ac:dyDescent="0.25">
      <c r="A15450">
        <v>39199090590</v>
      </c>
      <c r="B15450" t="s">
        <v>57</v>
      </c>
    </row>
    <row r="15451" spans="1:2" x14ac:dyDescent="0.25">
      <c r="A15451">
        <v>391990906</v>
      </c>
      <c r="B15451" t="s">
        <v>6691</v>
      </c>
    </row>
    <row r="15452" spans="1:2" x14ac:dyDescent="0.25">
      <c r="A15452">
        <v>39199090610</v>
      </c>
      <c r="B15452" t="s">
        <v>6694</v>
      </c>
    </row>
    <row r="15453" spans="1:2" x14ac:dyDescent="0.25">
      <c r="A15453">
        <v>39199090620</v>
      </c>
      <c r="B15453" t="s">
        <v>5635</v>
      </c>
    </row>
    <row r="15454" spans="1:2" x14ac:dyDescent="0.25">
      <c r="A15454">
        <v>39199090690</v>
      </c>
      <c r="B15454" t="s">
        <v>57</v>
      </c>
    </row>
    <row r="15455" spans="1:2" x14ac:dyDescent="0.25">
      <c r="A15455">
        <v>391990909</v>
      </c>
      <c r="B15455" t="s">
        <v>57</v>
      </c>
    </row>
    <row r="15456" spans="1:2" x14ac:dyDescent="0.25">
      <c r="A15456">
        <v>39199090910</v>
      </c>
      <c r="B15456" t="s">
        <v>6694</v>
      </c>
    </row>
    <row r="15457" spans="1:2" x14ac:dyDescent="0.25">
      <c r="A15457">
        <v>3919909092</v>
      </c>
      <c r="B15457" t="s">
        <v>6701</v>
      </c>
    </row>
    <row r="15458" spans="1:2" x14ac:dyDescent="0.25">
      <c r="A15458">
        <v>39199090921</v>
      </c>
      <c r="B15458" t="s">
        <v>5635</v>
      </c>
    </row>
    <row r="15459" spans="1:2" x14ac:dyDescent="0.25">
      <c r="A15459">
        <v>39199090929</v>
      </c>
      <c r="B15459" t="s">
        <v>57</v>
      </c>
    </row>
    <row r="15460" spans="1:2" x14ac:dyDescent="0.25">
      <c r="A15460">
        <v>3919909099</v>
      </c>
      <c r="B15460" t="s">
        <v>57</v>
      </c>
    </row>
    <row r="15461" spans="1:2" x14ac:dyDescent="0.25">
      <c r="A15461">
        <v>39199090991</v>
      </c>
      <c r="B15461" t="s">
        <v>5635</v>
      </c>
    </row>
    <row r="15462" spans="1:2" x14ac:dyDescent="0.25">
      <c r="A15462">
        <v>39199090999</v>
      </c>
      <c r="B15462" t="s">
        <v>57</v>
      </c>
    </row>
    <row r="15463" spans="1:2" x14ac:dyDescent="0.25">
      <c r="A15463">
        <v>3920</v>
      </c>
      <c r="B15463" t="s">
        <v>6702</v>
      </c>
    </row>
    <row r="15464" spans="1:2" x14ac:dyDescent="0.25">
      <c r="A15464">
        <v>392010</v>
      </c>
      <c r="B15464" t="e">
        <f>- de Polimeros de Etileno</f>
        <v>#NAME?</v>
      </c>
    </row>
    <row r="15465" spans="1:2" x14ac:dyDescent="0.25">
      <c r="A15465">
        <v>39201010</v>
      </c>
      <c r="B15465" t="s">
        <v>6703</v>
      </c>
    </row>
    <row r="15466" spans="1:2" x14ac:dyDescent="0.25">
      <c r="A15466">
        <v>39201010100</v>
      </c>
      <c r="B15466" t="s">
        <v>6684</v>
      </c>
    </row>
    <row r="15467" spans="1:2" x14ac:dyDescent="0.25">
      <c r="A15467">
        <v>39201010900</v>
      </c>
      <c r="B15467" t="s">
        <v>57</v>
      </c>
    </row>
    <row r="15468" spans="1:2" x14ac:dyDescent="0.25">
      <c r="A15468">
        <v>3920109</v>
      </c>
      <c r="B15468" t="s">
        <v>57</v>
      </c>
    </row>
    <row r="15469" spans="1:2" x14ac:dyDescent="0.25">
      <c r="A15469">
        <v>39201091000</v>
      </c>
      <c r="B15469" t="s">
        <v>6704</v>
      </c>
    </row>
    <row r="15470" spans="1:2" x14ac:dyDescent="0.25">
      <c r="A15470">
        <v>39201099</v>
      </c>
      <c r="B15470" t="s">
        <v>57</v>
      </c>
    </row>
    <row r="15471" spans="1:2" x14ac:dyDescent="0.25">
      <c r="A15471">
        <v>392010991</v>
      </c>
      <c r="B15471" t="s">
        <v>6684</v>
      </c>
    </row>
    <row r="15472" spans="1:2" x14ac:dyDescent="0.25">
      <c r="A15472">
        <v>39201099110</v>
      </c>
      <c r="B15472" t="s">
        <v>6705</v>
      </c>
    </row>
    <row r="15473" spans="1:2" x14ac:dyDescent="0.25">
      <c r="A15473">
        <v>39201099120</v>
      </c>
      <c r="B15473" t="s">
        <v>6706</v>
      </c>
    </row>
    <row r="15474" spans="1:2" x14ac:dyDescent="0.25">
      <c r="A15474">
        <v>39201099130</v>
      </c>
      <c r="B15474" t="s">
        <v>6707</v>
      </c>
    </row>
    <row r="15475" spans="1:2" x14ac:dyDescent="0.25">
      <c r="A15475">
        <v>3920109914</v>
      </c>
      <c r="B15475" t="s">
        <v>6708</v>
      </c>
    </row>
    <row r="15476" spans="1:2" x14ac:dyDescent="0.25">
      <c r="A15476">
        <v>39201099141</v>
      </c>
      <c r="B15476" t="s">
        <v>6709</v>
      </c>
    </row>
    <row r="15477" spans="1:2" x14ac:dyDescent="0.25">
      <c r="A15477">
        <v>39201099149</v>
      </c>
      <c r="B15477" t="s">
        <v>57</v>
      </c>
    </row>
    <row r="15478" spans="1:2" x14ac:dyDescent="0.25">
      <c r="A15478">
        <v>39201099150</v>
      </c>
      <c r="B15478" t="s">
        <v>6710</v>
      </c>
    </row>
    <row r="15479" spans="1:2" x14ac:dyDescent="0.25">
      <c r="A15479">
        <v>39201099160</v>
      </c>
      <c r="B15479" t="s">
        <v>6711</v>
      </c>
    </row>
    <row r="15480" spans="1:2" x14ac:dyDescent="0.25">
      <c r="A15480">
        <v>39201099170</v>
      </c>
      <c r="B15480" t="s">
        <v>6712</v>
      </c>
    </row>
    <row r="15481" spans="1:2" x14ac:dyDescent="0.25">
      <c r="A15481">
        <v>39201099180</v>
      </c>
      <c r="B15481" t="s">
        <v>6713</v>
      </c>
    </row>
    <row r="15482" spans="1:2" x14ac:dyDescent="0.25">
      <c r="A15482">
        <v>3920109919</v>
      </c>
      <c r="B15482" t="s">
        <v>57</v>
      </c>
    </row>
    <row r="15483" spans="1:2" x14ac:dyDescent="0.25">
      <c r="A15483">
        <v>39201099191</v>
      </c>
      <c r="B15483" t="s">
        <v>6714</v>
      </c>
    </row>
    <row r="15484" spans="1:2" x14ac:dyDescent="0.25">
      <c r="A15484">
        <v>39201099199</v>
      </c>
      <c r="B15484" t="s">
        <v>57</v>
      </c>
    </row>
    <row r="15485" spans="1:2" x14ac:dyDescent="0.25">
      <c r="A15485">
        <v>392010999</v>
      </c>
      <c r="B15485" t="s">
        <v>57</v>
      </c>
    </row>
    <row r="15486" spans="1:2" x14ac:dyDescent="0.25">
      <c r="A15486">
        <v>39201099910</v>
      </c>
      <c r="B15486" t="s">
        <v>6705</v>
      </c>
    </row>
    <row r="15487" spans="1:2" x14ac:dyDescent="0.25">
      <c r="A15487">
        <v>39201099920</v>
      </c>
      <c r="B15487" t="s">
        <v>6706</v>
      </c>
    </row>
    <row r="15488" spans="1:2" x14ac:dyDescent="0.25">
      <c r="A15488">
        <v>39201099930</v>
      </c>
      <c r="B15488" t="s">
        <v>6707</v>
      </c>
    </row>
    <row r="15489" spans="1:2" x14ac:dyDescent="0.25">
      <c r="A15489">
        <v>3920109994</v>
      </c>
      <c r="B15489" t="s">
        <v>6708</v>
      </c>
    </row>
    <row r="15490" spans="1:2" x14ac:dyDescent="0.25">
      <c r="A15490">
        <v>39201099941</v>
      </c>
      <c r="B15490" t="s">
        <v>6709</v>
      </c>
    </row>
    <row r="15491" spans="1:2" x14ac:dyDescent="0.25">
      <c r="A15491">
        <v>39201099949</v>
      </c>
      <c r="B15491" t="s">
        <v>57</v>
      </c>
    </row>
    <row r="15492" spans="1:2" x14ac:dyDescent="0.25">
      <c r="A15492">
        <v>39201099950</v>
      </c>
      <c r="B15492" t="s">
        <v>6715</v>
      </c>
    </row>
    <row r="15493" spans="1:2" x14ac:dyDescent="0.25">
      <c r="A15493">
        <v>39201099960</v>
      </c>
      <c r="B15493" t="s">
        <v>6711</v>
      </c>
    </row>
    <row r="15494" spans="1:2" x14ac:dyDescent="0.25">
      <c r="A15494">
        <v>39201099970</v>
      </c>
      <c r="B15494" t="s">
        <v>6712</v>
      </c>
    </row>
    <row r="15495" spans="1:2" x14ac:dyDescent="0.25">
      <c r="A15495">
        <v>39201099980</v>
      </c>
      <c r="B15495" t="s">
        <v>6713</v>
      </c>
    </row>
    <row r="15496" spans="1:2" x14ac:dyDescent="0.25">
      <c r="A15496">
        <v>3920109999</v>
      </c>
      <c r="B15496" t="s">
        <v>57</v>
      </c>
    </row>
    <row r="15497" spans="1:2" x14ac:dyDescent="0.25">
      <c r="A15497">
        <v>39201099991</v>
      </c>
      <c r="B15497" t="s">
        <v>6714</v>
      </c>
    </row>
    <row r="15498" spans="1:2" x14ac:dyDescent="0.25">
      <c r="A15498">
        <v>39201099999</v>
      </c>
      <c r="B15498" t="s">
        <v>57</v>
      </c>
    </row>
    <row r="15499" spans="1:2" x14ac:dyDescent="0.25">
      <c r="A15499">
        <v>392020</v>
      </c>
      <c r="B15499" t="e">
        <f>- de Polimeros de propileno</f>
        <v>#NAME?</v>
      </c>
    </row>
    <row r="15500" spans="1:2" x14ac:dyDescent="0.25">
      <c r="A15500">
        <v>3920201</v>
      </c>
      <c r="B15500" t="s">
        <v>6716</v>
      </c>
    </row>
    <row r="15501" spans="1:2" x14ac:dyDescent="0.25">
      <c r="A15501">
        <v>39202011</v>
      </c>
      <c r="B15501" t="s">
        <v>6717</v>
      </c>
    </row>
    <row r="15502" spans="1:2" x14ac:dyDescent="0.25">
      <c r="A15502">
        <v>39202011100</v>
      </c>
      <c r="B15502" t="s">
        <v>6684</v>
      </c>
    </row>
    <row r="15503" spans="1:2" x14ac:dyDescent="0.25">
      <c r="A15503">
        <v>39202011900</v>
      </c>
      <c r="B15503" t="s">
        <v>57</v>
      </c>
    </row>
    <row r="15504" spans="1:2" x14ac:dyDescent="0.25">
      <c r="A15504">
        <v>39202012000</v>
      </c>
      <c r="B15504" t="s">
        <v>6718</v>
      </c>
    </row>
    <row r="15505" spans="1:2" x14ac:dyDescent="0.25">
      <c r="A15505">
        <v>39202019</v>
      </c>
      <c r="B15505" t="s">
        <v>57</v>
      </c>
    </row>
    <row r="15506" spans="1:2" x14ac:dyDescent="0.25">
      <c r="A15506">
        <v>392020191</v>
      </c>
      <c r="B15506" t="s">
        <v>6684</v>
      </c>
    </row>
    <row r="15507" spans="1:2" x14ac:dyDescent="0.25">
      <c r="A15507">
        <v>39202019110</v>
      </c>
      <c r="B15507" t="s">
        <v>6719</v>
      </c>
    </row>
    <row r="15508" spans="1:2" x14ac:dyDescent="0.25">
      <c r="A15508">
        <v>39202019120</v>
      </c>
      <c r="B15508" t="s">
        <v>6720</v>
      </c>
    </row>
    <row r="15509" spans="1:2" x14ac:dyDescent="0.25">
      <c r="A15509">
        <v>3920201913</v>
      </c>
      <c r="B15509" t="s">
        <v>6708</v>
      </c>
    </row>
    <row r="15510" spans="1:2" x14ac:dyDescent="0.25">
      <c r="A15510">
        <v>39202019131</v>
      </c>
      <c r="B15510" t="s">
        <v>6709</v>
      </c>
    </row>
    <row r="15511" spans="1:2" x14ac:dyDescent="0.25">
      <c r="A15511">
        <v>39202019139</v>
      </c>
      <c r="B15511" t="s">
        <v>57</v>
      </c>
    </row>
    <row r="15512" spans="1:2" x14ac:dyDescent="0.25">
      <c r="A15512">
        <v>39202019140</v>
      </c>
      <c r="B15512" t="s">
        <v>6710</v>
      </c>
    </row>
    <row r="15513" spans="1:2" x14ac:dyDescent="0.25">
      <c r="A15513">
        <v>39202019150</v>
      </c>
      <c r="B15513" t="s">
        <v>6707</v>
      </c>
    </row>
    <row r="15514" spans="1:2" x14ac:dyDescent="0.25">
      <c r="A15514">
        <v>39202019160</v>
      </c>
      <c r="B15514" t="s">
        <v>6714</v>
      </c>
    </row>
    <row r="15515" spans="1:2" x14ac:dyDescent="0.25">
      <c r="A15515">
        <v>39202019190</v>
      </c>
      <c r="B15515" t="s">
        <v>57</v>
      </c>
    </row>
    <row r="15516" spans="1:2" x14ac:dyDescent="0.25">
      <c r="A15516">
        <v>392020199</v>
      </c>
      <c r="B15516" t="s">
        <v>57</v>
      </c>
    </row>
    <row r="15517" spans="1:2" x14ac:dyDescent="0.25">
      <c r="A15517">
        <v>3920201991</v>
      </c>
      <c r="B15517" t="s">
        <v>6719</v>
      </c>
    </row>
    <row r="15518" spans="1:2" x14ac:dyDescent="0.25">
      <c r="A15518">
        <v>39202019911</v>
      </c>
      <c r="B15518" t="s">
        <v>6721</v>
      </c>
    </row>
    <row r="15519" spans="1:2" x14ac:dyDescent="0.25">
      <c r="A15519">
        <v>39202019912</v>
      </c>
      <c r="B15519" t="s">
        <v>6722</v>
      </c>
    </row>
    <row r="15520" spans="1:2" x14ac:dyDescent="0.25">
      <c r="A15520">
        <v>39202019913</v>
      </c>
      <c r="B15520" t="s">
        <v>6723</v>
      </c>
    </row>
    <row r="15521" spans="1:2" x14ac:dyDescent="0.25">
      <c r="A15521">
        <v>39202019919</v>
      </c>
      <c r="B15521" t="s">
        <v>6724</v>
      </c>
    </row>
    <row r="15522" spans="1:2" x14ac:dyDescent="0.25">
      <c r="A15522">
        <v>39202019920</v>
      </c>
      <c r="B15522" t="s">
        <v>6720</v>
      </c>
    </row>
    <row r="15523" spans="1:2" x14ac:dyDescent="0.25">
      <c r="A15523">
        <v>3920201993</v>
      </c>
      <c r="B15523" t="s">
        <v>6725</v>
      </c>
    </row>
    <row r="15524" spans="1:2" x14ac:dyDescent="0.25">
      <c r="A15524">
        <v>39202019931</v>
      </c>
      <c r="B15524" t="s">
        <v>6709</v>
      </c>
    </row>
    <row r="15525" spans="1:2" x14ac:dyDescent="0.25">
      <c r="A15525">
        <v>39202019939</v>
      </c>
      <c r="B15525" t="s">
        <v>57</v>
      </c>
    </row>
    <row r="15526" spans="1:2" x14ac:dyDescent="0.25">
      <c r="A15526">
        <v>39202019940</v>
      </c>
      <c r="B15526" t="s">
        <v>6710</v>
      </c>
    </row>
    <row r="15527" spans="1:2" x14ac:dyDescent="0.25">
      <c r="A15527">
        <v>39202019950</v>
      </c>
      <c r="B15527" t="s">
        <v>6707</v>
      </c>
    </row>
    <row r="15528" spans="1:2" x14ac:dyDescent="0.25">
      <c r="A15528">
        <v>39202019960</v>
      </c>
      <c r="B15528" t="s">
        <v>6714</v>
      </c>
    </row>
    <row r="15529" spans="1:2" x14ac:dyDescent="0.25">
      <c r="A15529">
        <v>39202019990</v>
      </c>
      <c r="B15529" t="s">
        <v>57</v>
      </c>
    </row>
    <row r="15530" spans="1:2" x14ac:dyDescent="0.25">
      <c r="A15530">
        <v>39202090</v>
      </c>
      <c r="B15530" t="s">
        <v>57</v>
      </c>
    </row>
    <row r="15531" spans="1:2" x14ac:dyDescent="0.25">
      <c r="A15531">
        <v>392020901</v>
      </c>
      <c r="B15531" t="s">
        <v>6684</v>
      </c>
    </row>
    <row r="15532" spans="1:2" x14ac:dyDescent="0.25">
      <c r="A15532">
        <v>39202090110</v>
      </c>
      <c r="B15532" t="s">
        <v>6726</v>
      </c>
    </row>
    <row r="15533" spans="1:2" x14ac:dyDescent="0.25">
      <c r="A15533">
        <v>39202090120</v>
      </c>
      <c r="B15533" t="s">
        <v>6727</v>
      </c>
    </row>
    <row r="15534" spans="1:2" x14ac:dyDescent="0.25">
      <c r="A15534">
        <v>39202090130</v>
      </c>
      <c r="B15534" t="s">
        <v>6728</v>
      </c>
    </row>
    <row r="15535" spans="1:2" x14ac:dyDescent="0.25">
      <c r="A15535">
        <v>39202090140</v>
      </c>
      <c r="B15535" t="s">
        <v>6729</v>
      </c>
    </row>
    <row r="15536" spans="1:2" x14ac:dyDescent="0.25">
      <c r="A15536">
        <v>39202090150</v>
      </c>
      <c r="B15536" t="s">
        <v>6730</v>
      </c>
    </row>
    <row r="15537" spans="1:2" x14ac:dyDescent="0.25">
      <c r="A15537">
        <v>39202090160</v>
      </c>
      <c r="B15537" t="s">
        <v>6731</v>
      </c>
    </row>
    <row r="15538" spans="1:2" x14ac:dyDescent="0.25">
      <c r="A15538">
        <v>39202090190</v>
      </c>
      <c r="B15538" t="s">
        <v>57</v>
      </c>
    </row>
    <row r="15539" spans="1:2" x14ac:dyDescent="0.25">
      <c r="A15539">
        <v>392020909</v>
      </c>
      <c r="B15539" t="s">
        <v>57</v>
      </c>
    </row>
    <row r="15540" spans="1:2" x14ac:dyDescent="0.25">
      <c r="A15540">
        <v>39202090910</v>
      </c>
      <c r="B15540" t="s">
        <v>6732</v>
      </c>
    </row>
    <row r="15541" spans="1:2" x14ac:dyDescent="0.25">
      <c r="A15541">
        <v>39202090920</v>
      </c>
      <c r="B15541" t="s">
        <v>6733</v>
      </c>
    </row>
    <row r="15542" spans="1:2" x14ac:dyDescent="0.25">
      <c r="A15542">
        <v>39202090930</v>
      </c>
      <c r="B15542" t="s">
        <v>6734</v>
      </c>
    </row>
    <row r="15543" spans="1:2" x14ac:dyDescent="0.25">
      <c r="A15543">
        <v>39202090940</v>
      </c>
      <c r="B15543" t="s">
        <v>6735</v>
      </c>
    </row>
    <row r="15544" spans="1:2" x14ac:dyDescent="0.25">
      <c r="A15544">
        <v>39202090950</v>
      </c>
      <c r="B15544" t="s">
        <v>6736</v>
      </c>
    </row>
    <row r="15545" spans="1:2" x14ac:dyDescent="0.25">
      <c r="A15545">
        <v>39202090960</v>
      </c>
      <c r="B15545" t="s">
        <v>6737</v>
      </c>
    </row>
    <row r="15546" spans="1:2" x14ac:dyDescent="0.25">
      <c r="A15546">
        <v>3920209099</v>
      </c>
      <c r="B15546" t="s">
        <v>57</v>
      </c>
    </row>
    <row r="15547" spans="1:2" x14ac:dyDescent="0.25">
      <c r="A15547">
        <v>39202090991</v>
      </c>
      <c r="B15547" t="s">
        <v>6738</v>
      </c>
    </row>
    <row r="15548" spans="1:2" x14ac:dyDescent="0.25">
      <c r="A15548">
        <v>39202090999</v>
      </c>
      <c r="B15548" t="s">
        <v>57</v>
      </c>
    </row>
    <row r="15549" spans="1:2" x14ac:dyDescent="0.25">
      <c r="A15549">
        <v>39203000</v>
      </c>
      <c r="B15549" t="e">
        <f>- de Polimeros de Estireno</f>
        <v>#NAME?</v>
      </c>
    </row>
    <row r="15550" spans="1:2" x14ac:dyDescent="0.25">
      <c r="A15550">
        <v>39203000100</v>
      </c>
      <c r="B15550" t="s">
        <v>6739</v>
      </c>
    </row>
    <row r="15551" spans="1:2" x14ac:dyDescent="0.25">
      <c r="A15551">
        <v>392030002</v>
      </c>
      <c r="B15551" t="s">
        <v>6740</v>
      </c>
    </row>
    <row r="15552" spans="1:2" x14ac:dyDescent="0.25">
      <c r="A15552">
        <v>39203000210</v>
      </c>
      <c r="B15552" t="s">
        <v>6716</v>
      </c>
    </row>
    <row r="15553" spans="1:2" x14ac:dyDescent="0.25">
      <c r="A15553">
        <v>39203000290</v>
      </c>
      <c r="B15553" t="s">
        <v>57</v>
      </c>
    </row>
    <row r="15554" spans="1:2" x14ac:dyDescent="0.25">
      <c r="A15554">
        <v>39203000300</v>
      </c>
      <c r="B15554" t="s">
        <v>6741</v>
      </c>
    </row>
    <row r="15555" spans="1:2" x14ac:dyDescent="0.25">
      <c r="A15555">
        <v>39203000400</v>
      </c>
      <c r="B15555" t="s">
        <v>6742</v>
      </c>
    </row>
    <row r="15556" spans="1:2" x14ac:dyDescent="0.25">
      <c r="A15556">
        <v>39203000500</v>
      </c>
      <c r="B15556" t="s">
        <v>6743</v>
      </c>
    </row>
    <row r="15557" spans="1:2" x14ac:dyDescent="0.25">
      <c r="A15557">
        <v>392030006</v>
      </c>
      <c r="B15557" t="s">
        <v>6744</v>
      </c>
    </row>
    <row r="15558" spans="1:2" x14ac:dyDescent="0.25">
      <c r="A15558">
        <v>39203000610</v>
      </c>
      <c r="B15558" t="s">
        <v>6745</v>
      </c>
    </row>
    <row r="15559" spans="1:2" x14ac:dyDescent="0.25">
      <c r="A15559">
        <v>39203000620</v>
      </c>
      <c r="B15559" t="s">
        <v>6746</v>
      </c>
    </row>
    <row r="15560" spans="1:2" x14ac:dyDescent="0.25">
      <c r="A15560">
        <v>39203000690</v>
      </c>
      <c r="B15560" t="s">
        <v>57</v>
      </c>
    </row>
    <row r="15561" spans="1:2" x14ac:dyDescent="0.25">
      <c r="A15561">
        <v>39203000700</v>
      </c>
      <c r="B15561" t="s">
        <v>6649</v>
      </c>
    </row>
    <row r="15562" spans="1:2" x14ac:dyDescent="0.25">
      <c r="A15562">
        <v>39203000900</v>
      </c>
      <c r="B15562" t="s">
        <v>57</v>
      </c>
    </row>
    <row r="15563" spans="1:2" x14ac:dyDescent="0.25">
      <c r="A15563">
        <v>39204</v>
      </c>
      <c r="B15563" t="s">
        <v>6747</v>
      </c>
    </row>
    <row r="15564" spans="1:2" x14ac:dyDescent="0.25">
      <c r="A15564">
        <v>392043</v>
      </c>
      <c r="B15564" t="s">
        <v>6748</v>
      </c>
    </row>
    <row r="15565" spans="1:2" x14ac:dyDescent="0.25">
      <c r="A15565">
        <v>39204310000</v>
      </c>
      <c r="B15565" t="s">
        <v>6749</v>
      </c>
    </row>
    <row r="15566" spans="1:2" x14ac:dyDescent="0.25">
      <c r="A15566">
        <v>39204390</v>
      </c>
      <c r="B15566" t="s">
        <v>57</v>
      </c>
    </row>
    <row r="15567" spans="1:2" x14ac:dyDescent="0.25">
      <c r="A15567">
        <v>392043901</v>
      </c>
      <c r="B15567" t="s">
        <v>6684</v>
      </c>
    </row>
    <row r="15568" spans="1:2" x14ac:dyDescent="0.25">
      <c r="A15568">
        <v>3920439011</v>
      </c>
      <c r="B15568" t="s">
        <v>6750</v>
      </c>
    </row>
    <row r="15569" spans="1:2" x14ac:dyDescent="0.25">
      <c r="A15569">
        <v>39204390111</v>
      </c>
      <c r="B15569" t="s">
        <v>6751</v>
      </c>
    </row>
    <row r="15570" spans="1:2" x14ac:dyDescent="0.25">
      <c r="A15570">
        <v>39204390112</v>
      </c>
      <c r="B15570" t="s">
        <v>6752</v>
      </c>
    </row>
    <row r="15571" spans="1:2" x14ac:dyDescent="0.25">
      <c r="A15571">
        <v>39204390120</v>
      </c>
      <c r="B15571" t="s">
        <v>6753</v>
      </c>
    </row>
    <row r="15572" spans="1:2" x14ac:dyDescent="0.25">
      <c r="A15572">
        <v>39204390130</v>
      </c>
      <c r="B15572" t="s">
        <v>6754</v>
      </c>
    </row>
    <row r="15573" spans="1:2" x14ac:dyDescent="0.25">
      <c r="A15573">
        <v>39204390140</v>
      </c>
      <c r="B15573" t="s">
        <v>6755</v>
      </c>
    </row>
    <row r="15574" spans="1:2" x14ac:dyDescent="0.25">
      <c r="A15574">
        <v>392043909</v>
      </c>
      <c r="B15574" t="s">
        <v>57</v>
      </c>
    </row>
    <row r="15575" spans="1:2" x14ac:dyDescent="0.25">
      <c r="A15575">
        <v>3920439091</v>
      </c>
      <c r="B15575" t="s">
        <v>6750</v>
      </c>
    </row>
    <row r="15576" spans="1:2" x14ac:dyDescent="0.25">
      <c r="A15576">
        <v>39204390911</v>
      </c>
      <c r="B15576" t="s">
        <v>6751</v>
      </c>
    </row>
    <row r="15577" spans="1:2" x14ac:dyDescent="0.25">
      <c r="A15577">
        <v>39204390912</v>
      </c>
      <c r="B15577" t="s">
        <v>6752</v>
      </c>
    </row>
    <row r="15578" spans="1:2" x14ac:dyDescent="0.25">
      <c r="A15578">
        <v>39204390920</v>
      </c>
      <c r="B15578" t="s">
        <v>6753</v>
      </c>
    </row>
    <row r="15579" spans="1:2" x14ac:dyDescent="0.25">
      <c r="A15579">
        <v>39204390930</v>
      </c>
      <c r="B15579" t="s">
        <v>6754</v>
      </c>
    </row>
    <row r="15580" spans="1:2" x14ac:dyDescent="0.25">
      <c r="A15580">
        <v>39204390940</v>
      </c>
      <c r="B15580" t="s">
        <v>6755</v>
      </c>
    </row>
    <row r="15581" spans="1:2" x14ac:dyDescent="0.25">
      <c r="A15581">
        <v>39204900</v>
      </c>
      <c r="B15581" t="e">
        <f>- - las demas</f>
        <v>#NAME?</v>
      </c>
    </row>
    <row r="15582" spans="1:2" x14ac:dyDescent="0.25">
      <c r="A15582">
        <v>392049001</v>
      </c>
      <c r="B15582" t="s">
        <v>6684</v>
      </c>
    </row>
    <row r="15583" spans="1:2" x14ac:dyDescent="0.25">
      <c r="A15583">
        <v>3920490011</v>
      </c>
      <c r="B15583" t="s">
        <v>6756</v>
      </c>
    </row>
    <row r="15584" spans="1:2" x14ac:dyDescent="0.25">
      <c r="A15584">
        <v>39204900111</v>
      </c>
      <c r="B15584" t="s">
        <v>6757</v>
      </c>
    </row>
    <row r="15585" spans="1:2" x14ac:dyDescent="0.25">
      <c r="A15585">
        <v>39204900112</v>
      </c>
      <c r="B15585" t="s">
        <v>6758</v>
      </c>
    </row>
    <row r="15586" spans="1:2" x14ac:dyDescent="0.25">
      <c r="A15586">
        <v>39204900113</v>
      </c>
      <c r="B15586" t="s">
        <v>6759</v>
      </c>
    </row>
    <row r="15587" spans="1:2" x14ac:dyDescent="0.25">
      <c r="A15587">
        <v>39204900114</v>
      </c>
      <c r="B15587" t="s">
        <v>6760</v>
      </c>
    </row>
    <row r="15588" spans="1:2" x14ac:dyDescent="0.25">
      <c r="A15588">
        <v>39204900115</v>
      </c>
      <c r="B15588" t="s">
        <v>6761</v>
      </c>
    </row>
    <row r="15589" spans="1:2" x14ac:dyDescent="0.25">
      <c r="A15589">
        <v>39204900116</v>
      </c>
      <c r="B15589" t="s">
        <v>6762</v>
      </c>
    </row>
    <row r="15590" spans="1:2" x14ac:dyDescent="0.25">
      <c r="A15590">
        <v>39204900117</v>
      </c>
      <c r="B15590" t="s">
        <v>6763</v>
      </c>
    </row>
    <row r="15591" spans="1:2" x14ac:dyDescent="0.25">
      <c r="A15591">
        <v>39204900119</v>
      </c>
      <c r="B15591" t="s">
        <v>57</v>
      </c>
    </row>
    <row r="15592" spans="1:2" x14ac:dyDescent="0.25">
      <c r="A15592">
        <v>3920490012</v>
      </c>
      <c r="B15592" t="s">
        <v>6764</v>
      </c>
    </row>
    <row r="15593" spans="1:2" x14ac:dyDescent="0.25">
      <c r="A15593">
        <v>39204900121</v>
      </c>
      <c r="B15593" t="s">
        <v>6765</v>
      </c>
    </row>
    <row r="15594" spans="1:2" x14ac:dyDescent="0.25">
      <c r="A15594">
        <v>39204900122</v>
      </c>
      <c r="B15594" t="s">
        <v>6766</v>
      </c>
    </row>
    <row r="15595" spans="1:2" x14ac:dyDescent="0.25">
      <c r="A15595">
        <v>39204900123</v>
      </c>
      <c r="B15595" t="s">
        <v>6767</v>
      </c>
    </row>
    <row r="15596" spans="1:2" x14ac:dyDescent="0.25">
      <c r="A15596">
        <v>39204900129</v>
      </c>
      <c r="B15596" t="s">
        <v>57</v>
      </c>
    </row>
    <row r="15597" spans="1:2" x14ac:dyDescent="0.25">
      <c r="A15597">
        <v>3920490013</v>
      </c>
      <c r="B15597" t="s">
        <v>6768</v>
      </c>
    </row>
    <row r="15598" spans="1:2" x14ac:dyDescent="0.25">
      <c r="A15598">
        <v>39204900131</v>
      </c>
      <c r="B15598" t="s">
        <v>6765</v>
      </c>
    </row>
    <row r="15599" spans="1:2" x14ac:dyDescent="0.25">
      <c r="A15599">
        <v>39204900132</v>
      </c>
      <c r="B15599" t="s">
        <v>6766</v>
      </c>
    </row>
    <row r="15600" spans="1:2" x14ac:dyDescent="0.25">
      <c r="A15600">
        <v>39204900133</v>
      </c>
      <c r="B15600" t="s">
        <v>6767</v>
      </c>
    </row>
    <row r="15601" spans="1:2" x14ac:dyDescent="0.25">
      <c r="A15601">
        <v>39204900139</v>
      </c>
      <c r="B15601" t="s">
        <v>10</v>
      </c>
    </row>
    <row r="15602" spans="1:2" x14ac:dyDescent="0.25">
      <c r="A15602">
        <v>3920490019</v>
      </c>
      <c r="B15602" t="s">
        <v>57</v>
      </c>
    </row>
    <row r="15603" spans="1:2" x14ac:dyDescent="0.25">
      <c r="A15603">
        <v>39204900191</v>
      </c>
      <c r="B15603" t="s">
        <v>6765</v>
      </c>
    </row>
    <row r="15604" spans="1:2" x14ac:dyDescent="0.25">
      <c r="A15604">
        <v>39204900192</v>
      </c>
      <c r="B15604" t="s">
        <v>6766</v>
      </c>
    </row>
    <row r="15605" spans="1:2" x14ac:dyDescent="0.25">
      <c r="A15605">
        <v>39204900193</v>
      </c>
      <c r="B15605" t="s">
        <v>6767</v>
      </c>
    </row>
    <row r="15606" spans="1:2" x14ac:dyDescent="0.25">
      <c r="A15606">
        <v>39204900199</v>
      </c>
      <c r="B15606" t="s">
        <v>10</v>
      </c>
    </row>
    <row r="15607" spans="1:2" x14ac:dyDescent="0.25">
      <c r="A15607">
        <v>392049009</v>
      </c>
      <c r="B15607" t="s">
        <v>57</v>
      </c>
    </row>
    <row r="15608" spans="1:2" x14ac:dyDescent="0.25">
      <c r="A15608">
        <v>3920490091</v>
      </c>
      <c r="B15608" t="s">
        <v>6756</v>
      </c>
    </row>
    <row r="15609" spans="1:2" x14ac:dyDescent="0.25">
      <c r="A15609">
        <v>39204900911</v>
      </c>
      <c r="B15609" t="s">
        <v>6709</v>
      </c>
    </row>
    <row r="15610" spans="1:2" x14ac:dyDescent="0.25">
      <c r="A15610">
        <v>39204900919</v>
      </c>
      <c r="B15610" t="s">
        <v>57</v>
      </c>
    </row>
    <row r="15611" spans="1:2" x14ac:dyDescent="0.25">
      <c r="A15611">
        <v>39204900920</v>
      </c>
      <c r="B15611" t="s">
        <v>6764</v>
      </c>
    </row>
    <row r="15612" spans="1:2" x14ac:dyDescent="0.25">
      <c r="A15612">
        <v>39204900930</v>
      </c>
      <c r="B15612" t="s">
        <v>6768</v>
      </c>
    </row>
    <row r="15613" spans="1:2" x14ac:dyDescent="0.25">
      <c r="A15613">
        <v>39204900990</v>
      </c>
      <c r="B15613" t="s">
        <v>57</v>
      </c>
    </row>
    <row r="15614" spans="1:2" x14ac:dyDescent="0.25">
      <c r="A15614">
        <v>39205</v>
      </c>
      <c r="B15614" t="s">
        <v>6769</v>
      </c>
    </row>
    <row r="15615" spans="1:2" x14ac:dyDescent="0.25">
      <c r="A15615">
        <v>39205100</v>
      </c>
      <c r="B15615" t="e">
        <f ca="1">- - de poli(metacrilato de metilo)</f>
        <v>#NAME?</v>
      </c>
    </row>
    <row r="15616" spans="1:2" x14ac:dyDescent="0.25">
      <c r="A15616">
        <v>392051001</v>
      </c>
      <c r="B15616" t="s">
        <v>6770</v>
      </c>
    </row>
    <row r="15617" spans="1:2" x14ac:dyDescent="0.25">
      <c r="A15617">
        <v>39205100110</v>
      </c>
      <c r="B15617" t="s">
        <v>6771</v>
      </c>
    </row>
    <row r="15618" spans="1:2" x14ac:dyDescent="0.25">
      <c r="A15618">
        <v>39205100120</v>
      </c>
      <c r="B15618" t="s">
        <v>6772</v>
      </c>
    </row>
    <row r="15619" spans="1:2" x14ac:dyDescent="0.25">
      <c r="A15619">
        <v>39205100130</v>
      </c>
      <c r="B15619" t="s">
        <v>6773</v>
      </c>
    </row>
    <row r="15620" spans="1:2" x14ac:dyDescent="0.25">
      <c r="A15620">
        <v>39205100140</v>
      </c>
      <c r="B15620" t="s">
        <v>6774</v>
      </c>
    </row>
    <row r="15621" spans="1:2" x14ac:dyDescent="0.25">
      <c r="A15621">
        <v>39205100150</v>
      </c>
      <c r="B15621" t="s">
        <v>6775</v>
      </c>
    </row>
    <row r="15622" spans="1:2" x14ac:dyDescent="0.25">
      <c r="A15622">
        <v>39205100190</v>
      </c>
      <c r="B15622" t="s">
        <v>10</v>
      </c>
    </row>
    <row r="15623" spans="1:2" x14ac:dyDescent="0.25">
      <c r="A15623">
        <v>392051002</v>
      </c>
      <c r="B15623" t="s">
        <v>6776</v>
      </c>
    </row>
    <row r="15624" spans="1:2" x14ac:dyDescent="0.25">
      <c r="A15624">
        <v>39205100210</v>
      </c>
      <c r="B15624" t="s">
        <v>6777</v>
      </c>
    </row>
    <row r="15625" spans="1:2" x14ac:dyDescent="0.25">
      <c r="A15625">
        <v>39205100290</v>
      </c>
      <c r="B15625" t="s">
        <v>57</v>
      </c>
    </row>
    <row r="15626" spans="1:2" x14ac:dyDescent="0.25">
      <c r="A15626">
        <v>392051009</v>
      </c>
      <c r="B15626" t="s">
        <v>57</v>
      </c>
    </row>
    <row r="15627" spans="1:2" x14ac:dyDescent="0.25">
      <c r="A15627">
        <v>39205100910</v>
      </c>
      <c r="B15627" t="s">
        <v>6709</v>
      </c>
    </row>
    <row r="15628" spans="1:2" x14ac:dyDescent="0.25">
      <c r="A15628">
        <v>39205100990</v>
      </c>
      <c r="B15628" t="s">
        <v>57</v>
      </c>
    </row>
    <row r="15629" spans="1:2" x14ac:dyDescent="0.25">
      <c r="A15629">
        <v>39205900000</v>
      </c>
      <c r="B15629" t="e">
        <f>--las demas</f>
        <v>#NAME?</v>
      </c>
    </row>
    <row r="15630" spans="1:2" x14ac:dyDescent="0.25">
      <c r="A15630">
        <v>39206</v>
      </c>
      <c r="B15630" t="s">
        <v>6778</v>
      </c>
    </row>
    <row r="15631" spans="1:2" x14ac:dyDescent="0.25">
      <c r="A15631">
        <v>39206100</v>
      </c>
      <c r="B15631" t="e">
        <f>- - de Policarbonatos</f>
        <v>#NAME?</v>
      </c>
    </row>
    <row r="15632" spans="1:2" x14ac:dyDescent="0.25">
      <c r="A15632">
        <v>392061001</v>
      </c>
      <c r="B15632" t="s">
        <v>6779</v>
      </c>
    </row>
    <row r="15633" spans="1:2" x14ac:dyDescent="0.25">
      <c r="A15633">
        <v>3920610011</v>
      </c>
      <c r="B15633" t="s">
        <v>6780</v>
      </c>
    </row>
    <row r="15634" spans="1:2" x14ac:dyDescent="0.25">
      <c r="A15634">
        <v>39206100111</v>
      </c>
      <c r="B15634" t="s">
        <v>6781</v>
      </c>
    </row>
    <row r="15635" spans="1:2" x14ac:dyDescent="0.25">
      <c r="A15635">
        <v>39206100112</v>
      </c>
      <c r="B15635" t="s">
        <v>6782</v>
      </c>
    </row>
    <row r="15636" spans="1:2" x14ac:dyDescent="0.25">
      <c r="A15636">
        <v>39206100113</v>
      </c>
      <c r="B15636" t="s">
        <v>6783</v>
      </c>
    </row>
    <row r="15637" spans="1:2" x14ac:dyDescent="0.25">
      <c r="A15637">
        <v>39206100114</v>
      </c>
      <c r="B15637" t="s">
        <v>6784</v>
      </c>
    </row>
    <row r="15638" spans="1:2" x14ac:dyDescent="0.25">
      <c r="A15638">
        <v>39206100115</v>
      </c>
      <c r="B15638" t="s">
        <v>6785</v>
      </c>
    </row>
    <row r="15639" spans="1:2" x14ac:dyDescent="0.25">
      <c r="A15639">
        <v>39206100116</v>
      </c>
      <c r="B15639" t="s">
        <v>6786</v>
      </c>
    </row>
    <row r="15640" spans="1:2" x14ac:dyDescent="0.25">
      <c r="A15640">
        <v>39206100119</v>
      </c>
      <c r="B15640" t="s">
        <v>10</v>
      </c>
    </row>
    <row r="15641" spans="1:2" x14ac:dyDescent="0.25">
      <c r="A15641">
        <v>3920610012</v>
      </c>
      <c r="B15641" t="s">
        <v>6787</v>
      </c>
    </row>
    <row r="15642" spans="1:2" x14ac:dyDescent="0.25">
      <c r="A15642">
        <v>39206100121</v>
      </c>
      <c r="B15642" t="s">
        <v>6788</v>
      </c>
    </row>
    <row r="15643" spans="1:2" x14ac:dyDescent="0.25">
      <c r="A15643">
        <v>39206100122</v>
      </c>
      <c r="B15643" t="s">
        <v>6789</v>
      </c>
    </row>
    <row r="15644" spans="1:2" x14ac:dyDescent="0.25">
      <c r="A15644">
        <v>39206100129</v>
      </c>
      <c r="B15644" t="s">
        <v>10</v>
      </c>
    </row>
    <row r="15645" spans="1:2" x14ac:dyDescent="0.25">
      <c r="A15645">
        <v>3920610013</v>
      </c>
      <c r="B15645" t="s">
        <v>6790</v>
      </c>
    </row>
    <row r="15646" spans="1:2" x14ac:dyDescent="0.25">
      <c r="A15646">
        <v>39206100131</v>
      </c>
      <c r="B15646" t="s">
        <v>6791</v>
      </c>
    </row>
    <row r="15647" spans="1:2" x14ac:dyDescent="0.25">
      <c r="A15647">
        <v>39206100132</v>
      </c>
      <c r="B15647" t="s">
        <v>6792</v>
      </c>
    </row>
    <row r="15648" spans="1:2" x14ac:dyDescent="0.25">
      <c r="A15648">
        <v>39206100133</v>
      </c>
      <c r="B15648" t="s">
        <v>6793</v>
      </c>
    </row>
    <row r="15649" spans="1:2" x14ac:dyDescent="0.25">
      <c r="A15649">
        <v>39206100134</v>
      </c>
      <c r="B15649" t="s">
        <v>6794</v>
      </c>
    </row>
    <row r="15650" spans="1:2" x14ac:dyDescent="0.25">
      <c r="A15650">
        <v>39206100139</v>
      </c>
      <c r="B15650" t="s">
        <v>10</v>
      </c>
    </row>
    <row r="15651" spans="1:2" x14ac:dyDescent="0.25">
      <c r="A15651">
        <v>3920610014</v>
      </c>
      <c r="B15651" t="s">
        <v>6795</v>
      </c>
    </row>
    <row r="15652" spans="1:2" x14ac:dyDescent="0.25">
      <c r="A15652">
        <v>39206100141</v>
      </c>
      <c r="B15652" t="s">
        <v>6796</v>
      </c>
    </row>
    <row r="15653" spans="1:2" x14ac:dyDescent="0.25">
      <c r="A15653">
        <v>39206100142</v>
      </c>
      <c r="B15653" t="s">
        <v>6797</v>
      </c>
    </row>
    <row r="15654" spans="1:2" x14ac:dyDescent="0.25">
      <c r="A15654">
        <v>39206100143</v>
      </c>
      <c r="B15654" t="s">
        <v>6792</v>
      </c>
    </row>
    <row r="15655" spans="1:2" x14ac:dyDescent="0.25">
      <c r="A15655">
        <v>39206100149</v>
      </c>
      <c r="B15655" t="s">
        <v>10</v>
      </c>
    </row>
    <row r="15656" spans="1:2" x14ac:dyDescent="0.25">
      <c r="A15656">
        <v>39206100190</v>
      </c>
      <c r="B15656" t="s">
        <v>10</v>
      </c>
    </row>
    <row r="15657" spans="1:2" x14ac:dyDescent="0.25">
      <c r="A15657">
        <v>392061002</v>
      </c>
      <c r="B15657" t="s">
        <v>6798</v>
      </c>
    </row>
    <row r="15658" spans="1:2" x14ac:dyDescent="0.25">
      <c r="A15658">
        <v>39206100210</v>
      </c>
      <c r="B15658" t="s">
        <v>6799</v>
      </c>
    </row>
    <row r="15659" spans="1:2" x14ac:dyDescent="0.25">
      <c r="A15659">
        <v>39206100220</v>
      </c>
      <c r="B15659" t="s">
        <v>6800</v>
      </c>
    </row>
    <row r="15660" spans="1:2" x14ac:dyDescent="0.25">
      <c r="A15660">
        <v>39206100230</v>
      </c>
      <c r="B15660" t="s">
        <v>6801</v>
      </c>
    </row>
    <row r="15661" spans="1:2" x14ac:dyDescent="0.25">
      <c r="A15661">
        <v>39206100290</v>
      </c>
      <c r="B15661" t="s">
        <v>10</v>
      </c>
    </row>
    <row r="15662" spans="1:2" x14ac:dyDescent="0.25">
      <c r="A15662">
        <v>392061009</v>
      </c>
      <c r="B15662" t="s">
        <v>10</v>
      </c>
    </row>
    <row r="15663" spans="1:2" x14ac:dyDescent="0.25">
      <c r="A15663">
        <v>3920610091</v>
      </c>
      <c r="B15663" t="s">
        <v>6802</v>
      </c>
    </row>
    <row r="15664" spans="1:2" x14ac:dyDescent="0.25">
      <c r="A15664">
        <v>39206100911</v>
      </c>
      <c r="B15664" t="s">
        <v>6803</v>
      </c>
    </row>
    <row r="15665" spans="1:2" x14ac:dyDescent="0.25">
      <c r="A15665">
        <v>39206100912</v>
      </c>
      <c r="B15665" t="s">
        <v>6792</v>
      </c>
    </row>
    <row r="15666" spans="1:2" x14ac:dyDescent="0.25">
      <c r="A15666">
        <v>39206100913</v>
      </c>
      <c r="B15666" t="s">
        <v>6784</v>
      </c>
    </row>
    <row r="15667" spans="1:2" x14ac:dyDescent="0.25">
      <c r="A15667">
        <v>39206100914</v>
      </c>
      <c r="B15667" t="s">
        <v>6785</v>
      </c>
    </row>
    <row r="15668" spans="1:2" x14ac:dyDescent="0.25">
      <c r="A15668">
        <v>39206100915</v>
      </c>
      <c r="B15668" t="s">
        <v>6786</v>
      </c>
    </row>
    <row r="15669" spans="1:2" x14ac:dyDescent="0.25">
      <c r="A15669">
        <v>39206100916</v>
      </c>
      <c r="B15669" t="s">
        <v>6804</v>
      </c>
    </row>
    <row r="15670" spans="1:2" x14ac:dyDescent="0.25">
      <c r="A15670">
        <v>39206100917</v>
      </c>
      <c r="B15670" t="s">
        <v>6805</v>
      </c>
    </row>
    <row r="15671" spans="1:2" x14ac:dyDescent="0.25">
      <c r="A15671">
        <v>39206100919</v>
      </c>
      <c r="B15671" t="s">
        <v>57</v>
      </c>
    </row>
    <row r="15672" spans="1:2" x14ac:dyDescent="0.25">
      <c r="A15672">
        <v>3920610092</v>
      </c>
      <c r="B15672" t="s">
        <v>6806</v>
      </c>
    </row>
    <row r="15673" spans="1:2" x14ac:dyDescent="0.25">
      <c r="A15673">
        <v>39206100921</v>
      </c>
      <c r="B15673" t="s">
        <v>6807</v>
      </c>
    </row>
    <row r="15674" spans="1:2" x14ac:dyDescent="0.25">
      <c r="A15674">
        <v>39206100922</v>
      </c>
      <c r="B15674" t="s">
        <v>6785</v>
      </c>
    </row>
    <row r="15675" spans="1:2" x14ac:dyDescent="0.25">
      <c r="A15675">
        <v>39206100923</v>
      </c>
      <c r="B15675" t="s">
        <v>6786</v>
      </c>
    </row>
    <row r="15676" spans="1:2" x14ac:dyDescent="0.25">
      <c r="A15676">
        <v>39206100924</v>
      </c>
      <c r="B15676" t="s">
        <v>6804</v>
      </c>
    </row>
    <row r="15677" spans="1:2" x14ac:dyDescent="0.25">
      <c r="A15677">
        <v>39206100925</v>
      </c>
      <c r="B15677" t="s">
        <v>6805</v>
      </c>
    </row>
    <row r="15678" spans="1:2" x14ac:dyDescent="0.25">
      <c r="A15678">
        <v>39206100929</v>
      </c>
      <c r="B15678" t="s">
        <v>10</v>
      </c>
    </row>
    <row r="15679" spans="1:2" x14ac:dyDescent="0.25">
      <c r="A15679">
        <v>39206100990</v>
      </c>
      <c r="B15679" t="s">
        <v>57</v>
      </c>
    </row>
    <row r="15680" spans="1:2" x14ac:dyDescent="0.25">
      <c r="A15680">
        <v>392062</v>
      </c>
      <c r="B15680" t="e">
        <f ca="1">- - de poli(Tereftalato de Etileno)</f>
        <v>#NAME?</v>
      </c>
    </row>
    <row r="15681" spans="1:2" x14ac:dyDescent="0.25">
      <c r="A15681">
        <v>3920621</v>
      </c>
      <c r="B15681" t="s">
        <v>6808</v>
      </c>
    </row>
    <row r="15682" spans="1:2" x14ac:dyDescent="0.25">
      <c r="A15682">
        <v>39206211000</v>
      </c>
      <c r="B15682" t="s">
        <v>6809</v>
      </c>
    </row>
    <row r="15683" spans="1:2" x14ac:dyDescent="0.25">
      <c r="A15683">
        <v>39206219</v>
      </c>
      <c r="B15683" t="s">
        <v>57</v>
      </c>
    </row>
    <row r="15684" spans="1:2" x14ac:dyDescent="0.25">
      <c r="A15684">
        <v>392062191</v>
      </c>
      <c r="B15684" t="s">
        <v>6684</v>
      </c>
    </row>
    <row r="15685" spans="1:2" x14ac:dyDescent="0.25">
      <c r="A15685">
        <v>3920621911</v>
      </c>
      <c r="B15685" t="s">
        <v>6810</v>
      </c>
    </row>
    <row r="15686" spans="1:2" x14ac:dyDescent="0.25">
      <c r="A15686">
        <v>39206219111</v>
      </c>
      <c r="B15686" t="s">
        <v>6709</v>
      </c>
    </row>
    <row r="15687" spans="1:2" x14ac:dyDescent="0.25">
      <c r="A15687">
        <v>39206219119</v>
      </c>
      <c r="B15687" t="s">
        <v>57</v>
      </c>
    </row>
    <row r="15688" spans="1:2" x14ac:dyDescent="0.25">
      <c r="A15688">
        <v>3920621912</v>
      </c>
      <c r="B15688" t="s">
        <v>6811</v>
      </c>
    </row>
    <row r="15689" spans="1:2" x14ac:dyDescent="0.25">
      <c r="A15689">
        <v>39206219121</v>
      </c>
      <c r="B15689" t="s">
        <v>6709</v>
      </c>
    </row>
    <row r="15690" spans="1:2" x14ac:dyDescent="0.25">
      <c r="A15690">
        <v>39206219129</v>
      </c>
      <c r="B15690" t="s">
        <v>57</v>
      </c>
    </row>
    <row r="15691" spans="1:2" x14ac:dyDescent="0.25">
      <c r="A15691">
        <v>39206219130</v>
      </c>
      <c r="B15691" t="s">
        <v>6812</v>
      </c>
    </row>
    <row r="15692" spans="1:2" x14ac:dyDescent="0.25">
      <c r="A15692">
        <v>39206219140</v>
      </c>
      <c r="B15692" t="s">
        <v>6813</v>
      </c>
    </row>
    <row r="15693" spans="1:2" x14ac:dyDescent="0.25">
      <c r="A15693">
        <v>39206219190</v>
      </c>
      <c r="B15693" t="s">
        <v>57</v>
      </c>
    </row>
    <row r="15694" spans="1:2" x14ac:dyDescent="0.25">
      <c r="A15694">
        <v>392062199</v>
      </c>
      <c r="B15694" t="s">
        <v>57</v>
      </c>
    </row>
    <row r="15695" spans="1:2" x14ac:dyDescent="0.25">
      <c r="A15695">
        <v>3920621991</v>
      </c>
      <c r="B15695" t="s">
        <v>6810</v>
      </c>
    </row>
    <row r="15696" spans="1:2" x14ac:dyDescent="0.25">
      <c r="A15696">
        <v>39206219911</v>
      </c>
      <c r="B15696" t="s">
        <v>6709</v>
      </c>
    </row>
    <row r="15697" spans="1:2" x14ac:dyDescent="0.25">
      <c r="A15697">
        <v>39206219919</v>
      </c>
      <c r="B15697" t="s">
        <v>57</v>
      </c>
    </row>
    <row r="15698" spans="1:2" x14ac:dyDescent="0.25">
      <c r="A15698">
        <v>3920621992</v>
      </c>
      <c r="B15698" t="s">
        <v>6811</v>
      </c>
    </row>
    <row r="15699" spans="1:2" x14ac:dyDescent="0.25">
      <c r="A15699">
        <v>39206219921</v>
      </c>
      <c r="B15699" t="s">
        <v>6709</v>
      </c>
    </row>
    <row r="15700" spans="1:2" x14ac:dyDescent="0.25">
      <c r="A15700">
        <v>39206219929</v>
      </c>
      <c r="B15700" t="s">
        <v>57</v>
      </c>
    </row>
    <row r="15701" spans="1:2" x14ac:dyDescent="0.25">
      <c r="A15701">
        <v>39206219930</v>
      </c>
      <c r="B15701" t="s">
        <v>6812</v>
      </c>
    </row>
    <row r="15702" spans="1:2" x14ac:dyDescent="0.25">
      <c r="A15702">
        <v>39206219940</v>
      </c>
      <c r="B15702" t="s">
        <v>6813</v>
      </c>
    </row>
    <row r="15703" spans="1:2" x14ac:dyDescent="0.25">
      <c r="A15703">
        <v>39206219990</v>
      </c>
      <c r="B15703" t="s">
        <v>57</v>
      </c>
    </row>
    <row r="15704" spans="1:2" x14ac:dyDescent="0.25">
      <c r="A15704">
        <v>3920629</v>
      </c>
      <c r="B15704" t="s">
        <v>57</v>
      </c>
    </row>
    <row r="15705" spans="1:2" x14ac:dyDescent="0.25">
      <c r="A15705">
        <v>39206291</v>
      </c>
      <c r="B15705" t="s">
        <v>6814</v>
      </c>
    </row>
    <row r="15706" spans="1:2" x14ac:dyDescent="0.25">
      <c r="A15706">
        <v>392062911</v>
      </c>
      <c r="B15706" t="s">
        <v>6684</v>
      </c>
    </row>
    <row r="15707" spans="1:2" x14ac:dyDescent="0.25">
      <c r="A15707">
        <v>3920629111</v>
      </c>
      <c r="B15707" t="s">
        <v>6810</v>
      </c>
    </row>
    <row r="15708" spans="1:2" x14ac:dyDescent="0.25">
      <c r="A15708">
        <v>39206291111</v>
      </c>
      <c r="B15708" t="s">
        <v>6709</v>
      </c>
    </row>
    <row r="15709" spans="1:2" x14ac:dyDescent="0.25">
      <c r="A15709">
        <v>39206291119</v>
      </c>
      <c r="B15709" t="s">
        <v>57</v>
      </c>
    </row>
    <row r="15710" spans="1:2" x14ac:dyDescent="0.25">
      <c r="A15710">
        <v>3920629112</v>
      </c>
      <c r="B15710" t="s">
        <v>6811</v>
      </c>
    </row>
    <row r="15711" spans="1:2" x14ac:dyDescent="0.25">
      <c r="A15711">
        <v>39206291121</v>
      </c>
      <c r="B15711" t="s">
        <v>6709</v>
      </c>
    </row>
    <row r="15712" spans="1:2" x14ac:dyDescent="0.25">
      <c r="A15712">
        <v>39206291129</v>
      </c>
      <c r="B15712" t="s">
        <v>57</v>
      </c>
    </row>
    <row r="15713" spans="1:2" x14ac:dyDescent="0.25">
      <c r="A15713">
        <v>39206291130</v>
      </c>
      <c r="B15713" t="s">
        <v>6812</v>
      </c>
    </row>
    <row r="15714" spans="1:2" x14ac:dyDescent="0.25">
      <c r="A15714">
        <v>39206291140</v>
      </c>
      <c r="B15714" t="s">
        <v>6813</v>
      </c>
    </row>
    <row r="15715" spans="1:2" x14ac:dyDescent="0.25">
      <c r="A15715">
        <v>39206291190</v>
      </c>
      <c r="B15715" t="s">
        <v>57</v>
      </c>
    </row>
    <row r="15716" spans="1:2" x14ac:dyDescent="0.25">
      <c r="A15716">
        <v>392062919</v>
      </c>
      <c r="B15716" t="s">
        <v>57</v>
      </c>
    </row>
    <row r="15717" spans="1:2" x14ac:dyDescent="0.25">
      <c r="A15717">
        <v>3920629191</v>
      </c>
      <c r="B15717" t="s">
        <v>6810</v>
      </c>
    </row>
    <row r="15718" spans="1:2" x14ac:dyDescent="0.25">
      <c r="A15718">
        <v>39206291911</v>
      </c>
      <c r="B15718" t="s">
        <v>6709</v>
      </c>
    </row>
    <row r="15719" spans="1:2" x14ac:dyDescent="0.25">
      <c r="A15719">
        <v>39206291919</v>
      </c>
      <c r="B15719" t="s">
        <v>57</v>
      </c>
    </row>
    <row r="15720" spans="1:2" x14ac:dyDescent="0.25">
      <c r="A15720">
        <v>3920629192</v>
      </c>
      <c r="B15720" t="s">
        <v>6811</v>
      </c>
    </row>
    <row r="15721" spans="1:2" x14ac:dyDescent="0.25">
      <c r="A15721">
        <v>39206291921</v>
      </c>
      <c r="B15721" t="s">
        <v>6709</v>
      </c>
    </row>
    <row r="15722" spans="1:2" x14ac:dyDescent="0.25">
      <c r="A15722">
        <v>39206291929</v>
      </c>
      <c r="B15722" t="s">
        <v>57</v>
      </c>
    </row>
    <row r="15723" spans="1:2" x14ac:dyDescent="0.25">
      <c r="A15723">
        <v>39206291930</v>
      </c>
      <c r="B15723" t="s">
        <v>6812</v>
      </c>
    </row>
    <row r="15724" spans="1:2" x14ac:dyDescent="0.25">
      <c r="A15724">
        <v>39206291940</v>
      </c>
      <c r="B15724" t="s">
        <v>6813</v>
      </c>
    </row>
    <row r="15725" spans="1:2" x14ac:dyDescent="0.25">
      <c r="A15725">
        <v>39206291950</v>
      </c>
      <c r="B15725" t="s">
        <v>6815</v>
      </c>
    </row>
    <row r="15726" spans="1:2" x14ac:dyDescent="0.25">
      <c r="A15726">
        <v>39206291960</v>
      </c>
      <c r="B15726" t="s">
        <v>6816</v>
      </c>
    </row>
    <row r="15727" spans="1:2" x14ac:dyDescent="0.25">
      <c r="A15727">
        <v>39206291990</v>
      </c>
      <c r="B15727" t="s">
        <v>57</v>
      </c>
    </row>
    <row r="15728" spans="1:2" x14ac:dyDescent="0.25">
      <c r="A15728">
        <v>39206299</v>
      </c>
      <c r="B15728" t="s">
        <v>57</v>
      </c>
    </row>
    <row r="15729" spans="1:2" x14ac:dyDescent="0.25">
      <c r="A15729">
        <v>392062991</v>
      </c>
      <c r="B15729" t="s">
        <v>6684</v>
      </c>
    </row>
    <row r="15730" spans="1:2" x14ac:dyDescent="0.25">
      <c r="A15730">
        <v>3920629911</v>
      </c>
      <c r="B15730" t="s">
        <v>6810</v>
      </c>
    </row>
    <row r="15731" spans="1:2" x14ac:dyDescent="0.25">
      <c r="A15731">
        <v>39206299111</v>
      </c>
      <c r="B15731" t="s">
        <v>6709</v>
      </c>
    </row>
    <row r="15732" spans="1:2" x14ac:dyDescent="0.25">
      <c r="A15732">
        <v>39206299119</v>
      </c>
      <c r="B15732" t="s">
        <v>57</v>
      </c>
    </row>
    <row r="15733" spans="1:2" x14ac:dyDescent="0.25">
      <c r="A15733">
        <v>3920629912</v>
      </c>
      <c r="B15733" t="s">
        <v>6811</v>
      </c>
    </row>
    <row r="15734" spans="1:2" x14ac:dyDescent="0.25">
      <c r="A15734">
        <v>39206299121</v>
      </c>
      <c r="B15734" t="s">
        <v>6709</v>
      </c>
    </row>
    <row r="15735" spans="1:2" x14ac:dyDescent="0.25">
      <c r="A15735">
        <v>39206299129</v>
      </c>
      <c r="B15735" t="s">
        <v>57</v>
      </c>
    </row>
    <row r="15736" spans="1:2" x14ac:dyDescent="0.25">
      <c r="A15736">
        <v>39206299130</v>
      </c>
      <c r="B15736" t="s">
        <v>6812</v>
      </c>
    </row>
    <row r="15737" spans="1:2" x14ac:dyDescent="0.25">
      <c r="A15737">
        <v>39206299140</v>
      </c>
      <c r="B15737" t="s">
        <v>6813</v>
      </c>
    </row>
    <row r="15738" spans="1:2" x14ac:dyDescent="0.25">
      <c r="A15738">
        <v>39206299190</v>
      </c>
      <c r="B15738" t="s">
        <v>57</v>
      </c>
    </row>
    <row r="15739" spans="1:2" x14ac:dyDescent="0.25">
      <c r="A15739">
        <v>392062999</v>
      </c>
      <c r="B15739" t="s">
        <v>57</v>
      </c>
    </row>
    <row r="15740" spans="1:2" x14ac:dyDescent="0.25">
      <c r="A15740">
        <v>3920629991</v>
      </c>
      <c r="B15740" t="s">
        <v>6810</v>
      </c>
    </row>
    <row r="15741" spans="1:2" x14ac:dyDescent="0.25">
      <c r="A15741">
        <v>39206299911</v>
      </c>
      <c r="B15741" t="s">
        <v>6709</v>
      </c>
    </row>
    <row r="15742" spans="1:2" x14ac:dyDescent="0.25">
      <c r="A15742">
        <v>39206299919</v>
      </c>
      <c r="B15742" t="s">
        <v>57</v>
      </c>
    </row>
    <row r="15743" spans="1:2" x14ac:dyDescent="0.25">
      <c r="A15743">
        <v>3920629992</v>
      </c>
      <c r="B15743" t="s">
        <v>6811</v>
      </c>
    </row>
    <row r="15744" spans="1:2" x14ac:dyDescent="0.25">
      <c r="A15744">
        <v>39206299921</v>
      </c>
      <c r="B15744" t="s">
        <v>6709</v>
      </c>
    </row>
    <row r="15745" spans="1:2" x14ac:dyDescent="0.25">
      <c r="A15745">
        <v>39206299929</v>
      </c>
      <c r="B15745" t="s">
        <v>57</v>
      </c>
    </row>
    <row r="15746" spans="1:2" x14ac:dyDescent="0.25">
      <c r="A15746">
        <v>39206299930</v>
      </c>
      <c r="B15746" t="s">
        <v>6812</v>
      </c>
    </row>
    <row r="15747" spans="1:2" x14ac:dyDescent="0.25">
      <c r="A15747">
        <v>39206299940</v>
      </c>
      <c r="B15747" t="s">
        <v>6813</v>
      </c>
    </row>
    <row r="15748" spans="1:2" x14ac:dyDescent="0.25">
      <c r="A15748">
        <v>39206299990</v>
      </c>
      <c r="B15748" t="s">
        <v>57</v>
      </c>
    </row>
    <row r="15749" spans="1:2" x14ac:dyDescent="0.25">
      <c r="A15749">
        <v>39206300000</v>
      </c>
      <c r="B15749" t="e">
        <f>--de poliesteres no Saturados</f>
        <v>#NAME?</v>
      </c>
    </row>
    <row r="15750" spans="1:2" x14ac:dyDescent="0.25">
      <c r="A15750">
        <v>39206900000</v>
      </c>
      <c r="B15750" t="e">
        <f>--de Los demas poliesteres</f>
        <v>#NAME?</v>
      </c>
    </row>
    <row r="15751" spans="1:2" x14ac:dyDescent="0.25">
      <c r="A15751">
        <v>39207</v>
      </c>
      <c r="B15751" t="s">
        <v>6817</v>
      </c>
    </row>
    <row r="15752" spans="1:2" x14ac:dyDescent="0.25">
      <c r="A15752">
        <v>39207100</v>
      </c>
      <c r="B15752" t="e">
        <f>- - de celulosa regenerada</f>
        <v>#NAME?</v>
      </c>
    </row>
    <row r="15753" spans="1:2" x14ac:dyDescent="0.25">
      <c r="A15753">
        <v>392071001</v>
      </c>
      <c r="B15753" t="s">
        <v>6684</v>
      </c>
    </row>
    <row r="15754" spans="1:2" x14ac:dyDescent="0.25">
      <c r="A15754">
        <v>39207100110</v>
      </c>
      <c r="B15754" t="s">
        <v>6818</v>
      </c>
    </row>
    <row r="15755" spans="1:2" x14ac:dyDescent="0.25">
      <c r="A15755">
        <v>39207100120</v>
      </c>
      <c r="B15755" t="s">
        <v>6706</v>
      </c>
    </row>
    <row r="15756" spans="1:2" x14ac:dyDescent="0.25">
      <c r="A15756">
        <v>39207100130</v>
      </c>
      <c r="B15756" t="s">
        <v>6819</v>
      </c>
    </row>
    <row r="15757" spans="1:2" x14ac:dyDescent="0.25">
      <c r="A15757">
        <v>39207100190</v>
      </c>
      <c r="B15757" t="s">
        <v>57</v>
      </c>
    </row>
    <row r="15758" spans="1:2" x14ac:dyDescent="0.25">
      <c r="A15758">
        <v>392071009</v>
      </c>
      <c r="B15758" t="s">
        <v>57</v>
      </c>
    </row>
    <row r="15759" spans="1:2" x14ac:dyDescent="0.25">
      <c r="A15759">
        <v>39207100910</v>
      </c>
      <c r="B15759" t="s">
        <v>6818</v>
      </c>
    </row>
    <row r="15760" spans="1:2" x14ac:dyDescent="0.25">
      <c r="A15760">
        <v>39207100920</v>
      </c>
      <c r="B15760" t="s">
        <v>6706</v>
      </c>
    </row>
    <row r="15761" spans="1:2" x14ac:dyDescent="0.25">
      <c r="A15761">
        <v>39207100930</v>
      </c>
      <c r="B15761" t="s">
        <v>6819</v>
      </c>
    </row>
    <row r="15762" spans="1:2" x14ac:dyDescent="0.25">
      <c r="A15762">
        <v>39207100990</v>
      </c>
      <c r="B15762" t="s">
        <v>57</v>
      </c>
    </row>
    <row r="15763" spans="1:2" x14ac:dyDescent="0.25">
      <c r="A15763">
        <v>392073</v>
      </c>
      <c r="B15763" t="e">
        <f>- - de Acetato de celulosa</f>
        <v>#NAME?</v>
      </c>
    </row>
    <row r="15764" spans="1:2" x14ac:dyDescent="0.25">
      <c r="A15764">
        <v>39207310000</v>
      </c>
      <c r="B15764" t="s">
        <v>6820</v>
      </c>
    </row>
    <row r="15765" spans="1:2" x14ac:dyDescent="0.25">
      <c r="A15765">
        <v>39207390000</v>
      </c>
      <c r="B15765" t="s">
        <v>57</v>
      </c>
    </row>
    <row r="15766" spans="1:2" x14ac:dyDescent="0.25">
      <c r="A15766">
        <v>392079</v>
      </c>
      <c r="B15766" t="e">
        <f>- - de Los demas derivados de la celulosa</f>
        <v>#NAME?</v>
      </c>
    </row>
    <row r="15767" spans="1:2" x14ac:dyDescent="0.25">
      <c r="A15767">
        <v>39207910000</v>
      </c>
      <c r="B15767" t="s">
        <v>6821</v>
      </c>
    </row>
    <row r="15768" spans="1:2" x14ac:dyDescent="0.25">
      <c r="A15768">
        <v>39207990000</v>
      </c>
      <c r="B15768" t="s">
        <v>57</v>
      </c>
    </row>
    <row r="15769" spans="1:2" x14ac:dyDescent="0.25">
      <c r="A15769">
        <v>39209</v>
      </c>
      <c r="B15769" t="s">
        <v>6822</v>
      </c>
    </row>
    <row r="15770" spans="1:2" x14ac:dyDescent="0.25">
      <c r="A15770">
        <v>39209100000</v>
      </c>
      <c r="B15770" t="e">
        <f ca="1">--de poli(vinilbutiral)</f>
        <v>#NAME?</v>
      </c>
    </row>
    <row r="15771" spans="1:2" x14ac:dyDescent="0.25">
      <c r="A15771">
        <v>39209200</v>
      </c>
      <c r="B15771" t="e">
        <f>- - de Poliamidas</f>
        <v>#NAME?</v>
      </c>
    </row>
    <row r="15772" spans="1:2" x14ac:dyDescent="0.25">
      <c r="A15772">
        <v>39209200100</v>
      </c>
      <c r="B15772" t="s">
        <v>6823</v>
      </c>
    </row>
    <row r="15773" spans="1:2" x14ac:dyDescent="0.25">
      <c r="A15773">
        <v>39209200900</v>
      </c>
      <c r="B15773" t="s">
        <v>57</v>
      </c>
    </row>
    <row r="15774" spans="1:2" x14ac:dyDescent="0.25">
      <c r="A15774">
        <v>39209300000</v>
      </c>
      <c r="B15774" t="e">
        <f>--de Resinas aminicas</f>
        <v>#NAME?</v>
      </c>
    </row>
    <row r="15775" spans="1:2" x14ac:dyDescent="0.25">
      <c r="A15775">
        <v>39209400000</v>
      </c>
      <c r="B15775" t="e">
        <f>--de Resinas fenolicas</f>
        <v>#NAME?</v>
      </c>
    </row>
    <row r="15776" spans="1:2" x14ac:dyDescent="0.25">
      <c r="A15776">
        <v>392099</v>
      </c>
      <c r="B15776" t="e">
        <f>- - de Los demas plasticos</f>
        <v>#NAME?</v>
      </c>
    </row>
    <row r="15777" spans="1:2" x14ac:dyDescent="0.25">
      <c r="A15777">
        <v>39209910000</v>
      </c>
      <c r="B15777" t="s">
        <v>5618</v>
      </c>
    </row>
    <row r="15778" spans="1:2" x14ac:dyDescent="0.25">
      <c r="A15778">
        <v>39209920000</v>
      </c>
      <c r="B15778" t="s">
        <v>6824</v>
      </c>
    </row>
    <row r="15779" spans="1:2" x14ac:dyDescent="0.25">
      <c r="A15779">
        <v>39209930000</v>
      </c>
      <c r="B15779" t="s">
        <v>6825</v>
      </c>
    </row>
    <row r="15780" spans="1:2" x14ac:dyDescent="0.25">
      <c r="A15780">
        <v>39209940000</v>
      </c>
      <c r="B15780" t="s">
        <v>6826</v>
      </c>
    </row>
    <row r="15781" spans="1:2" x14ac:dyDescent="0.25">
      <c r="A15781">
        <v>39209950000</v>
      </c>
      <c r="B15781" t="s">
        <v>6827</v>
      </c>
    </row>
    <row r="15782" spans="1:2" x14ac:dyDescent="0.25">
      <c r="A15782">
        <v>39209990</v>
      </c>
      <c r="B15782" t="s">
        <v>57</v>
      </c>
    </row>
    <row r="15783" spans="1:2" x14ac:dyDescent="0.25">
      <c r="A15783">
        <v>392099901</v>
      </c>
      <c r="B15783" t="s">
        <v>6828</v>
      </c>
    </row>
    <row r="15784" spans="1:2" x14ac:dyDescent="0.25">
      <c r="A15784">
        <v>3920999011</v>
      </c>
      <c r="B15784" t="s">
        <v>6829</v>
      </c>
    </row>
    <row r="15785" spans="1:2" x14ac:dyDescent="0.25">
      <c r="A15785">
        <v>39209990111</v>
      </c>
      <c r="B15785" t="s">
        <v>6830</v>
      </c>
    </row>
    <row r="15786" spans="1:2" x14ac:dyDescent="0.25">
      <c r="A15786">
        <v>39209990112</v>
      </c>
      <c r="B15786" t="s">
        <v>6831</v>
      </c>
    </row>
    <row r="15787" spans="1:2" x14ac:dyDescent="0.25">
      <c r="A15787">
        <v>39209990113</v>
      </c>
      <c r="B15787" t="s">
        <v>6832</v>
      </c>
    </row>
    <row r="15788" spans="1:2" x14ac:dyDescent="0.25">
      <c r="A15788">
        <v>39209990114</v>
      </c>
      <c r="B15788" t="s">
        <v>6833</v>
      </c>
    </row>
    <row r="15789" spans="1:2" x14ac:dyDescent="0.25">
      <c r="A15789">
        <v>39209990115</v>
      </c>
      <c r="B15789" t="s">
        <v>6834</v>
      </c>
    </row>
    <row r="15790" spans="1:2" x14ac:dyDescent="0.25">
      <c r="A15790">
        <v>39209990116</v>
      </c>
      <c r="B15790" t="s">
        <v>6835</v>
      </c>
    </row>
    <row r="15791" spans="1:2" x14ac:dyDescent="0.25">
      <c r="A15791">
        <v>39209990119</v>
      </c>
      <c r="B15791" t="s">
        <v>57</v>
      </c>
    </row>
    <row r="15792" spans="1:2" x14ac:dyDescent="0.25">
      <c r="A15792">
        <v>3920999012</v>
      </c>
      <c r="B15792" t="s">
        <v>6836</v>
      </c>
    </row>
    <row r="15793" spans="1:2" x14ac:dyDescent="0.25">
      <c r="A15793">
        <v>39209990121</v>
      </c>
      <c r="B15793" t="s">
        <v>6837</v>
      </c>
    </row>
    <row r="15794" spans="1:2" x14ac:dyDescent="0.25">
      <c r="A15794">
        <v>39209990122</v>
      </c>
      <c r="B15794" t="s">
        <v>6838</v>
      </c>
    </row>
    <row r="15795" spans="1:2" x14ac:dyDescent="0.25">
      <c r="A15795">
        <v>39209990123</v>
      </c>
      <c r="B15795" t="s">
        <v>6839</v>
      </c>
    </row>
    <row r="15796" spans="1:2" x14ac:dyDescent="0.25">
      <c r="A15796">
        <v>39209990124</v>
      </c>
      <c r="B15796" t="s">
        <v>6832</v>
      </c>
    </row>
    <row r="15797" spans="1:2" x14ac:dyDescent="0.25">
      <c r="A15797">
        <v>39209990125</v>
      </c>
      <c r="B15797" t="s">
        <v>6840</v>
      </c>
    </row>
    <row r="15798" spans="1:2" x14ac:dyDescent="0.25">
      <c r="A15798">
        <v>39209990126</v>
      </c>
      <c r="B15798" t="s">
        <v>6841</v>
      </c>
    </row>
    <row r="15799" spans="1:2" x14ac:dyDescent="0.25">
      <c r="A15799">
        <v>39209990127</v>
      </c>
      <c r="B15799" t="s">
        <v>6842</v>
      </c>
    </row>
    <row r="15800" spans="1:2" x14ac:dyDescent="0.25">
      <c r="A15800">
        <v>39209990128</v>
      </c>
      <c r="B15800" t="s">
        <v>6835</v>
      </c>
    </row>
    <row r="15801" spans="1:2" x14ac:dyDescent="0.25">
      <c r="A15801">
        <v>39209990129</v>
      </c>
      <c r="B15801" t="s">
        <v>57</v>
      </c>
    </row>
    <row r="15802" spans="1:2" x14ac:dyDescent="0.25">
      <c r="A15802">
        <v>39209990190</v>
      </c>
      <c r="B15802" t="s">
        <v>57</v>
      </c>
    </row>
    <row r="15803" spans="1:2" x14ac:dyDescent="0.25">
      <c r="A15803">
        <v>39209990900</v>
      </c>
      <c r="B15803" t="s">
        <v>10</v>
      </c>
    </row>
    <row r="15804" spans="1:2" x14ac:dyDescent="0.25">
      <c r="A15804">
        <v>3921</v>
      </c>
      <c r="B15804" t="s">
        <v>6843</v>
      </c>
    </row>
    <row r="15805" spans="1:2" x14ac:dyDescent="0.25">
      <c r="A15805">
        <v>39211</v>
      </c>
      <c r="B15805" t="s">
        <v>6844</v>
      </c>
    </row>
    <row r="15806" spans="1:2" x14ac:dyDescent="0.25">
      <c r="A15806">
        <v>39211100000</v>
      </c>
      <c r="B15806" t="e">
        <f>--de Polimeros de Estireno</f>
        <v>#NAME?</v>
      </c>
    </row>
    <row r="15807" spans="1:2" x14ac:dyDescent="0.25">
      <c r="A15807">
        <v>39211200000</v>
      </c>
      <c r="B15807" t="e">
        <f>--de Polimeros de Cloruro de vinilo</f>
        <v>#NAME?</v>
      </c>
    </row>
    <row r="15808" spans="1:2" x14ac:dyDescent="0.25">
      <c r="A15808">
        <v>392113</v>
      </c>
      <c r="B15808" t="e">
        <f>- - de Poliuretanos</f>
        <v>#NAME?</v>
      </c>
    </row>
    <row r="15809" spans="1:2" x14ac:dyDescent="0.25">
      <c r="A15809">
        <v>39211310000</v>
      </c>
      <c r="B15809" t="s">
        <v>6845</v>
      </c>
    </row>
    <row r="15810" spans="1:2" x14ac:dyDescent="0.25">
      <c r="A15810">
        <v>39211390</v>
      </c>
      <c r="B15810" t="s">
        <v>57</v>
      </c>
    </row>
    <row r="15811" spans="1:2" x14ac:dyDescent="0.25">
      <c r="A15811">
        <v>39211390100</v>
      </c>
      <c r="B15811" t="s">
        <v>6846</v>
      </c>
    </row>
    <row r="15812" spans="1:2" x14ac:dyDescent="0.25">
      <c r="A15812">
        <v>39211390900</v>
      </c>
      <c r="B15812" t="s">
        <v>57</v>
      </c>
    </row>
    <row r="15813" spans="1:2" x14ac:dyDescent="0.25">
      <c r="A15813">
        <v>39211400000</v>
      </c>
      <c r="B15813" t="e">
        <f>--de celulosa regenerada</f>
        <v>#NAME?</v>
      </c>
    </row>
    <row r="15814" spans="1:2" x14ac:dyDescent="0.25">
      <c r="A15814">
        <v>39211900000</v>
      </c>
      <c r="B15814" t="e">
        <f>--de Los demas plasticos</f>
        <v>#NAME?</v>
      </c>
    </row>
    <row r="15815" spans="1:2" x14ac:dyDescent="0.25">
      <c r="A15815">
        <v>392190</v>
      </c>
      <c r="B15815" t="e">
        <f>- las demas</f>
        <v>#NAME?</v>
      </c>
    </row>
    <row r="15816" spans="1:2" x14ac:dyDescent="0.25">
      <c r="A15816">
        <v>3921901</v>
      </c>
      <c r="B15816" t="s">
        <v>6847</v>
      </c>
    </row>
    <row r="15817" spans="1:2" x14ac:dyDescent="0.25">
      <c r="A15817">
        <v>39219011000</v>
      </c>
      <c r="B15817" t="s">
        <v>6848</v>
      </c>
    </row>
    <row r="15818" spans="1:2" x14ac:dyDescent="0.25">
      <c r="A15818">
        <v>39219012</v>
      </c>
      <c r="B15818" t="s">
        <v>6849</v>
      </c>
    </row>
    <row r="15819" spans="1:2" x14ac:dyDescent="0.25">
      <c r="A15819">
        <v>39219012100</v>
      </c>
      <c r="B15819" t="s">
        <v>6850</v>
      </c>
    </row>
    <row r="15820" spans="1:2" x14ac:dyDescent="0.25">
      <c r="A15820">
        <v>39219012900</v>
      </c>
      <c r="B15820" t="s">
        <v>57</v>
      </c>
    </row>
    <row r="15821" spans="1:2" x14ac:dyDescent="0.25">
      <c r="A15821">
        <v>39219013000</v>
      </c>
      <c r="B15821" t="s">
        <v>6851</v>
      </c>
    </row>
    <row r="15822" spans="1:2" x14ac:dyDescent="0.25">
      <c r="A15822">
        <v>39219019</v>
      </c>
      <c r="B15822" t="s">
        <v>57</v>
      </c>
    </row>
    <row r="15823" spans="1:2" x14ac:dyDescent="0.25">
      <c r="A15823">
        <v>39219019100</v>
      </c>
      <c r="B15823" t="s">
        <v>6852</v>
      </c>
    </row>
    <row r="15824" spans="1:2" x14ac:dyDescent="0.25">
      <c r="A15824">
        <v>39219019200</v>
      </c>
      <c r="B15824" t="s">
        <v>6853</v>
      </c>
    </row>
    <row r="15825" spans="1:2" x14ac:dyDescent="0.25">
      <c r="A15825">
        <v>39219019900</v>
      </c>
      <c r="B15825" t="s">
        <v>57</v>
      </c>
    </row>
    <row r="15826" spans="1:2" x14ac:dyDescent="0.25">
      <c r="A15826">
        <v>39219020000</v>
      </c>
      <c r="B15826" t="s">
        <v>6854</v>
      </c>
    </row>
    <row r="15827" spans="1:2" x14ac:dyDescent="0.25">
      <c r="A15827">
        <v>39219090</v>
      </c>
      <c r="B15827" t="s">
        <v>57</v>
      </c>
    </row>
    <row r="15828" spans="1:2" x14ac:dyDescent="0.25">
      <c r="A15828">
        <v>39219090100</v>
      </c>
      <c r="B15828" t="s">
        <v>6660</v>
      </c>
    </row>
    <row r="15829" spans="1:2" x14ac:dyDescent="0.25">
      <c r="A15829">
        <v>39219090200</v>
      </c>
      <c r="B15829" t="s">
        <v>6662</v>
      </c>
    </row>
    <row r="15830" spans="1:2" x14ac:dyDescent="0.25">
      <c r="A15830">
        <v>39219090300</v>
      </c>
      <c r="B15830" t="s">
        <v>6855</v>
      </c>
    </row>
    <row r="15831" spans="1:2" x14ac:dyDescent="0.25">
      <c r="A15831">
        <v>39219090400</v>
      </c>
      <c r="B15831" t="s">
        <v>6690</v>
      </c>
    </row>
    <row r="15832" spans="1:2" x14ac:dyDescent="0.25">
      <c r="A15832">
        <v>39219090500</v>
      </c>
      <c r="B15832" t="s">
        <v>6664</v>
      </c>
    </row>
    <row r="15833" spans="1:2" x14ac:dyDescent="0.25">
      <c r="A15833">
        <v>39219090600</v>
      </c>
      <c r="B15833" t="s">
        <v>6657</v>
      </c>
    </row>
    <row r="15834" spans="1:2" x14ac:dyDescent="0.25">
      <c r="A15834">
        <v>39219090900</v>
      </c>
      <c r="B15834" t="s">
        <v>10</v>
      </c>
    </row>
    <row r="15835" spans="1:2" x14ac:dyDescent="0.25">
      <c r="A15835">
        <v>3922</v>
      </c>
      <c r="B15835" t="s">
        <v>6856</v>
      </c>
    </row>
    <row r="15836" spans="1:2" x14ac:dyDescent="0.25">
      <c r="A15836">
        <v>39221000</v>
      </c>
      <c r="B15836" t="e">
        <f>- Bañeras. duchas. fregaderos y lavabos</f>
        <v>#NAME?</v>
      </c>
    </row>
    <row r="15837" spans="1:2" x14ac:dyDescent="0.25">
      <c r="A15837">
        <v>39221000100</v>
      </c>
      <c r="B15837" t="s">
        <v>6857</v>
      </c>
    </row>
    <row r="15838" spans="1:2" x14ac:dyDescent="0.25">
      <c r="A15838">
        <v>39221000200</v>
      </c>
      <c r="B15838" t="s">
        <v>6858</v>
      </c>
    </row>
    <row r="15839" spans="1:2" x14ac:dyDescent="0.25">
      <c r="A15839">
        <v>39221000300</v>
      </c>
      <c r="B15839" t="s">
        <v>6859</v>
      </c>
    </row>
    <row r="15840" spans="1:2" x14ac:dyDescent="0.25">
      <c r="A15840">
        <v>39221000400</v>
      </c>
      <c r="B15840" t="s">
        <v>6860</v>
      </c>
    </row>
    <row r="15841" spans="1:2" x14ac:dyDescent="0.25">
      <c r="A15841">
        <v>39222000</v>
      </c>
      <c r="B15841" t="e">
        <f>- Asientos y tapas de inodoros</f>
        <v>#NAME?</v>
      </c>
    </row>
    <row r="15842" spans="1:2" x14ac:dyDescent="0.25">
      <c r="A15842">
        <v>39222000100</v>
      </c>
      <c r="B15842" t="s">
        <v>6861</v>
      </c>
    </row>
    <row r="15843" spans="1:2" x14ac:dyDescent="0.25">
      <c r="A15843">
        <v>39222000900</v>
      </c>
      <c r="B15843" t="s">
        <v>10</v>
      </c>
    </row>
    <row r="15844" spans="1:2" x14ac:dyDescent="0.25">
      <c r="A15844">
        <v>39229000</v>
      </c>
      <c r="B15844" t="e">
        <f>- Los demas</f>
        <v>#NAME?</v>
      </c>
    </row>
    <row r="15845" spans="1:2" x14ac:dyDescent="0.25">
      <c r="A15845">
        <v>39229000100</v>
      </c>
      <c r="B15845" t="s">
        <v>6862</v>
      </c>
    </row>
    <row r="15846" spans="1:2" x14ac:dyDescent="0.25">
      <c r="A15846">
        <v>39229000200</v>
      </c>
      <c r="B15846" t="s">
        <v>6863</v>
      </c>
    </row>
    <row r="15847" spans="1:2" x14ac:dyDescent="0.25">
      <c r="A15847">
        <v>392290003</v>
      </c>
      <c r="B15847" t="s">
        <v>6864</v>
      </c>
    </row>
    <row r="15848" spans="1:2" x14ac:dyDescent="0.25">
      <c r="A15848">
        <v>3922900031</v>
      </c>
      <c r="B15848" t="s">
        <v>6865</v>
      </c>
    </row>
    <row r="15849" spans="1:2" x14ac:dyDescent="0.25">
      <c r="A15849">
        <v>39229000311</v>
      </c>
      <c r="B15849" t="s">
        <v>6866</v>
      </c>
    </row>
    <row r="15850" spans="1:2" x14ac:dyDescent="0.25">
      <c r="A15850">
        <v>39229000319</v>
      </c>
      <c r="B15850" t="s">
        <v>57</v>
      </c>
    </row>
    <row r="15851" spans="1:2" x14ac:dyDescent="0.25">
      <c r="A15851">
        <v>39229000390</v>
      </c>
      <c r="B15851" t="s">
        <v>57</v>
      </c>
    </row>
    <row r="15852" spans="1:2" x14ac:dyDescent="0.25">
      <c r="A15852">
        <v>39229000900</v>
      </c>
      <c r="B15852" t="s">
        <v>10</v>
      </c>
    </row>
    <row r="15853" spans="1:2" x14ac:dyDescent="0.25">
      <c r="A15853">
        <v>3923</v>
      </c>
      <c r="B15853" t="s">
        <v>6867</v>
      </c>
    </row>
    <row r="15854" spans="1:2" x14ac:dyDescent="0.25">
      <c r="A15854">
        <v>392310</v>
      </c>
      <c r="B15854" t="e">
        <f>- Cajas. cajones. jaulas y Articulos similares</f>
        <v>#NAME?</v>
      </c>
    </row>
    <row r="15855" spans="1:2" x14ac:dyDescent="0.25">
      <c r="A15855">
        <v>39231010000</v>
      </c>
      <c r="B15855" t="s">
        <v>6868</v>
      </c>
    </row>
    <row r="15856" spans="1:2" x14ac:dyDescent="0.25">
      <c r="A15856">
        <v>39231090</v>
      </c>
      <c r="B15856" t="s">
        <v>10</v>
      </c>
    </row>
    <row r="15857" spans="1:2" x14ac:dyDescent="0.25">
      <c r="A15857">
        <v>392310901</v>
      </c>
      <c r="B15857" t="s">
        <v>6869</v>
      </c>
    </row>
    <row r="15858" spans="1:2" x14ac:dyDescent="0.25">
      <c r="A15858">
        <v>39231090110</v>
      </c>
      <c r="B15858" t="s">
        <v>5415</v>
      </c>
    </row>
    <row r="15859" spans="1:2" x14ac:dyDescent="0.25">
      <c r="A15859">
        <v>39231090120</v>
      </c>
      <c r="B15859" t="s">
        <v>5414</v>
      </c>
    </row>
    <row r="15860" spans="1:2" x14ac:dyDescent="0.25">
      <c r="A15860">
        <v>39231090130</v>
      </c>
      <c r="B15860" t="s">
        <v>6659</v>
      </c>
    </row>
    <row r="15861" spans="1:2" x14ac:dyDescent="0.25">
      <c r="A15861">
        <v>39231090140</v>
      </c>
      <c r="B15861" t="s">
        <v>6637</v>
      </c>
    </row>
    <row r="15862" spans="1:2" x14ac:dyDescent="0.25">
      <c r="A15862">
        <v>39231090190</v>
      </c>
      <c r="B15862" t="s">
        <v>10</v>
      </c>
    </row>
    <row r="15863" spans="1:2" x14ac:dyDescent="0.25">
      <c r="A15863">
        <v>392310902</v>
      </c>
      <c r="B15863" t="s">
        <v>6870</v>
      </c>
    </row>
    <row r="15864" spans="1:2" x14ac:dyDescent="0.25">
      <c r="A15864">
        <v>39231090210</v>
      </c>
      <c r="B15864" t="s">
        <v>5414</v>
      </c>
    </row>
    <row r="15865" spans="1:2" x14ac:dyDescent="0.25">
      <c r="A15865">
        <v>39231090290</v>
      </c>
      <c r="B15865" t="s">
        <v>10</v>
      </c>
    </row>
    <row r="15866" spans="1:2" x14ac:dyDescent="0.25">
      <c r="A15866">
        <v>39232</v>
      </c>
      <c r="B15866" t="s">
        <v>6871</v>
      </c>
    </row>
    <row r="15867" spans="1:2" x14ac:dyDescent="0.25">
      <c r="A15867">
        <v>392321</v>
      </c>
      <c r="B15867" t="e">
        <f>- - de Polimeros de Etileno</f>
        <v>#NAME?</v>
      </c>
    </row>
    <row r="15868" spans="1:2" x14ac:dyDescent="0.25">
      <c r="A15868">
        <v>39232110</v>
      </c>
      <c r="B15868" t="s">
        <v>6872</v>
      </c>
    </row>
    <row r="15869" spans="1:2" x14ac:dyDescent="0.25">
      <c r="A15869">
        <v>392321101</v>
      </c>
      <c r="B15869" t="s">
        <v>6873</v>
      </c>
    </row>
    <row r="15870" spans="1:2" x14ac:dyDescent="0.25">
      <c r="A15870">
        <v>3923211011</v>
      </c>
      <c r="B15870" t="s">
        <v>6874</v>
      </c>
    </row>
    <row r="15871" spans="1:2" x14ac:dyDescent="0.25">
      <c r="A15871">
        <v>39232110111</v>
      </c>
      <c r="B15871" t="s">
        <v>6875</v>
      </c>
    </row>
    <row r="15872" spans="1:2" x14ac:dyDescent="0.25">
      <c r="A15872">
        <v>39232110112</v>
      </c>
      <c r="B15872" t="s">
        <v>6876</v>
      </c>
    </row>
    <row r="15873" spans="1:2" x14ac:dyDescent="0.25">
      <c r="A15873">
        <v>39232110119</v>
      </c>
      <c r="B15873" t="s">
        <v>10</v>
      </c>
    </row>
    <row r="15874" spans="1:2" x14ac:dyDescent="0.25">
      <c r="A15874">
        <v>3923211012</v>
      </c>
      <c r="B15874" t="s">
        <v>6877</v>
      </c>
    </row>
    <row r="15875" spans="1:2" x14ac:dyDescent="0.25">
      <c r="A15875">
        <v>39232110121</v>
      </c>
      <c r="B15875" t="s">
        <v>6875</v>
      </c>
    </row>
    <row r="15876" spans="1:2" x14ac:dyDescent="0.25">
      <c r="A15876">
        <v>39232110122</v>
      </c>
      <c r="B15876" t="s">
        <v>6876</v>
      </c>
    </row>
    <row r="15877" spans="1:2" x14ac:dyDescent="0.25">
      <c r="A15877">
        <v>39232110129</v>
      </c>
      <c r="B15877" t="s">
        <v>10</v>
      </c>
    </row>
    <row r="15878" spans="1:2" x14ac:dyDescent="0.25">
      <c r="A15878">
        <v>3923211013</v>
      </c>
      <c r="B15878" t="s">
        <v>6878</v>
      </c>
    </row>
    <row r="15879" spans="1:2" x14ac:dyDescent="0.25">
      <c r="A15879">
        <v>39232110131</v>
      </c>
      <c r="B15879" t="s">
        <v>6875</v>
      </c>
    </row>
    <row r="15880" spans="1:2" x14ac:dyDescent="0.25">
      <c r="A15880">
        <v>39232110132</v>
      </c>
      <c r="B15880" t="s">
        <v>6879</v>
      </c>
    </row>
    <row r="15881" spans="1:2" x14ac:dyDescent="0.25">
      <c r="A15881">
        <v>39232110139</v>
      </c>
      <c r="B15881" t="s">
        <v>10</v>
      </c>
    </row>
    <row r="15882" spans="1:2" x14ac:dyDescent="0.25">
      <c r="A15882">
        <v>3923211014</v>
      </c>
      <c r="B15882" t="s">
        <v>6880</v>
      </c>
    </row>
    <row r="15883" spans="1:2" x14ac:dyDescent="0.25">
      <c r="A15883">
        <v>39232110141</v>
      </c>
      <c r="B15883" t="s">
        <v>6875</v>
      </c>
    </row>
    <row r="15884" spans="1:2" x14ac:dyDescent="0.25">
      <c r="A15884">
        <v>39232110142</v>
      </c>
      <c r="B15884" t="s">
        <v>6879</v>
      </c>
    </row>
    <row r="15885" spans="1:2" x14ac:dyDescent="0.25">
      <c r="A15885">
        <v>39232110149</v>
      </c>
      <c r="B15885" t="s">
        <v>10</v>
      </c>
    </row>
    <row r="15886" spans="1:2" x14ac:dyDescent="0.25">
      <c r="A15886">
        <v>3923211015</v>
      </c>
      <c r="B15886" t="s">
        <v>6881</v>
      </c>
    </row>
    <row r="15887" spans="1:2" x14ac:dyDescent="0.25">
      <c r="A15887">
        <v>39232110151</v>
      </c>
      <c r="B15887" t="s">
        <v>6875</v>
      </c>
    </row>
    <row r="15888" spans="1:2" x14ac:dyDescent="0.25">
      <c r="A15888">
        <v>39232110152</v>
      </c>
      <c r="B15888" t="s">
        <v>6876</v>
      </c>
    </row>
    <row r="15889" spans="1:2" x14ac:dyDescent="0.25">
      <c r="A15889">
        <v>39232110159</v>
      </c>
      <c r="B15889" t="s">
        <v>10</v>
      </c>
    </row>
    <row r="15890" spans="1:2" x14ac:dyDescent="0.25">
      <c r="A15890">
        <v>3923211016</v>
      </c>
      <c r="B15890" t="s">
        <v>6882</v>
      </c>
    </row>
    <row r="15891" spans="1:2" x14ac:dyDescent="0.25">
      <c r="A15891">
        <v>39232110161</v>
      </c>
      <c r="B15891" t="s">
        <v>6875</v>
      </c>
    </row>
    <row r="15892" spans="1:2" x14ac:dyDescent="0.25">
      <c r="A15892">
        <v>39232110162</v>
      </c>
      <c r="B15892" t="s">
        <v>6876</v>
      </c>
    </row>
    <row r="15893" spans="1:2" x14ac:dyDescent="0.25">
      <c r="A15893">
        <v>39232110169</v>
      </c>
      <c r="B15893" t="s">
        <v>10</v>
      </c>
    </row>
    <row r="15894" spans="1:2" x14ac:dyDescent="0.25">
      <c r="A15894">
        <v>3923211017</v>
      </c>
      <c r="B15894" t="s">
        <v>6883</v>
      </c>
    </row>
    <row r="15895" spans="1:2" x14ac:dyDescent="0.25">
      <c r="A15895">
        <v>39232110171</v>
      </c>
      <c r="B15895" t="s">
        <v>6884</v>
      </c>
    </row>
    <row r="15896" spans="1:2" x14ac:dyDescent="0.25">
      <c r="A15896">
        <v>39232110179</v>
      </c>
      <c r="B15896" t="s">
        <v>10</v>
      </c>
    </row>
    <row r="15897" spans="1:2" x14ac:dyDescent="0.25">
      <c r="A15897">
        <v>39232110190</v>
      </c>
      <c r="B15897" t="s">
        <v>10</v>
      </c>
    </row>
    <row r="15898" spans="1:2" x14ac:dyDescent="0.25">
      <c r="A15898">
        <v>392321102</v>
      </c>
      <c r="B15898" t="s">
        <v>6885</v>
      </c>
    </row>
    <row r="15899" spans="1:2" x14ac:dyDescent="0.25">
      <c r="A15899">
        <v>39232110210</v>
      </c>
      <c r="B15899" t="s">
        <v>6875</v>
      </c>
    </row>
    <row r="15900" spans="1:2" x14ac:dyDescent="0.25">
      <c r="A15900">
        <v>39232110220</v>
      </c>
      <c r="B15900" t="s">
        <v>6879</v>
      </c>
    </row>
    <row r="15901" spans="1:2" x14ac:dyDescent="0.25">
      <c r="A15901">
        <v>39232110290</v>
      </c>
      <c r="B15901" t="s">
        <v>10</v>
      </c>
    </row>
    <row r="15902" spans="1:2" x14ac:dyDescent="0.25">
      <c r="A15902">
        <v>392321103</v>
      </c>
      <c r="B15902" t="s">
        <v>6886</v>
      </c>
    </row>
    <row r="15903" spans="1:2" x14ac:dyDescent="0.25">
      <c r="A15903">
        <v>3923211031</v>
      </c>
      <c r="B15903" t="s">
        <v>6887</v>
      </c>
    </row>
    <row r="15904" spans="1:2" x14ac:dyDescent="0.25">
      <c r="A15904">
        <v>39232110311</v>
      </c>
      <c r="B15904" t="s">
        <v>6875</v>
      </c>
    </row>
    <row r="15905" spans="1:2" x14ac:dyDescent="0.25">
      <c r="A15905">
        <v>39232110312</v>
      </c>
      <c r="B15905" t="s">
        <v>6876</v>
      </c>
    </row>
    <row r="15906" spans="1:2" x14ac:dyDescent="0.25">
      <c r="A15906">
        <v>39232110319</v>
      </c>
      <c r="B15906" t="s">
        <v>10</v>
      </c>
    </row>
    <row r="15907" spans="1:2" x14ac:dyDescent="0.25">
      <c r="A15907">
        <v>39232110390</v>
      </c>
      <c r="B15907" t="s">
        <v>10</v>
      </c>
    </row>
    <row r="15908" spans="1:2" x14ac:dyDescent="0.25">
      <c r="A15908">
        <v>392321109</v>
      </c>
      <c r="B15908" t="s">
        <v>10</v>
      </c>
    </row>
    <row r="15909" spans="1:2" x14ac:dyDescent="0.25">
      <c r="A15909">
        <v>3923211091</v>
      </c>
      <c r="B15909" t="s">
        <v>6874</v>
      </c>
    </row>
    <row r="15910" spans="1:2" x14ac:dyDescent="0.25">
      <c r="A15910">
        <v>39232110911</v>
      </c>
      <c r="B15910" t="s">
        <v>6875</v>
      </c>
    </row>
    <row r="15911" spans="1:2" x14ac:dyDescent="0.25">
      <c r="A15911">
        <v>39232110912</v>
      </c>
      <c r="B15911" t="s">
        <v>6876</v>
      </c>
    </row>
    <row r="15912" spans="1:2" x14ac:dyDescent="0.25">
      <c r="A15912">
        <v>39232110919</v>
      </c>
      <c r="B15912" t="s">
        <v>10</v>
      </c>
    </row>
    <row r="15913" spans="1:2" x14ac:dyDescent="0.25">
      <c r="A15913">
        <v>3923211092</v>
      </c>
      <c r="B15913" t="s">
        <v>6888</v>
      </c>
    </row>
    <row r="15914" spans="1:2" x14ac:dyDescent="0.25">
      <c r="A15914">
        <v>39232110921</v>
      </c>
      <c r="B15914" t="s">
        <v>6875</v>
      </c>
    </row>
    <row r="15915" spans="1:2" x14ac:dyDescent="0.25">
      <c r="A15915">
        <v>39232110922</v>
      </c>
      <c r="B15915" t="s">
        <v>6876</v>
      </c>
    </row>
    <row r="15916" spans="1:2" x14ac:dyDescent="0.25">
      <c r="A15916">
        <v>39232110929</v>
      </c>
      <c r="B15916" t="s">
        <v>10</v>
      </c>
    </row>
    <row r="15917" spans="1:2" x14ac:dyDescent="0.25">
      <c r="A15917">
        <v>3923211093</v>
      </c>
      <c r="B15917" t="s">
        <v>6889</v>
      </c>
    </row>
    <row r="15918" spans="1:2" x14ac:dyDescent="0.25">
      <c r="A15918">
        <v>39232110931</v>
      </c>
      <c r="B15918" t="s">
        <v>6875</v>
      </c>
    </row>
    <row r="15919" spans="1:2" x14ac:dyDescent="0.25">
      <c r="A15919">
        <v>39232110932</v>
      </c>
      <c r="B15919" t="s">
        <v>6876</v>
      </c>
    </row>
    <row r="15920" spans="1:2" x14ac:dyDescent="0.25">
      <c r="A15920">
        <v>39232110939</v>
      </c>
      <c r="B15920" t="s">
        <v>10</v>
      </c>
    </row>
    <row r="15921" spans="1:2" x14ac:dyDescent="0.25">
      <c r="A15921">
        <v>3923211094</v>
      </c>
      <c r="B15921" t="s">
        <v>6890</v>
      </c>
    </row>
    <row r="15922" spans="1:2" x14ac:dyDescent="0.25">
      <c r="A15922">
        <v>39232110941</v>
      </c>
      <c r="B15922" t="s">
        <v>6875</v>
      </c>
    </row>
    <row r="15923" spans="1:2" x14ac:dyDescent="0.25">
      <c r="A15923">
        <v>39232110942</v>
      </c>
      <c r="B15923" t="s">
        <v>6876</v>
      </c>
    </row>
    <row r="15924" spans="1:2" x14ac:dyDescent="0.25">
      <c r="A15924">
        <v>39232110949</v>
      </c>
      <c r="B15924" t="s">
        <v>10</v>
      </c>
    </row>
    <row r="15925" spans="1:2" x14ac:dyDescent="0.25">
      <c r="A15925">
        <v>3923211095</v>
      </c>
      <c r="B15925" t="s">
        <v>6891</v>
      </c>
    </row>
    <row r="15926" spans="1:2" x14ac:dyDescent="0.25">
      <c r="A15926">
        <v>39232110951</v>
      </c>
      <c r="B15926" t="s">
        <v>6875</v>
      </c>
    </row>
    <row r="15927" spans="1:2" x14ac:dyDescent="0.25">
      <c r="A15927">
        <v>39232110952</v>
      </c>
      <c r="B15927" t="s">
        <v>6876</v>
      </c>
    </row>
    <row r="15928" spans="1:2" x14ac:dyDescent="0.25">
      <c r="A15928">
        <v>39232110959</v>
      </c>
      <c r="B15928" t="s">
        <v>10</v>
      </c>
    </row>
    <row r="15929" spans="1:2" x14ac:dyDescent="0.25">
      <c r="A15929">
        <v>3923211096</v>
      </c>
      <c r="B15929" t="s">
        <v>6882</v>
      </c>
    </row>
    <row r="15930" spans="1:2" x14ac:dyDescent="0.25">
      <c r="A15930">
        <v>39232110961</v>
      </c>
      <c r="B15930" t="s">
        <v>6875</v>
      </c>
    </row>
    <row r="15931" spans="1:2" x14ac:dyDescent="0.25">
      <c r="A15931">
        <v>39232110962</v>
      </c>
      <c r="B15931" t="s">
        <v>6876</v>
      </c>
    </row>
    <row r="15932" spans="1:2" x14ac:dyDescent="0.25">
      <c r="A15932">
        <v>39232110969</v>
      </c>
      <c r="B15932" t="s">
        <v>10</v>
      </c>
    </row>
    <row r="15933" spans="1:2" x14ac:dyDescent="0.25">
      <c r="A15933">
        <v>3923211097</v>
      </c>
      <c r="B15933" t="s">
        <v>6883</v>
      </c>
    </row>
    <row r="15934" spans="1:2" x14ac:dyDescent="0.25">
      <c r="A15934">
        <v>39232110971</v>
      </c>
      <c r="B15934" t="s">
        <v>6884</v>
      </c>
    </row>
    <row r="15935" spans="1:2" x14ac:dyDescent="0.25">
      <c r="A15935">
        <v>39232110979</v>
      </c>
      <c r="B15935" t="s">
        <v>10</v>
      </c>
    </row>
    <row r="15936" spans="1:2" x14ac:dyDescent="0.25">
      <c r="A15936">
        <v>3923211099</v>
      </c>
      <c r="B15936" t="s">
        <v>10</v>
      </c>
    </row>
    <row r="15937" spans="1:2" x14ac:dyDescent="0.25">
      <c r="A15937">
        <v>39232110991</v>
      </c>
      <c r="B15937" t="s">
        <v>6892</v>
      </c>
    </row>
    <row r="15938" spans="1:2" x14ac:dyDescent="0.25">
      <c r="A15938">
        <v>39232110992</v>
      </c>
      <c r="B15938" t="s">
        <v>6893</v>
      </c>
    </row>
    <row r="15939" spans="1:2" x14ac:dyDescent="0.25">
      <c r="A15939">
        <v>39232110993</v>
      </c>
      <c r="B15939" t="s">
        <v>6894</v>
      </c>
    </row>
    <row r="15940" spans="1:2" x14ac:dyDescent="0.25">
      <c r="A15940">
        <v>39232110994</v>
      </c>
      <c r="B15940" t="s">
        <v>6895</v>
      </c>
    </row>
    <row r="15941" spans="1:2" x14ac:dyDescent="0.25">
      <c r="A15941">
        <v>39232110999</v>
      </c>
      <c r="B15941" t="s">
        <v>10</v>
      </c>
    </row>
    <row r="15942" spans="1:2" x14ac:dyDescent="0.25">
      <c r="A15942">
        <v>39232190</v>
      </c>
      <c r="B15942" t="s">
        <v>10</v>
      </c>
    </row>
    <row r="15943" spans="1:2" x14ac:dyDescent="0.25">
      <c r="A15943">
        <v>392321901</v>
      </c>
      <c r="B15943" t="s">
        <v>6873</v>
      </c>
    </row>
    <row r="15944" spans="1:2" x14ac:dyDescent="0.25">
      <c r="A15944">
        <v>3923219011</v>
      </c>
      <c r="B15944" t="s">
        <v>6877</v>
      </c>
    </row>
    <row r="15945" spans="1:2" x14ac:dyDescent="0.25">
      <c r="A15945">
        <v>39232190111</v>
      </c>
      <c r="B15945" t="s">
        <v>6875</v>
      </c>
    </row>
    <row r="15946" spans="1:2" x14ac:dyDescent="0.25">
      <c r="A15946">
        <v>39232190112</v>
      </c>
      <c r="B15946" t="s">
        <v>6876</v>
      </c>
    </row>
    <row r="15947" spans="1:2" x14ac:dyDescent="0.25">
      <c r="A15947">
        <v>39232190119</v>
      </c>
      <c r="B15947" t="s">
        <v>10</v>
      </c>
    </row>
    <row r="15948" spans="1:2" x14ac:dyDescent="0.25">
      <c r="A15948">
        <v>3923219012</v>
      </c>
      <c r="B15948" t="s">
        <v>6878</v>
      </c>
    </row>
    <row r="15949" spans="1:2" x14ac:dyDescent="0.25">
      <c r="A15949">
        <v>39232190121</v>
      </c>
      <c r="B15949" t="s">
        <v>6896</v>
      </c>
    </row>
    <row r="15950" spans="1:2" x14ac:dyDescent="0.25">
      <c r="A15950">
        <v>39232190122</v>
      </c>
      <c r="B15950" t="s">
        <v>6897</v>
      </c>
    </row>
    <row r="15951" spans="1:2" x14ac:dyDescent="0.25">
      <c r="A15951">
        <v>39232190129</v>
      </c>
      <c r="B15951" t="s">
        <v>10</v>
      </c>
    </row>
    <row r="15952" spans="1:2" x14ac:dyDescent="0.25">
      <c r="A15952">
        <v>3923219013</v>
      </c>
      <c r="B15952" t="s">
        <v>6898</v>
      </c>
    </row>
    <row r="15953" spans="1:2" x14ac:dyDescent="0.25">
      <c r="A15953">
        <v>39232190131</v>
      </c>
      <c r="B15953" t="s">
        <v>6875</v>
      </c>
    </row>
    <row r="15954" spans="1:2" x14ac:dyDescent="0.25">
      <c r="A15954">
        <v>39232190132</v>
      </c>
      <c r="B15954" t="s">
        <v>6879</v>
      </c>
    </row>
    <row r="15955" spans="1:2" x14ac:dyDescent="0.25">
      <c r="A15955">
        <v>39232190139</v>
      </c>
      <c r="B15955" t="s">
        <v>10</v>
      </c>
    </row>
    <row r="15956" spans="1:2" x14ac:dyDescent="0.25">
      <c r="A15956">
        <v>3923219014</v>
      </c>
      <c r="B15956" t="s">
        <v>6899</v>
      </c>
    </row>
    <row r="15957" spans="1:2" x14ac:dyDescent="0.25">
      <c r="A15957">
        <v>39232190141</v>
      </c>
      <c r="B15957" t="s">
        <v>6875</v>
      </c>
    </row>
    <row r="15958" spans="1:2" x14ac:dyDescent="0.25">
      <c r="A15958">
        <v>39232190142</v>
      </c>
      <c r="B15958" t="s">
        <v>6876</v>
      </c>
    </row>
    <row r="15959" spans="1:2" x14ac:dyDescent="0.25">
      <c r="A15959">
        <v>39232190149</v>
      </c>
      <c r="B15959" t="s">
        <v>10</v>
      </c>
    </row>
    <row r="15960" spans="1:2" x14ac:dyDescent="0.25">
      <c r="A15960">
        <v>3923219015</v>
      </c>
      <c r="B15960" t="s">
        <v>6882</v>
      </c>
    </row>
    <row r="15961" spans="1:2" x14ac:dyDescent="0.25">
      <c r="A15961">
        <v>39232190151</v>
      </c>
      <c r="B15961" t="s">
        <v>6875</v>
      </c>
    </row>
    <row r="15962" spans="1:2" x14ac:dyDescent="0.25">
      <c r="A15962">
        <v>39232190152</v>
      </c>
      <c r="B15962" t="s">
        <v>6876</v>
      </c>
    </row>
    <row r="15963" spans="1:2" x14ac:dyDescent="0.25">
      <c r="A15963">
        <v>39232190159</v>
      </c>
      <c r="B15963" t="s">
        <v>10</v>
      </c>
    </row>
    <row r="15964" spans="1:2" x14ac:dyDescent="0.25">
      <c r="A15964">
        <v>3923219016</v>
      </c>
      <c r="B15964" t="s">
        <v>6883</v>
      </c>
    </row>
    <row r="15965" spans="1:2" x14ac:dyDescent="0.25">
      <c r="A15965">
        <v>39232190161</v>
      </c>
      <c r="B15965" t="s">
        <v>6884</v>
      </c>
    </row>
    <row r="15966" spans="1:2" x14ac:dyDescent="0.25">
      <c r="A15966">
        <v>39232190169</v>
      </c>
      <c r="B15966" t="s">
        <v>57</v>
      </c>
    </row>
    <row r="15967" spans="1:2" x14ac:dyDescent="0.25">
      <c r="A15967">
        <v>39232190190</v>
      </c>
      <c r="B15967" t="s">
        <v>10</v>
      </c>
    </row>
    <row r="15968" spans="1:2" x14ac:dyDescent="0.25">
      <c r="A15968">
        <v>392321902</v>
      </c>
      <c r="B15968" t="s">
        <v>6885</v>
      </c>
    </row>
    <row r="15969" spans="1:2" x14ac:dyDescent="0.25">
      <c r="A15969">
        <v>39232190210</v>
      </c>
      <c r="B15969" t="s">
        <v>6875</v>
      </c>
    </row>
    <row r="15970" spans="1:2" x14ac:dyDescent="0.25">
      <c r="A15970">
        <v>39232190220</v>
      </c>
      <c r="B15970" t="s">
        <v>6879</v>
      </c>
    </row>
    <row r="15971" spans="1:2" x14ac:dyDescent="0.25">
      <c r="A15971">
        <v>39232190290</v>
      </c>
      <c r="B15971" t="s">
        <v>10</v>
      </c>
    </row>
    <row r="15972" spans="1:2" x14ac:dyDescent="0.25">
      <c r="A15972">
        <v>392321903</v>
      </c>
      <c r="B15972" t="s">
        <v>6886</v>
      </c>
    </row>
    <row r="15973" spans="1:2" x14ac:dyDescent="0.25">
      <c r="A15973">
        <v>3923219031</v>
      </c>
      <c r="B15973" t="s">
        <v>6887</v>
      </c>
    </row>
    <row r="15974" spans="1:2" x14ac:dyDescent="0.25">
      <c r="A15974">
        <v>39232190311</v>
      </c>
      <c r="B15974" t="s">
        <v>6875</v>
      </c>
    </row>
    <row r="15975" spans="1:2" x14ac:dyDescent="0.25">
      <c r="A15975">
        <v>39232190312</v>
      </c>
      <c r="B15975" t="s">
        <v>6876</v>
      </c>
    </row>
    <row r="15976" spans="1:2" x14ac:dyDescent="0.25">
      <c r="A15976">
        <v>39232190319</v>
      </c>
      <c r="B15976" t="s">
        <v>10</v>
      </c>
    </row>
    <row r="15977" spans="1:2" x14ac:dyDescent="0.25">
      <c r="A15977">
        <v>39232190390</v>
      </c>
      <c r="B15977" t="s">
        <v>10</v>
      </c>
    </row>
    <row r="15978" spans="1:2" x14ac:dyDescent="0.25">
      <c r="A15978">
        <v>392321909</v>
      </c>
      <c r="B15978" t="s">
        <v>10</v>
      </c>
    </row>
    <row r="15979" spans="1:2" x14ac:dyDescent="0.25">
      <c r="A15979">
        <v>3923219091</v>
      </c>
      <c r="B15979" t="s">
        <v>6874</v>
      </c>
    </row>
    <row r="15980" spans="1:2" x14ac:dyDescent="0.25">
      <c r="A15980">
        <v>39232190911</v>
      </c>
      <c r="B15980" t="s">
        <v>6875</v>
      </c>
    </row>
    <row r="15981" spans="1:2" x14ac:dyDescent="0.25">
      <c r="A15981">
        <v>39232190912</v>
      </c>
      <c r="B15981" t="s">
        <v>6876</v>
      </c>
    </row>
    <row r="15982" spans="1:2" x14ac:dyDescent="0.25">
      <c r="A15982">
        <v>39232190919</v>
      </c>
      <c r="B15982" t="s">
        <v>10</v>
      </c>
    </row>
    <row r="15983" spans="1:2" x14ac:dyDescent="0.25">
      <c r="A15983">
        <v>3923219092</v>
      </c>
      <c r="B15983" t="s">
        <v>6900</v>
      </c>
    </row>
    <row r="15984" spans="1:2" x14ac:dyDescent="0.25">
      <c r="A15984">
        <v>39232190921</v>
      </c>
      <c r="B15984" t="s">
        <v>6875</v>
      </c>
    </row>
    <row r="15985" spans="1:2" x14ac:dyDescent="0.25">
      <c r="A15985">
        <v>39232190922</v>
      </c>
      <c r="B15985" t="s">
        <v>6876</v>
      </c>
    </row>
    <row r="15986" spans="1:2" x14ac:dyDescent="0.25">
      <c r="A15986">
        <v>39232190929</v>
      </c>
      <c r="B15986" t="s">
        <v>10</v>
      </c>
    </row>
    <row r="15987" spans="1:2" x14ac:dyDescent="0.25">
      <c r="A15987">
        <v>3923219093</v>
      </c>
      <c r="B15987" t="s">
        <v>6901</v>
      </c>
    </row>
    <row r="15988" spans="1:2" x14ac:dyDescent="0.25">
      <c r="A15988">
        <v>39232190931</v>
      </c>
      <c r="B15988" t="s">
        <v>6875</v>
      </c>
    </row>
    <row r="15989" spans="1:2" x14ac:dyDescent="0.25">
      <c r="A15989">
        <v>39232190932</v>
      </c>
      <c r="B15989" t="s">
        <v>6876</v>
      </c>
    </row>
    <row r="15990" spans="1:2" x14ac:dyDescent="0.25">
      <c r="A15990">
        <v>39232190939</v>
      </c>
      <c r="B15990" t="s">
        <v>10</v>
      </c>
    </row>
    <row r="15991" spans="1:2" x14ac:dyDescent="0.25">
      <c r="A15991">
        <v>3923219094</v>
      </c>
      <c r="B15991" t="s">
        <v>6890</v>
      </c>
    </row>
    <row r="15992" spans="1:2" x14ac:dyDescent="0.25">
      <c r="A15992">
        <v>39232190941</v>
      </c>
      <c r="B15992" t="s">
        <v>6875</v>
      </c>
    </row>
    <row r="15993" spans="1:2" x14ac:dyDescent="0.25">
      <c r="A15993">
        <v>39232190942</v>
      </c>
      <c r="B15993" t="s">
        <v>6876</v>
      </c>
    </row>
    <row r="15994" spans="1:2" x14ac:dyDescent="0.25">
      <c r="A15994">
        <v>39232190949</v>
      </c>
      <c r="B15994" t="s">
        <v>10</v>
      </c>
    </row>
    <row r="15995" spans="1:2" x14ac:dyDescent="0.25">
      <c r="A15995">
        <v>3923219095</v>
      </c>
      <c r="B15995" t="s">
        <v>6891</v>
      </c>
    </row>
    <row r="15996" spans="1:2" x14ac:dyDescent="0.25">
      <c r="A15996">
        <v>39232190951</v>
      </c>
      <c r="B15996" t="s">
        <v>6875</v>
      </c>
    </row>
    <row r="15997" spans="1:2" x14ac:dyDescent="0.25">
      <c r="A15997">
        <v>39232190952</v>
      </c>
      <c r="B15997" t="s">
        <v>6876</v>
      </c>
    </row>
    <row r="15998" spans="1:2" x14ac:dyDescent="0.25">
      <c r="A15998">
        <v>39232190959</v>
      </c>
      <c r="B15998" t="s">
        <v>10</v>
      </c>
    </row>
    <row r="15999" spans="1:2" x14ac:dyDescent="0.25">
      <c r="A15999">
        <v>3923219096</v>
      </c>
      <c r="B15999" t="s">
        <v>6902</v>
      </c>
    </row>
    <row r="16000" spans="1:2" x14ac:dyDescent="0.25">
      <c r="A16000">
        <v>39232190961</v>
      </c>
      <c r="B16000" t="s">
        <v>6875</v>
      </c>
    </row>
    <row r="16001" spans="1:2" x14ac:dyDescent="0.25">
      <c r="A16001">
        <v>39232190962</v>
      </c>
      <c r="B16001" t="s">
        <v>6876</v>
      </c>
    </row>
    <row r="16002" spans="1:2" x14ac:dyDescent="0.25">
      <c r="A16002">
        <v>39232190969</v>
      </c>
      <c r="B16002" t="s">
        <v>10</v>
      </c>
    </row>
    <row r="16003" spans="1:2" x14ac:dyDescent="0.25">
      <c r="A16003">
        <v>3923219097</v>
      </c>
      <c r="B16003" t="s">
        <v>6883</v>
      </c>
    </row>
    <row r="16004" spans="1:2" x14ac:dyDescent="0.25">
      <c r="A16004">
        <v>39232190971</v>
      </c>
      <c r="B16004" t="s">
        <v>6709</v>
      </c>
    </row>
    <row r="16005" spans="1:2" x14ac:dyDescent="0.25">
      <c r="A16005">
        <v>39232190979</v>
      </c>
      <c r="B16005" t="s">
        <v>10</v>
      </c>
    </row>
    <row r="16006" spans="1:2" x14ac:dyDescent="0.25">
      <c r="A16006">
        <v>3923219099</v>
      </c>
      <c r="B16006" t="s">
        <v>10</v>
      </c>
    </row>
    <row r="16007" spans="1:2" x14ac:dyDescent="0.25">
      <c r="A16007">
        <v>39232190991</v>
      </c>
      <c r="B16007" t="s">
        <v>6892</v>
      </c>
    </row>
    <row r="16008" spans="1:2" x14ac:dyDescent="0.25">
      <c r="A16008">
        <v>39232190992</v>
      </c>
      <c r="B16008" t="s">
        <v>6893</v>
      </c>
    </row>
    <row r="16009" spans="1:2" x14ac:dyDescent="0.25">
      <c r="A16009">
        <v>39232190993</v>
      </c>
      <c r="B16009" t="s">
        <v>6903</v>
      </c>
    </row>
    <row r="16010" spans="1:2" x14ac:dyDescent="0.25">
      <c r="A16010">
        <v>39232190994</v>
      </c>
      <c r="B16010" t="s">
        <v>6895</v>
      </c>
    </row>
    <row r="16011" spans="1:2" x14ac:dyDescent="0.25">
      <c r="A16011">
        <v>39232190999</v>
      </c>
      <c r="B16011" t="s">
        <v>10</v>
      </c>
    </row>
    <row r="16012" spans="1:2" x14ac:dyDescent="0.25">
      <c r="A16012">
        <v>392329</v>
      </c>
      <c r="B16012" t="e">
        <f>- - de Los demas plasticos</f>
        <v>#NAME?</v>
      </c>
    </row>
    <row r="16013" spans="1:2" x14ac:dyDescent="0.25">
      <c r="A16013">
        <v>39232910000</v>
      </c>
      <c r="B16013" t="s">
        <v>6904</v>
      </c>
    </row>
    <row r="16014" spans="1:2" x14ac:dyDescent="0.25">
      <c r="A16014">
        <v>39232990000</v>
      </c>
      <c r="B16014" t="s">
        <v>10</v>
      </c>
    </row>
    <row r="16015" spans="1:2" x14ac:dyDescent="0.25">
      <c r="A16015">
        <v>39233000</v>
      </c>
      <c r="B16015" t="s">
        <v>6905</v>
      </c>
    </row>
    <row r="16016" spans="1:2" x14ac:dyDescent="0.25">
      <c r="A16016">
        <v>392330001</v>
      </c>
      <c r="B16016" t="s">
        <v>6906</v>
      </c>
    </row>
    <row r="16017" spans="1:2" x14ac:dyDescent="0.25">
      <c r="A16017">
        <v>39233000110</v>
      </c>
      <c r="B16017" t="s">
        <v>6907</v>
      </c>
    </row>
    <row r="16018" spans="1:2" x14ac:dyDescent="0.25">
      <c r="A16018">
        <v>39233000120</v>
      </c>
      <c r="B16018" t="s">
        <v>6908</v>
      </c>
    </row>
    <row r="16019" spans="1:2" x14ac:dyDescent="0.25">
      <c r="A16019">
        <v>39233000130</v>
      </c>
      <c r="B16019" t="s">
        <v>6909</v>
      </c>
    </row>
    <row r="16020" spans="1:2" x14ac:dyDescent="0.25">
      <c r="A16020">
        <v>39233000140</v>
      </c>
      <c r="B16020" t="s">
        <v>6910</v>
      </c>
    </row>
    <row r="16021" spans="1:2" x14ac:dyDescent="0.25">
      <c r="A16021">
        <v>39233000190</v>
      </c>
      <c r="B16021" t="s">
        <v>10</v>
      </c>
    </row>
    <row r="16022" spans="1:2" x14ac:dyDescent="0.25">
      <c r="A16022">
        <v>392330002</v>
      </c>
      <c r="B16022" t="s">
        <v>6911</v>
      </c>
    </row>
    <row r="16023" spans="1:2" x14ac:dyDescent="0.25">
      <c r="A16023">
        <v>39233000210</v>
      </c>
      <c r="B16023" t="s">
        <v>6912</v>
      </c>
    </row>
    <row r="16024" spans="1:2" x14ac:dyDescent="0.25">
      <c r="A16024">
        <v>39233000220</v>
      </c>
      <c r="B16024" t="s">
        <v>6908</v>
      </c>
    </row>
    <row r="16025" spans="1:2" x14ac:dyDescent="0.25">
      <c r="A16025">
        <v>39233000230</v>
      </c>
      <c r="B16025" t="s">
        <v>6909</v>
      </c>
    </row>
    <row r="16026" spans="1:2" x14ac:dyDescent="0.25">
      <c r="A16026">
        <v>39233000240</v>
      </c>
      <c r="B16026" t="s">
        <v>6910</v>
      </c>
    </row>
    <row r="16027" spans="1:2" x14ac:dyDescent="0.25">
      <c r="A16027">
        <v>39233000290</v>
      </c>
      <c r="B16027" t="s">
        <v>10</v>
      </c>
    </row>
    <row r="16028" spans="1:2" x14ac:dyDescent="0.25">
      <c r="A16028">
        <v>392330003</v>
      </c>
      <c r="B16028" t="s">
        <v>6913</v>
      </c>
    </row>
    <row r="16029" spans="1:2" x14ac:dyDescent="0.25">
      <c r="A16029">
        <v>39233000310</v>
      </c>
      <c r="B16029" t="s">
        <v>6914</v>
      </c>
    </row>
    <row r="16030" spans="1:2" x14ac:dyDescent="0.25">
      <c r="A16030">
        <v>39233000320</v>
      </c>
      <c r="B16030" t="s">
        <v>6915</v>
      </c>
    </row>
    <row r="16031" spans="1:2" x14ac:dyDescent="0.25">
      <c r="A16031">
        <v>39233000330</v>
      </c>
      <c r="B16031" t="s">
        <v>6916</v>
      </c>
    </row>
    <row r="16032" spans="1:2" x14ac:dyDescent="0.25">
      <c r="A16032">
        <v>39233000390</v>
      </c>
      <c r="B16032" t="s">
        <v>10</v>
      </c>
    </row>
    <row r="16033" spans="1:2" x14ac:dyDescent="0.25">
      <c r="A16033">
        <v>392330004</v>
      </c>
      <c r="B16033" t="s">
        <v>6917</v>
      </c>
    </row>
    <row r="16034" spans="1:2" x14ac:dyDescent="0.25">
      <c r="A16034">
        <v>39233000410</v>
      </c>
      <c r="B16034" t="s">
        <v>6918</v>
      </c>
    </row>
    <row r="16035" spans="1:2" x14ac:dyDescent="0.25">
      <c r="A16035">
        <v>39233000420</v>
      </c>
      <c r="B16035" t="s">
        <v>6919</v>
      </c>
    </row>
    <row r="16036" spans="1:2" x14ac:dyDescent="0.25">
      <c r="A16036">
        <v>39233000430</v>
      </c>
      <c r="B16036" t="s">
        <v>6920</v>
      </c>
    </row>
    <row r="16037" spans="1:2" x14ac:dyDescent="0.25">
      <c r="A16037">
        <v>39233000490</v>
      </c>
      <c r="B16037" t="s">
        <v>10</v>
      </c>
    </row>
    <row r="16038" spans="1:2" x14ac:dyDescent="0.25">
      <c r="A16038">
        <v>392330006</v>
      </c>
      <c r="B16038" t="s">
        <v>6921</v>
      </c>
    </row>
    <row r="16039" spans="1:2" x14ac:dyDescent="0.25">
      <c r="A16039">
        <v>39233000610</v>
      </c>
      <c r="B16039" t="s">
        <v>6922</v>
      </c>
    </row>
    <row r="16040" spans="1:2" x14ac:dyDescent="0.25">
      <c r="A16040">
        <v>39233000620</v>
      </c>
      <c r="B16040" t="s">
        <v>6923</v>
      </c>
    </row>
    <row r="16041" spans="1:2" x14ac:dyDescent="0.25">
      <c r="A16041">
        <v>39233000630</v>
      </c>
      <c r="B16041" t="s">
        <v>6924</v>
      </c>
    </row>
    <row r="16042" spans="1:2" x14ac:dyDescent="0.25">
      <c r="A16042">
        <v>39233000640</v>
      </c>
      <c r="B16042" t="s">
        <v>6925</v>
      </c>
    </row>
    <row r="16043" spans="1:2" x14ac:dyDescent="0.25">
      <c r="A16043">
        <v>39233000690</v>
      </c>
      <c r="B16043" t="s">
        <v>377</v>
      </c>
    </row>
    <row r="16044" spans="1:2" x14ac:dyDescent="0.25">
      <c r="A16044">
        <v>392330009</v>
      </c>
      <c r="B16044" t="s">
        <v>10</v>
      </c>
    </row>
    <row r="16045" spans="1:2" x14ac:dyDescent="0.25">
      <c r="A16045">
        <v>39233000910</v>
      </c>
      <c r="B16045" t="s">
        <v>5415</v>
      </c>
    </row>
    <row r="16046" spans="1:2" x14ac:dyDescent="0.25">
      <c r="A16046">
        <v>39233000920</v>
      </c>
      <c r="B16046" t="s">
        <v>5414</v>
      </c>
    </row>
    <row r="16047" spans="1:2" x14ac:dyDescent="0.25">
      <c r="A16047">
        <v>39233000930</v>
      </c>
      <c r="B16047" t="s">
        <v>6659</v>
      </c>
    </row>
    <row r="16048" spans="1:2" x14ac:dyDescent="0.25">
      <c r="A16048">
        <v>39233000940</v>
      </c>
      <c r="B16048" t="s">
        <v>6664</v>
      </c>
    </row>
    <row r="16049" spans="1:2" x14ac:dyDescent="0.25">
      <c r="A16049">
        <v>39233000950</v>
      </c>
      <c r="B16049" t="s">
        <v>6642</v>
      </c>
    </row>
    <row r="16050" spans="1:2" x14ac:dyDescent="0.25">
      <c r="A16050">
        <v>39233000960</v>
      </c>
      <c r="B16050" t="s">
        <v>6926</v>
      </c>
    </row>
    <row r="16051" spans="1:2" x14ac:dyDescent="0.25">
      <c r="A16051">
        <v>39233000970</v>
      </c>
      <c r="B16051" t="s">
        <v>6637</v>
      </c>
    </row>
    <row r="16052" spans="1:2" x14ac:dyDescent="0.25">
      <c r="A16052">
        <v>39233000990</v>
      </c>
      <c r="B16052" t="s">
        <v>10</v>
      </c>
    </row>
    <row r="16053" spans="1:2" x14ac:dyDescent="0.25">
      <c r="A16053">
        <v>39234000000</v>
      </c>
      <c r="B16053" t="e">
        <f>-Bobinas. carretes. canillas y soportes similares</f>
        <v>#NAME?</v>
      </c>
    </row>
    <row r="16054" spans="1:2" x14ac:dyDescent="0.25">
      <c r="A16054">
        <v>39235000</v>
      </c>
      <c r="B16054" t="e">
        <f>- Tapones. tapas. capsulas y demas Dispositivos de cierre</f>
        <v>#NAME?</v>
      </c>
    </row>
    <row r="16055" spans="1:2" x14ac:dyDescent="0.25">
      <c r="A16055">
        <v>392350001</v>
      </c>
      <c r="B16055" t="s">
        <v>6927</v>
      </c>
    </row>
    <row r="16056" spans="1:2" x14ac:dyDescent="0.25">
      <c r="A16056">
        <v>39235000110</v>
      </c>
      <c r="B16056" t="s">
        <v>5415</v>
      </c>
    </row>
    <row r="16057" spans="1:2" x14ac:dyDescent="0.25">
      <c r="A16057">
        <v>39235000120</v>
      </c>
      <c r="B16057" t="s">
        <v>5414</v>
      </c>
    </row>
    <row r="16058" spans="1:2" x14ac:dyDescent="0.25">
      <c r="A16058">
        <v>39235000130</v>
      </c>
      <c r="B16058" t="s">
        <v>6659</v>
      </c>
    </row>
    <row r="16059" spans="1:2" x14ac:dyDescent="0.25">
      <c r="A16059">
        <v>39235000140</v>
      </c>
      <c r="B16059" t="s">
        <v>6664</v>
      </c>
    </row>
    <row r="16060" spans="1:2" x14ac:dyDescent="0.25">
      <c r="A16060">
        <v>39235000150</v>
      </c>
      <c r="B16060" t="s">
        <v>6642</v>
      </c>
    </row>
    <row r="16061" spans="1:2" x14ac:dyDescent="0.25">
      <c r="A16061">
        <v>39235000160</v>
      </c>
      <c r="B16061" t="s">
        <v>6926</v>
      </c>
    </row>
    <row r="16062" spans="1:2" x14ac:dyDescent="0.25">
      <c r="A16062">
        <v>39235000170</v>
      </c>
      <c r="B16062" t="s">
        <v>6637</v>
      </c>
    </row>
    <row r="16063" spans="1:2" x14ac:dyDescent="0.25">
      <c r="A16063">
        <v>39235000190</v>
      </c>
      <c r="B16063" t="s">
        <v>10</v>
      </c>
    </row>
    <row r="16064" spans="1:2" x14ac:dyDescent="0.25">
      <c r="A16064">
        <v>392350009</v>
      </c>
      <c r="B16064" t="s">
        <v>10</v>
      </c>
    </row>
    <row r="16065" spans="1:2" x14ac:dyDescent="0.25">
      <c r="A16065">
        <v>3923500091</v>
      </c>
      <c r="B16065" t="s">
        <v>5415</v>
      </c>
    </row>
    <row r="16066" spans="1:2" x14ac:dyDescent="0.25">
      <c r="A16066">
        <v>39235000911</v>
      </c>
      <c r="B16066" t="s">
        <v>6928</v>
      </c>
    </row>
    <row r="16067" spans="1:2" x14ac:dyDescent="0.25">
      <c r="A16067">
        <v>39235000919</v>
      </c>
      <c r="B16067" t="s">
        <v>10</v>
      </c>
    </row>
    <row r="16068" spans="1:2" x14ac:dyDescent="0.25">
      <c r="A16068">
        <v>39235000920</v>
      </c>
      <c r="B16068" t="s">
        <v>5414</v>
      </c>
    </row>
    <row r="16069" spans="1:2" x14ac:dyDescent="0.25">
      <c r="A16069">
        <v>39235000930</v>
      </c>
      <c r="B16069" t="s">
        <v>6659</v>
      </c>
    </row>
    <row r="16070" spans="1:2" x14ac:dyDescent="0.25">
      <c r="A16070">
        <v>39235000940</v>
      </c>
      <c r="B16070" t="s">
        <v>6664</v>
      </c>
    </row>
    <row r="16071" spans="1:2" x14ac:dyDescent="0.25">
      <c r="A16071">
        <v>39235000950</v>
      </c>
      <c r="B16071" t="s">
        <v>6642</v>
      </c>
    </row>
    <row r="16072" spans="1:2" x14ac:dyDescent="0.25">
      <c r="A16072">
        <v>39235000960</v>
      </c>
      <c r="B16072" t="s">
        <v>6926</v>
      </c>
    </row>
    <row r="16073" spans="1:2" x14ac:dyDescent="0.25">
      <c r="A16073">
        <v>39235000970</v>
      </c>
      <c r="B16073" t="s">
        <v>6637</v>
      </c>
    </row>
    <row r="16074" spans="1:2" x14ac:dyDescent="0.25">
      <c r="A16074">
        <v>39235000990</v>
      </c>
      <c r="B16074" t="s">
        <v>10</v>
      </c>
    </row>
    <row r="16075" spans="1:2" x14ac:dyDescent="0.25">
      <c r="A16075">
        <v>39239000</v>
      </c>
      <c r="B16075" t="e">
        <f>- Los demas</f>
        <v>#NAME?</v>
      </c>
    </row>
    <row r="16076" spans="1:2" x14ac:dyDescent="0.25">
      <c r="A16076">
        <v>392390001</v>
      </c>
      <c r="B16076" t="s">
        <v>6929</v>
      </c>
    </row>
    <row r="16077" spans="1:2" x14ac:dyDescent="0.25">
      <c r="A16077">
        <v>39239000110</v>
      </c>
      <c r="B16077" t="s">
        <v>5414</v>
      </c>
    </row>
    <row r="16078" spans="1:2" x14ac:dyDescent="0.25">
      <c r="A16078">
        <v>3923900012</v>
      </c>
      <c r="B16078" t="s">
        <v>6930</v>
      </c>
    </row>
    <row r="16079" spans="1:2" x14ac:dyDescent="0.25">
      <c r="A16079">
        <v>39239000121</v>
      </c>
      <c r="B16079" t="s">
        <v>6931</v>
      </c>
    </row>
    <row r="16080" spans="1:2" x14ac:dyDescent="0.25">
      <c r="A16080">
        <v>39239000123</v>
      </c>
      <c r="B16080" t="s">
        <v>6932</v>
      </c>
    </row>
    <row r="16081" spans="1:2" x14ac:dyDescent="0.25">
      <c r="A16081">
        <v>39239000124</v>
      </c>
      <c r="B16081" t="s">
        <v>6933</v>
      </c>
    </row>
    <row r="16082" spans="1:2" x14ac:dyDescent="0.25">
      <c r="A16082">
        <v>39239000125</v>
      </c>
      <c r="B16082" t="s">
        <v>6934</v>
      </c>
    </row>
    <row r="16083" spans="1:2" x14ac:dyDescent="0.25">
      <c r="A16083">
        <v>39239000126</v>
      </c>
      <c r="B16083" t="s">
        <v>6935</v>
      </c>
    </row>
    <row r="16084" spans="1:2" x14ac:dyDescent="0.25">
      <c r="A16084">
        <v>39239000129</v>
      </c>
      <c r="B16084" t="s">
        <v>10</v>
      </c>
    </row>
    <row r="16085" spans="1:2" x14ac:dyDescent="0.25">
      <c r="A16085">
        <v>39239000130</v>
      </c>
      <c r="B16085" t="s">
        <v>6659</v>
      </c>
    </row>
    <row r="16086" spans="1:2" x14ac:dyDescent="0.25">
      <c r="A16086">
        <v>39239000190</v>
      </c>
      <c r="B16086" t="s">
        <v>10</v>
      </c>
    </row>
    <row r="16087" spans="1:2" x14ac:dyDescent="0.25">
      <c r="A16087">
        <v>392390002</v>
      </c>
      <c r="B16087" t="s">
        <v>6936</v>
      </c>
    </row>
    <row r="16088" spans="1:2" x14ac:dyDescent="0.25">
      <c r="A16088">
        <v>39239000210</v>
      </c>
      <c r="B16088" t="s">
        <v>5414</v>
      </c>
    </row>
    <row r="16089" spans="1:2" x14ac:dyDescent="0.25">
      <c r="A16089">
        <v>3923900022</v>
      </c>
      <c r="B16089" t="s">
        <v>6930</v>
      </c>
    </row>
    <row r="16090" spans="1:2" x14ac:dyDescent="0.25">
      <c r="A16090">
        <v>39239000221</v>
      </c>
      <c r="B16090" t="s">
        <v>6931</v>
      </c>
    </row>
    <row r="16091" spans="1:2" x14ac:dyDescent="0.25">
      <c r="A16091">
        <v>39239000222</v>
      </c>
      <c r="B16091" t="s">
        <v>6937</v>
      </c>
    </row>
    <row r="16092" spans="1:2" x14ac:dyDescent="0.25">
      <c r="A16092">
        <v>39239000223</v>
      </c>
      <c r="B16092" t="s">
        <v>6932</v>
      </c>
    </row>
    <row r="16093" spans="1:2" x14ac:dyDescent="0.25">
      <c r="A16093">
        <v>39239000229</v>
      </c>
      <c r="B16093" t="s">
        <v>10</v>
      </c>
    </row>
    <row r="16094" spans="1:2" x14ac:dyDescent="0.25">
      <c r="A16094">
        <v>39239000230</v>
      </c>
      <c r="B16094" t="s">
        <v>6659</v>
      </c>
    </row>
    <row r="16095" spans="1:2" x14ac:dyDescent="0.25">
      <c r="A16095">
        <v>39239000290</v>
      </c>
      <c r="B16095" t="s">
        <v>10</v>
      </c>
    </row>
    <row r="16096" spans="1:2" x14ac:dyDescent="0.25">
      <c r="A16096">
        <v>392390009</v>
      </c>
      <c r="B16096" t="s">
        <v>10</v>
      </c>
    </row>
    <row r="16097" spans="1:2" x14ac:dyDescent="0.25">
      <c r="A16097">
        <v>3923900091</v>
      </c>
      <c r="B16097" t="s">
        <v>6938</v>
      </c>
    </row>
    <row r="16098" spans="1:2" x14ac:dyDescent="0.25">
      <c r="A16098">
        <v>39239000911</v>
      </c>
      <c r="B16098" t="s">
        <v>6939</v>
      </c>
    </row>
    <row r="16099" spans="1:2" x14ac:dyDescent="0.25">
      <c r="A16099">
        <v>39239000912</v>
      </c>
      <c r="B16099" t="s">
        <v>6940</v>
      </c>
    </row>
    <row r="16100" spans="1:2" x14ac:dyDescent="0.25">
      <c r="A16100">
        <v>39239000913</v>
      </c>
      <c r="B16100" t="s">
        <v>6941</v>
      </c>
    </row>
    <row r="16101" spans="1:2" x14ac:dyDescent="0.25">
      <c r="A16101">
        <v>39239000919</v>
      </c>
      <c r="B16101" t="s">
        <v>10</v>
      </c>
    </row>
    <row r="16102" spans="1:2" x14ac:dyDescent="0.25">
      <c r="A16102">
        <v>3923900092</v>
      </c>
      <c r="B16102" t="s">
        <v>6942</v>
      </c>
    </row>
    <row r="16103" spans="1:2" x14ac:dyDescent="0.25">
      <c r="A16103">
        <v>39239000921</v>
      </c>
      <c r="B16103" t="s">
        <v>5415</v>
      </c>
    </row>
    <row r="16104" spans="1:2" x14ac:dyDescent="0.25">
      <c r="A16104">
        <v>39239000922</v>
      </c>
      <c r="B16104" t="s">
        <v>5414</v>
      </c>
    </row>
    <row r="16105" spans="1:2" x14ac:dyDescent="0.25">
      <c r="A16105">
        <v>39239000923</v>
      </c>
      <c r="B16105" t="s">
        <v>6659</v>
      </c>
    </row>
    <row r="16106" spans="1:2" x14ac:dyDescent="0.25">
      <c r="A16106">
        <v>39239000924</v>
      </c>
      <c r="B16106" t="s">
        <v>6664</v>
      </c>
    </row>
    <row r="16107" spans="1:2" x14ac:dyDescent="0.25">
      <c r="A16107">
        <v>39239000925</v>
      </c>
      <c r="B16107" t="s">
        <v>6642</v>
      </c>
    </row>
    <row r="16108" spans="1:2" x14ac:dyDescent="0.25">
      <c r="A16108">
        <v>39239000926</v>
      </c>
      <c r="B16108" t="s">
        <v>6926</v>
      </c>
    </row>
    <row r="16109" spans="1:2" x14ac:dyDescent="0.25">
      <c r="A16109">
        <v>39239000927</v>
      </c>
      <c r="B16109" t="s">
        <v>6637</v>
      </c>
    </row>
    <row r="16110" spans="1:2" x14ac:dyDescent="0.25">
      <c r="A16110">
        <v>39239000929</v>
      </c>
      <c r="B16110" t="s">
        <v>10</v>
      </c>
    </row>
    <row r="16111" spans="1:2" x14ac:dyDescent="0.25">
      <c r="A16111">
        <v>39239000990</v>
      </c>
      <c r="B16111" t="s">
        <v>10</v>
      </c>
    </row>
    <row r="16112" spans="1:2" x14ac:dyDescent="0.25">
      <c r="A16112">
        <v>3924</v>
      </c>
      <c r="B16112" t="s">
        <v>6943</v>
      </c>
    </row>
    <row r="16113" spans="1:2" x14ac:dyDescent="0.25">
      <c r="A16113">
        <v>39241000</v>
      </c>
      <c r="B16113" t="e">
        <f>- Vajilla y demas Articulos para el servicio de mesa o de cocina</f>
        <v>#NAME?</v>
      </c>
    </row>
    <row r="16114" spans="1:2" x14ac:dyDescent="0.25">
      <c r="A16114">
        <v>392410001</v>
      </c>
      <c r="B16114" t="s">
        <v>6944</v>
      </c>
    </row>
    <row r="16115" spans="1:2" x14ac:dyDescent="0.25">
      <c r="A16115">
        <v>39241000110</v>
      </c>
      <c r="B16115" t="s">
        <v>6945</v>
      </c>
    </row>
    <row r="16116" spans="1:2" x14ac:dyDescent="0.25">
      <c r="A16116">
        <v>39241000190</v>
      </c>
      <c r="B16116" t="s">
        <v>10</v>
      </c>
    </row>
    <row r="16117" spans="1:2" x14ac:dyDescent="0.25">
      <c r="A16117">
        <v>392410002</v>
      </c>
      <c r="B16117" t="s">
        <v>6946</v>
      </c>
    </row>
    <row r="16118" spans="1:2" x14ac:dyDescent="0.25">
      <c r="A16118">
        <v>3924100021</v>
      </c>
      <c r="B16118" t="s">
        <v>6947</v>
      </c>
    </row>
    <row r="16119" spans="1:2" x14ac:dyDescent="0.25">
      <c r="A16119">
        <v>39241000211</v>
      </c>
      <c r="B16119" t="s">
        <v>5414</v>
      </c>
    </row>
    <row r="16120" spans="1:2" x14ac:dyDescent="0.25">
      <c r="A16120">
        <v>39241000212</v>
      </c>
      <c r="B16120" t="s">
        <v>6931</v>
      </c>
    </row>
    <row r="16121" spans="1:2" x14ac:dyDescent="0.25">
      <c r="A16121">
        <v>39241000213</v>
      </c>
      <c r="B16121" t="s">
        <v>6937</v>
      </c>
    </row>
    <row r="16122" spans="1:2" x14ac:dyDescent="0.25">
      <c r="A16122">
        <v>39241000214</v>
      </c>
      <c r="B16122" t="s">
        <v>6932</v>
      </c>
    </row>
    <row r="16123" spans="1:2" x14ac:dyDescent="0.25">
      <c r="A16123">
        <v>39241000215</v>
      </c>
      <c r="B16123" t="s">
        <v>6656</v>
      </c>
    </row>
    <row r="16124" spans="1:2" x14ac:dyDescent="0.25">
      <c r="A16124">
        <v>39241000216</v>
      </c>
      <c r="B16124" t="s">
        <v>6659</v>
      </c>
    </row>
    <row r="16125" spans="1:2" x14ac:dyDescent="0.25">
      <c r="A16125">
        <v>39241000219</v>
      </c>
      <c r="B16125" t="s">
        <v>10</v>
      </c>
    </row>
    <row r="16126" spans="1:2" x14ac:dyDescent="0.25">
      <c r="A16126">
        <v>39241000290</v>
      </c>
      <c r="B16126" t="s">
        <v>10</v>
      </c>
    </row>
    <row r="16127" spans="1:2" x14ac:dyDescent="0.25">
      <c r="A16127">
        <v>392410003</v>
      </c>
      <c r="B16127" t="s">
        <v>6948</v>
      </c>
    </row>
    <row r="16128" spans="1:2" x14ac:dyDescent="0.25">
      <c r="A16128">
        <v>39241000310</v>
      </c>
      <c r="B16128" t="s">
        <v>6945</v>
      </c>
    </row>
    <row r="16129" spans="1:2" x14ac:dyDescent="0.25">
      <c r="A16129">
        <v>39241000390</v>
      </c>
      <c r="B16129" t="s">
        <v>10</v>
      </c>
    </row>
    <row r="16130" spans="1:2" x14ac:dyDescent="0.25">
      <c r="A16130">
        <v>392410004</v>
      </c>
      <c r="B16130" t="s">
        <v>6949</v>
      </c>
    </row>
    <row r="16131" spans="1:2" x14ac:dyDescent="0.25">
      <c r="A16131">
        <v>3924100041</v>
      </c>
      <c r="B16131" t="s">
        <v>6947</v>
      </c>
    </row>
    <row r="16132" spans="1:2" x14ac:dyDescent="0.25">
      <c r="A16132">
        <v>39241000411</v>
      </c>
      <c r="B16132" t="s">
        <v>5414</v>
      </c>
    </row>
    <row r="16133" spans="1:2" x14ac:dyDescent="0.25">
      <c r="A16133">
        <v>39241000412</v>
      </c>
      <c r="B16133" t="s">
        <v>6931</v>
      </c>
    </row>
    <row r="16134" spans="1:2" x14ac:dyDescent="0.25">
      <c r="A16134">
        <v>39241000413</v>
      </c>
      <c r="B16134" t="s">
        <v>6937</v>
      </c>
    </row>
    <row r="16135" spans="1:2" x14ac:dyDescent="0.25">
      <c r="A16135">
        <v>39241000414</v>
      </c>
      <c r="B16135" t="s">
        <v>6932</v>
      </c>
    </row>
    <row r="16136" spans="1:2" x14ac:dyDescent="0.25">
      <c r="A16136">
        <v>39241000415</v>
      </c>
      <c r="B16136" t="s">
        <v>6656</v>
      </c>
    </row>
    <row r="16137" spans="1:2" x14ac:dyDescent="0.25">
      <c r="A16137">
        <v>39241000416</v>
      </c>
      <c r="B16137" t="s">
        <v>6659</v>
      </c>
    </row>
    <row r="16138" spans="1:2" x14ac:dyDescent="0.25">
      <c r="A16138">
        <v>39241000419</v>
      </c>
      <c r="B16138" t="s">
        <v>10</v>
      </c>
    </row>
    <row r="16139" spans="1:2" x14ac:dyDescent="0.25">
      <c r="A16139">
        <v>3924100049</v>
      </c>
      <c r="B16139" t="s">
        <v>10</v>
      </c>
    </row>
    <row r="16140" spans="1:2" x14ac:dyDescent="0.25">
      <c r="A16140">
        <v>39241000491</v>
      </c>
      <c r="B16140" t="s">
        <v>6945</v>
      </c>
    </row>
    <row r="16141" spans="1:2" x14ac:dyDescent="0.25">
      <c r="A16141">
        <v>39241000499</v>
      </c>
      <c r="B16141" t="s">
        <v>10</v>
      </c>
    </row>
    <row r="16142" spans="1:2" x14ac:dyDescent="0.25">
      <c r="A16142">
        <v>392410005</v>
      </c>
      <c r="B16142" t="s">
        <v>6950</v>
      </c>
    </row>
    <row r="16143" spans="1:2" x14ac:dyDescent="0.25">
      <c r="A16143">
        <v>39241000510</v>
      </c>
      <c r="B16143" t="s">
        <v>6648</v>
      </c>
    </row>
    <row r="16144" spans="1:2" x14ac:dyDescent="0.25">
      <c r="A16144">
        <v>39241000590</v>
      </c>
      <c r="B16144" t="s">
        <v>10</v>
      </c>
    </row>
    <row r="16145" spans="1:2" x14ac:dyDescent="0.25">
      <c r="A16145">
        <v>39241000600</v>
      </c>
      <c r="B16145" t="s">
        <v>6951</v>
      </c>
    </row>
    <row r="16146" spans="1:2" x14ac:dyDescent="0.25">
      <c r="A16146">
        <v>39241000700</v>
      </c>
      <c r="B16146" t="s">
        <v>6952</v>
      </c>
    </row>
    <row r="16147" spans="1:2" x14ac:dyDescent="0.25">
      <c r="A16147">
        <v>39241000800</v>
      </c>
      <c r="B16147" t="s">
        <v>6953</v>
      </c>
    </row>
    <row r="16148" spans="1:2" x14ac:dyDescent="0.25">
      <c r="A16148">
        <v>392410009</v>
      </c>
      <c r="B16148" t="s">
        <v>10</v>
      </c>
    </row>
    <row r="16149" spans="1:2" x14ac:dyDescent="0.25">
      <c r="A16149">
        <v>3924100091</v>
      </c>
      <c r="B16149" t="s">
        <v>6954</v>
      </c>
    </row>
    <row r="16150" spans="1:2" x14ac:dyDescent="0.25">
      <c r="A16150">
        <v>39241000911</v>
      </c>
      <c r="B16150" t="s">
        <v>6955</v>
      </c>
    </row>
    <row r="16151" spans="1:2" x14ac:dyDescent="0.25">
      <c r="A16151">
        <v>39241000919</v>
      </c>
      <c r="B16151" t="s">
        <v>10</v>
      </c>
    </row>
    <row r="16152" spans="1:2" x14ac:dyDescent="0.25">
      <c r="A16152">
        <v>39241000920</v>
      </c>
      <c r="B16152" t="s">
        <v>6956</v>
      </c>
    </row>
    <row r="16153" spans="1:2" x14ac:dyDescent="0.25">
      <c r="A16153">
        <v>39241000990</v>
      </c>
      <c r="B16153" t="s">
        <v>10</v>
      </c>
    </row>
    <row r="16154" spans="1:2" x14ac:dyDescent="0.25">
      <c r="A16154">
        <v>39249000</v>
      </c>
      <c r="B16154" t="e">
        <f>- Los demas</f>
        <v>#NAME?</v>
      </c>
    </row>
    <row r="16155" spans="1:2" x14ac:dyDescent="0.25">
      <c r="A16155">
        <v>39249000100</v>
      </c>
      <c r="B16155" t="s">
        <v>6957</v>
      </c>
    </row>
    <row r="16156" spans="1:2" x14ac:dyDescent="0.25">
      <c r="A16156">
        <v>39249000200</v>
      </c>
      <c r="B16156" t="s">
        <v>6958</v>
      </c>
    </row>
    <row r="16157" spans="1:2" x14ac:dyDescent="0.25">
      <c r="A16157">
        <v>392490003</v>
      </c>
      <c r="B16157" t="s">
        <v>6959</v>
      </c>
    </row>
    <row r="16158" spans="1:2" x14ac:dyDescent="0.25">
      <c r="A16158">
        <v>39249000310</v>
      </c>
      <c r="B16158" t="s">
        <v>6960</v>
      </c>
    </row>
    <row r="16159" spans="1:2" x14ac:dyDescent="0.25">
      <c r="A16159">
        <v>39249000390</v>
      </c>
      <c r="B16159" t="s">
        <v>57</v>
      </c>
    </row>
    <row r="16160" spans="1:2" x14ac:dyDescent="0.25">
      <c r="A16160">
        <v>39249000400</v>
      </c>
      <c r="B16160" t="s">
        <v>6961</v>
      </c>
    </row>
    <row r="16161" spans="1:2" x14ac:dyDescent="0.25">
      <c r="A16161">
        <v>39249000500</v>
      </c>
      <c r="B16161" t="s">
        <v>6962</v>
      </c>
    </row>
    <row r="16162" spans="1:2" x14ac:dyDescent="0.25">
      <c r="A16162">
        <v>39249000600</v>
      </c>
      <c r="B16162" t="s">
        <v>6963</v>
      </c>
    </row>
    <row r="16163" spans="1:2" x14ac:dyDescent="0.25">
      <c r="A16163">
        <v>39249000700</v>
      </c>
      <c r="B16163" t="s">
        <v>6964</v>
      </c>
    </row>
    <row r="16164" spans="1:2" x14ac:dyDescent="0.25">
      <c r="A16164">
        <v>39249000800</v>
      </c>
      <c r="B16164" t="s">
        <v>6965</v>
      </c>
    </row>
    <row r="16165" spans="1:2" x14ac:dyDescent="0.25">
      <c r="A16165">
        <v>39249000900</v>
      </c>
      <c r="B16165" t="s">
        <v>10</v>
      </c>
    </row>
    <row r="16166" spans="1:2" x14ac:dyDescent="0.25">
      <c r="A16166">
        <v>3925</v>
      </c>
      <c r="B16166" t="s">
        <v>6966</v>
      </c>
    </row>
    <row r="16167" spans="1:2" x14ac:dyDescent="0.25">
      <c r="A16167">
        <v>39251000000</v>
      </c>
      <c r="B16167" t="s">
        <v>6967</v>
      </c>
    </row>
    <row r="16168" spans="1:2" x14ac:dyDescent="0.25">
      <c r="A16168">
        <v>39252000000</v>
      </c>
      <c r="B16168" t="e">
        <f>-Puertas. ventanas. y sus marcos. contramarcos y umbrales</f>
        <v>#NAME?</v>
      </c>
    </row>
    <row r="16169" spans="1:2" x14ac:dyDescent="0.25">
      <c r="A16169">
        <v>39253000</v>
      </c>
      <c r="B16169" t="e">
        <f>- Contraventanas. persianas (incluidas las venecianas) y Articulos similares. y sus partes</f>
        <v>#NAME?</v>
      </c>
    </row>
    <row r="16170" spans="1:2" x14ac:dyDescent="0.25">
      <c r="A16170">
        <v>39253000100</v>
      </c>
      <c r="B16170" t="s">
        <v>6968</v>
      </c>
    </row>
    <row r="16171" spans="1:2" x14ac:dyDescent="0.25">
      <c r="A16171">
        <v>39253000900</v>
      </c>
      <c r="B16171" t="s">
        <v>10</v>
      </c>
    </row>
    <row r="16172" spans="1:2" x14ac:dyDescent="0.25">
      <c r="A16172">
        <v>392590</v>
      </c>
      <c r="B16172" t="e">
        <f>- Los demas</f>
        <v>#NAME?</v>
      </c>
    </row>
    <row r="16173" spans="1:2" x14ac:dyDescent="0.25">
      <c r="A16173">
        <v>39259010000</v>
      </c>
      <c r="B16173" t="s">
        <v>6969</v>
      </c>
    </row>
    <row r="16174" spans="1:2" x14ac:dyDescent="0.25">
      <c r="A16174">
        <v>39259090</v>
      </c>
      <c r="B16174" t="s">
        <v>10</v>
      </c>
    </row>
    <row r="16175" spans="1:2" x14ac:dyDescent="0.25">
      <c r="A16175">
        <v>39259090100</v>
      </c>
      <c r="B16175" t="s">
        <v>6970</v>
      </c>
    </row>
    <row r="16176" spans="1:2" x14ac:dyDescent="0.25">
      <c r="A16176">
        <v>39259090200</v>
      </c>
      <c r="B16176" t="s">
        <v>6971</v>
      </c>
    </row>
    <row r="16177" spans="1:2" x14ac:dyDescent="0.25">
      <c r="A16177">
        <v>392590909</v>
      </c>
      <c r="B16177" t="s">
        <v>10</v>
      </c>
    </row>
    <row r="16178" spans="1:2" x14ac:dyDescent="0.25">
      <c r="A16178">
        <v>3925909091</v>
      </c>
      <c r="B16178" t="s">
        <v>6972</v>
      </c>
    </row>
    <row r="16179" spans="1:2" x14ac:dyDescent="0.25">
      <c r="A16179">
        <v>39259090911</v>
      </c>
      <c r="B16179" t="s">
        <v>6973</v>
      </c>
    </row>
    <row r="16180" spans="1:2" x14ac:dyDescent="0.25">
      <c r="A16180">
        <v>39259090912</v>
      </c>
      <c r="B16180" t="s">
        <v>6784</v>
      </c>
    </row>
    <row r="16181" spans="1:2" x14ac:dyDescent="0.25">
      <c r="A16181">
        <v>39259090913</v>
      </c>
      <c r="B16181" t="s">
        <v>6785</v>
      </c>
    </row>
    <row r="16182" spans="1:2" x14ac:dyDescent="0.25">
      <c r="A16182">
        <v>39259090914</v>
      </c>
      <c r="B16182" t="s">
        <v>6786</v>
      </c>
    </row>
    <row r="16183" spans="1:2" x14ac:dyDescent="0.25">
      <c r="A16183">
        <v>39259090915</v>
      </c>
      <c r="B16183" t="s">
        <v>6974</v>
      </c>
    </row>
    <row r="16184" spans="1:2" x14ac:dyDescent="0.25">
      <c r="A16184">
        <v>39259090916</v>
      </c>
      <c r="B16184" t="s">
        <v>6975</v>
      </c>
    </row>
    <row r="16185" spans="1:2" x14ac:dyDescent="0.25">
      <c r="A16185">
        <v>39259090917</v>
      </c>
      <c r="B16185" t="s">
        <v>6976</v>
      </c>
    </row>
    <row r="16186" spans="1:2" x14ac:dyDescent="0.25">
      <c r="A16186">
        <v>39259090918</v>
      </c>
      <c r="B16186" t="s">
        <v>6977</v>
      </c>
    </row>
    <row r="16187" spans="1:2" x14ac:dyDescent="0.25">
      <c r="A16187">
        <v>39259090919</v>
      </c>
      <c r="B16187" t="s">
        <v>10</v>
      </c>
    </row>
    <row r="16188" spans="1:2" x14ac:dyDescent="0.25">
      <c r="A16188">
        <v>39259090990</v>
      </c>
      <c r="B16188" t="s">
        <v>10</v>
      </c>
    </row>
    <row r="16189" spans="1:2" x14ac:dyDescent="0.25">
      <c r="A16189">
        <v>3926</v>
      </c>
      <c r="B16189" t="s">
        <v>6978</v>
      </c>
    </row>
    <row r="16190" spans="1:2" x14ac:dyDescent="0.25">
      <c r="A16190">
        <v>39261000</v>
      </c>
      <c r="B16190" t="e">
        <f>- Articulos para oficina y Articulos escolares</f>
        <v>#NAME?</v>
      </c>
    </row>
    <row r="16191" spans="1:2" x14ac:dyDescent="0.25">
      <c r="A16191">
        <v>39261000100</v>
      </c>
      <c r="B16191" t="s">
        <v>6979</v>
      </c>
    </row>
    <row r="16192" spans="1:2" x14ac:dyDescent="0.25">
      <c r="A16192">
        <v>39261000200</v>
      </c>
      <c r="B16192" t="s">
        <v>5635</v>
      </c>
    </row>
    <row r="16193" spans="1:2" x14ac:dyDescent="0.25">
      <c r="A16193">
        <v>39261000900</v>
      </c>
      <c r="B16193" t="s">
        <v>10</v>
      </c>
    </row>
    <row r="16194" spans="1:2" x14ac:dyDescent="0.25">
      <c r="A16194">
        <v>39262000</v>
      </c>
      <c r="B16194" t="s">
        <v>6980</v>
      </c>
    </row>
    <row r="16195" spans="1:2" x14ac:dyDescent="0.25">
      <c r="A16195">
        <v>392620001</v>
      </c>
      <c r="B16195" t="s">
        <v>6981</v>
      </c>
    </row>
    <row r="16196" spans="1:2" x14ac:dyDescent="0.25">
      <c r="A16196">
        <v>3926200011</v>
      </c>
      <c r="B16196" t="s">
        <v>6982</v>
      </c>
    </row>
    <row r="16197" spans="1:2" x14ac:dyDescent="0.25">
      <c r="A16197">
        <v>39262000111</v>
      </c>
      <c r="B16197" t="s">
        <v>6983</v>
      </c>
    </row>
    <row r="16198" spans="1:2" x14ac:dyDescent="0.25">
      <c r="A16198">
        <v>39262000112</v>
      </c>
      <c r="B16198" t="s">
        <v>6984</v>
      </c>
    </row>
    <row r="16199" spans="1:2" x14ac:dyDescent="0.25">
      <c r="A16199">
        <v>39262000119</v>
      </c>
      <c r="B16199" t="s">
        <v>10</v>
      </c>
    </row>
    <row r="16200" spans="1:2" x14ac:dyDescent="0.25">
      <c r="A16200">
        <v>39262000190</v>
      </c>
      <c r="B16200" t="s">
        <v>10</v>
      </c>
    </row>
    <row r="16201" spans="1:2" x14ac:dyDescent="0.25">
      <c r="A16201">
        <v>392620002</v>
      </c>
      <c r="B16201" t="s">
        <v>6985</v>
      </c>
    </row>
    <row r="16202" spans="1:2" x14ac:dyDescent="0.25">
      <c r="A16202">
        <v>3926200021</v>
      </c>
      <c r="B16202" t="s">
        <v>6982</v>
      </c>
    </row>
    <row r="16203" spans="1:2" x14ac:dyDescent="0.25">
      <c r="A16203">
        <v>39262000211</v>
      </c>
      <c r="B16203" t="s">
        <v>6648</v>
      </c>
    </row>
    <row r="16204" spans="1:2" x14ac:dyDescent="0.25">
      <c r="A16204">
        <v>39262000219</v>
      </c>
      <c r="B16204" t="s">
        <v>10</v>
      </c>
    </row>
    <row r="16205" spans="1:2" x14ac:dyDescent="0.25">
      <c r="A16205">
        <v>39262000220</v>
      </c>
      <c r="B16205" t="s">
        <v>6986</v>
      </c>
    </row>
    <row r="16206" spans="1:2" x14ac:dyDescent="0.25">
      <c r="A16206">
        <v>39262000230</v>
      </c>
      <c r="B16206" t="s">
        <v>6987</v>
      </c>
    </row>
    <row r="16207" spans="1:2" x14ac:dyDescent="0.25">
      <c r="A16207">
        <v>39262000240</v>
      </c>
      <c r="B16207" t="s">
        <v>6988</v>
      </c>
    </row>
    <row r="16208" spans="1:2" x14ac:dyDescent="0.25">
      <c r="A16208">
        <v>39262000290</v>
      </c>
      <c r="B16208" t="s">
        <v>10</v>
      </c>
    </row>
    <row r="16209" spans="1:2" x14ac:dyDescent="0.25">
      <c r="A16209">
        <v>39263000</v>
      </c>
      <c r="B16209" t="e">
        <f>- Guarniciones para muebles. carrocerias o similares</f>
        <v>#NAME?</v>
      </c>
    </row>
    <row r="16210" spans="1:2" x14ac:dyDescent="0.25">
      <c r="A16210">
        <v>39263000100</v>
      </c>
      <c r="B16210" t="s">
        <v>6989</v>
      </c>
    </row>
    <row r="16211" spans="1:2" x14ac:dyDescent="0.25">
      <c r="A16211">
        <v>39263000900</v>
      </c>
      <c r="B16211" t="s">
        <v>57</v>
      </c>
    </row>
    <row r="16212" spans="1:2" x14ac:dyDescent="0.25">
      <c r="A16212">
        <v>39264000</v>
      </c>
      <c r="B16212" t="e">
        <f>- Estatuillas y demas Articulos de adorno</f>
        <v>#NAME?</v>
      </c>
    </row>
    <row r="16213" spans="1:2" x14ac:dyDescent="0.25">
      <c r="A16213">
        <v>39264000100</v>
      </c>
      <c r="B16213" t="s">
        <v>6990</v>
      </c>
    </row>
    <row r="16214" spans="1:2" x14ac:dyDescent="0.25">
      <c r="A16214">
        <v>39264000200</v>
      </c>
      <c r="B16214" t="s">
        <v>6991</v>
      </c>
    </row>
    <row r="16215" spans="1:2" x14ac:dyDescent="0.25">
      <c r="A16215">
        <v>39264000900</v>
      </c>
      <c r="B16215" t="s">
        <v>57</v>
      </c>
    </row>
    <row r="16216" spans="1:2" x14ac:dyDescent="0.25">
      <c r="A16216">
        <v>392690</v>
      </c>
      <c r="B16216" t="e">
        <f>- las demas</f>
        <v>#NAME?</v>
      </c>
    </row>
    <row r="16217" spans="1:2" x14ac:dyDescent="0.25">
      <c r="A16217">
        <v>39269010000</v>
      </c>
      <c r="B16217" t="s">
        <v>6992</v>
      </c>
    </row>
    <row r="16218" spans="1:2" x14ac:dyDescent="0.25">
      <c r="A16218">
        <v>3926902</v>
      </c>
      <c r="B16218" t="s">
        <v>6993</v>
      </c>
    </row>
    <row r="16219" spans="1:2" x14ac:dyDescent="0.25">
      <c r="A16219">
        <v>39269021000</v>
      </c>
      <c r="B16219" t="s">
        <v>6994</v>
      </c>
    </row>
    <row r="16220" spans="1:2" x14ac:dyDescent="0.25">
      <c r="A16220">
        <v>39269022000</v>
      </c>
      <c r="B16220" t="s">
        <v>6995</v>
      </c>
    </row>
    <row r="16221" spans="1:2" x14ac:dyDescent="0.25">
      <c r="A16221">
        <v>39269030000</v>
      </c>
      <c r="B16221" t="s">
        <v>6996</v>
      </c>
    </row>
    <row r="16222" spans="1:2" x14ac:dyDescent="0.25">
      <c r="A16222">
        <v>39269040</v>
      </c>
      <c r="B16222" t="s">
        <v>6997</v>
      </c>
    </row>
    <row r="16223" spans="1:2" x14ac:dyDescent="0.25">
      <c r="A16223">
        <v>392690401</v>
      </c>
      <c r="B16223" t="s">
        <v>6998</v>
      </c>
    </row>
    <row r="16224" spans="1:2" x14ac:dyDescent="0.25">
      <c r="A16224">
        <v>39269040110</v>
      </c>
      <c r="B16224" t="s">
        <v>6965</v>
      </c>
    </row>
    <row r="16225" spans="1:2" x14ac:dyDescent="0.25">
      <c r="A16225">
        <v>39269040190</v>
      </c>
      <c r="B16225" t="s">
        <v>10</v>
      </c>
    </row>
    <row r="16226" spans="1:2" x14ac:dyDescent="0.25">
      <c r="A16226">
        <v>39269040200</v>
      </c>
      <c r="B16226" t="s">
        <v>6999</v>
      </c>
    </row>
    <row r="16227" spans="1:2" x14ac:dyDescent="0.25">
      <c r="A16227">
        <v>39269040900</v>
      </c>
      <c r="B16227" t="s">
        <v>10</v>
      </c>
    </row>
    <row r="16228" spans="1:2" x14ac:dyDescent="0.25">
      <c r="A16228">
        <v>39269050000</v>
      </c>
      <c r="B16228" t="s">
        <v>7000</v>
      </c>
    </row>
    <row r="16229" spans="1:2" x14ac:dyDescent="0.25">
      <c r="A16229">
        <v>3926906</v>
      </c>
      <c r="B16229" t="s">
        <v>7001</v>
      </c>
    </row>
    <row r="16230" spans="1:2" x14ac:dyDescent="0.25">
      <c r="A16230">
        <v>39269061</v>
      </c>
      <c r="B16230" t="s">
        <v>7002</v>
      </c>
    </row>
    <row r="16231" spans="1:2" x14ac:dyDescent="0.25">
      <c r="A16231">
        <v>39269061100</v>
      </c>
      <c r="B16231" t="s">
        <v>6673</v>
      </c>
    </row>
    <row r="16232" spans="1:2" x14ac:dyDescent="0.25">
      <c r="A16232">
        <v>39269061900</v>
      </c>
      <c r="B16232" t="s">
        <v>10</v>
      </c>
    </row>
    <row r="16233" spans="1:2" x14ac:dyDescent="0.25">
      <c r="A16233">
        <v>39269069</v>
      </c>
      <c r="B16233" t="s">
        <v>10</v>
      </c>
    </row>
    <row r="16234" spans="1:2" x14ac:dyDescent="0.25">
      <c r="A16234">
        <v>39269069100</v>
      </c>
      <c r="B16234" t="s">
        <v>6673</v>
      </c>
    </row>
    <row r="16235" spans="1:2" x14ac:dyDescent="0.25">
      <c r="A16235">
        <v>39269069900</v>
      </c>
      <c r="B16235" t="s">
        <v>10</v>
      </c>
    </row>
    <row r="16236" spans="1:2" x14ac:dyDescent="0.25">
      <c r="A16236">
        <v>39269090</v>
      </c>
      <c r="B16236" t="s">
        <v>57</v>
      </c>
    </row>
    <row r="16237" spans="1:2" x14ac:dyDescent="0.25">
      <c r="A16237">
        <v>39269090100</v>
      </c>
      <c r="B16237" t="s">
        <v>7003</v>
      </c>
    </row>
    <row r="16238" spans="1:2" x14ac:dyDescent="0.25">
      <c r="A16238">
        <v>392690902</v>
      </c>
      <c r="B16238" t="s">
        <v>7004</v>
      </c>
    </row>
    <row r="16239" spans="1:2" x14ac:dyDescent="0.25">
      <c r="A16239">
        <v>39269090210</v>
      </c>
      <c r="B16239" t="s">
        <v>7005</v>
      </c>
    </row>
    <row r="16240" spans="1:2" x14ac:dyDescent="0.25">
      <c r="A16240">
        <v>39269090220</v>
      </c>
      <c r="B16240" t="s">
        <v>7006</v>
      </c>
    </row>
    <row r="16241" spans="1:2" x14ac:dyDescent="0.25">
      <c r="A16241">
        <v>39269090230</v>
      </c>
      <c r="B16241" t="s">
        <v>7007</v>
      </c>
    </row>
    <row r="16242" spans="1:2" x14ac:dyDescent="0.25">
      <c r="A16242">
        <v>39269090290</v>
      </c>
      <c r="B16242" t="s">
        <v>10</v>
      </c>
    </row>
    <row r="16243" spans="1:2" x14ac:dyDescent="0.25">
      <c r="A16243">
        <v>39269090300</v>
      </c>
      <c r="B16243" t="s">
        <v>7008</v>
      </c>
    </row>
    <row r="16244" spans="1:2" x14ac:dyDescent="0.25">
      <c r="A16244">
        <v>39269090400</v>
      </c>
      <c r="B16244" t="s">
        <v>7009</v>
      </c>
    </row>
    <row r="16245" spans="1:2" x14ac:dyDescent="0.25">
      <c r="A16245">
        <v>392690905</v>
      </c>
      <c r="B16245" t="s">
        <v>7010</v>
      </c>
    </row>
    <row r="16246" spans="1:2" x14ac:dyDescent="0.25">
      <c r="A16246">
        <v>39269090510</v>
      </c>
      <c r="B16246" t="s">
        <v>7011</v>
      </c>
    </row>
    <row r="16247" spans="1:2" x14ac:dyDescent="0.25">
      <c r="A16247">
        <v>39269090520</v>
      </c>
      <c r="B16247" t="s">
        <v>7012</v>
      </c>
    </row>
    <row r="16248" spans="1:2" x14ac:dyDescent="0.25">
      <c r="A16248">
        <v>39269090590</v>
      </c>
      <c r="B16248" t="s">
        <v>10</v>
      </c>
    </row>
    <row r="16249" spans="1:2" x14ac:dyDescent="0.25">
      <c r="A16249">
        <v>39269090600</v>
      </c>
      <c r="B16249" t="s">
        <v>7013</v>
      </c>
    </row>
    <row r="16250" spans="1:2" x14ac:dyDescent="0.25">
      <c r="A16250">
        <v>392690907</v>
      </c>
      <c r="B16250" t="s">
        <v>7014</v>
      </c>
    </row>
    <row r="16251" spans="1:2" x14ac:dyDescent="0.25">
      <c r="A16251">
        <v>3926909071</v>
      </c>
      <c r="B16251" t="s">
        <v>7015</v>
      </c>
    </row>
    <row r="16252" spans="1:2" x14ac:dyDescent="0.25">
      <c r="A16252">
        <v>39269090711</v>
      </c>
      <c r="B16252" t="s">
        <v>5635</v>
      </c>
    </row>
    <row r="16253" spans="1:2" x14ac:dyDescent="0.25">
      <c r="A16253">
        <v>39269090719</v>
      </c>
      <c r="B16253" t="s">
        <v>10</v>
      </c>
    </row>
    <row r="16254" spans="1:2" x14ac:dyDescent="0.25">
      <c r="A16254">
        <v>3926909079</v>
      </c>
      <c r="B16254" t="s">
        <v>10</v>
      </c>
    </row>
    <row r="16255" spans="1:2" x14ac:dyDescent="0.25">
      <c r="A16255">
        <v>39269090791</v>
      </c>
      <c r="B16255" t="s">
        <v>5635</v>
      </c>
    </row>
    <row r="16256" spans="1:2" x14ac:dyDescent="0.25">
      <c r="A16256">
        <v>39269090799</v>
      </c>
      <c r="B16256" t="s">
        <v>10</v>
      </c>
    </row>
    <row r="16257" spans="1:2" x14ac:dyDescent="0.25">
      <c r="A16257">
        <v>39269090800</v>
      </c>
      <c r="B16257" t="s">
        <v>7016</v>
      </c>
    </row>
    <row r="16258" spans="1:2" x14ac:dyDescent="0.25">
      <c r="A16258">
        <v>392690909</v>
      </c>
      <c r="B16258" t="s">
        <v>57</v>
      </c>
    </row>
    <row r="16259" spans="1:2" x14ac:dyDescent="0.25">
      <c r="A16259">
        <v>3926909091</v>
      </c>
      <c r="B16259" t="s">
        <v>7017</v>
      </c>
    </row>
    <row r="16260" spans="1:2" x14ac:dyDescent="0.25">
      <c r="A16260">
        <v>39269090911</v>
      </c>
      <c r="B16260" t="s">
        <v>7018</v>
      </c>
    </row>
    <row r="16261" spans="1:2" x14ac:dyDescent="0.25">
      <c r="A16261">
        <v>39269090912</v>
      </c>
      <c r="B16261" t="s">
        <v>7019</v>
      </c>
    </row>
    <row r="16262" spans="1:2" x14ac:dyDescent="0.25">
      <c r="A16262">
        <v>39269090919</v>
      </c>
      <c r="B16262" t="s">
        <v>57</v>
      </c>
    </row>
    <row r="16263" spans="1:2" x14ac:dyDescent="0.25">
      <c r="A16263">
        <v>3926909092</v>
      </c>
      <c r="B16263" t="s">
        <v>7020</v>
      </c>
    </row>
    <row r="16264" spans="1:2" x14ac:dyDescent="0.25">
      <c r="A16264">
        <v>39269090921</v>
      </c>
      <c r="B16264" t="s">
        <v>7021</v>
      </c>
    </row>
    <row r="16265" spans="1:2" x14ac:dyDescent="0.25">
      <c r="A16265">
        <v>39269090922</v>
      </c>
      <c r="B16265" t="s">
        <v>7022</v>
      </c>
    </row>
    <row r="16266" spans="1:2" x14ac:dyDescent="0.25">
      <c r="A16266">
        <v>39269090923</v>
      </c>
      <c r="B16266" t="s">
        <v>7023</v>
      </c>
    </row>
    <row r="16267" spans="1:2" x14ac:dyDescent="0.25">
      <c r="A16267">
        <v>39269090929</v>
      </c>
      <c r="B16267" t="s">
        <v>10</v>
      </c>
    </row>
    <row r="16268" spans="1:2" x14ac:dyDescent="0.25">
      <c r="A16268">
        <v>39269090930</v>
      </c>
      <c r="B16268" t="s">
        <v>7024</v>
      </c>
    </row>
    <row r="16269" spans="1:2" x14ac:dyDescent="0.25">
      <c r="A16269">
        <v>39269090940</v>
      </c>
      <c r="B16269" t="s">
        <v>7025</v>
      </c>
    </row>
    <row r="16270" spans="1:2" x14ac:dyDescent="0.25">
      <c r="A16270">
        <v>3926909095</v>
      </c>
      <c r="B16270" t="s">
        <v>7026</v>
      </c>
    </row>
    <row r="16271" spans="1:2" x14ac:dyDescent="0.25">
      <c r="A16271">
        <v>39269090951</v>
      </c>
      <c r="B16271" t="s">
        <v>5415</v>
      </c>
    </row>
    <row r="16272" spans="1:2" x14ac:dyDescent="0.25">
      <c r="A16272">
        <v>39269090952</v>
      </c>
      <c r="B16272" t="s">
        <v>5414</v>
      </c>
    </row>
    <row r="16273" spans="1:2" x14ac:dyDescent="0.25">
      <c r="A16273">
        <v>39269090960</v>
      </c>
      <c r="B16273" t="s">
        <v>7027</v>
      </c>
    </row>
    <row r="16274" spans="1:2" x14ac:dyDescent="0.25">
      <c r="A16274">
        <v>3926909099</v>
      </c>
      <c r="B16274" t="s">
        <v>57</v>
      </c>
    </row>
    <row r="16275" spans="1:2" x14ac:dyDescent="0.25">
      <c r="A16275">
        <v>39269090991</v>
      </c>
      <c r="B16275" t="s">
        <v>7018</v>
      </c>
    </row>
    <row r="16276" spans="1:2" x14ac:dyDescent="0.25">
      <c r="A16276">
        <v>39269090992</v>
      </c>
      <c r="B16276" t="s">
        <v>5635</v>
      </c>
    </row>
    <row r="16277" spans="1:2" x14ac:dyDescent="0.25">
      <c r="A16277">
        <v>39269090993</v>
      </c>
      <c r="B16277" t="s">
        <v>7028</v>
      </c>
    </row>
    <row r="16278" spans="1:2" x14ac:dyDescent="0.25">
      <c r="A16278">
        <v>39269090999</v>
      </c>
      <c r="B16278" t="s">
        <v>57</v>
      </c>
    </row>
    <row r="16279" spans="1:2" x14ac:dyDescent="0.25">
      <c r="A16279">
        <v>4001</v>
      </c>
      <c r="B16279" t="s">
        <v>7029</v>
      </c>
    </row>
    <row r="16280" spans="1:2" x14ac:dyDescent="0.25">
      <c r="A16280">
        <v>40011000000</v>
      </c>
      <c r="B16280" t="e">
        <f>-Latex de caucho natural. incluso prevulcanizado</f>
        <v>#NAME?</v>
      </c>
    </row>
    <row r="16281" spans="1:2" x14ac:dyDescent="0.25">
      <c r="A16281">
        <v>40012</v>
      </c>
      <c r="B16281" t="s">
        <v>7030</v>
      </c>
    </row>
    <row r="16282" spans="1:2" x14ac:dyDescent="0.25">
      <c r="A16282">
        <v>40012100000</v>
      </c>
      <c r="B16282" t="e">
        <f>--Hojas ahumadas</f>
        <v>#NAME?</v>
      </c>
    </row>
    <row r="16283" spans="1:2" x14ac:dyDescent="0.25">
      <c r="A16283">
        <v>40012200000</v>
      </c>
      <c r="B16283" t="e">
        <f>--Cauchos tecnicamente especificados (TSNR)</f>
        <v>#NAME?</v>
      </c>
    </row>
    <row r="16284" spans="1:2" x14ac:dyDescent="0.25">
      <c r="A16284">
        <v>400129</v>
      </c>
      <c r="B16284" t="e">
        <f>- - Los demas</f>
        <v>#NAME?</v>
      </c>
    </row>
    <row r="16285" spans="1:2" x14ac:dyDescent="0.25">
      <c r="A16285">
        <v>40012910000</v>
      </c>
      <c r="B16285" t="s">
        <v>7031</v>
      </c>
    </row>
    <row r="16286" spans="1:2" x14ac:dyDescent="0.25">
      <c r="A16286">
        <v>40012920000</v>
      </c>
      <c r="B16286" t="s">
        <v>7032</v>
      </c>
    </row>
    <row r="16287" spans="1:2" x14ac:dyDescent="0.25">
      <c r="A16287">
        <v>40012990</v>
      </c>
      <c r="B16287" t="s">
        <v>10</v>
      </c>
    </row>
    <row r="16288" spans="1:2" x14ac:dyDescent="0.25">
      <c r="A16288">
        <v>40012990100</v>
      </c>
      <c r="B16288" t="s">
        <v>7033</v>
      </c>
    </row>
    <row r="16289" spans="1:2" x14ac:dyDescent="0.25">
      <c r="A16289">
        <v>40012990200</v>
      </c>
      <c r="B16289" t="s">
        <v>7034</v>
      </c>
    </row>
    <row r="16290" spans="1:2" x14ac:dyDescent="0.25">
      <c r="A16290">
        <v>40012990900</v>
      </c>
      <c r="B16290" t="s">
        <v>10</v>
      </c>
    </row>
    <row r="16291" spans="1:2" x14ac:dyDescent="0.25">
      <c r="A16291">
        <v>40013000</v>
      </c>
      <c r="B16291" t="e">
        <f>- Balata. gutapercha. guayule. chicle y gomas naturales analogas</f>
        <v>#NAME?</v>
      </c>
    </row>
    <row r="16292" spans="1:2" x14ac:dyDescent="0.25">
      <c r="A16292">
        <v>40013000100</v>
      </c>
      <c r="B16292" t="s">
        <v>7035</v>
      </c>
    </row>
    <row r="16293" spans="1:2" x14ac:dyDescent="0.25">
      <c r="A16293">
        <v>40013000200</v>
      </c>
      <c r="B16293" t="s">
        <v>7036</v>
      </c>
    </row>
    <row r="16294" spans="1:2" x14ac:dyDescent="0.25">
      <c r="A16294">
        <v>40013000900</v>
      </c>
      <c r="B16294" t="s">
        <v>10</v>
      </c>
    </row>
    <row r="16295" spans="1:2" x14ac:dyDescent="0.25">
      <c r="A16295">
        <v>4002</v>
      </c>
      <c r="B16295" t="s">
        <v>7037</v>
      </c>
    </row>
    <row r="16296" spans="1:2" x14ac:dyDescent="0.25">
      <c r="A16296">
        <v>40021</v>
      </c>
      <c r="B16296" t="s">
        <v>7038</v>
      </c>
    </row>
    <row r="16297" spans="1:2" x14ac:dyDescent="0.25">
      <c r="A16297">
        <v>400211</v>
      </c>
      <c r="B16297" t="e">
        <f>- - Latex</f>
        <v>#NAME?</v>
      </c>
    </row>
    <row r="16298" spans="1:2" x14ac:dyDescent="0.25">
      <c r="A16298">
        <v>40021110000</v>
      </c>
      <c r="B16298" t="s">
        <v>7039</v>
      </c>
    </row>
    <row r="16299" spans="1:2" x14ac:dyDescent="0.25">
      <c r="A16299">
        <v>40021120000</v>
      </c>
      <c r="B16299" t="s">
        <v>7040</v>
      </c>
    </row>
    <row r="16300" spans="1:2" x14ac:dyDescent="0.25">
      <c r="A16300">
        <v>400219</v>
      </c>
      <c r="B16300" t="e">
        <f>- - Los demas</f>
        <v>#NAME?</v>
      </c>
    </row>
    <row r="16301" spans="1:2" x14ac:dyDescent="0.25">
      <c r="A16301">
        <v>4002191</v>
      </c>
      <c r="B16301" t="s">
        <v>7041</v>
      </c>
    </row>
    <row r="16302" spans="1:2" x14ac:dyDescent="0.25">
      <c r="A16302">
        <v>40021911000</v>
      </c>
      <c r="B16302" t="s">
        <v>7042</v>
      </c>
    </row>
    <row r="16303" spans="1:2" x14ac:dyDescent="0.25">
      <c r="A16303">
        <v>40021912000</v>
      </c>
      <c r="B16303" t="s">
        <v>7043</v>
      </c>
    </row>
    <row r="16304" spans="1:2" x14ac:dyDescent="0.25">
      <c r="A16304">
        <v>40021919</v>
      </c>
      <c r="B16304" t="s">
        <v>10</v>
      </c>
    </row>
    <row r="16305" spans="1:2" x14ac:dyDescent="0.25">
      <c r="A16305">
        <v>40021919100</v>
      </c>
      <c r="B16305" t="s">
        <v>7044</v>
      </c>
    </row>
    <row r="16306" spans="1:2" x14ac:dyDescent="0.25">
      <c r="A16306">
        <v>40021919200</v>
      </c>
      <c r="B16306" t="s">
        <v>7045</v>
      </c>
    </row>
    <row r="16307" spans="1:2" x14ac:dyDescent="0.25">
      <c r="A16307">
        <v>40021919900</v>
      </c>
      <c r="B16307" t="s">
        <v>10</v>
      </c>
    </row>
    <row r="16308" spans="1:2" x14ac:dyDescent="0.25">
      <c r="A16308">
        <v>40021920</v>
      </c>
      <c r="B16308" t="s">
        <v>7046</v>
      </c>
    </row>
    <row r="16309" spans="1:2" x14ac:dyDescent="0.25">
      <c r="A16309">
        <v>40021920100</v>
      </c>
      <c r="B16309" t="s">
        <v>7047</v>
      </c>
    </row>
    <row r="16310" spans="1:2" x14ac:dyDescent="0.25">
      <c r="A16310">
        <v>40021920200</v>
      </c>
      <c r="B16310" t="s">
        <v>7048</v>
      </c>
    </row>
    <row r="16311" spans="1:2" x14ac:dyDescent="0.25">
      <c r="A16311">
        <v>40021920900</v>
      </c>
      <c r="B16311" t="s">
        <v>10</v>
      </c>
    </row>
    <row r="16312" spans="1:2" x14ac:dyDescent="0.25">
      <c r="A16312">
        <v>400220</v>
      </c>
      <c r="B16312" t="e">
        <f>- caucho butadieno (BR)</f>
        <v>#NAME?</v>
      </c>
    </row>
    <row r="16313" spans="1:2" x14ac:dyDescent="0.25">
      <c r="A16313">
        <v>40022010000</v>
      </c>
      <c r="B16313" t="s">
        <v>7049</v>
      </c>
    </row>
    <row r="16314" spans="1:2" x14ac:dyDescent="0.25">
      <c r="A16314">
        <v>40022090</v>
      </c>
      <c r="B16314" t="s">
        <v>10</v>
      </c>
    </row>
    <row r="16315" spans="1:2" x14ac:dyDescent="0.25">
      <c r="A16315">
        <v>40022090100</v>
      </c>
      <c r="B16315" t="s">
        <v>7050</v>
      </c>
    </row>
    <row r="16316" spans="1:2" x14ac:dyDescent="0.25">
      <c r="A16316">
        <v>40022090200</v>
      </c>
      <c r="B16316" t="s">
        <v>7042</v>
      </c>
    </row>
    <row r="16317" spans="1:2" x14ac:dyDescent="0.25">
      <c r="A16317">
        <v>40023</v>
      </c>
      <c r="B16317" t="s">
        <v>7051</v>
      </c>
    </row>
    <row r="16318" spans="1:2" x14ac:dyDescent="0.25">
      <c r="A16318">
        <v>40023100</v>
      </c>
      <c r="B16318" t="e">
        <f>- - caucho isobuteno-isopreno (butilo) (IIR)</f>
        <v>#NAME?</v>
      </c>
    </row>
    <row r="16319" spans="1:2" x14ac:dyDescent="0.25">
      <c r="A16319">
        <v>40023100100</v>
      </c>
      <c r="B16319" t="s">
        <v>7050</v>
      </c>
    </row>
    <row r="16320" spans="1:2" x14ac:dyDescent="0.25">
      <c r="A16320">
        <v>40023100200</v>
      </c>
      <c r="B16320" t="s">
        <v>7042</v>
      </c>
    </row>
    <row r="16321" spans="1:2" x14ac:dyDescent="0.25">
      <c r="A16321">
        <v>40023900</v>
      </c>
      <c r="B16321" t="e">
        <f>- - Los demas</f>
        <v>#NAME?</v>
      </c>
    </row>
    <row r="16322" spans="1:2" x14ac:dyDescent="0.25">
      <c r="A16322">
        <v>400239001</v>
      </c>
      <c r="B16322" t="s">
        <v>5614</v>
      </c>
    </row>
    <row r="16323" spans="1:2" x14ac:dyDescent="0.25">
      <c r="A16323">
        <v>40023900110</v>
      </c>
      <c r="B16323" t="s">
        <v>7050</v>
      </c>
    </row>
    <row r="16324" spans="1:2" x14ac:dyDescent="0.25">
      <c r="A16324">
        <v>40023900120</v>
      </c>
      <c r="B16324" t="s">
        <v>7042</v>
      </c>
    </row>
    <row r="16325" spans="1:2" x14ac:dyDescent="0.25">
      <c r="A16325">
        <v>400239002</v>
      </c>
      <c r="B16325" t="s">
        <v>7052</v>
      </c>
    </row>
    <row r="16326" spans="1:2" x14ac:dyDescent="0.25">
      <c r="A16326">
        <v>40023900210</v>
      </c>
      <c r="B16326" t="s">
        <v>7050</v>
      </c>
    </row>
    <row r="16327" spans="1:2" x14ac:dyDescent="0.25">
      <c r="A16327">
        <v>40023900220</v>
      </c>
      <c r="B16327" t="s">
        <v>7042</v>
      </c>
    </row>
    <row r="16328" spans="1:2" x14ac:dyDescent="0.25">
      <c r="A16328">
        <v>40023900900</v>
      </c>
      <c r="B16328" t="s">
        <v>10</v>
      </c>
    </row>
    <row r="16329" spans="1:2" x14ac:dyDescent="0.25">
      <c r="A16329">
        <v>40024</v>
      </c>
      <c r="B16329" t="s">
        <v>7053</v>
      </c>
    </row>
    <row r="16330" spans="1:2" x14ac:dyDescent="0.25">
      <c r="A16330">
        <v>40024100000</v>
      </c>
      <c r="B16330" t="e">
        <f>--Latex</f>
        <v>#NAME?</v>
      </c>
    </row>
    <row r="16331" spans="1:2" x14ac:dyDescent="0.25">
      <c r="A16331">
        <v>40024900</v>
      </c>
      <c r="B16331" t="e">
        <f>- - Los demas</f>
        <v>#NAME?</v>
      </c>
    </row>
    <row r="16332" spans="1:2" x14ac:dyDescent="0.25">
      <c r="A16332">
        <v>40024900100</v>
      </c>
      <c r="B16332" t="s">
        <v>7050</v>
      </c>
    </row>
    <row r="16333" spans="1:2" x14ac:dyDescent="0.25">
      <c r="A16333">
        <v>40024900200</v>
      </c>
      <c r="B16333" t="s">
        <v>7042</v>
      </c>
    </row>
    <row r="16334" spans="1:2" x14ac:dyDescent="0.25">
      <c r="A16334">
        <v>40025</v>
      </c>
      <c r="B16334" t="s">
        <v>7054</v>
      </c>
    </row>
    <row r="16335" spans="1:2" x14ac:dyDescent="0.25">
      <c r="A16335">
        <v>40025100000</v>
      </c>
      <c r="B16335" t="e">
        <f>--Latex</f>
        <v>#NAME?</v>
      </c>
    </row>
    <row r="16336" spans="1:2" x14ac:dyDescent="0.25">
      <c r="A16336">
        <v>40025900</v>
      </c>
      <c r="B16336" t="e">
        <f>- - Los demas</f>
        <v>#NAME?</v>
      </c>
    </row>
    <row r="16337" spans="1:2" x14ac:dyDescent="0.25">
      <c r="A16337">
        <v>40025900100</v>
      </c>
      <c r="B16337" t="s">
        <v>7047</v>
      </c>
    </row>
    <row r="16338" spans="1:2" x14ac:dyDescent="0.25">
      <c r="A16338">
        <v>400259002</v>
      </c>
      <c r="B16338" t="s">
        <v>7055</v>
      </c>
    </row>
    <row r="16339" spans="1:2" x14ac:dyDescent="0.25">
      <c r="A16339">
        <v>40025900210</v>
      </c>
      <c r="B16339" t="s">
        <v>7056</v>
      </c>
    </row>
    <row r="16340" spans="1:2" x14ac:dyDescent="0.25">
      <c r="A16340">
        <v>40025900220</v>
      </c>
      <c r="B16340" t="s">
        <v>7057</v>
      </c>
    </row>
    <row r="16341" spans="1:2" x14ac:dyDescent="0.25">
      <c r="A16341">
        <v>40025900290</v>
      </c>
      <c r="B16341" t="s">
        <v>10</v>
      </c>
    </row>
    <row r="16342" spans="1:2" x14ac:dyDescent="0.25">
      <c r="A16342">
        <v>40025900300</v>
      </c>
      <c r="B16342" t="s">
        <v>7042</v>
      </c>
    </row>
    <row r="16343" spans="1:2" x14ac:dyDescent="0.25">
      <c r="A16343">
        <v>40026000</v>
      </c>
      <c r="B16343" t="e">
        <f>- caucho isopreno (IR)</f>
        <v>#NAME?</v>
      </c>
    </row>
    <row r="16344" spans="1:2" x14ac:dyDescent="0.25">
      <c r="A16344">
        <v>40026000100</v>
      </c>
      <c r="B16344" t="s">
        <v>7050</v>
      </c>
    </row>
    <row r="16345" spans="1:2" x14ac:dyDescent="0.25">
      <c r="A16345">
        <v>40026000200</v>
      </c>
      <c r="B16345" t="s">
        <v>7042</v>
      </c>
    </row>
    <row r="16346" spans="1:2" x14ac:dyDescent="0.25">
      <c r="A16346">
        <v>40027000</v>
      </c>
      <c r="B16346" t="e">
        <f>- caucho Etileno-propileno-dieno no conjugado (EPDM)</f>
        <v>#NAME?</v>
      </c>
    </row>
    <row r="16347" spans="1:2" x14ac:dyDescent="0.25">
      <c r="A16347">
        <v>40027000100</v>
      </c>
      <c r="B16347" t="s">
        <v>7050</v>
      </c>
    </row>
    <row r="16348" spans="1:2" x14ac:dyDescent="0.25">
      <c r="A16348">
        <v>40027000200</v>
      </c>
      <c r="B16348" t="s">
        <v>7042</v>
      </c>
    </row>
    <row r="16349" spans="1:2" x14ac:dyDescent="0.25">
      <c r="A16349">
        <v>40028000</v>
      </c>
      <c r="B16349" t="s">
        <v>7058</v>
      </c>
    </row>
    <row r="16350" spans="1:2" x14ac:dyDescent="0.25">
      <c r="A16350">
        <v>40028000100</v>
      </c>
      <c r="B16350" t="s">
        <v>7050</v>
      </c>
    </row>
    <row r="16351" spans="1:2" x14ac:dyDescent="0.25">
      <c r="A16351">
        <v>40028000200</v>
      </c>
      <c r="B16351" t="s">
        <v>7042</v>
      </c>
    </row>
    <row r="16352" spans="1:2" x14ac:dyDescent="0.25">
      <c r="A16352">
        <v>40029</v>
      </c>
      <c r="B16352" t="s">
        <v>28</v>
      </c>
    </row>
    <row r="16353" spans="1:2" x14ac:dyDescent="0.25">
      <c r="A16353">
        <v>40029100000</v>
      </c>
      <c r="B16353" t="e">
        <f>--Latex</f>
        <v>#NAME?</v>
      </c>
    </row>
    <row r="16354" spans="1:2" x14ac:dyDescent="0.25">
      <c r="A16354">
        <v>400299</v>
      </c>
      <c r="B16354" t="e">
        <f>- - Los demas</f>
        <v>#NAME?</v>
      </c>
    </row>
    <row r="16355" spans="1:2" x14ac:dyDescent="0.25">
      <c r="A16355">
        <v>40029910000</v>
      </c>
      <c r="B16355" t="s">
        <v>7059</v>
      </c>
    </row>
    <row r="16356" spans="1:2" x14ac:dyDescent="0.25">
      <c r="A16356">
        <v>40029920000</v>
      </c>
      <c r="B16356" t="s">
        <v>7060</v>
      </c>
    </row>
    <row r="16357" spans="1:2" x14ac:dyDescent="0.25">
      <c r="A16357">
        <v>40029930000</v>
      </c>
      <c r="B16357" t="s">
        <v>7061</v>
      </c>
    </row>
    <row r="16358" spans="1:2" x14ac:dyDescent="0.25">
      <c r="A16358">
        <v>40029990</v>
      </c>
      <c r="B16358" t="s">
        <v>10</v>
      </c>
    </row>
    <row r="16359" spans="1:2" x14ac:dyDescent="0.25">
      <c r="A16359">
        <v>40029990100</v>
      </c>
      <c r="B16359" t="s">
        <v>7062</v>
      </c>
    </row>
    <row r="16360" spans="1:2" x14ac:dyDescent="0.25">
      <c r="A16360">
        <v>40029990200</v>
      </c>
      <c r="B16360" t="s">
        <v>7063</v>
      </c>
    </row>
    <row r="16361" spans="1:2" x14ac:dyDescent="0.25">
      <c r="A16361">
        <v>40029990900</v>
      </c>
      <c r="B16361" t="s">
        <v>10</v>
      </c>
    </row>
    <row r="16362" spans="1:2" x14ac:dyDescent="0.25">
      <c r="A16362">
        <v>40030000</v>
      </c>
      <c r="B16362" t="s">
        <v>7064</v>
      </c>
    </row>
    <row r="16363" spans="1:2" x14ac:dyDescent="0.25">
      <c r="A16363">
        <v>40030000100</v>
      </c>
      <c r="B16363" t="s">
        <v>7050</v>
      </c>
    </row>
    <row r="16364" spans="1:2" x14ac:dyDescent="0.25">
      <c r="A16364">
        <v>40030000200</v>
      </c>
      <c r="B16364" t="s">
        <v>7042</v>
      </c>
    </row>
    <row r="16365" spans="1:2" x14ac:dyDescent="0.25">
      <c r="A16365">
        <v>40040000000</v>
      </c>
      <c r="B16365" t="s">
        <v>7065</v>
      </c>
    </row>
    <row r="16366" spans="1:2" x14ac:dyDescent="0.25">
      <c r="A16366">
        <v>4005</v>
      </c>
      <c r="B16366" t="s">
        <v>7066</v>
      </c>
    </row>
    <row r="16367" spans="1:2" x14ac:dyDescent="0.25">
      <c r="A16367">
        <v>400510</v>
      </c>
      <c r="B16367" t="e">
        <f>- caucho Con adicion de negro de humo o de silice</f>
        <v>#NAME?</v>
      </c>
    </row>
    <row r="16368" spans="1:2" x14ac:dyDescent="0.25">
      <c r="A16368">
        <v>40051010000</v>
      </c>
      <c r="B16368" t="s">
        <v>7067</v>
      </c>
    </row>
    <row r="16369" spans="1:2" x14ac:dyDescent="0.25">
      <c r="A16369">
        <v>40051090000</v>
      </c>
      <c r="B16369" t="s">
        <v>10</v>
      </c>
    </row>
    <row r="16370" spans="1:2" x14ac:dyDescent="0.25">
      <c r="A16370">
        <v>40052000000</v>
      </c>
      <c r="B16370" t="s">
        <v>7068</v>
      </c>
    </row>
    <row r="16371" spans="1:2" x14ac:dyDescent="0.25">
      <c r="A16371">
        <v>40059</v>
      </c>
      <c r="B16371" t="s">
        <v>28</v>
      </c>
    </row>
    <row r="16372" spans="1:2" x14ac:dyDescent="0.25">
      <c r="A16372">
        <v>400591</v>
      </c>
      <c r="B16372" t="e">
        <f>- - Placas. Hojas y tiras</f>
        <v>#NAME?</v>
      </c>
    </row>
    <row r="16373" spans="1:2" x14ac:dyDescent="0.25">
      <c r="A16373">
        <v>40059110000</v>
      </c>
      <c r="B16373" t="s">
        <v>7069</v>
      </c>
    </row>
    <row r="16374" spans="1:2" x14ac:dyDescent="0.25">
      <c r="A16374">
        <v>40059190000</v>
      </c>
      <c r="B16374" t="s">
        <v>10</v>
      </c>
    </row>
    <row r="16375" spans="1:2" x14ac:dyDescent="0.25">
      <c r="A16375">
        <v>400599</v>
      </c>
      <c r="B16375" t="e">
        <f>- - Los demas</f>
        <v>#NAME?</v>
      </c>
    </row>
    <row r="16376" spans="1:2" x14ac:dyDescent="0.25">
      <c r="A16376">
        <v>40059910000</v>
      </c>
      <c r="B16376" t="s">
        <v>7069</v>
      </c>
    </row>
    <row r="16377" spans="1:2" x14ac:dyDescent="0.25">
      <c r="A16377">
        <v>40059990</v>
      </c>
      <c r="B16377" t="s">
        <v>10</v>
      </c>
    </row>
    <row r="16378" spans="1:2" x14ac:dyDescent="0.25">
      <c r="A16378">
        <v>40059990100</v>
      </c>
      <c r="B16378" t="s">
        <v>6460</v>
      </c>
    </row>
    <row r="16379" spans="1:2" x14ac:dyDescent="0.25">
      <c r="A16379">
        <v>40059990900</v>
      </c>
      <c r="B16379" t="s">
        <v>10</v>
      </c>
    </row>
    <row r="16380" spans="1:2" x14ac:dyDescent="0.25">
      <c r="A16380">
        <v>4006</v>
      </c>
      <c r="B16380" t="s">
        <v>7070</v>
      </c>
    </row>
    <row r="16381" spans="1:2" x14ac:dyDescent="0.25">
      <c r="A16381">
        <v>40061000000</v>
      </c>
      <c r="B16381" t="e">
        <f>-Perfiles para recauchutar</f>
        <v>#NAME?</v>
      </c>
    </row>
    <row r="16382" spans="1:2" x14ac:dyDescent="0.25">
      <c r="A16382">
        <v>40069000000</v>
      </c>
      <c r="B16382" t="e">
        <f>-Los demas</f>
        <v>#NAME?</v>
      </c>
    </row>
    <row r="16383" spans="1:2" x14ac:dyDescent="0.25">
      <c r="A16383">
        <v>400700</v>
      </c>
      <c r="B16383" t="s">
        <v>7071</v>
      </c>
    </row>
    <row r="16384" spans="1:2" x14ac:dyDescent="0.25">
      <c r="A16384">
        <v>4007001</v>
      </c>
      <c r="B16384" t="s">
        <v>7072</v>
      </c>
    </row>
    <row r="16385" spans="1:2" x14ac:dyDescent="0.25">
      <c r="A16385">
        <v>40070011000</v>
      </c>
      <c r="B16385" t="s">
        <v>7073</v>
      </c>
    </row>
    <row r="16386" spans="1:2" x14ac:dyDescent="0.25">
      <c r="A16386">
        <v>40070019000</v>
      </c>
      <c r="B16386" t="s">
        <v>10</v>
      </c>
    </row>
    <row r="16387" spans="1:2" x14ac:dyDescent="0.25">
      <c r="A16387">
        <v>40070020000</v>
      </c>
      <c r="B16387" t="s">
        <v>7074</v>
      </c>
    </row>
    <row r="16388" spans="1:2" x14ac:dyDescent="0.25">
      <c r="A16388">
        <v>4008</v>
      </c>
      <c r="B16388" t="s">
        <v>7075</v>
      </c>
    </row>
    <row r="16389" spans="1:2" x14ac:dyDescent="0.25">
      <c r="A16389">
        <v>40081</v>
      </c>
      <c r="B16389" t="s">
        <v>7076</v>
      </c>
    </row>
    <row r="16390" spans="1:2" x14ac:dyDescent="0.25">
      <c r="A16390">
        <v>40081100</v>
      </c>
      <c r="B16390" t="e">
        <f>- - Placas. Hojas y tiras</f>
        <v>#NAME?</v>
      </c>
    </row>
    <row r="16391" spans="1:2" x14ac:dyDescent="0.25">
      <c r="A16391">
        <v>40081100100</v>
      </c>
      <c r="B16391" t="s">
        <v>6649</v>
      </c>
    </row>
    <row r="16392" spans="1:2" x14ac:dyDescent="0.25">
      <c r="A16392">
        <v>40081100900</v>
      </c>
      <c r="B16392" t="s">
        <v>10</v>
      </c>
    </row>
    <row r="16393" spans="1:2" x14ac:dyDescent="0.25">
      <c r="A16393">
        <v>40081900000</v>
      </c>
      <c r="B16393" t="e">
        <f>--Los demas</f>
        <v>#NAME?</v>
      </c>
    </row>
    <row r="16394" spans="1:2" x14ac:dyDescent="0.25">
      <c r="A16394">
        <v>40082</v>
      </c>
      <c r="B16394" t="s">
        <v>7077</v>
      </c>
    </row>
    <row r="16395" spans="1:2" x14ac:dyDescent="0.25">
      <c r="A16395">
        <v>40082100</v>
      </c>
      <c r="B16395" t="e">
        <f>--Placas. Hojas y tiras</f>
        <v>#NAME?</v>
      </c>
    </row>
    <row r="16396" spans="1:2" x14ac:dyDescent="0.25">
      <c r="A16396">
        <v>40082100100</v>
      </c>
      <c r="B16396" t="s">
        <v>7078</v>
      </c>
    </row>
    <row r="16397" spans="1:2" x14ac:dyDescent="0.25">
      <c r="A16397">
        <v>40082100900</v>
      </c>
      <c r="B16397" t="s">
        <v>10</v>
      </c>
    </row>
    <row r="16398" spans="1:2" x14ac:dyDescent="0.25">
      <c r="A16398">
        <v>40082900</v>
      </c>
      <c r="B16398" t="e">
        <f>--Los demas</f>
        <v>#NAME?</v>
      </c>
    </row>
    <row r="16399" spans="1:2" x14ac:dyDescent="0.25">
      <c r="A16399">
        <v>40082900100</v>
      </c>
      <c r="B16399" t="s">
        <v>7079</v>
      </c>
    </row>
    <row r="16400" spans="1:2" x14ac:dyDescent="0.25">
      <c r="A16400">
        <v>40082900900</v>
      </c>
      <c r="B16400" t="s">
        <v>10</v>
      </c>
    </row>
    <row r="16401" spans="1:2" x14ac:dyDescent="0.25">
      <c r="A16401">
        <v>4009</v>
      </c>
      <c r="B16401" t="s">
        <v>7080</v>
      </c>
    </row>
    <row r="16402" spans="1:2" x14ac:dyDescent="0.25">
      <c r="A16402">
        <v>40091</v>
      </c>
      <c r="B16402" t="s">
        <v>7081</v>
      </c>
    </row>
    <row r="16403" spans="1:2" x14ac:dyDescent="0.25">
      <c r="A16403">
        <v>40091100</v>
      </c>
      <c r="B16403" t="e">
        <f>- - sin accesorios</f>
        <v>#NAME?</v>
      </c>
    </row>
    <row r="16404" spans="1:2" x14ac:dyDescent="0.25">
      <c r="A16404">
        <v>40091100100</v>
      </c>
      <c r="B16404" t="s">
        <v>6654</v>
      </c>
    </row>
    <row r="16405" spans="1:2" x14ac:dyDescent="0.25">
      <c r="A16405">
        <v>40091100900</v>
      </c>
      <c r="B16405" t="s">
        <v>10</v>
      </c>
    </row>
    <row r="16406" spans="1:2" x14ac:dyDescent="0.25">
      <c r="A16406">
        <v>400912</v>
      </c>
      <c r="B16406" t="e">
        <f>- - Con accesorios</f>
        <v>#NAME?</v>
      </c>
    </row>
    <row r="16407" spans="1:2" x14ac:dyDescent="0.25">
      <c r="A16407">
        <v>40091210</v>
      </c>
      <c r="B16407" t="s">
        <v>7082</v>
      </c>
    </row>
    <row r="16408" spans="1:2" x14ac:dyDescent="0.25">
      <c r="A16408">
        <v>40091210100</v>
      </c>
      <c r="B16408" t="s">
        <v>6661</v>
      </c>
    </row>
    <row r="16409" spans="1:2" x14ac:dyDescent="0.25">
      <c r="A16409">
        <v>40091210900</v>
      </c>
      <c r="B16409" t="s">
        <v>10</v>
      </c>
    </row>
    <row r="16410" spans="1:2" x14ac:dyDescent="0.25">
      <c r="A16410">
        <v>40091290</v>
      </c>
      <c r="B16410" t="s">
        <v>10</v>
      </c>
    </row>
    <row r="16411" spans="1:2" x14ac:dyDescent="0.25">
      <c r="A16411">
        <v>40091290100</v>
      </c>
      <c r="B16411" t="s">
        <v>6661</v>
      </c>
    </row>
    <row r="16412" spans="1:2" x14ac:dyDescent="0.25">
      <c r="A16412">
        <v>40091290900</v>
      </c>
      <c r="B16412" t="s">
        <v>10</v>
      </c>
    </row>
    <row r="16413" spans="1:2" x14ac:dyDescent="0.25">
      <c r="A16413">
        <v>40092</v>
      </c>
      <c r="B16413" t="s">
        <v>7083</v>
      </c>
    </row>
    <row r="16414" spans="1:2" x14ac:dyDescent="0.25">
      <c r="A16414">
        <v>400921</v>
      </c>
      <c r="B16414" t="e">
        <f>- - sin accesorios</f>
        <v>#NAME?</v>
      </c>
    </row>
    <row r="16415" spans="1:2" x14ac:dyDescent="0.25">
      <c r="A16415">
        <v>40092110</v>
      </c>
      <c r="B16415" t="s">
        <v>7082</v>
      </c>
    </row>
    <row r="16416" spans="1:2" x14ac:dyDescent="0.25">
      <c r="A16416">
        <v>400921101</v>
      </c>
      <c r="B16416" t="s">
        <v>7084</v>
      </c>
    </row>
    <row r="16417" spans="1:2" x14ac:dyDescent="0.25">
      <c r="A16417">
        <v>40092110110</v>
      </c>
      <c r="B16417" t="s">
        <v>7085</v>
      </c>
    </row>
    <row r="16418" spans="1:2" x14ac:dyDescent="0.25">
      <c r="A16418">
        <v>40092110120</v>
      </c>
      <c r="B16418" t="s">
        <v>7086</v>
      </c>
    </row>
    <row r="16419" spans="1:2" x14ac:dyDescent="0.25">
      <c r="A16419">
        <v>40092110130</v>
      </c>
      <c r="B16419" t="s">
        <v>7087</v>
      </c>
    </row>
    <row r="16420" spans="1:2" x14ac:dyDescent="0.25">
      <c r="A16420">
        <v>40092110140</v>
      </c>
      <c r="B16420" t="s">
        <v>7088</v>
      </c>
    </row>
    <row r="16421" spans="1:2" x14ac:dyDescent="0.25">
      <c r="A16421">
        <v>40092110150</v>
      </c>
      <c r="B16421" t="s">
        <v>7089</v>
      </c>
    </row>
    <row r="16422" spans="1:2" x14ac:dyDescent="0.25">
      <c r="A16422">
        <v>40092110190</v>
      </c>
      <c r="B16422" t="s">
        <v>10</v>
      </c>
    </row>
    <row r="16423" spans="1:2" x14ac:dyDescent="0.25">
      <c r="A16423">
        <v>400921102</v>
      </c>
      <c r="B16423" t="s">
        <v>7090</v>
      </c>
    </row>
    <row r="16424" spans="1:2" x14ac:dyDescent="0.25">
      <c r="A16424">
        <v>40092110210</v>
      </c>
      <c r="B16424" t="s">
        <v>7091</v>
      </c>
    </row>
    <row r="16425" spans="1:2" x14ac:dyDescent="0.25">
      <c r="A16425">
        <v>40092110220</v>
      </c>
      <c r="B16425" t="s">
        <v>7092</v>
      </c>
    </row>
    <row r="16426" spans="1:2" x14ac:dyDescent="0.25">
      <c r="A16426">
        <v>40092110230</v>
      </c>
      <c r="B16426" t="s">
        <v>7093</v>
      </c>
    </row>
    <row r="16427" spans="1:2" x14ac:dyDescent="0.25">
      <c r="A16427">
        <v>40092110240</v>
      </c>
      <c r="B16427" t="s">
        <v>7094</v>
      </c>
    </row>
    <row r="16428" spans="1:2" x14ac:dyDescent="0.25">
      <c r="A16428">
        <v>40092110250</v>
      </c>
      <c r="B16428" t="s">
        <v>7095</v>
      </c>
    </row>
    <row r="16429" spans="1:2" x14ac:dyDescent="0.25">
      <c r="A16429">
        <v>40092110290</v>
      </c>
      <c r="B16429" t="s">
        <v>10</v>
      </c>
    </row>
    <row r="16430" spans="1:2" x14ac:dyDescent="0.25">
      <c r="A16430">
        <v>40092110300</v>
      </c>
      <c r="B16430" t="s">
        <v>7096</v>
      </c>
    </row>
    <row r="16431" spans="1:2" x14ac:dyDescent="0.25">
      <c r="A16431">
        <v>40092110900</v>
      </c>
      <c r="B16431" t="s">
        <v>10</v>
      </c>
    </row>
    <row r="16432" spans="1:2" x14ac:dyDescent="0.25">
      <c r="A16432">
        <v>40092190</v>
      </c>
      <c r="B16432" t="s">
        <v>10</v>
      </c>
    </row>
    <row r="16433" spans="1:2" x14ac:dyDescent="0.25">
      <c r="A16433">
        <v>40092190100</v>
      </c>
      <c r="B16433" t="s">
        <v>6654</v>
      </c>
    </row>
    <row r="16434" spans="1:2" x14ac:dyDescent="0.25">
      <c r="A16434">
        <v>40092190200</v>
      </c>
      <c r="B16434" t="s">
        <v>7097</v>
      </c>
    </row>
    <row r="16435" spans="1:2" x14ac:dyDescent="0.25">
      <c r="A16435">
        <v>40092190900</v>
      </c>
      <c r="B16435" t="s">
        <v>10</v>
      </c>
    </row>
    <row r="16436" spans="1:2" x14ac:dyDescent="0.25">
      <c r="A16436">
        <v>400922</v>
      </c>
      <c r="B16436" t="e">
        <f>- - Con accesorios</f>
        <v>#NAME?</v>
      </c>
    </row>
    <row r="16437" spans="1:2" x14ac:dyDescent="0.25">
      <c r="A16437">
        <v>40092210</v>
      </c>
      <c r="B16437" t="s">
        <v>7082</v>
      </c>
    </row>
    <row r="16438" spans="1:2" x14ac:dyDescent="0.25">
      <c r="A16438">
        <v>40092210100</v>
      </c>
      <c r="B16438" t="s">
        <v>6663</v>
      </c>
    </row>
    <row r="16439" spans="1:2" x14ac:dyDescent="0.25">
      <c r="A16439">
        <v>40092210900</v>
      </c>
      <c r="B16439" t="s">
        <v>823</v>
      </c>
    </row>
    <row r="16440" spans="1:2" x14ac:dyDescent="0.25">
      <c r="A16440">
        <v>40092290</v>
      </c>
      <c r="B16440" t="s">
        <v>10</v>
      </c>
    </row>
    <row r="16441" spans="1:2" x14ac:dyDescent="0.25">
      <c r="A16441">
        <v>40092290100</v>
      </c>
      <c r="B16441" t="s">
        <v>6661</v>
      </c>
    </row>
    <row r="16442" spans="1:2" x14ac:dyDescent="0.25">
      <c r="A16442">
        <v>40092290900</v>
      </c>
      <c r="B16442" t="s">
        <v>10</v>
      </c>
    </row>
    <row r="16443" spans="1:2" x14ac:dyDescent="0.25">
      <c r="A16443">
        <v>40093</v>
      </c>
      <c r="B16443" t="s">
        <v>7098</v>
      </c>
    </row>
    <row r="16444" spans="1:2" x14ac:dyDescent="0.25">
      <c r="A16444">
        <v>40093100</v>
      </c>
      <c r="B16444" t="e">
        <f>- - sin accesorios</f>
        <v>#NAME?</v>
      </c>
    </row>
    <row r="16445" spans="1:2" x14ac:dyDescent="0.25">
      <c r="A16445">
        <v>40093100100</v>
      </c>
      <c r="B16445" t="s">
        <v>7099</v>
      </c>
    </row>
    <row r="16446" spans="1:2" x14ac:dyDescent="0.25">
      <c r="A16446">
        <v>40093100200</v>
      </c>
      <c r="B16446" t="s">
        <v>7100</v>
      </c>
    </row>
    <row r="16447" spans="1:2" x14ac:dyDescent="0.25">
      <c r="A16447">
        <v>40093100300</v>
      </c>
      <c r="B16447" t="s">
        <v>7101</v>
      </c>
    </row>
    <row r="16448" spans="1:2" x14ac:dyDescent="0.25">
      <c r="A16448">
        <v>40093100400</v>
      </c>
      <c r="B16448" t="s">
        <v>7102</v>
      </c>
    </row>
    <row r="16449" spans="1:2" x14ac:dyDescent="0.25">
      <c r="A16449">
        <v>40093100900</v>
      </c>
      <c r="B16449" t="s">
        <v>10</v>
      </c>
    </row>
    <row r="16450" spans="1:2" x14ac:dyDescent="0.25">
      <c r="A16450">
        <v>400932</v>
      </c>
      <c r="B16450" t="e">
        <f>- - Con accesorios</f>
        <v>#NAME?</v>
      </c>
    </row>
    <row r="16451" spans="1:2" x14ac:dyDescent="0.25">
      <c r="A16451">
        <v>40093210</v>
      </c>
      <c r="B16451" t="s">
        <v>7082</v>
      </c>
    </row>
    <row r="16452" spans="1:2" x14ac:dyDescent="0.25">
      <c r="A16452">
        <v>40093210100</v>
      </c>
      <c r="B16452" t="s">
        <v>6661</v>
      </c>
    </row>
    <row r="16453" spans="1:2" x14ac:dyDescent="0.25">
      <c r="A16453">
        <v>40093210900</v>
      </c>
      <c r="B16453" t="s">
        <v>10</v>
      </c>
    </row>
    <row r="16454" spans="1:2" x14ac:dyDescent="0.25">
      <c r="A16454">
        <v>40093290</v>
      </c>
      <c r="B16454" t="s">
        <v>10</v>
      </c>
    </row>
    <row r="16455" spans="1:2" x14ac:dyDescent="0.25">
      <c r="A16455">
        <v>40093290100</v>
      </c>
      <c r="B16455" t="s">
        <v>6661</v>
      </c>
    </row>
    <row r="16456" spans="1:2" x14ac:dyDescent="0.25">
      <c r="A16456">
        <v>40093290900</v>
      </c>
      <c r="B16456" t="s">
        <v>10</v>
      </c>
    </row>
    <row r="16457" spans="1:2" x14ac:dyDescent="0.25">
      <c r="A16457">
        <v>40094</v>
      </c>
      <c r="B16457" t="s">
        <v>7103</v>
      </c>
    </row>
    <row r="16458" spans="1:2" x14ac:dyDescent="0.25">
      <c r="A16458">
        <v>40094100</v>
      </c>
      <c r="B16458" t="e">
        <f>- - sin accesorios</f>
        <v>#NAME?</v>
      </c>
    </row>
    <row r="16459" spans="1:2" x14ac:dyDescent="0.25">
      <c r="A16459">
        <v>40094100100</v>
      </c>
      <c r="B16459" t="s">
        <v>7099</v>
      </c>
    </row>
    <row r="16460" spans="1:2" x14ac:dyDescent="0.25">
      <c r="A16460">
        <v>40094100900</v>
      </c>
      <c r="B16460" t="s">
        <v>10</v>
      </c>
    </row>
    <row r="16461" spans="1:2" x14ac:dyDescent="0.25">
      <c r="A16461">
        <v>400942</v>
      </c>
      <c r="B16461" t="e">
        <f>- - Con accesorios</f>
        <v>#NAME?</v>
      </c>
    </row>
    <row r="16462" spans="1:2" x14ac:dyDescent="0.25">
      <c r="A16462">
        <v>40094210</v>
      </c>
      <c r="B16462" t="s">
        <v>7082</v>
      </c>
    </row>
    <row r="16463" spans="1:2" x14ac:dyDescent="0.25">
      <c r="A16463">
        <v>40094210100</v>
      </c>
      <c r="B16463" t="s">
        <v>6661</v>
      </c>
    </row>
    <row r="16464" spans="1:2" x14ac:dyDescent="0.25">
      <c r="A16464">
        <v>40094210900</v>
      </c>
      <c r="B16464" t="s">
        <v>10</v>
      </c>
    </row>
    <row r="16465" spans="1:2" x14ac:dyDescent="0.25">
      <c r="A16465">
        <v>40094290</v>
      </c>
      <c r="B16465" t="s">
        <v>10</v>
      </c>
    </row>
    <row r="16466" spans="1:2" x14ac:dyDescent="0.25">
      <c r="A16466">
        <v>40094290100</v>
      </c>
      <c r="B16466" t="s">
        <v>6661</v>
      </c>
    </row>
    <row r="16467" spans="1:2" x14ac:dyDescent="0.25">
      <c r="A16467">
        <v>40094290900</v>
      </c>
      <c r="B16467" t="s">
        <v>10</v>
      </c>
    </row>
    <row r="16468" spans="1:2" x14ac:dyDescent="0.25">
      <c r="A16468">
        <v>4010</v>
      </c>
      <c r="B16468" t="s">
        <v>7104</v>
      </c>
    </row>
    <row r="16469" spans="1:2" x14ac:dyDescent="0.25">
      <c r="A16469">
        <v>40101</v>
      </c>
      <c r="B16469" t="s">
        <v>7105</v>
      </c>
    </row>
    <row r="16470" spans="1:2" x14ac:dyDescent="0.25">
      <c r="A16470">
        <v>40101100000</v>
      </c>
      <c r="B16470" t="e">
        <f>--Reforzadas solamente Con Metal</f>
        <v>#NAME?</v>
      </c>
    </row>
    <row r="16471" spans="1:2" x14ac:dyDescent="0.25">
      <c r="A16471">
        <v>40101200</v>
      </c>
      <c r="B16471" t="e">
        <f>- - Reforzadas solamente Con materia textil</f>
        <v>#NAME?</v>
      </c>
    </row>
    <row r="16472" spans="1:2" x14ac:dyDescent="0.25">
      <c r="A16472">
        <v>401012001</v>
      </c>
      <c r="B16472" t="s">
        <v>7106</v>
      </c>
    </row>
    <row r="16473" spans="1:2" x14ac:dyDescent="0.25">
      <c r="A16473">
        <v>40101200110</v>
      </c>
      <c r="B16473" t="s">
        <v>7107</v>
      </c>
    </row>
    <row r="16474" spans="1:2" x14ac:dyDescent="0.25">
      <c r="A16474">
        <v>40101200120</v>
      </c>
      <c r="B16474" t="s">
        <v>7108</v>
      </c>
    </row>
    <row r="16475" spans="1:2" x14ac:dyDescent="0.25">
      <c r="A16475">
        <v>40101200190</v>
      </c>
      <c r="B16475" t="s">
        <v>57</v>
      </c>
    </row>
    <row r="16476" spans="1:2" x14ac:dyDescent="0.25">
      <c r="A16476">
        <v>401012002</v>
      </c>
      <c r="B16476" t="s">
        <v>7109</v>
      </c>
    </row>
    <row r="16477" spans="1:2" x14ac:dyDescent="0.25">
      <c r="A16477">
        <v>40101200210</v>
      </c>
      <c r="B16477" t="s">
        <v>7107</v>
      </c>
    </row>
    <row r="16478" spans="1:2" x14ac:dyDescent="0.25">
      <c r="A16478">
        <v>40101200220</v>
      </c>
      <c r="B16478" t="s">
        <v>7108</v>
      </c>
    </row>
    <row r="16479" spans="1:2" x14ac:dyDescent="0.25">
      <c r="A16479">
        <v>40101200290</v>
      </c>
      <c r="B16479" t="s">
        <v>57</v>
      </c>
    </row>
    <row r="16480" spans="1:2" x14ac:dyDescent="0.25">
      <c r="A16480">
        <v>401012003</v>
      </c>
      <c r="B16480" t="s">
        <v>7110</v>
      </c>
    </row>
    <row r="16481" spans="1:2" x14ac:dyDescent="0.25">
      <c r="A16481">
        <v>40101200310</v>
      </c>
      <c r="B16481" t="s">
        <v>7107</v>
      </c>
    </row>
    <row r="16482" spans="1:2" x14ac:dyDescent="0.25">
      <c r="A16482">
        <v>40101200320</v>
      </c>
      <c r="B16482" t="s">
        <v>7108</v>
      </c>
    </row>
    <row r="16483" spans="1:2" x14ac:dyDescent="0.25">
      <c r="A16483">
        <v>40101200390</v>
      </c>
      <c r="B16483" t="s">
        <v>57</v>
      </c>
    </row>
    <row r="16484" spans="1:2" x14ac:dyDescent="0.25">
      <c r="A16484">
        <v>401012004</v>
      </c>
      <c r="B16484" t="s">
        <v>7111</v>
      </c>
    </row>
    <row r="16485" spans="1:2" x14ac:dyDescent="0.25">
      <c r="A16485">
        <v>40101200410</v>
      </c>
      <c r="B16485" t="s">
        <v>7107</v>
      </c>
    </row>
    <row r="16486" spans="1:2" x14ac:dyDescent="0.25">
      <c r="A16486">
        <v>40101200420</v>
      </c>
      <c r="B16486" t="s">
        <v>7108</v>
      </c>
    </row>
    <row r="16487" spans="1:2" x14ac:dyDescent="0.25">
      <c r="A16487">
        <v>40101200490</v>
      </c>
      <c r="B16487" t="s">
        <v>57</v>
      </c>
    </row>
    <row r="16488" spans="1:2" x14ac:dyDescent="0.25">
      <c r="A16488">
        <v>401012005</v>
      </c>
      <c r="B16488" t="s">
        <v>7112</v>
      </c>
    </row>
    <row r="16489" spans="1:2" x14ac:dyDescent="0.25">
      <c r="A16489">
        <v>40101200510</v>
      </c>
      <c r="B16489" t="s">
        <v>7107</v>
      </c>
    </row>
    <row r="16490" spans="1:2" x14ac:dyDescent="0.25">
      <c r="A16490">
        <v>40101200520</v>
      </c>
      <c r="B16490" t="s">
        <v>7108</v>
      </c>
    </row>
    <row r="16491" spans="1:2" x14ac:dyDescent="0.25">
      <c r="A16491">
        <v>40101200590</v>
      </c>
      <c r="B16491" t="s">
        <v>57</v>
      </c>
    </row>
    <row r="16492" spans="1:2" x14ac:dyDescent="0.25">
      <c r="A16492">
        <v>401012006</v>
      </c>
      <c r="B16492" t="s">
        <v>7113</v>
      </c>
    </row>
    <row r="16493" spans="1:2" x14ac:dyDescent="0.25">
      <c r="A16493">
        <v>40101200610</v>
      </c>
      <c r="B16493" t="s">
        <v>7107</v>
      </c>
    </row>
    <row r="16494" spans="1:2" x14ac:dyDescent="0.25">
      <c r="A16494">
        <v>40101200620</v>
      </c>
      <c r="B16494" t="s">
        <v>7108</v>
      </c>
    </row>
    <row r="16495" spans="1:2" x14ac:dyDescent="0.25">
      <c r="A16495">
        <v>40101200690</v>
      </c>
      <c r="B16495" t="s">
        <v>57</v>
      </c>
    </row>
    <row r="16496" spans="1:2" x14ac:dyDescent="0.25">
      <c r="A16496">
        <v>401012007</v>
      </c>
      <c r="B16496" t="s">
        <v>7114</v>
      </c>
    </row>
    <row r="16497" spans="1:2" x14ac:dyDescent="0.25">
      <c r="A16497">
        <v>40101200710</v>
      </c>
      <c r="B16497" t="s">
        <v>7107</v>
      </c>
    </row>
    <row r="16498" spans="1:2" x14ac:dyDescent="0.25">
      <c r="A16498">
        <v>40101200720</v>
      </c>
      <c r="B16498" t="s">
        <v>7108</v>
      </c>
    </row>
    <row r="16499" spans="1:2" x14ac:dyDescent="0.25">
      <c r="A16499">
        <v>40101200790</v>
      </c>
      <c r="B16499" t="s">
        <v>57</v>
      </c>
    </row>
    <row r="16500" spans="1:2" x14ac:dyDescent="0.25">
      <c r="A16500">
        <v>401012008</v>
      </c>
      <c r="B16500" t="s">
        <v>7115</v>
      </c>
    </row>
    <row r="16501" spans="1:2" x14ac:dyDescent="0.25">
      <c r="A16501">
        <v>40101200810</v>
      </c>
      <c r="B16501" t="s">
        <v>7107</v>
      </c>
    </row>
    <row r="16502" spans="1:2" x14ac:dyDescent="0.25">
      <c r="A16502">
        <v>40101200820</v>
      </c>
      <c r="B16502" t="s">
        <v>7108</v>
      </c>
    </row>
    <row r="16503" spans="1:2" x14ac:dyDescent="0.25">
      <c r="A16503">
        <v>40101200890</v>
      </c>
      <c r="B16503" t="s">
        <v>57</v>
      </c>
    </row>
    <row r="16504" spans="1:2" x14ac:dyDescent="0.25">
      <c r="A16504">
        <v>401012009</v>
      </c>
      <c r="B16504" t="s">
        <v>57</v>
      </c>
    </row>
    <row r="16505" spans="1:2" x14ac:dyDescent="0.25">
      <c r="A16505">
        <v>40101200910</v>
      </c>
      <c r="B16505" t="s">
        <v>7116</v>
      </c>
    </row>
    <row r="16506" spans="1:2" x14ac:dyDescent="0.25">
      <c r="A16506">
        <v>40101200920</v>
      </c>
      <c r="B16506" t="s">
        <v>7117</v>
      </c>
    </row>
    <row r="16507" spans="1:2" x14ac:dyDescent="0.25">
      <c r="A16507">
        <v>40101200930</v>
      </c>
      <c r="B16507" t="s">
        <v>7118</v>
      </c>
    </row>
    <row r="16508" spans="1:2" x14ac:dyDescent="0.25">
      <c r="A16508">
        <v>40101200940</v>
      </c>
      <c r="B16508" t="s">
        <v>7119</v>
      </c>
    </row>
    <row r="16509" spans="1:2" x14ac:dyDescent="0.25">
      <c r="A16509">
        <v>40101200950</v>
      </c>
      <c r="B16509" t="s">
        <v>7120</v>
      </c>
    </row>
    <row r="16510" spans="1:2" x14ac:dyDescent="0.25">
      <c r="A16510">
        <v>40101200990</v>
      </c>
      <c r="B16510" t="s">
        <v>57</v>
      </c>
    </row>
    <row r="16511" spans="1:2" x14ac:dyDescent="0.25">
      <c r="A16511">
        <v>40101900</v>
      </c>
      <c r="B16511" t="e">
        <f>- - las demas</f>
        <v>#NAME?</v>
      </c>
    </row>
    <row r="16512" spans="1:2" x14ac:dyDescent="0.25">
      <c r="A16512">
        <v>401019001</v>
      </c>
      <c r="B16512" t="s">
        <v>7107</v>
      </c>
    </row>
    <row r="16513" spans="1:2" x14ac:dyDescent="0.25">
      <c r="A16513">
        <v>40101900110</v>
      </c>
      <c r="B16513" t="s">
        <v>7121</v>
      </c>
    </row>
    <row r="16514" spans="1:2" x14ac:dyDescent="0.25">
      <c r="A16514">
        <v>40101900120</v>
      </c>
      <c r="B16514" t="s">
        <v>7122</v>
      </c>
    </row>
    <row r="16515" spans="1:2" x14ac:dyDescent="0.25">
      <c r="A16515">
        <v>40101900130</v>
      </c>
      <c r="B16515" t="s">
        <v>7123</v>
      </c>
    </row>
    <row r="16516" spans="1:2" x14ac:dyDescent="0.25">
      <c r="A16516">
        <v>40101900140</v>
      </c>
      <c r="B16516" t="s">
        <v>7124</v>
      </c>
    </row>
    <row r="16517" spans="1:2" x14ac:dyDescent="0.25">
      <c r="A16517">
        <v>40101900150</v>
      </c>
      <c r="B16517" t="s">
        <v>7125</v>
      </c>
    </row>
    <row r="16518" spans="1:2" x14ac:dyDescent="0.25">
      <c r="A16518">
        <v>40101900190</v>
      </c>
      <c r="B16518" t="s">
        <v>57</v>
      </c>
    </row>
    <row r="16519" spans="1:2" x14ac:dyDescent="0.25">
      <c r="A16519">
        <v>401019002</v>
      </c>
      <c r="B16519" t="s">
        <v>7108</v>
      </c>
    </row>
    <row r="16520" spans="1:2" x14ac:dyDescent="0.25">
      <c r="A16520">
        <v>40101900210</v>
      </c>
      <c r="B16520" t="s">
        <v>7126</v>
      </c>
    </row>
    <row r="16521" spans="1:2" x14ac:dyDescent="0.25">
      <c r="A16521">
        <v>40101900220</v>
      </c>
      <c r="B16521" t="s">
        <v>7122</v>
      </c>
    </row>
    <row r="16522" spans="1:2" x14ac:dyDescent="0.25">
      <c r="A16522">
        <v>40101900230</v>
      </c>
      <c r="B16522" t="s">
        <v>7123</v>
      </c>
    </row>
    <row r="16523" spans="1:2" x14ac:dyDescent="0.25">
      <c r="A16523">
        <v>40101900240</v>
      </c>
      <c r="B16523" t="s">
        <v>7124</v>
      </c>
    </row>
    <row r="16524" spans="1:2" x14ac:dyDescent="0.25">
      <c r="A16524">
        <v>40101900250</v>
      </c>
      <c r="B16524" t="s">
        <v>7125</v>
      </c>
    </row>
    <row r="16525" spans="1:2" x14ac:dyDescent="0.25">
      <c r="A16525">
        <v>40101900290</v>
      </c>
      <c r="B16525" t="s">
        <v>57</v>
      </c>
    </row>
    <row r="16526" spans="1:2" x14ac:dyDescent="0.25">
      <c r="A16526">
        <v>401019009</v>
      </c>
      <c r="B16526" t="s">
        <v>57</v>
      </c>
    </row>
    <row r="16527" spans="1:2" x14ac:dyDescent="0.25">
      <c r="A16527">
        <v>40101900910</v>
      </c>
      <c r="B16527" t="s">
        <v>7126</v>
      </c>
    </row>
    <row r="16528" spans="1:2" x14ac:dyDescent="0.25">
      <c r="A16528">
        <v>40101900920</v>
      </c>
      <c r="B16528" t="s">
        <v>7122</v>
      </c>
    </row>
    <row r="16529" spans="1:2" x14ac:dyDescent="0.25">
      <c r="A16529">
        <v>40101900930</v>
      </c>
      <c r="B16529" t="s">
        <v>7123</v>
      </c>
    </row>
    <row r="16530" spans="1:2" x14ac:dyDescent="0.25">
      <c r="A16530">
        <v>40101900940</v>
      </c>
      <c r="B16530" t="s">
        <v>7124</v>
      </c>
    </row>
    <row r="16531" spans="1:2" x14ac:dyDescent="0.25">
      <c r="A16531">
        <v>40101900950</v>
      </c>
      <c r="B16531" t="s">
        <v>7125</v>
      </c>
    </row>
    <row r="16532" spans="1:2" x14ac:dyDescent="0.25">
      <c r="A16532">
        <v>40101900990</v>
      </c>
      <c r="B16532" t="s">
        <v>57</v>
      </c>
    </row>
    <row r="16533" spans="1:2" x14ac:dyDescent="0.25">
      <c r="A16533">
        <v>40103</v>
      </c>
      <c r="B16533" t="s">
        <v>7127</v>
      </c>
    </row>
    <row r="16534" spans="1:2" x14ac:dyDescent="0.25">
      <c r="A16534">
        <v>40103100</v>
      </c>
      <c r="B16534" t="s">
        <v>7128</v>
      </c>
    </row>
    <row r="16535" spans="1:2" x14ac:dyDescent="0.25">
      <c r="A16535">
        <v>401031001</v>
      </c>
      <c r="B16535" t="s">
        <v>7129</v>
      </c>
    </row>
    <row r="16536" spans="1:2" x14ac:dyDescent="0.25">
      <c r="A16536">
        <v>40103100110</v>
      </c>
      <c r="B16536" t="s">
        <v>7130</v>
      </c>
    </row>
    <row r="16537" spans="1:2" x14ac:dyDescent="0.25">
      <c r="A16537">
        <v>40103100120</v>
      </c>
      <c r="B16537" t="s">
        <v>7131</v>
      </c>
    </row>
    <row r="16538" spans="1:2" x14ac:dyDescent="0.25">
      <c r="A16538">
        <v>40103100130</v>
      </c>
      <c r="B16538" t="s">
        <v>7132</v>
      </c>
    </row>
    <row r="16539" spans="1:2" x14ac:dyDescent="0.25">
      <c r="A16539">
        <v>40103100190</v>
      </c>
      <c r="B16539" t="s">
        <v>57</v>
      </c>
    </row>
    <row r="16540" spans="1:2" x14ac:dyDescent="0.25">
      <c r="A16540">
        <v>401031002</v>
      </c>
      <c r="B16540" t="s">
        <v>7133</v>
      </c>
    </row>
    <row r="16541" spans="1:2" x14ac:dyDescent="0.25">
      <c r="A16541">
        <v>40103100210</v>
      </c>
      <c r="B16541" t="s">
        <v>7134</v>
      </c>
    </row>
    <row r="16542" spans="1:2" x14ac:dyDescent="0.25">
      <c r="A16542">
        <v>40103100290</v>
      </c>
      <c r="B16542" t="s">
        <v>57</v>
      </c>
    </row>
    <row r="16543" spans="1:2" x14ac:dyDescent="0.25">
      <c r="A16543">
        <v>40103200</v>
      </c>
      <c r="B16543" t="s">
        <v>7135</v>
      </c>
    </row>
    <row r="16544" spans="1:2" x14ac:dyDescent="0.25">
      <c r="A16544">
        <v>401032001</v>
      </c>
      <c r="B16544" t="s">
        <v>7136</v>
      </c>
    </row>
    <row r="16545" spans="1:2" x14ac:dyDescent="0.25">
      <c r="A16545">
        <v>4010320011</v>
      </c>
      <c r="B16545" t="s">
        <v>7137</v>
      </c>
    </row>
    <row r="16546" spans="1:2" x14ac:dyDescent="0.25">
      <c r="A16546">
        <v>40103200111</v>
      </c>
      <c r="B16546" t="s">
        <v>7138</v>
      </c>
    </row>
    <row r="16547" spans="1:2" x14ac:dyDescent="0.25">
      <c r="A16547">
        <v>40103200112</v>
      </c>
      <c r="B16547" t="s">
        <v>7139</v>
      </c>
    </row>
    <row r="16548" spans="1:2" x14ac:dyDescent="0.25">
      <c r="A16548">
        <v>40103200113</v>
      </c>
      <c r="B16548" t="s">
        <v>7140</v>
      </c>
    </row>
    <row r="16549" spans="1:2" x14ac:dyDescent="0.25">
      <c r="A16549">
        <v>40103200120</v>
      </c>
      <c r="B16549" t="s">
        <v>7141</v>
      </c>
    </row>
    <row r="16550" spans="1:2" x14ac:dyDescent="0.25">
      <c r="A16550">
        <v>40103200130</v>
      </c>
      <c r="B16550" t="s">
        <v>7142</v>
      </c>
    </row>
    <row r="16551" spans="1:2" x14ac:dyDescent="0.25">
      <c r="A16551">
        <v>4010320014</v>
      </c>
      <c r="B16551" t="s">
        <v>7143</v>
      </c>
    </row>
    <row r="16552" spans="1:2" x14ac:dyDescent="0.25">
      <c r="A16552">
        <v>40103200141</v>
      </c>
      <c r="B16552" t="s">
        <v>7144</v>
      </c>
    </row>
    <row r="16553" spans="1:2" x14ac:dyDescent="0.25">
      <c r="A16553">
        <v>40103200149</v>
      </c>
      <c r="B16553" t="s">
        <v>57</v>
      </c>
    </row>
    <row r="16554" spans="1:2" x14ac:dyDescent="0.25">
      <c r="A16554">
        <v>4010320015</v>
      </c>
      <c r="B16554" t="s">
        <v>7145</v>
      </c>
    </row>
    <row r="16555" spans="1:2" x14ac:dyDescent="0.25">
      <c r="A16555">
        <v>40103200151</v>
      </c>
      <c r="B16555" t="s">
        <v>7144</v>
      </c>
    </row>
    <row r="16556" spans="1:2" x14ac:dyDescent="0.25">
      <c r="A16556">
        <v>40103200159</v>
      </c>
      <c r="B16556" t="s">
        <v>57</v>
      </c>
    </row>
    <row r="16557" spans="1:2" x14ac:dyDescent="0.25">
      <c r="A16557">
        <v>4010320016</v>
      </c>
      <c r="B16557" t="s">
        <v>7146</v>
      </c>
    </row>
    <row r="16558" spans="1:2" x14ac:dyDescent="0.25">
      <c r="A16558">
        <v>40103200161</v>
      </c>
      <c r="B16558" t="s">
        <v>7144</v>
      </c>
    </row>
    <row r="16559" spans="1:2" x14ac:dyDescent="0.25">
      <c r="A16559">
        <v>40103200169</v>
      </c>
      <c r="B16559" t="s">
        <v>57</v>
      </c>
    </row>
    <row r="16560" spans="1:2" x14ac:dyDescent="0.25">
      <c r="A16560">
        <v>40103200190</v>
      </c>
      <c r="B16560" t="s">
        <v>57</v>
      </c>
    </row>
    <row r="16561" spans="1:2" x14ac:dyDescent="0.25">
      <c r="A16561">
        <v>401032002</v>
      </c>
      <c r="B16561" t="s">
        <v>7147</v>
      </c>
    </row>
    <row r="16562" spans="1:2" x14ac:dyDescent="0.25">
      <c r="A16562">
        <v>40103200210</v>
      </c>
      <c r="B16562" t="s">
        <v>7148</v>
      </c>
    </row>
    <row r="16563" spans="1:2" x14ac:dyDescent="0.25">
      <c r="A16563">
        <v>40103200290</v>
      </c>
      <c r="B16563" t="s">
        <v>57</v>
      </c>
    </row>
    <row r="16564" spans="1:2" x14ac:dyDescent="0.25">
      <c r="A16564">
        <v>401032003</v>
      </c>
      <c r="B16564" t="s">
        <v>7149</v>
      </c>
    </row>
    <row r="16565" spans="1:2" x14ac:dyDescent="0.25">
      <c r="A16565">
        <v>40103200310</v>
      </c>
      <c r="B16565" t="s">
        <v>7139</v>
      </c>
    </row>
    <row r="16566" spans="1:2" x14ac:dyDescent="0.25">
      <c r="A16566">
        <v>40103200320</v>
      </c>
      <c r="B16566" t="s">
        <v>7140</v>
      </c>
    </row>
    <row r="16567" spans="1:2" x14ac:dyDescent="0.25">
      <c r="A16567">
        <v>40103200330</v>
      </c>
      <c r="B16567" t="s">
        <v>7148</v>
      </c>
    </row>
    <row r="16568" spans="1:2" x14ac:dyDescent="0.25">
      <c r="A16568">
        <v>40103200390</v>
      </c>
      <c r="B16568" t="s">
        <v>57</v>
      </c>
    </row>
    <row r="16569" spans="1:2" x14ac:dyDescent="0.25">
      <c r="A16569">
        <v>40103200900</v>
      </c>
      <c r="B16569" t="s">
        <v>57</v>
      </c>
    </row>
    <row r="16570" spans="1:2" x14ac:dyDescent="0.25">
      <c r="A16570">
        <v>40103300</v>
      </c>
      <c r="B16570" t="s">
        <v>7150</v>
      </c>
    </row>
    <row r="16571" spans="1:2" x14ac:dyDescent="0.25">
      <c r="A16571">
        <v>401033001</v>
      </c>
      <c r="B16571" t="s">
        <v>7129</v>
      </c>
    </row>
    <row r="16572" spans="1:2" x14ac:dyDescent="0.25">
      <c r="A16572">
        <v>40103300110</v>
      </c>
      <c r="B16572" t="s">
        <v>7130</v>
      </c>
    </row>
    <row r="16573" spans="1:2" x14ac:dyDescent="0.25">
      <c r="A16573">
        <v>40103300120</v>
      </c>
      <c r="B16573" t="s">
        <v>7131</v>
      </c>
    </row>
    <row r="16574" spans="1:2" x14ac:dyDescent="0.25">
      <c r="A16574">
        <v>40103300130</v>
      </c>
      <c r="B16574" t="s">
        <v>7132</v>
      </c>
    </row>
    <row r="16575" spans="1:2" x14ac:dyDescent="0.25">
      <c r="A16575">
        <v>40103300190</v>
      </c>
      <c r="B16575" t="s">
        <v>57</v>
      </c>
    </row>
    <row r="16576" spans="1:2" x14ac:dyDescent="0.25">
      <c r="A16576">
        <v>401033002</v>
      </c>
      <c r="B16576" t="s">
        <v>7133</v>
      </c>
    </row>
    <row r="16577" spans="1:2" x14ac:dyDescent="0.25">
      <c r="A16577">
        <v>40103300210</v>
      </c>
      <c r="B16577" t="s">
        <v>7134</v>
      </c>
    </row>
    <row r="16578" spans="1:2" x14ac:dyDescent="0.25">
      <c r="A16578">
        <v>40103300290</v>
      </c>
      <c r="B16578" t="s">
        <v>57</v>
      </c>
    </row>
    <row r="16579" spans="1:2" x14ac:dyDescent="0.25">
      <c r="A16579">
        <v>40103400</v>
      </c>
      <c r="B16579" t="s">
        <v>7151</v>
      </c>
    </row>
    <row r="16580" spans="1:2" x14ac:dyDescent="0.25">
      <c r="A16580">
        <v>401034001</v>
      </c>
      <c r="B16580" t="s">
        <v>7136</v>
      </c>
    </row>
    <row r="16581" spans="1:2" x14ac:dyDescent="0.25">
      <c r="A16581">
        <v>4010340011</v>
      </c>
      <c r="B16581" t="s">
        <v>7152</v>
      </c>
    </row>
    <row r="16582" spans="1:2" x14ac:dyDescent="0.25">
      <c r="A16582">
        <v>40103400111</v>
      </c>
      <c r="B16582" t="s">
        <v>7138</v>
      </c>
    </row>
    <row r="16583" spans="1:2" x14ac:dyDescent="0.25">
      <c r="A16583">
        <v>40103400112</v>
      </c>
      <c r="B16583" t="s">
        <v>7139</v>
      </c>
    </row>
    <row r="16584" spans="1:2" x14ac:dyDescent="0.25">
      <c r="A16584">
        <v>40103400113</v>
      </c>
      <c r="B16584" t="s">
        <v>7140</v>
      </c>
    </row>
    <row r="16585" spans="1:2" x14ac:dyDescent="0.25">
      <c r="A16585">
        <v>40103400114</v>
      </c>
      <c r="B16585" t="s">
        <v>7153</v>
      </c>
    </row>
    <row r="16586" spans="1:2" x14ac:dyDescent="0.25">
      <c r="A16586">
        <v>40103400120</v>
      </c>
      <c r="B16586" t="s">
        <v>7154</v>
      </c>
    </row>
    <row r="16587" spans="1:2" x14ac:dyDescent="0.25">
      <c r="A16587">
        <v>40103400130</v>
      </c>
      <c r="B16587" t="s">
        <v>7142</v>
      </c>
    </row>
    <row r="16588" spans="1:2" x14ac:dyDescent="0.25">
      <c r="A16588">
        <v>4010340014</v>
      </c>
      <c r="B16588" t="s">
        <v>7143</v>
      </c>
    </row>
    <row r="16589" spans="1:2" x14ac:dyDescent="0.25">
      <c r="A16589">
        <v>40103400141</v>
      </c>
      <c r="B16589" t="s">
        <v>7144</v>
      </c>
    </row>
    <row r="16590" spans="1:2" x14ac:dyDescent="0.25">
      <c r="A16590">
        <v>40103400149</v>
      </c>
      <c r="B16590" t="s">
        <v>57</v>
      </c>
    </row>
    <row r="16591" spans="1:2" x14ac:dyDescent="0.25">
      <c r="A16591">
        <v>4010340015</v>
      </c>
      <c r="B16591" t="s">
        <v>7145</v>
      </c>
    </row>
    <row r="16592" spans="1:2" x14ac:dyDescent="0.25">
      <c r="A16592">
        <v>40103400151</v>
      </c>
      <c r="B16592" t="s">
        <v>7144</v>
      </c>
    </row>
    <row r="16593" spans="1:2" x14ac:dyDescent="0.25">
      <c r="A16593">
        <v>40103400159</v>
      </c>
      <c r="B16593" t="s">
        <v>57</v>
      </c>
    </row>
    <row r="16594" spans="1:2" x14ac:dyDescent="0.25">
      <c r="A16594">
        <v>4010340016</v>
      </c>
      <c r="B16594" t="s">
        <v>7146</v>
      </c>
    </row>
    <row r="16595" spans="1:2" x14ac:dyDescent="0.25">
      <c r="A16595">
        <v>40103400161</v>
      </c>
      <c r="B16595" t="s">
        <v>7144</v>
      </c>
    </row>
    <row r="16596" spans="1:2" x14ac:dyDescent="0.25">
      <c r="A16596">
        <v>40103400169</v>
      </c>
      <c r="B16596" t="s">
        <v>57</v>
      </c>
    </row>
    <row r="16597" spans="1:2" x14ac:dyDescent="0.25">
      <c r="A16597">
        <v>40103400190</v>
      </c>
      <c r="B16597" t="s">
        <v>57</v>
      </c>
    </row>
    <row r="16598" spans="1:2" x14ac:dyDescent="0.25">
      <c r="A16598">
        <v>401034002</v>
      </c>
      <c r="B16598" t="s">
        <v>7147</v>
      </c>
    </row>
    <row r="16599" spans="1:2" x14ac:dyDescent="0.25">
      <c r="A16599">
        <v>40103400210</v>
      </c>
      <c r="B16599" t="s">
        <v>7148</v>
      </c>
    </row>
    <row r="16600" spans="1:2" x14ac:dyDescent="0.25">
      <c r="A16600">
        <v>40103400290</v>
      </c>
      <c r="B16600" t="s">
        <v>57</v>
      </c>
    </row>
    <row r="16601" spans="1:2" x14ac:dyDescent="0.25">
      <c r="A16601">
        <v>401034003</v>
      </c>
      <c r="B16601" t="s">
        <v>7149</v>
      </c>
    </row>
    <row r="16602" spans="1:2" x14ac:dyDescent="0.25">
      <c r="A16602">
        <v>40103400310</v>
      </c>
      <c r="B16602" t="s">
        <v>7139</v>
      </c>
    </row>
    <row r="16603" spans="1:2" x14ac:dyDescent="0.25">
      <c r="A16603">
        <v>40103400320</v>
      </c>
      <c r="B16603" t="s">
        <v>7140</v>
      </c>
    </row>
    <row r="16604" spans="1:2" x14ac:dyDescent="0.25">
      <c r="A16604">
        <v>40103400330</v>
      </c>
      <c r="B16604" t="s">
        <v>7148</v>
      </c>
    </row>
    <row r="16605" spans="1:2" x14ac:dyDescent="0.25">
      <c r="A16605">
        <v>40103400390</v>
      </c>
      <c r="B16605" t="s">
        <v>57</v>
      </c>
    </row>
    <row r="16606" spans="1:2" x14ac:dyDescent="0.25">
      <c r="A16606">
        <v>40103500</v>
      </c>
      <c r="B16606" t="s">
        <v>7155</v>
      </c>
    </row>
    <row r="16607" spans="1:2" x14ac:dyDescent="0.25">
      <c r="A16607">
        <v>401035001</v>
      </c>
      <c r="B16607" t="s">
        <v>7156</v>
      </c>
    </row>
    <row r="16608" spans="1:2" x14ac:dyDescent="0.25">
      <c r="A16608">
        <v>40103500110</v>
      </c>
      <c r="B16608" t="s">
        <v>7157</v>
      </c>
    </row>
    <row r="16609" spans="1:2" x14ac:dyDescent="0.25">
      <c r="A16609">
        <v>40103500120</v>
      </c>
      <c r="B16609" t="s">
        <v>7158</v>
      </c>
    </row>
    <row r="16610" spans="1:2" x14ac:dyDescent="0.25">
      <c r="A16610">
        <v>40103500130</v>
      </c>
      <c r="B16610" t="s">
        <v>7159</v>
      </c>
    </row>
    <row r="16611" spans="1:2" x14ac:dyDescent="0.25">
      <c r="A16611">
        <v>40103500190</v>
      </c>
      <c r="B16611" t="s">
        <v>57</v>
      </c>
    </row>
    <row r="16612" spans="1:2" x14ac:dyDescent="0.25">
      <c r="A16612">
        <v>401035002</v>
      </c>
      <c r="B16612" t="s">
        <v>7160</v>
      </c>
    </row>
    <row r="16613" spans="1:2" x14ac:dyDescent="0.25">
      <c r="A16613">
        <v>40103500210</v>
      </c>
      <c r="B16613" t="s">
        <v>7157</v>
      </c>
    </row>
    <row r="16614" spans="1:2" x14ac:dyDescent="0.25">
      <c r="A16614">
        <v>40103500220</v>
      </c>
      <c r="B16614" t="s">
        <v>7158</v>
      </c>
    </row>
    <row r="16615" spans="1:2" x14ac:dyDescent="0.25">
      <c r="A16615">
        <v>40103500290</v>
      </c>
      <c r="B16615" t="s">
        <v>57</v>
      </c>
    </row>
    <row r="16616" spans="1:2" x14ac:dyDescent="0.25">
      <c r="A16616">
        <v>40103600</v>
      </c>
      <c r="B16616" t="s">
        <v>7161</v>
      </c>
    </row>
    <row r="16617" spans="1:2" x14ac:dyDescent="0.25">
      <c r="A16617">
        <v>401036001</v>
      </c>
      <c r="B16617" t="s">
        <v>7156</v>
      </c>
    </row>
    <row r="16618" spans="1:2" x14ac:dyDescent="0.25">
      <c r="A16618">
        <v>40103600110</v>
      </c>
      <c r="B16618" t="s">
        <v>7157</v>
      </c>
    </row>
    <row r="16619" spans="1:2" x14ac:dyDescent="0.25">
      <c r="A16619">
        <v>40103600120</v>
      </c>
      <c r="B16619" t="s">
        <v>7158</v>
      </c>
    </row>
    <row r="16620" spans="1:2" x14ac:dyDescent="0.25">
      <c r="A16620">
        <v>40103600130</v>
      </c>
      <c r="B16620" t="s">
        <v>7159</v>
      </c>
    </row>
    <row r="16621" spans="1:2" x14ac:dyDescent="0.25">
      <c r="A16621">
        <v>40103600190</v>
      </c>
      <c r="B16621" t="s">
        <v>57</v>
      </c>
    </row>
    <row r="16622" spans="1:2" x14ac:dyDescent="0.25">
      <c r="A16622">
        <v>401036002</v>
      </c>
      <c r="B16622" t="s">
        <v>7160</v>
      </c>
    </row>
    <row r="16623" spans="1:2" x14ac:dyDescent="0.25">
      <c r="A16623">
        <v>40103600210</v>
      </c>
      <c r="B16623" t="s">
        <v>7157</v>
      </c>
    </row>
    <row r="16624" spans="1:2" x14ac:dyDescent="0.25">
      <c r="A16624">
        <v>40103600220</v>
      </c>
      <c r="B16624" t="s">
        <v>7158</v>
      </c>
    </row>
    <row r="16625" spans="1:2" x14ac:dyDescent="0.25">
      <c r="A16625">
        <v>40103600290</v>
      </c>
      <c r="B16625" t="s">
        <v>57</v>
      </c>
    </row>
    <row r="16626" spans="1:2" x14ac:dyDescent="0.25">
      <c r="A16626">
        <v>40103900</v>
      </c>
      <c r="B16626" t="e">
        <f>- - las demas</f>
        <v>#NAME?</v>
      </c>
    </row>
    <row r="16627" spans="1:2" x14ac:dyDescent="0.25">
      <c r="A16627">
        <v>401039001</v>
      </c>
      <c r="B16627" t="s">
        <v>7162</v>
      </c>
    </row>
    <row r="16628" spans="1:2" x14ac:dyDescent="0.25">
      <c r="A16628">
        <v>40103900110</v>
      </c>
      <c r="B16628" t="s">
        <v>7152</v>
      </c>
    </row>
    <row r="16629" spans="1:2" x14ac:dyDescent="0.25">
      <c r="A16629">
        <v>40103900120</v>
      </c>
      <c r="B16629" t="s">
        <v>7163</v>
      </c>
    </row>
    <row r="16630" spans="1:2" x14ac:dyDescent="0.25">
      <c r="A16630">
        <v>40103900130</v>
      </c>
      <c r="B16630" t="s">
        <v>7154</v>
      </c>
    </row>
    <row r="16631" spans="1:2" x14ac:dyDescent="0.25">
      <c r="A16631">
        <v>40103900190</v>
      </c>
      <c r="B16631" t="s">
        <v>57</v>
      </c>
    </row>
    <row r="16632" spans="1:2" x14ac:dyDescent="0.25">
      <c r="A16632">
        <v>40103900200</v>
      </c>
      <c r="B16632" t="s">
        <v>7164</v>
      </c>
    </row>
    <row r="16633" spans="1:2" x14ac:dyDescent="0.25">
      <c r="A16633">
        <v>40103900300</v>
      </c>
      <c r="B16633" t="s">
        <v>7165</v>
      </c>
    </row>
    <row r="16634" spans="1:2" x14ac:dyDescent="0.25">
      <c r="A16634">
        <v>40103900900</v>
      </c>
      <c r="B16634" t="s">
        <v>10</v>
      </c>
    </row>
    <row r="16635" spans="1:2" x14ac:dyDescent="0.25">
      <c r="A16635">
        <v>4011</v>
      </c>
      <c r="B16635" t="s">
        <v>7166</v>
      </c>
    </row>
    <row r="16636" spans="1:2" x14ac:dyDescent="0.25">
      <c r="A16636">
        <v>40111000</v>
      </c>
      <c r="B16636" t="s">
        <v>7167</v>
      </c>
    </row>
    <row r="16637" spans="1:2" x14ac:dyDescent="0.25">
      <c r="A16637">
        <v>401110001</v>
      </c>
      <c r="B16637" t="s">
        <v>7168</v>
      </c>
    </row>
    <row r="16638" spans="1:2" x14ac:dyDescent="0.25">
      <c r="A16638">
        <v>4011100011</v>
      </c>
      <c r="B16638" t="s">
        <v>7169</v>
      </c>
    </row>
    <row r="16639" spans="1:2" x14ac:dyDescent="0.25">
      <c r="A16639">
        <v>40111000111</v>
      </c>
      <c r="B16639" t="s">
        <v>7170</v>
      </c>
    </row>
    <row r="16640" spans="1:2" x14ac:dyDescent="0.25">
      <c r="A16640">
        <v>40111000112</v>
      </c>
      <c r="B16640" t="s">
        <v>7171</v>
      </c>
    </row>
    <row r="16641" spans="1:2" x14ac:dyDescent="0.25">
      <c r="A16641">
        <v>40111000113</v>
      </c>
      <c r="B16641" t="s">
        <v>7172</v>
      </c>
    </row>
    <row r="16642" spans="1:2" x14ac:dyDescent="0.25">
      <c r="A16642">
        <v>40111000114</v>
      </c>
      <c r="B16642" t="s">
        <v>7173</v>
      </c>
    </row>
    <row r="16643" spans="1:2" x14ac:dyDescent="0.25">
      <c r="A16643">
        <v>40111000115</v>
      </c>
      <c r="B16643" t="s">
        <v>7174</v>
      </c>
    </row>
    <row r="16644" spans="1:2" x14ac:dyDescent="0.25">
      <c r="A16644">
        <v>40111000119</v>
      </c>
      <c r="B16644" t="s">
        <v>10</v>
      </c>
    </row>
    <row r="16645" spans="1:2" x14ac:dyDescent="0.25">
      <c r="A16645">
        <v>4011100012</v>
      </c>
      <c r="B16645" t="s">
        <v>7175</v>
      </c>
    </row>
    <row r="16646" spans="1:2" x14ac:dyDescent="0.25">
      <c r="A16646">
        <v>40111000121</v>
      </c>
      <c r="B16646" t="s">
        <v>7170</v>
      </c>
    </row>
    <row r="16647" spans="1:2" x14ac:dyDescent="0.25">
      <c r="A16647">
        <v>40111000122</v>
      </c>
      <c r="B16647" t="s">
        <v>7171</v>
      </c>
    </row>
    <row r="16648" spans="1:2" x14ac:dyDescent="0.25">
      <c r="A16648">
        <v>40111000123</v>
      </c>
      <c r="B16648" t="s">
        <v>7172</v>
      </c>
    </row>
    <row r="16649" spans="1:2" x14ac:dyDescent="0.25">
      <c r="A16649">
        <v>40111000124</v>
      </c>
      <c r="B16649" t="s">
        <v>7173</v>
      </c>
    </row>
    <row r="16650" spans="1:2" x14ac:dyDescent="0.25">
      <c r="A16650">
        <v>40111000125</v>
      </c>
      <c r="B16650" t="s">
        <v>7174</v>
      </c>
    </row>
    <row r="16651" spans="1:2" x14ac:dyDescent="0.25">
      <c r="A16651">
        <v>40111000129</v>
      </c>
      <c r="B16651" t="s">
        <v>10</v>
      </c>
    </row>
    <row r="16652" spans="1:2" x14ac:dyDescent="0.25">
      <c r="A16652">
        <v>4011100013</v>
      </c>
      <c r="B16652" t="s">
        <v>7176</v>
      </c>
    </row>
    <row r="16653" spans="1:2" x14ac:dyDescent="0.25">
      <c r="A16653">
        <v>40111000131</v>
      </c>
      <c r="B16653" t="s">
        <v>7170</v>
      </c>
    </row>
    <row r="16654" spans="1:2" x14ac:dyDescent="0.25">
      <c r="A16654">
        <v>40111000132</v>
      </c>
      <c r="B16654" t="s">
        <v>7171</v>
      </c>
    </row>
    <row r="16655" spans="1:2" x14ac:dyDescent="0.25">
      <c r="A16655">
        <v>40111000133</v>
      </c>
      <c r="B16655" t="s">
        <v>7172</v>
      </c>
    </row>
    <row r="16656" spans="1:2" x14ac:dyDescent="0.25">
      <c r="A16656">
        <v>40111000134</v>
      </c>
      <c r="B16656" t="s">
        <v>7173</v>
      </c>
    </row>
    <row r="16657" spans="1:2" x14ac:dyDescent="0.25">
      <c r="A16657">
        <v>40111000135</v>
      </c>
      <c r="B16657" t="s">
        <v>7174</v>
      </c>
    </row>
    <row r="16658" spans="1:2" x14ac:dyDescent="0.25">
      <c r="A16658">
        <v>40111000139</v>
      </c>
      <c r="B16658" t="s">
        <v>10</v>
      </c>
    </row>
    <row r="16659" spans="1:2" x14ac:dyDescent="0.25">
      <c r="A16659">
        <v>40111000190</v>
      </c>
      <c r="B16659" t="s">
        <v>10</v>
      </c>
    </row>
    <row r="16660" spans="1:2" x14ac:dyDescent="0.25">
      <c r="A16660">
        <v>401110002</v>
      </c>
      <c r="B16660" t="s">
        <v>7177</v>
      </c>
    </row>
    <row r="16661" spans="1:2" x14ac:dyDescent="0.25">
      <c r="A16661">
        <v>40111000210</v>
      </c>
      <c r="B16661" t="s">
        <v>7178</v>
      </c>
    </row>
    <row r="16662" spans="1:2" x14ac:dyDescent="0.25">
      <c r="A16662">
        <v>40111000220</v>
      </c>
      <c r="B16662" t="s">
        <v>7179</v>
      </c>
    </row>
    <row r="16663" spans="1:2" x14ac:dyDescent="0.25">
      <c r="A16663">
        <v>40111000230</v>
      </c>
      <c r="B16663" t="s">
        <v>7180</v>
      </c>
    </row>
    <row r="16664" spans="1:2" x14ac:dyDescent="0.25">
      <c r="A16664">
        <v>40111000290</v>
      </c>
      <c r="B16664" t="s">
        <v>10</v>
      </c>
    </row>
    <row r="16665" spans="1:2" x14ac:dyDescent="0.25">
      <c r="A16665">
        <v>401110003</v>
      </c>
      <c r="B16665" t="s">
        <v>7181</v>
      </c>
    </row>
    <row r="16666" spans="1:2" x14ac:dyDescent="0.25">
      <c r="A16666">
        <v>4011100031</v>
      </c>
      <c r="B16666" t="s">
        <v>7182</v>
      </c>
    </row>
    <row r="16667" spans="1:2" x14ac:dyDescent="0.25">
      <c r="A16667">
        <v>40111000311</v>
      </c>
      <c r="B16667" t="s">
        <v>7183</v>
      </c>
    </row>
    <row r="16668" spans="1:2" x14ac:dyDescent="0.25">
      <c r="A16668">
        <v>40111000312</v>
      </c>
      <c r="B16668" t="s">
        <v>7184</v>
      </c>
    </row>
    <row r="16669" spans="1:2" x14ac:dyDescent="0.25">
      <c r="A16669">
        <v>40111000313</v>
      </c>
      <c r="B16669" t="s">
        <v>7185</v>
      </c>
    </row>
    <row r="16670" spans="1:2" x14ac:dyDescent="0.25">
      <c r="A16670">
        <v>40111000319</v>
      </c>
      <c r="B16670" t="s">
        <v>10</v>
      </c>
    </row>
    <row r="16671" spans="1:2" x14ac:dyDescent="0.25">
      <c r="A16671">
        <v>4011100032</v>
      </c>
      <c r="B16671" t="s">
        <v>7186</v>
      </c>
    </row>
    <row r="16672" spans="1:2" x14ac:dyDescent="0.25">
      <c r="A16672">
        <v>40111000321</v>
      </c>
      <c r="B16672" t="s">
        <v>7187</v>
      </c>
    </row>
    <row r="16673" spans="1:2" x14ac:dyDescent="0.25">
      <c r="A16673">
        <v>40111000322</v>
      </c>
      <c r="B16673" t="s">
        <v>7188</v>
      </c>
    </row>
    <row r="16674" spans="1:2" x14ac:dyDescent="0.25">
      <c r="A16674">
        <v>40111000323</v>
      </c>
      <c r="B16674" t="s">
        <v>7183</v>
      </c>
    </row>
    <row r="16675" spans="1:2" x14ac:dyDescent="0.25">
      <c r="A16675">
        <v>40111000324</v>
      </c>
      <c r="B16675" t="s">
        <v>7189</v>
      </c>
    </row>
    <row r="16676" spans="1:2" x14ac:dyDescent="0.25">
      <c r="A16676">
        <v>40111000325</v>
      </c>
      <c r="B16676" t="s">
        <v>7184</v>
      </c>
    </row>
    <row r="16677" spans="1:2" x14ac:dyDescent="0.25">
      <c r="A16677">
        <v>40111000329</v>
      </c>
      <c r="B16677" t="s">
        <v>10</v>
      </c>
    </row>
    <row r="16678" spans="1:2" x14ac:dyDescent="0.25">
      <c r="A16678">
        <v>4011100033</v>
      </c>
      <c r="B16678" t="s">
        <v>7175</v>
      </c>
    </row>
    <row r="16679" spans="1:2" x14ac:dyDescent="0.25">
      <c r="A16679">
        <v>40111000331</v>
      </c>
      <c r="B16679" t="s">
        <v>7188</v>
      </c>
    </row>
    <row r="16680" spans="1:2" x14ac:dyDescent="0.25">
      <c r="A16680">
        <v>40111000332</v>
      </c>
      <c r="B16680" t="s">
        <v>7183</v>
      </c>
    </row>
    <row r="16681" spans="1:2" x14ac:dyDescent="0.25">
      <c r="A16681">
        <v>40111000333</v>
      </c>
      <c r="B16681" t="s">
        <v>7189</v>
      </c>
    </row>
    <row r="16682" spans="1:2" x14ac:dyDescent="0.25">
      <c r="A16682">
        <v>40111000334</v>
      </c>
      <c r="B16682" t="s">
        <v>7184</v>
      </c>
    </row>
    <row r="16683" spans="1:2" x14ac:dyDescent="0.25">
      <c r="A16683">
        <v>40111000335</v>
      </c>
      <c r="B16683" t="s">
        <v>7190</v>
      </c>
    </row>
    <row r="16684" spans="1:2" x14ac:dyDescent="0.25">
      <c r="A16684">
        <v>40111000339</v>
      </c>
      <c r="B16684" t="s">
        <v>10</v>
      </c>
    </row>
    <row r="16685" spans="1:2" x14ac:dyDescent="0.25">
      <c r="A16685">
        <v>4011100034</v>
      </c>
      <c r="B16685" t="s">
        <v>7191</v>
      </c>
    </row>
    <row r="16686" spans="1:2" x14ac:dyDescent="0.25">
      <c r="A16686">
        <v>40111000341</v>
      </c>
      <c r="B16686" t="s">
        <v>7192</v>
      </c>
    </row>
    <row r="16687" spans="1:2" x14ac:dyDescent="0.25">
      <c r="A16687">
        <v>40111000342</v>
      </c>
      <c r="B16687" t="s">
        <v>7193</v>
      </c>
    </row>
    <row r="16688" spans="1:2" x14ac:dyDescent="0.25">
      <c r="A16688">
        <v>40111000343</v>
      </c>
      <c r="B16688" t="s">
        <v>7194</v>
      </c>
    </row>
    <row r="16689" spans="1:2" x14ac:dyDescent="0.25">
      <c r="A16689">
        <v>40111000344</v>
      </c>
      <c r="B16689" t="s">
        <v>7183</v>
      </c>
    </row>
    <row r="16690" spans="1:2" x14ac:dyDescent="0.25">
      <c r="A16690">
        <v>40111000345</v>
      </c>
      <c r="B16690" t="s">
        <v>7189</v>
      </c>
    </row>
    <row r="16691" spans="1:2" x14ac:dyDescent="0.25">
      <c r="A16691">
        <v>40111000346</v>
      </c>
      <c r="B16691" t="s">
        <v>7195</v>
      </c>
    </row>
    <row r="16692" spans="1:2" x14ac:dyDescent="0.25">
      <c r="A16692">
        <v>40111000349</v>
      </c>
      <c r="B16692" t="s">
        <v>10</v>
      </c>
    </row>
    <row r="16693" spans="1:2" x14ac:dyDescent="0.25">
      <c r="A16693">
        <v>4011100035</v>
      </c>
      <c r="B16693" t="s">
        <v>7176</v>
      </c>
    </row>
    <row r="16694" spans="1:2" x14ac:dyDescent="0.25">
      <c r="A16694">
        <v>40111000351</v>
      </c>
      <c r="B16694" t="s">
        <v>7193</v>
      </c>
    </row>
    <row r="16695" spans="1:2" x14ac:dyDescent="0.25">
      <c r="A16695">
        <v>40111000352</v>
      </c>
      <c r="B16695" t="s">
        <v>7194</v>
      </c>
    </row>
    <row r="16696" spans="1:2" x14ac:dyDescent="0.25">
      <c r="A16696">
        <v>40111000353</v>
      </c>
      <c r="B16696" t="s">
        <v>7183</v>
      </c>
    </row>
    <row r="16697" spans="1:2" x14ac:dyDescent="0.25">
      <c r="A16697">
        <v>40111000354</v>
      </c>
      <c r="B16697" t="s">
        <v>7189</v>
      </c>
    </row>
    <row r="16698" spans="1:2" x14ac:dyDescent="0.25">
      <c r="A16698">
        <v>40111000359</v>
      </c>
      <c r="B16698" t="s">
        <v>10</v>
      </c>
    </row>
    <row r="16699" spans="1:2" x14ac:dyDescent="0.25">
      <c r="A16699">
        <v>4011100036</v>
      </c>
      <c r="B16699" t="s">
        <v>7196</v>
      </c>
    </row>
    <row r="16700" spans="1:2" x14ac:dyDescent="0.25">
      <c r="A16700">
        <v>40111000361</v>
      </c>
      <c r="B16700" t="s">
        <v>7192</v>
      </c>
    </row>
    <row r="16701" spans="1:2" x14ac:dyDescent="0.25">
      <c r="A16701">
        <v>40111000362</v>
      </c>
      <c r="B16701" t="s">
        <v>7193</v>
      </c>
    </row>
    <row r="16702" spans="1:2" x14ac:dyDescent="0.25">
      <c r="A16702">
        <v>40111000363</v>
      </c>
      <c r="B16702" t="s">
        <v>7194</v>
      </c>
    </row>
    <row r="16703" spans="1:2" x14ac:dyDescent="0.25">
      <c r="A16703">
        <v>40111000369</v>
      </c>
      <c r="B16703" t="s">
        <v>10</v>
      </c>
    </row>
    <row r="16704" spans="1:2" x14ac:dyDescent="0.25">
      <c r="A16704">
        <v>4011100037</v>
      </c>
      <c r="B16704" t="s">
        <v>7197</v>
      </c>
    </row>
    <row r="16705" spans="1:2" x14ac:dyDescent="0.25">
      <c r="A16705">
        <v>40111000371</v>
      </c>
      <c r="B16705" t="s">
        <v>7198</v>
      </c>
    </row>
    <row r="16706" spans="1:2" x14ac:dyDescent="0.25">
      <c r="A16706">
        <v>40111000379</v>
      </c>
      <c r="B16706" t="s">
        <v>10</v>
      </c>
    </row>
    <row r="16707" spans="1:2" x14ac:dyDescent="0.25">
      <c r="A16707">
        <v>40111000390</v>
      </c>
      <c r="B16707" t="s">
        <v>10</v>
      </c>
    </row>
    <row r="16708" spans="1:2" x14ac:dyDescent="0.25">
      <c r="A16708">
        <v>401110004</v>
      </c>
      <c r="B16708" t="s">
        <v>7199</v>
      </c>
    </row>
    <row r="16709" spans="1:2" x14ac:dyDescent="0.25">
      <c r="A16709">
        <v>4011100041</v>
      </c>
      <c r="B16709" t="s">
        <v>7179</v>
      </c>
    </row>
    <row r="16710" spans="1:2" x14ac:dyDescent="0.25">
      <c r="A16710">
        <v>40111000411</v>
      </c>
      <c r="B16710" t="s">
        <v>7198</v>
      </c>
    </row>
    <row r="16711" spans="1:2" x14ac:dyDescent="0.25">
      <c r="A16711">
        <v>40111000419</v>
      </c>
      <c r="B16711" t="s">
        <v>10</v>
      </c>
    </row>
    <row r="16712" spans="1:2" x14ac:dyDescent="0.25">
      <c r="A16712">
        <v>4011100042</v>
      </c>
      <c r="B16712" t="s">
        <v>7186</v>
      </c>
    </row>
    <row r="16713" spans="1:2" x14ac:dyDescent="0.25">
      <c r="A16713">
        <v>40111000421</v>
      </c>
      <c r="B16713" t="s">
        <v>7200</v>
      </c>
    </row>
    <row r="16714" spans="1:2" x14ac:dyDescent="0.25">
      <c r="A16714">
        <v>40111000422</v>
      </c>
      <c r="B16714" t="s">
        <v>7193</v>
      </c>
    </row>
    <row r="16715" spans="1:2" x14ac:dyDescent="0.25">
      <c r="A16715">
        <v>40111000423</v>
      </c>
      <c r="B16715" t="s">
        <v>7183</v>
      </c>
    </row>
    <row r="16716" spans="1:2" x14ac:dyDescent="0.25">
      <c r="A16716">
        <v>40111000424</v>
      </c>
      <c r="B16716" t="s">
        <v>7189</v>
      </c>
    </row>
    <row r="16717" spans="1:2" x14ac:dyDescent="0.25">
      <c r="A16717">
        <v>40111000425</v>
      </c>
      <c r="B16717" t="s">
        <v>7184</v>
      </c>
    </row>
    <row r="16718" spans="1:2" x14ac:dyDescent="0.25">
      <c r="A16718">
        <v>40111000429</v>
      </c>
      <c r="B16718" t="s">
        <v>10</v>
      </c>
    </row>
    <row r="16719" spans="1:2" x14ac:dyDescent="0.25">
      <c r="A16719">
        <v>4011100043</v>
      </c>
      <c r="B16719" t="s">
        <v>7175</v>
      </c>
    </row>
    <row r="16720" spans="1:2" x14ac:dyDescent="0.25">
      <c r="A16720">
        <v>40111000431</v>
      </c>
      <c r="B16720" t="s">
        <v>7192</v>
      </c>
    </row>
    <row r="16721" spans="1:2" x14ac:dyDescent="0.25">
      <c r="A16721">
        <v>40111000432</v>
      </c>
      <c r="B16721" t="s">
        <v>7193</v>
      </c>
    </row>
    <row r="16722" spans="1:2" x14ac:dyDescent="0.25">
      <c r="A16722">
        <v>40111000433</v>
      </c>
      <c r="B16722" t="s">
        <v>7183</v>
      </c>
    </row>
    <row r="16723" spans="1:2" x14ac:dyDescent="0.25">
      <c r="A16723">
        <v>40111000434</v>
      </c>
      <c r="B16723" t="s">
        <v>7189</v>
      </c>
    </row>
    <row r="16724" spans="1:2" x14ac:dyDescent="0.25">
      <c r="A16724">
        <v>40111000435</v>
      </c>
      <c r="B16724" t="s">
        <v>7184</v>
      </c>
    </row>
    <row r="16725" spans="1:2" x14ac:dyDescent="0.25">
      <c r="A16725">
        <v>40111000436</v>
      </c>
      <c r="B16725" t="s">
        <v>7190</v>
      </c>
    </row>
    <row r="16726" spans="1:2" x14ac:dyDescent="0.25">
      <c r="A16726">
        <v>40111000439</v>
      </c>
      <c r="B16726" t="s">
        <v>10</v>
      </c>
    </row>
    <row r="16727" spans="1:2" x14ac:dyDescent="0.25">
      <c r="A16727">
        <v>4011100044</v>
      </c>
      <c r="B16727" t="s">
        <v>7191</v>
      </c>
    </row>
    <row r="16728" spans="1:2" x14ac:dyDescent="0.25">
      <c r="A16728">
        <v>40111000441</v>
      </c>
      <c r="B16728" t="s">
        <v>7201</v>
      </c>
    </row>
    <row r="16729" spans="1:2" x14ac:dyDescent="0.25">
      <c r="A16729">
        <v>40111000442</v>
      </c>
      <c r="B16729" t="s">
        <v>7202</v>
      </c>
    </row>
    <row r="16730" spans="1:2" x14ac:dyDescent="0.25">
      <c r="A16730">
        <v>40111000443</v>
      </c>
      <c r="B16730" t="s">
        <v>7203</v>
      </c>
    </row>
    <row r="16731" spans="1:2" x14ac:dyDescent="0.25">
      <c r="A16731">
        <v>40111000444</v>
      </c>
      <c r="B16731" t="s">
        <v>7194</v>
      </c>
    </row>
    <row r="16732" spans="1:2" x14ac:dyDescent="0.25">
      <c r="A16732">
        <v>40111000445</v>
      </c>
      <c r="B16732" t="s">
        <v>7183</v>
      </c>
    </row>
    <row r="16733" spans="1:2" x14ac:dyDescent="0.25">
      <c r="A16733">
        <v>40111000446</v>
      </c>
      <c r="B16733" t="s">
        <v>7189</v>
      </c>
    </row>
    <row r="16734" spans="1:2" x14ac:dyDescent="0.25">
      <c r="A16734">
        <v>40111000447</v>
      </c>
      <c r="B16734" t="s">
        <v>7184</v>
      </c>
    </row>
    <row r="16735" spans="1:2" x14ac:dyDescent="0.25">
      <c r="A16735">
        <v>40111000449</v>
      </c>
      <c r="B16735" t="s">
        <v>10</v>
      </c>
    </row>
    <row r="16736" spans="1:2" x14ac:dyDescent="0.25">
      <c r="A16736">
        <v>4011100045</v>
      </c>
      <c r="B16736" t="s">
        <v>7176</v>
      </c>
    </row>
    <row r="16737" spans="1:2" x14ac:dyDescent="0.25">
      <c r="A16737">
        <v>40111000451</v>
      </c>
      <c r="B16737" t="s">
        <v>7192</v>
      </c>
    </row>
    <row r="16738" spans="1:2" x14ac:dyDescent="0.25">
      <c r="A16738">
        <v>40111000452</v>
      </c>
      <c r="B16738" t="s">
        <v>7193</v>
      </c>
    </row>
    <row r="16739" spans="1:2" x14ac:dyDescent="0.25">
      <c r="A16739">
        <v>40111000453</v>
      </c>
      <c r="B16739" t="s">
        <v>7194</v>
      </c>
    </row>
    <row r="16740" spans="1:2" x14ac:dyDescent="0.25">
      <c r="A16740">
        <v>40111000454</v>
      </c>
      <c r="B16740" t="s">
        <v>7183</v>
      </c>
    </row>
    <row r="16741" spans="1:2" x14ac:dyDescent="0.25">
      <c r="A16741">
        <v>40111000455</v>
      </c>
      <c r="B16741" t="s">
        <v>7189</v>
      </c>
    </row>
    <row r="16742" spans="1:2" x14ac:dyDescent="0.25">
      <c r="A16742">
        <v>40111000456</v>
      </c>
      <c r="B16742" t="s">
        <v>7204</v>
      </c>
    </row>
    <row r="16743" spans="1:2" x14ac:dyDescent="0.25">
      <c r="A16743">
        <v>40111000459</v>
      </c>
      <c r="B16743" t="s">
        <v>10</v>
      </c>
    </row>
    <row r="16744" spans="1:2" x14ac:dyDescent="0.25">
      <c r="A16744">
        <v>4011100046</v>
      </c>
      <c r="B16744" t="s">
        <v>7196</v>
      </c>
    </row>
    <row r="16745" spans="1:2" x14ac:dyDescent="0.25">
      <c r="A16745">
        <v>40111000461</v>
      </c>
      <c r="B16745" t="s">
        <v>7193</v>
      </c>
    </row>
    <row r="16746" spans="1:2" x14ac:dyDescent="0.25">
      <c r="A16746">
        <v>40111000462</v>
      </c>
      <c r="B16746" t="s">
        <v>7194</v>
      </c>
    </row>
    <row r="16747" spans="1:2" x14ac:dyDescent="0.25">
      <c r="A16747">
        <v>40111000463</v>
      </c>
      <c r="B16747" t="s">
        <v>7183</v>
      </c>
    </row>
    <row r="16748" spans="1:2" x14ac:dyDescent="0.25">
      <c r="A16748">
        <v>40111000464</v>
      </c>
      <c r="B16748" t="s">
        <v>7189</v>
      </c>
    </row>
    <row r="16749" spans="1:2" x14ac:dyDescent="0.25">
      <c r="A16749">
        <v>40111000465</v>
      </c>
      <c r="B16749" t="s">
        <v>7195</v>
      </c>
    </row>
    <row r="16750" spans="1:2" x14ac:dyDescent="0.25">
      <c r="A16750">
        <v>40111000466</v>
      </c>
      <c r="B16750" t="s">
        <v>7204</v>
      </c>
    </row>
    <row r="16751" spans="1:2" x14ac:dyDescent="0.25">
      <c r="A16751">
        <v>40111000469</v>
      </c>
      <c r="B16751" t="s">
        <v>10</v>
      </c>
    </row>
    <row r="16752" spans="1:2" x14ac:dyDescent="0.25">
      <c r="A16752">
        <v>4011100047</v>
      </c>
      <c r="B16752" t="s">
        <v>7205</v>
      </c>
    </row>
    <row r="16753" spans="1:2" x14ac:dyDescent="0.25">
      <c r="A16753">
        <v>40111000471</v>
      </c>
      <c r="B16753" t="s">
        <v>7183</v>
      </c>
    </row>
    <row r="16754" spans="1:2" x14ac:dyDescent="0.25">
      <c r="A16754">
        <v>40111000472</v>
      </c>
      <c r="B16754" t="s">
        <v>7189</v>
      </c>
    </row>
    <row r="16755" spans="1:2" x14ac:dyDescent="0.25">
      <c r="A16755">
        <v>40111000473</v>
      </c>
      <c r="B16755" t="s">
        <v>7204</v>
      </c>
    </row>
    <row r="16756" spans="1:2" x14ac:dyDescent="0.25">
      <c r="A16756">
        <v>40111000479</v>
      </c>
      <c r="B16756" t="s">
        <v>10</v>
      </c>
    </row>
    <row r="16757" spans="1:2" x14ac:dyDescent="0.25">
      <c r="A16757">
        <v>4011100048</v>
      </c>
      <c r="B16757" t="s">
        <v>7206</v>
      </c>
    </row>
    <row r="16758" spans="1:2" x14ac:dyDescent="0.25">
      <c r="A16758">
        <v>40111000481</v>
      </c>
      <c r="B16758" t="s">
        <v>7198</v>
      </c>
    </row>
    <row r="16759" spans="1:2" x14ac:dyDescent="0.25">
      <c r="A16759">
        <v>40111000489</v>
      </c>
      <c r="B16759" t="s">
        <v>10</v>
      </c>
    </row>
    <row r="16760" spans="1:2" x14ac:dyDescent="0.25">
      <c r="A16760">
        <v>40111000490</v>
      </c>
      <c r="B16760" t="s">
        <v>10</v>
      </c>
    </row>
    <row r="16761" spans="1:2" x14ac:dyDescent="0.25">
      <c r="A16761">
        <v>401110005</v>
      </c>
      <c r="B16761" t="s">
        <v>7207</v>
      </c>
    </row>
    <row r="16762" spans="1:2" x14ac:dyDescent="0.25">
      <c r="A16762">
        <v>4011100051</v>
      </c>
      <c r="B16762" t="s">
        <v>7208</v>
      </c>
    </row>
    <row r="16763" spans="1:2" x14ac:dyDescent="0.25">
      <c r="A16763">
        <v>40111000511</v>
      </c>
      <c r="B16763" t="s">
        <v>7209</v>
      </c>
    </row>
    <row r="16764" spans="1:2" x14ac:dyDescent="0.25">
      <c r="A16764">
        <v>40111000519</v>
      </c>
      <c r="B16764" t="s">
        <v>10</v>
      </c>
    </row>
    <row r="16765" spans="1:2" x14ac:dyDescent="0.25">
      <c r="A16765">
        <v>4011100052</v>
      </c>
      <c r="B16765" t="s">
        <v>7191</v>
      </c>
    </row>
    <row r="16766" spans="1:2" x14ac:dyDescent="0.25">
      <c r="A16766">
        <v>40111000521</v>
      </c>
      <c r="B16766" t="s">
        <v>7192</v>
      </c>
    </row>
    <row r="16767" spans="1:2" x14ac:dyDescent="0.25">
      <c r="A16767">
        <v>40111000522</v>
      </c>
      <c r="B16767" t="s">
        <v>7193</v>
      </c>
    </row>
    <row r="16768" spans="1:2" x14ac:dyDescent="0.25">
      <c r="A16768">
        <v>40111000523</v>
      </c>
      <c r="B16768" t="s">
        <v>7194</v>
      </c>
    </row>
    <row r="16769" spans="1:2" x14ac:dyDescent="0.25">
      <c r="A16769">
        <v>40111000524</v>
      </c>
      <c r="B16769" t="s">
        <v>7210</v>
      </c>
    </row>
    <row r="16770" spans="1:2" x14ac:dyDescent="0.25">
      <c r="A16770">
        <v>40111000525</v>
      </c>
      <c r="B16770" t="s">
        <v>7211</v>
      </c>
    </row>
    <row r="16771" spans="1:2" x14ac:dyDescent="0.25">
      <c r="A16771">
        <v>40111000526</v>
      </c>
      <c r="B16771" t="s">
        <v>7212</v>
      </c>
    </row>
    <row r="16772" spans="1:2" x14ac:dyDescent="0.25">
      <c r="A16772">
        <v>40111000527</v>
      </c>
      <c r="B16772" t="s">
        <v>7213</v>
      </c>
    </row>
    <row r="16773" spans="1:2" x14ac:dyDescent="0.25">
      <c r="A16773">
        <v>40111000528</v>
      </c>
      <c r="B16773" t="s">
        <v>7214</v>
      </c>
    </row>
    <row r="16774" spans="1:2" x14ac:dyDescent="0.25">
      <c r="A16774">
        <v>40111000529</v>
      </c>
      <c r="B16774" t="s">
        <v>10</v>
      </c>
    </row>
    <row r="16775" spans="1:2" x14ac:dyDescent="0.25">
      <c r="A16775">
        <v>4011100053</v>
      </c>
      <c r="B16775" t="s">
        <v>7176</v>
      </c>
    </row>
    <row r="16776" spans="1:2" x14ac:dyDescent="0.25">
      <c r="A16776">
        <v>40111000531</v>
      </c>
      <c r="B16776" t="s">
        <v>7215</v>
      </c>
    </row>
    <row r="16777" spans="1:2" x14ac:dyDescent="0.25">
      <c r="A16777">
        <v>40111000532</v>
      </c>
      <c r="B16777" t="s">
        <v>7216</v>
      </c>
    </row>
    <row r="16778" spans="1:2" x14ac:dyDescent="0.25">
      <c r="A16778">
        <v>40111000533</v>
      </c>
      <c r="B16778" t="s">
        <v>7193</v>
      </c>
    </row>
    <row r="16779" spans="1:2" x14ac:dyDescent="0.25">
      <c r="A16779">
        <v>40111000534</v>
      </c>
      <c r="B16779" t="s">
        <v>7194</v>
      </c>
    </row>
    <row r="16780" spans="1:2" x14ac:dyDescent="0.25">
      <c r="A16780">
        <v>40111000535</v>
      </c>
      <c r="B16780" t="s">
        <v>7210</v>
      </c>
    </row>
    <row r="16781" spans="1:2" x14ac:dyDescent="0.25">
      <c r="A16781">
        <v>40111000536</v>
      </c>
      <c r="B16781" t="s">
        <v>7211</v>
      </c>
    </row>
    <row r="16782" spans="1:2" x14ac:dyDescent="0.25">
      <c r="A16782">
        <v>40111000537</v>
      </c>
      <c r="B16782" t="s">
        <v>7212</v>
      </c>
    </row>
    <row r="16783" spans="1:2" x14ac:dyDescent="0.25">
      <c r="A16783">
        <v>40111000538</v>
      </c>
      <c r="B16783" t="s">
        <v>7213</v>
      </c>
    </row>
    <row r="16784" spans="1:2" x14ac:dyDescent="0.25">
      <c r="A16784">
        <v>40111000539</v>
      </c>
      <c r="B16784" t="s">
        <v>10</v>
      </c>
    </row>
    <row r="16785" spans="1:2" x14ac:dyDescent="0.25">
      <c r="A16785">
        <v>4011100054</v>
      </c>
      <c r="B16785" t="s">
        <v>7196</v>
      </c>
    </row>
    <row r="16786" spans="1:2" x14ac:dyDescent="0.25">
      <c r="A16786">
        <v>40111000541</v>
      </c>
      <c r="B16786" t="s">
        <v>7217</v>
      </c>
    </row>
    <row r="16787" spans="1:2" x14ac:dyDescent="0.25">
      <c r="A16787">
        <v>40111000542</v>
      </c>
      <c r="B16787" t="s">
        <v>7215</v>
      </c>
    </row>
    <row r="16788" spans="1:2" x14ac:dyDescent="0.25">
      <c r="A16788">
        <v>40111000543</v>
      </c>
      <c r="B16788" t="s">
        <v>7216</v>
      </c>
    </row>
    <row r="16789" spans="1:2" x14ac:dyDescent="0.25">
      <c r="A16789">
        <v>40111000544</v>
      </c>
      <c r="B16789" t="s">
        <v>7192</v>
      </c>
    </row>
    <row r="16790" spans="1:2" x14ac:dyDescent="0.25">
      <c r="A16790">
        <v>40111000545</v>
      </c>
      <c r="B16790" t="s">
        <v>7193</v>
      </c>
    </row>
    <row r="16791" spans="1:2" x14ac:dyDescent="0.25">
      <c r="A16791">
        <v>40111000546</v>
      </c>
      <c r="B16791" t="s">
        <v>7194</v>
      </c>
    </row>
    <row r="16792" spans="1:2" x14ac:dyDescent="0.25">
      <c r="A16792">
        <v>40111000547</v>
      </c>
      <c r="B16792" t="s">
        <v>7210</v>
      </c>
    </row>
    <row r="16793" spans="1:2" x14ac:dyDescent="0.25">
      <c r="A16793">
        <v>40111000548</v>
      </c>
      <c r="B16793" t="s">
        <v>7212</v>
      </c>
    </row>
    <row r="16794" spans="1:2" x14ac:dyDescent="0.25">
      <c r="A16794">
        <v>40111000549</v>
      </c>
      <c r="B16794" t="s">
        <v>10</v>
      </c>
    </row>
    <row r="16795" spans="1:2" x14ac:dyDescent="0.25">
      <c r="A16795">
        <v>4011100055</v>
      </c>
      <c r="B16795" t="s">
        <v>7205</v>
      </c>
    </row>
    <row r="16796" spans="1:2" x14ac:dyDescent="0.25">
      <c r="A16796">
        <v>40111000551</v>
      </c>
      <c r="B16796" t="s">
        <v>7210</v>
      </c>
    </row>
    <row r="16797" spans="1:2" x14ac:dyDescent="0.25">
      <c r="A16797">
        <v>40111000552</v>
      </c>
      <c r="B16797" t="s">
        <v>7212</v>
      </c>
    </row>
    <row r="16798" spans="1:2" x14ac:dyDescent="0.25">
      <c r="A16798">
        <v>40111000559</v>
      </c>
      <c r="B16798" t="s">
        <v>10</v>
      </c>
    </row>
    <row r="16799" spans="1:2" x14ac:dyDescent="0.25">
      <c r="A16799">
        <v>4011100056</v>
      </c>
      <c r="B16799" t="s">
        <v>7218</v>
      </c>
    </row>
    <row r="16800" spans="1:2" x14ac:dyDescent="0.25">
      <c r="A16800">
        <v>40111000561</v>
      </c>
      <c r="B16800" t="s">
        <v>7210</v>
      </c>
    </row>
    <row r="16801" spans="1:2" x14ac:dyDescent="0.25">
      <c r="A16801">
        <v>40111000562</v>
      </c>
      <c r="B16801" t="s">
        <v>7212</v>
      </c>
    </row>
    <row r="16802" spans="1:2" x14ac:dyDescent="0.25">
      <c r="A16802">
        <v>40111000569</v>
      </c>
      <c r="B16802" t="s">
        <v>10</v>
      </c>
    </row>
    <row r="16803" spans="1:2" x14ac:dyDescent="0.25">
      <c r="A16803">
        <v>4011100057</v>
      </c>
      <c r="B16803" t="s">
        <v>7219</v>
      </c>
    </row>
    <row r="16804" spans="1:2" x14ac:dyDescent="0.25">
      <c r="A16804">
        <v>40111000571</v>
      </c>
      <c r="B16804" t="s">
        <v>7210</v>
      </c>
    </row>
    <row r="16805" spans="1:2" x14ac:dyDescent="0.25">
      <c r="A16805">
        <v>40111000572</v>
      </c>
      <c r="B16805" t="s">
        <v>7212</v>
      </c>
    </row>
    <row r="16806" spans="1:2" x14ac:dyDescent="0.25">
      <c r="A16806">
        <v>40111000579</v>
      </c>
      <c r="B16806" t="s">
        <v>10</v>
      </c>
    </row>
    <row r="16807" spans="1:2" x14ac:dyDescent="0.25">
      <c r="A16807">
        <v>40111000590</v>
      </c>
      <c r="B16807" t="s">
        <v>10</v>
      </c>
    </row>
    <row r="16808" spans="1:2" x14ac:dyDescent="0.25">
      <c r="A16808">
        <v>401110006</v>
      </c>
      <c r="B16808" t="s">
        <v>7220</v>
      </c>
    </row>
    <row r="16809" spans="1:2" x14ac:dyDescent="0.25">
      <c r="A16809">
        <v>4011100061</v>
      </c>
      <c r="B16809" t="s">
        <v>7221</v>
      </c>
    </row>
    <row r="16810" spans="1:2" x14ac:dyDescent="0.25">
      <c r="A16810">
        <v>40111000611</v>
      </c>
      <c r="B16810" t="s">
        <v>7210</v>
      </c>
    </row>
    <row r="16811" spans="1:2" x14ac:dyDescent="0.25">
      <c r="A16811">
        <v>40111000612</v>
      </c>
      <c r="B16811" t="s">
        <v>7211</v>
      </c>
    </row>
    <row r="16812" spans="1:2" x14ac:dyDescent="0.25">
      <c r="A16812">
        <v>40111000613</v>
      </c>
      <c r="B16812" t="s">
        <v>7212</v>
      </c>
    </row>
    <row r="16813" spans="1:2" x14ac:dyDescent="0.25">
      <c r="A16813">
        <v>40111000614</v>
      </c>
      <c r="B16813" t="s">
        <v>7213</v>
      </c>
    </row>
    <row r="16814" spans="1:2" x14ac:dyDescent="0.25">
      <c r="A16814">
        <v>40111000619</v>
      </c>
      <c r="B16814" t="s">
        <v>10</v>
      </c>
    </row>
    <row r="16815" spans="1:2" x14ac:dyDescent="0.25">
      <c r="A16815">
        <v>4011100062</v>
      </c>
      <c r="B16815" t="s">
        <v>7222</v>
      </c>
    </row>
    <row r="16816" spans="1:2" x14ac:dyDescent="0.25">
      <c r="A16816">
        <v>40111000621</v>
      </c>
      <c r="B16816" t="s">
        <v>7210</v>
      </c>
    </row>
    <row r="16817" spans="1:2" x14ac:dyDescent="0.25">
      <c r="A16817">
        <v>40111000622</v>
      </c>
      <c r="B16817" t="s">
        <v>7211</v>
      </c>
    </row>
    <row r="16818" spans="1:2" x14ac:dyDescent="0.25">
      <c r="A16818">
        <v>40111000623</v>
      </c>
      <c r="B16818" t="s">
        <v>7212</v>
      </c>
    </row>
    <row r="16819" spans="1:2" x14ac:dyDescent="0.25">
      <c r="A16819">
        <v>40111000624</v>
      </c>
      <c r="B16819" t="s">
        <v>7213</v>
      </c>
    </row>
    <row r="16820" spans="1:2" x14ac:dyDescent="0.25">
      <c r="A16820">
        <v>40111000629</v>
      </c>
      <c r="B16820" t="s">
        <v>10</v>
      </c>
    </row>
    <row r="16821" spans="1:2" x14ac:dyDescent="0.25">
      <c r="A16821">
        <v>4011100063</v>
      </c>
      <c r="B16821" t="s">
        <v>7223</v>
      </c>
    </row>
    <row r="16822" spans="1:2" x14ac:dyDescent="0.25">
      <c r="A16822">
        <v>40111000631</v>
      </c>
      <c r="B16822" t="s">
        <v>7210</v>
      </c>
    </row>
    <row r="16823" spans="1:2" x14ac:dyDescent="0.25">
      <c r="A16823">
        <v>40111000632</v>
      </c>
      <c r="B16823" t="s">
        <v>7211</v>
      </c>
    </row>
    <row r="16824" spans="1:2" x14ac:dyDescent="0.25">
      <c r="A16824">
        <v>40111000633</v>
      </c>
      <c r="B16824" t="s">
        <v>7212</v>
      </c>
    </row>
    <row r="16825" spans="1:2" x14ac:dyDescent="0.25">
      <c r="A16825">
        <v>40111000634</v>
      </c>
      <c r="B16825" t="s">
        <v>7213</v>
      </c>
    </row>
    <row r="16826" spans="1:2" x14ac:dyDescent="0.25">
      <c r="A16826">
        <v>40111000639</v>
      </c>
      <c r="B16826" t="s">
        <v>10</v>
      </c>
    </row>
    <row r="16827" spans="1:2" x14ac:dyDescent="0.25">
      <c r="A16827">
        <v>40111000690</v>
      </c>
      <c r="B16827" t="s">
        <v>10</v>
      </c>
    </row>
    <row r="16828" spans="1:2" x14ac:dyDescent="0.25">
      <c r="A16828">
        <v>401110007</v>
      </c>
      <c r="B16828" t="s">
        <v>7224</v>
      </c>
    </row>
    <row r="16829" spans="1:2" x14ac:dyDescent="0.25">
      <c r="A16829">
        <v>4011100071</v>
      </c>
      <c r="B16829" t="s">
        <v>7176</v>
      </c>
    </row>
    <row r="16830" spans="1:2" x14ac:dyDescent="0.25">
      <c r="A16830">
        <v>40111000711</v>
      </c>
      <c r="B16830" t="s">
        <v>7210</v>
      </c>
    </row>
    <row r="16831" spans="1:2" x14ac:dyDescent="0.25">
      <c r="A16831">
        <v>40111000712</v>
      </c>
      <c r="B16831" t="s">
        <v>7212</v>
      </c>
    </row>
    <row r="16832" spans="1:2" x14ac:dyDescent="0.25">
      <c r="A16832">
        <v>40111000713</v>
      </c>
      <c r="B16832" t="s">
        <v>7214</v>
      </c>
    </row>
    <row r="16833" spans="1:2" x14ac:dyDescent="0.25">
      <c r="A16833">
        <v>40111000719</v>
      </c>
      <c r="B16833" t="s">
        <v>10</v>
      </c>
    </row>
    <row r="16834" spans="1:2" x14ac:dyDescent="0.25">
      <c r="A16834">
        <v>4011100072</v>
      </c>
      <c r="B16834" t="s">
        <v>7196</v>
      </c>
    </row>
    <row r="16835" spans="1:2" x14ac:dyDescent="0.25">
      <c r="A16835">
        <v>40111000721</v>
      </c>
      <c r="B16835" t="s">
        <v>7192</v>
      </c>
    </row>
    <row r="16836" spans="1:2" x14ac:dyDescent="0.25">
      <c r="A16836">
        <v>40111000722</v>
      </c>
      <c r="B16836" t="s">
        <v>7210</v>
      </c>
    </row>
    <row r="16837" spans="1:2" x14ac:dyDescent="0.25">
      <c r="A16837">
        <v>40111000723</v>
      </c>
      <c r="B16837" t="s">
        <v>7212</v>
      </c>
    </row>
    <row r="16838" spans="1:2" x14ac:dyDescent="0.25">
      <c r="A16838">
        <v>40111000724</v>
      </c>
      <c r="B16838" t="s">
        <v>7214</v>
      </c>
    </row>
    <row r="16839" spans="1:2" x14ac:dyDescent="0.25">
      <c r="A16839">
        <v>40111000729</v>
      </c>
      <c r="B16839" t="s">
        <v>10</v>
      </c>
    </row>
    <row r="16840" spans="1:2" x14ac:dyDescent="0.25">
      <c r="A16840">
        <v>4011100073</v>
      </c>
      <c r="B16840" t="s">
        <v>7205</v>
      </c>
    </row>
    <row r="16841" spans="1:2" x14ac:dyDescent="0.25">
      <c r="A16841">
        <v>40111000731</v>
      </c>
      <c r="B16841" t="s">
        <v>7192</v>
      </c>
    </row>
    <row r="16842" spans="1:2" x14ac:dyDescent="0.25">
      <c r="A16842">
        <v>40111000732</v>
      </c>
      <c r="B16842" t="s">
        <v>7210</v>
      </c>
    </row>
    <row r="16843" spans="1:2" x14ac:dyDescent="0.25">
      <c r="A16843">
        <v>40111000733</v>
      </c>
      <c r="B16843" t="s">
        <v>7212</v>
      </c>
    </row>
    <row r="16844" spans="1:2" x14ac:dyDescent="0.25">
      <c r="A16844">
        <v>40111000734</v>
      </c>
      <c r="B16844" t="s">
        <v>7214</v>
      </c>
    </row>
    <row r="16845" spans="1:2" x14ac:dyDescent="0.25">
      <c r="A16845">
        <v>40111000735</v>
      </c>
      <c r="B16845" t="s">
        <v>7225</v>
      </c>
    </row>
    <row r="16846" spans="1:2" x14ac:dyDescent="0.25">
      <c r="A16846">
        <v>40111000739</v>
      </c>
      <c r="B16846" t="s">
        <v>10</v>
      </c>
    </row>
    <row r="16847" spans="1:2" x14ac:dyDescent="0.25">
      <c r="A16847">
        <v>4011100074</v>
      </c>
      <c r="B16847" t="s">
        <v>7218</v>
      </c>
    </row>
    <row r="16848" spans="1:2" x14ac:dyDescent="0.25">
      <c r="A16848">
        <v>40111000741</v>
      </c>
      <c r="B16848" t="s">
        <v>7192</v>
      </c>
    </row>
    <row r="16849" spans="1:2" x14ac:dyDescent="0.25">
      <c r="A16849">
        <v>40111000742</v>
      </c>
      <c r="B16849" t="s">
        <v>7210</v>
      </c>
    </row>
    <row r="16850" spans="1:2" x14ac:dyDescent="0.25">
      <c r="A16850">
        <v>40111000743</v>
      </c>
      <c r="B16850" t="s">
        <v>7212</v>
      </c>
    </row>
    <row r="16851" spans="1:2" x14ac:dyDescent="0.25">
      <c r="A16851">
        <v>40111000744</v>
      </c>
      <c r="B16851" t="s">
        <v>7214</v>
      </c>
    </row>
    <row r="16852" spans="1:2" x14ac:dyDescent="0.25">
      <c r="A16852">
        <v>40111000745</v>
      </c>
      <c r="B16852" t="s">
        <v>7225</v>
      </c>
    </row>
    <row r="16853" spans="1:2" x14ac:dyDescent="0.25">
      <c r="A16853">
        <v>40111000749</v>
      </c>
      <c r="B16853" t="s">
        <v>10</v>
      </c>
    </row>
    <row r="16854" spans="1:2" x14ac:dyDescent="0.25">
      <c r="A16854">
        <v>4011100075</v>
      </c>
      <c r="B16854" t="s">
        <v>7219</v>
      </c>
    </row>
    <row r="16855" spans="1:2" x14ac:dyDescent="0.25">
      <c r="A16855">
        <v>40111000751</v>
      </c>
      <c r="B16855" t="s">
        <v>7192</v>
      </c>
    </row>
    <row r="16856" spans="1:2" x14ac:dyDescent="0.25">
      <c r="A16856">
        <v>40111000752</v>
      </c>
      <c r="B16856" t="s">
        <v>7210</v>
      </c>
    </row>
    <row r="16857" spans="1:2" x14ac:dyDescent="0.25">
      <c r="A16857">
        <v>40111000753</v>
      </c>
      <c r="B16857" t="s">
        <v>7212</v>
      </c>
    </row>
    <row r="16858" spans="1:2" x14ac:dyDescent="0.25">
      <c r="A16858">
        <v>40111000754</v>
      </c>
      <c r="B16858" t="s">
        <v>7214</v>
      </c>
    </row>
    <row r="16859" spans="1:2" x14ac:dyDescent="0.25">
      <c r="A16859">
        <v>40111000755</v>
      </c>
      <c r="B16859" t="s">
        <v>7225</v>
      </c>
    </row>
    <row r="16860" spans="1:2" x14ac:dyDescent="0.25">
      <c r="A16860">
        <v>40111000759</v>
      </c>
      <c r="B16860" t="s">
        <v>10</v>
      </c>
    </row>
    <row r="16861" spans="1:2" x14ac:dyDescent="0.25">
      <c r="A16861">
        <v>4011100076</v>
      </c>
      <c r="B16861" t="s">
        <v>7221</v>
      </c>
    </row>
    <row r="16862" spans="1:2" x14ac:dyDescent="0.25">
      <c r="A16862">
        <v>40111000761</v>
      </c>
      <c r="B16862" t="s">
        <v>7192</v>
      </c>
    </row>
    <row r="16863" spans="1:2" x14ac:dyDescent="0.25">
      <c r="A16863">
        <v>40111000762</v>
      </c>
      <c r="B16863" t="s">
        <v>7210</v>
      </c>
    </row>
    <row r="16864" spans="1:2" x14ac:dyDescent="0.25">
      <c r="A16864">
        <v>40111000763</v>
      </c>
      <c r="B16864" t="s">
        <v>7212</v>
      </c>
    </row>
    <row r="16865" spans="1:2" x14ac:dyDescent="0.25">
      <c r="A16865">
        <v>40111000764</v>
      </c>
      <c r="B16865" t="s">
        <v>7225</v>
      </c>
    </row>
    <row r="16866" spans="1:2" x14ac:dyDescent="0.25">
      <c r="A16866">
        <v>40111000769</v>
      </c>
      <c r="B16866" t="s">
        <v>10</v>
      </c>
    </row>
    <row r="16867" spans="1:2" x14ac:dyDescent="0.25">
      <c r="A16867">
        <v>4011100077</v>
      </c>
      <c r="B16867" t="s">
        <v>7222</v>
      </c>
    </row>
    <row r="16868" spans="1:2" x14ac:dyDescent="0.25">
      <c r="A16868">
        <v>40111000771</v>
      </c>
      <c r="B16868" t="s">
        <v>7192</v>
      </c>
    </row>
    <row r="16869" spans="1:2" x14ac:dyDescent="0.25">
      <c r="A16869">
        <v>40111000772</v>
      </c>
      <c r="B16869" t="s">
        <v>7210</v>
      </c>
    </row>
    <row r="16870" spans="1:2" x14ac:dyDescent="0.25">
      <c r="A16870">
        <v>40111000773</v>
      </c>
      <c r="B16870" t="s">
        <v>7212</v>
      </c>
    </row>
    <row r="16871" spans="1:2" x14ac:dyDescent="0.25">
      <c r="A16871">
        <v>40111000774</v>
      </c>
      <c r="B16871" t="s">
        <v>7225</v>
      </c>
    </row>
    <row r="16872" spans="1:2" x14ac:dyDescent="0.25">
      <c r="A16872">
        <v>40111000779</v>
      </c>
      <c r="B16872" t="s">
        <v>10</v>
      </c>
    </row>
    <row r="16873" spans="1:2" x14ac:dyDescent="0.25">
      <c r="A16873">
        <v>4011100078</v>
      </c>
      <c r="B16873" t="s">
        <v>7223</v>
      </c>
    </row>
    <row r="16874" spans="1:2" x14ac:dyDescent="0.25">
      <c r="A16874">
        <v>40111000781</v>
      </c>
      <c r="B16874" t="s">
        <v>7192</v>
      </c>
    </row>
    <row r="16875" spans="1:2" x14ac:dyDescent="0.25">
      <c r="A16875">
        <v>40111000782</v>
      </c>
      <c r="B16875" t="s">
        <v>7210</v>
      </c>
    </row>
    <row r="16876" spans="1:2" x14ac:dyDescent="0.25">
      <c r="A16876">
        <v>40111000783</v>
      </c>
      <c r="B16876" t="s">
        <v>7212</v>
      </c>
    </row>
    <row r="16877" spans="1:2" x14ac:dyDescent="0.25">
      <c r="A16877">
        <v>40111000784</v>
      </c>
      <c r="B16877" t="s">
        <v>7225</v>
      </c>
    </row>
    <row r="16878" spans="1:2" x14ac:dyDescent="0.25">
      <c r="A16878">
        <v>40111000789</v>
      </c>
      <c r="B16878" t="s">
        <v>10</v>
      </c>
    </row>
    <row r="16879" spans="1:2" x14ac:dyDescent="0.25">
      <c r="A16879">
        <v>4011100079</v>
      </c>
      <c r="B16879" t="s">
        <v>10</v>
      </c>
    </row>
    <row r="16880" spans="1:2" x14ac:dyDescent="0.25">
      <c r="A16880">
        <v>40111000791</v>
      </c>
      <c r="B16880" t="s">
        <v>7226</v>
      </c>
    </row>
    <row r="16881" spans="1:2" x14ac:dyDescent="0.25">
      <c r="A16881">
        <v>40111000799</v>
      </c>
      <c r="B16881" t="s">
        <v>10</v>
      </c>
    </row>
    <row r="16882" spans="1:2" x14ac:dyDescent="0.25">
      <c r="A16882">
        <v>401110008</v>
      </c>
      <c r="B16882" t="s">
        <v>7227</v>
      </c>
    </row>
    <row r="16883" spans="1:2" x14ac:dyDescent="0.25">
      <c r="A16883">
        <v>4011100081</v>
      </c>
      <c r="B16883" t="s">
        <v>7228</v>
      </c>
    </row>
    <row r="16884" spans="1:2" x14ac:dyDescent="0.25">
      <c r="A16884">
        <v>40111000811</v>
      </c>
      <c r="B16884" t="s">
        <v>7196</v>
      </c>
    </row>
    <row r="16885" spans="1:2" x14ac:dyDescent="0.25">
      <c r="A16885">
        <v>40111000812</v>
      </c>
      <c r="B16885" t="s">
        <v>7205</v>
      </c>
    </row>
    <row r="16886" spans="1:2" x14ac:dyDescent="0.25">
      <c r="A16886">
        <v>40111000813</v>
      </c>
      <c r="B16886" t="s">
        <v>7218</v>
      </c>
    </row>
    <row r="16887" spans="1:2" x14ac:dyDescent="0.25">
      <c r="A16887">
        <v>40111000814</v>
      </c>
      <c r="B16887" t="s">
        <v>7219</v>
      </c>
    </row>
    <row r="16888" spans="1:2" x14ac:dyDescent="0.25">
      <c r="A16888">
        <v>40111000815</v>
      </c>
      <c r="B16888" t="s">
        <v>7221</v>
      </c>
    </row>
    <row r="16889" spans="1:2" x14ac:dyDescent="0.25">
      <c r="A16889">
        <v>40111000816</v>
      </c>
      <c r="B16889" t="s">
        <v>7222</v>
      </c>
    </row>
    <row r="16890" spans="1:2" x14ac:dyDescent="0.25">
      <c r="A16890">
        <v>40111000817</v>
      </c>
      <c r="B16890" t="s">
        <v>7223</v>
      </c>
    </row>
    <row r="16891" spans="1:2" x14ac:dyDescent="0.25">
      <c r="A16891">
        <v>40111000818</v>
      </c>
      <c r="B16891" t="s">
        <v>7229</v>
      </c>
    </row>
    <row r="16892" spans="1:2" x14ac:dyDescent="0.25">
      <c r="A16892">
        <v>40111000819</v>
      </c>
      <c r="B16892" t="s">
        <v>10</v>
      </c>
    </row>
    <row r="16893" spans="1:2" x14ac:dyDescent="0.25">
      <c r="A16893">
        <v>4011100082</v>
      </c>
      <c r="B16893" t="s">
        <v>7230</v>
      </c>
    </row>
    <row r="16894" spans="1:2" x14ac:dyDescent="0.25">
      <c r="A16894">
        <v>40111000821</v>
      </c>
      <c r="B16894" t="s">
        <v>7196</v>
      </c>
    </row>
    <row r="16895" spans="1:2" x14ac:dyDescent="0.25">
      <c r="A16895">
        <v>40111000822</v>
      </c>
      <c r="B16895" t="s">
        <v>7205</v>
      </c>
    </row>
    <row r="16896" spans="1:2" x14ac:dyDescent="0.25">
      <c r="A16896">
        <v>40111000823</v>
      </c>
      <c r="B16896" t="s">
        <v>7218</v>
      </c>
    </row>
    <row r="16897" spans="1:2" x14ac:dyDescent="0.25">
      <c r="A16897">
        <v>40111000824</v>
      </c>
      <c r="B16897" t="s">
        <v>7219</v>
      </c>
    </row>
    <row r="16898" spans="1:2" x14ac:dyDescent="0.25">
      <c r="A16898">
        <v>40111000825</v>
      </c>
      <c r="B16898" t="s">
        <v>7221</v>
      </c>
    </row>
    <row r="16899" spans="1:2" x14ac:dyDescent="0.25">
      <c r="A16899">
        <v>40111000826</v>
      </c>
      <c r="B16899" t="s">
        <v>7222</v>
      </c>
    </row>
    <row r="16900" spans="1:2" x14ac:dyDescent="0.25">
      <c r="A16900">
        <v>40111000827</v>
      </c>
      <c r="B16900" t="s">
        <v>7223</v>
      </c>
    </row>
    <row r="16901" spans="1:2" x14ac:dyDescent="0.25">
      <c r="A16901">
        <v>40111000828</v>
      </c>
      <c r="B16901" t="s">
        <v>7229</v>
      </c>
    </row>
    <row r="16902" spans="1:2" x14ac:dyDescent="0.25">
      <c r="A16902">
        <v>40111000829</v>
      </c>
      <c r="B16902" t="s">
        <v>10</v>
      </c>
    </row>
    <row r="16903" spans="1:2" x14ac:dyDescent="0.25">
      <c r="A16903">
        <v>4011100083</v>
      </c>
      <c r="B16903" t="s">
        <v>7231</v>
      </c>
    </row>
    <row r="16904" spans="1:2" x14ac:dyDescent="0.25">
      <c r="A16904">
        <v>40111000831</v>
      </c>
      <c r="B16904" t="s">
        <v>7218</v>
      </c>
    </row>
    <row r="16905" spans="1:2" x14ac:dyDescent="0.25">
      <c r="A16905">
        <v>40111000832</v>
      </c>
      <c r="B16905" t="s">
        <v>7219</v>
      </c>
    </row>
    <row r="16906" spans="1:2" x14ac:dyDescent="0.25">
      <c r="A16906">
        <v>40111000833</v>
      </c>
      <c r="B16906" t="s">
        <v>7221</v>
      </c>
    </row>
    <row r="16907" spans="1:2" x14ac:dyDescent="0.25">
      <c r="A16907">
        <v>40111000834</v>
      </c>
      <c r="B16907" t="s">
        <v>7222</v>
      </c>
    </row>
    <row r="16908" spans="1:2" x14ac:dyDescent="0.25">
      <c r="A16908">
        <v>40111000835</v>
      </c>
      <c r="B16908" t="s">
        <v>7223</v>
      </c>
    </row>
    <row r="16909" spans="1:2" x14ac:dyDescent="0.25">
      <c r="A16909">
        <v>40111000836</v>
      </c>
      <c r="B16909" t="s">
        <v>7232</v>
      </c>
    </row>
    <row r="16910" spans="1:2" x14ac:dyDescent="0.25">
      <c r="A16910">
        <v>40111000837</v>
      </c>
      <c r="B16910" t="s">
        <v>7233</v>
      </c>
    </row>
    <row r="16911" spans="1:2" x14ac:dyDescent="0.25">
      <c r="A16911">
        <v>40111000838</v>
      </c>
      <c r="B16911" t="s">
        <v>7234</v>
      </c>
    </row>
    <row r="16912" spans="1:2" x14ac:dyDescent="0.25">
      <c r="A16912">
        <v>40111000839</v>
      </c>
      <c r="B16912" t="s">
        <v>10</v>
      </c>
    </row>
    <row r="16913" spans="1:2" x14ac:dyDescent="0.25">
      <c r="A16913">
        <v>4011100084</v>
      </c>
      <c r="B16913" t="s">
        <v>7235</v>
      </c>
    </row>
    <row r="16914" spans="1:2" x14ac:dyDescent="0.25">
      <c r="A16914">
        <v>40111000841</v>
      </c>
      <c r="B16914" t="s">
        <v>7219</v>
      </c>
    </row>
    <row r="16915" spans="1:2" x14ac:dyDescent="0.25">
      <c r="A16915">
        <v>40111000842</v>
      </c>
      <c r="B16915" t="s">
        <v>7221</v>
      </c>
    </row>
    <row r="16916" spans="1:2" x14ac:dyDescent="0.25">
      <c r="A16916">
        <v>40111000843</v>
      </c>
      <c r="B16916" t="s">
        <v>7222</v>
      </c>
    </row>
    <row r="16917" spans="1:2" x14ac:dyDescent="0.25">
      <c r="A16917">
        <v>40111000844</v>
      </c>
      <c r="B16917" t="s">
        <v>7223</v>
      </c>
    </row>
    <row r="16918" spans="1:2" x14ac:dyDescent="0.25">
      <c r="A16918">
        <v>40111000845</v>
      </c>
      <c r="B16918" t="s">
        <v>7232</v>
      </c>
    </row>
    <row r="16919" spans="1:2" x14ac:dyDescent="0.25">
      <c r="A16919">
        <v>40111000846</v>
      </c>
      <c r="B16919" t="s">
        <v>7233</v>
      </c>
    </row>
    <row r="16920" spans="1:2" x14ac:dyDescent="0.25">
      <c r="A16920">
        <v>40111000847</v>
      </c>
      <c r="B16920" t="s">
        <v>7236</v>
      </c>
    </row>
    <row r="16921" spans="1:2" x14ac:dyDescent="0.25">
      <c r="A16921">
        <v>40111000848</v>
      </c>
      <c r="B16921" t="s">
        <v>7237</v>
      </c>
    </row>
    <row r="16922" spans="1:2" x14ac:dyDescent="0.25">
      <c r="A16922">
        <v>40111000849</v>
      </c>
      <c r="B16922" t="s">
        <v>10</v>
      </c>
    </row>
    <row r="16923" spans="1:2" x14ac:dyDescent="0.25">
      <c r="A16923">
        <v>4011100085</v>
      </c>
      <c r="B16923" t="s">
        <v>7238</v>
      </c>
    </row>
    <row r="16924" spans="1:2" x14ac:dyDescent="0.25">
      <c r="A16924">
        <v>40111000851</v>
      </c>
      <c r="B16924" t="s">
        <v>7222</v>
      </c>
    </row>
    <row r="16925" spans="1:2" x14ac:dyDescent="0.25">
      <c r="A16925">
        <v>40111000852</v>
      </c>
      <c r="B16925" t="s">
        <v>7223</v>
      </c>
    </row>
    <row r="16926" spans="1:2" x14ac:dyDescent="0.25">
      <c r="A16926">
        <v>40111000853</v>
      </c>
      <c r="B16926" t="s">
        <v>7232</v>
      </c>
    </row>
    <row r="16927" spans="1:2" x14ac:dyDescent="0.25">
      <c r="A16927">
        <v>40111000854</v>
      </c>
      <c r="B16927" t="s">
        <v>7233</v>
      </c>
    </row>
    <row r="16928" spans="1:2" x14ac:dyDescent="0.25">
      <c r="A16928">
        <v>40111000855</v>
      </c>
      <c r="B16928" t="s">
        <v>7236</v>
      </c>
    </row>
    <row r="16929" spans="1:2" x14ac:dyDescent="0.25">
      <c r="A16929">
        <v>40111000856</v>
      </c>
      <c r="B16929" t="s">
        <v>7239</v>
      </c>
    </row>
    <row r="16930" spans="1:2" x14ac:dyDescent="0.25">
      <c r="A16930">
        <v>40111000857</v>
      </c>
      <c r="B16930" t="s">
        <v>7240</v>
      </c>
    </row>
    <row r="16931" spans="1:2" x14ac:dyDescent="0.25">
      <c r="A16931">
        <v>40111000858</v>
      </c>
      <c r="B16931" t="s">
        <v>7241</v>
      </c>
    </row>
    <row r="16932" spans="1:2" x14ac:dyDescent="0.25">
      <c r="A16932">
        <v>40111000859</v>
      </c>
      <c r="B16932" t="s">
        <v>10</v>
      </c>
    </row>
    <row r="16933" spans="1:2" x14ac:dyDescent="0.25">
      <c r="A16933">
        <v>4011100086</v>
      </c>
      <c r="B16933" t="s">
        <v>7242</v>
      </c>
    </row>
    <row r="16934" spans="1:2" x14ac:dyDescent="0.25">
      <c r="A16934">
        <v>40111000861</v>
      </c>
      <c r="B16934" t="s">
        <v>7222</v>
      </c>
    </row>
    <row r="16935" spans="1:2" x14ac:dyDescent="0.25">
      <c r="A16935">
        <v>40111000862</v>
      </c>
      <c r="B16935" t="s">
        <v>7223</v>
      </c>
    </row>
    <row r="16936" spans="1:2" x14ac:dyDescent="0.25">
      <c r="A16936">
        <v>40111000863</v>
      </c>
      <c r="B16936" t="s">
        <v>7232</v>
      </c>
    </row>
    <row r="16937" spans="1:2" x14ac:dyDescent="0.25">
      <c r="A16937">
        <v>40111000864</v>
      </c>
      <c r="B16937" t="s">
        <v>7233</v>
      </c>
    </row>
    <row r="16938" spans="1:2" x14ac:dyDescent="0.25">
      <c r="A16938">
        <v>40111000865</v>
      </c>
      <c r="B16938" t="s">
        <v>7236</v>
      </c>
    </row>
    <row r="16939" spans="1:2" x14ac:dyDescent="0.25">
      <c r="A16939">
        <v>40111000866</v>
      </c>
      <c r="B16939" t="s">
        <v>7239</v>
      </c>
    </row>
    <row r="16940" spans="1:2" x14ac:dyDescent="0.25">
      <c r="A16940">
        <v>40111000867</v>
      </c>
      <c r="B16940" t="s">
        <v>7240</v>
      </c>
    </row>
    <row r="16941" spans="1:2" x14ac:dyDescent="0.25">
      <c r="A16941">
        <v>40111000868</v>
      </c>
      <c r="B16941" t="s">
        <v>7241</v>
      </c>
    </row>
    <row r="16942" spans="1:2" x14ac:dyDescent="0.25">
      <c r="A16942">
        <v>40111000869</v>
      </c>
      <c r="B16942" t="s">
        <v>10</v>
      </c>
    </row>
    <row r="16943" spans="1:2" x14ac:dyDescent="0.25">
      <c r="A16943">
        <v>401110009</v>
      </c>
      <c r="B16943" t="s">
        <v>10</v>
      </c>
    </row>
    <row r="16944" spans="1:2" x14ac:dyDescent="0.25">
      <c r="A16944">
        <v>40111000910</v>
      </c>
      <c r="B16944" t="s">
        <v>7243</v>
      </c>
    </row>
    <row r="16945" spans="1:2" x14ac:dyDescent="0.25">
      <c r="A16945">
        <v>4011100092</v>
      </c>
      <c r="B16945" t="s">
        <v>7244</v>
      </c>
    </row>
    <row r="16946" spans="1:2" x14ac:dyDescent="0.25">
      <c r="A16946">
        <v>40111000921</v>
      </c>
      <c r="B16946" t="s">
        <v>7245</v>
      </c>
    </row>
    <row r="16947" spans="1:2" x14ac:dyDescent="0.25">
      <c r="A16947">
        <v>40111000922</v>
      </c>
      <c r="B16947" t="s">
        <v>7246</v>
      </c>
    </row>
    <row r="16948" spans="1:2" x14ac:dyDescent="0.25">
      <c r="A16948">
        <v>40111000929</v>
      </c>
      <c r="B16948" t="s">
        <v>10</v>
      </c>
    </row>
    <row r="16949" spans="1:2" x14ac:dyDescent="0.25">
      <c r="A16949">
        <v>401120</v>
      </c>
      <c r="B16949" t="e">
        <f>- de Los tipos utilizados En autobuses o camiones</f>
        <v>#NAME?</v>
      </c>
    </row>
    <row r="16950" spans="1:2" x14ac:dyDescent="0.25">
      <c r="A16950">
        <v>40112010</v>
      </c>
      <c r="B16950" t="s">
        <v>7247</v>
      </c>
    </row>
    <row r="16951" spans="1:2" x14ac:dyDescent="0.25">
      <c r="A16951">
        <v>401120101</v>
      </c>
      <c r="B16951" t="s">
        <v>7243</v>
      </c>
    </row>
    <row r="16952" spans="1:2" x14ac:dyDescent="0.25">
      <c r="A16952">
        <v>40112010110</v>
      </c>
      <c r="B16952" t="s">
        <v>7248</v>
      </c>
    </row>
    <row r="16953" spans="1:2" x14ac:dyDescent="0.25">
      <c r="A16953">
        <v>40112010190</v>
      </c>
      <c r="B16953" t="s">
        <v>10</v>
      </c>
    </row>
    <row r="16954" spans="1:2" x14ac:dyDescent="0.25">
      <c r="A16954">
        <v>40112010200</v>
      </c>
      <c r="B16954" t="s">
        <v>7244</v>
      </c>
    </row>
    <row r="16955" spans="1:2" x14ac:dyDescent="0.25">
      <c r="A16955">
        <v>40112090</v>
      </c>
      <c r="B16955" t="s">
        <v>10</v>
      </c>
    </row>
    <row r="16956" spans="1:2" x14ac:dyDescent="0.25">
      <c r="A16956">
        <v>401120901</v>
      </c>
      <c r="B16956" t="s">
        <v>7243</v>
      </c>
    </row>
    <row r="16957" spans="1:2" x14ac:dyDescent="0.25">
      <c r="A16957">
        <v>4011209011</v>
      </c>
      <c r="B16957" t="s">
        <v>7235</v>
      </c>
    </row>
    <row r="16958" spans="1:2" x14ac:dyDescent="0.25">
      <c r="A16958">
        <v>40112090111</v>
      </c>
      <c r="B16958" t="s">
        <v>7249</v>
      </c>
    </row>
    <row r="16959" spans="1:2" x14ac:dyDescent="0.25">
      <c r="A16959">
        <v>40112090112</v>
      </c>
      <c r="B16959" t="s">
        <v>7250</v>
      </c>
    </row>
    <row r="16960" spans="1:2" x14ac:dyDescent="0.25">
      <c r="A16960">
        <v>40112090113</v>
      </c>
      <c r="B16960" t="s">
        <v>7251</v>
      </c>
    </row>
    <row r="16961" spans="1:2" x14ac:dyDescent="0.25">
      <c r="A16961">
        <v>40112090114</v>
      </c>
      <c r="B16961" t="s">
        <v>7252</v>
      </c>
    </row>
    <row r="16962" spans="1:2" x14ac:dyDescent="0.25">
      <c r="A16962">
        <v>40112090115</v>
      </c>
      <c r="B16962" t="s">
        <v>7253</v>
      </c>
    </row>
    <row r="16963" spans="1:2" x14ac:dyDescent="0.25">
      <c r="A16963">
        <v>40112090116</v>
      </c>
      <c r="B16963" t="s">
        <v>7254</v>
      </c>
    </row>
    <row r="16964" spans="1:2" x14ac:dyDescent="0.25">
      <c r="A16964">
        <v>40112090117</v>
      </c>
      <c r="B16964" t="s">
        <v>7255</v>
      </c>
    </row>
    <row r="16965" spans="1:2" x14ac:dyDescent="0.25">
      <c r="A16965">
        <v>40112090118</v>
      </c>
      <c r="B16965" t="s">
        <v>7256</v>
      </c>
    </row>
    <row r="16966" spans="1:2" x14ac:dyDescent="0.25">
      <c r="A16966">
        <v>40112090119</v>
      </c>
      <c r="B16966" t="s">
        <v>7257</v>
      </c>
    </row>
    <row r="16967" spans="1:2" x14ac:dyDescent="0.25">
      <c r="A16967">
        <v>4011209012</v>
      </c>
      <c r="B16967" t="s">
        <v>7258</v>
      </c>
    </row>
    <row r="16968" spans="1:2" x14ac:dyDescent="0.25">
      <c r="A16968">
        <v>40112090121</v>
      </c>
      <c r="B16968" t="s">
        <v>7259</v>
      </c>
    </row>
    <row r="16969" spans="1:2" x14ac:dyDescent="0.25">
      <c r="A16969">
        <v>40112090122</v>
      </c>
      <c r="B16969" t="s">
        <v>7260</v>
      </c>
    </row>
    <row r="16970" spans="1:2" x14ac:dyDescent="0.25">
      <c r="A16970">
        <v>40112090129</v>
      </c>
      <c r="B16970" t="s">
        <v>7261</v>
      </c>
    </row>
    <row r="16971" spans="1:2" x14ac:dyDescent="0.25">
      <c r="A16971">
        <v>4011209013</v>
      </c>
      <c r="B16971" t="s">
        <v>7262</v>
      </c>
    </row>
    <row r="16972" spans="1:2" x14ac:dyDescent="0.25">
      <c r="A16972">
        <v>40112090131</v>
      </c>
      <c r="B16972" t="s">
        <v>7263</v>
      </c>
    </row>
    <row r="16973" spans="1:2" x14ac:dyDescent="0.25">
      <c r="A16973">
        <v>40112090139</v>
      </c>
      <c r="B16973" t="s">
        <v>7264</v>
      </c>
    </row>
    <row r="16974" spans="1:2" x14ac:dyDescent="0.25">
      <c r="A16974">
        <v>40112090190</v>
      </c>
      <c r="B16974" t="s">
        <v>7265</v>
      </c>
    </row>
    <row r="16975" spans="1:2" x14ac:dyDescent="0.25">
      <c r="A16975">
        <v>401120902</v>
      </c>
      <c r="B16975" t="s">
        <v>7266</v>
      </c>
    </row>
    <row r="16976" spans="1:2" x14ac:dyDescent="0.25">
      <c r="A16976">
        <v>4011209021</v>
      </c>
      <c r="B16976" t="s">
        <v>7196</v>
      </c>
    </row>
    <row r="16977" spans="1:2" x14ac:dyDescent="0.25">
      <c r="A16977">
        <v>40112090211</v>
      </c>
      <c r="B16977" t="s">
        <v>7267</v>
      </c>
    </row>
    <row r="16978" spans="1:2" x14ac:dyDescent="0.25">
      <c r="A16978">
        <v>40112090212</v>
      </c>
      <c r="B16978" t="s">
        <v>7268</v>
      </c>
    </row>
    <row r="16979" spans="1:2" x14ac:dyDescent="0.25">
      <c r="A16979">
        <v>40112090213</v>
      </c>
      <c r="B16979" t="s">
        <v>7269</v>
      </c>
    </row>
    <row r="16980" spans="1:2" x14ac:dyDescent="0.25">
      <c r="A16980">
        <v>40112090219</v>
      </c>
      <c r="B16980" t="s">
        <v>7270</v>
      </c>
    </row>
    <row r="16981" spans="1:2" x14ac:dyDescent="0.25">
      <c r="A16981">
        <v>4011209022</v>
      </c>
      <c r="B16981" t="s">
        <v>7205</v>
      </c>
    </row>
    <row r="16982" spans="1:2" x14ac:dyDescent="0.25">
      <c r="A16982">
        <v>40112090221</v>
      </c>
      <c r="B16982" t="s">
        <v>7271</v>
      </c>
    </row>
    <row r="16983" spans="1:2" x14ac:dyDescent="0.25">
      <c r="A16983">
        <v>40112090229</v>
      </c>
      <c r="B16983" t="s">
        <v>7272</v>
      </c>
    </row>
    <row r="16984" spans="1:2" x14ac:dyDescent="0.25">
      <c r="A16984">
        <v>40112090230</v>
      </c>
      <c r="B16984" t="s">
        <v>7273</v>
      </c>
    </row>
    <row r="16985" spans="1:2" x14ac:dyDescent="0.25">
      <c r="A16985">
        <v>4011209024</v>
      </c>
      <c r="B16985" t="s">
        <v>7219</v>
      </c>
    </row>
    <row r="16986" spans="1:2" x14ac:dyDescent="0.25">
      <c r="A16986">
        <v>40112090241</v>
      </c>
      <c r="B16986" t="s">
        <v>7274</v>
      </c>
    </row>
    <row r="16987" spans="1:2" x14ac:dyDescent="0.25">
      <c r="A16987">
        <v>40112090249</v>
      </c>
      <c r="B16987" t="s">
        <v>7275</v>
      </c>
    </row>
    <row r="16988" spans="1:2" x14ac:dyDescent="0.25">
      <c r="A16988">
        <v>4011209025</v>
      </c>
      <c r="B16988" t="s">
        <v>7221</v>
      </c>
    </row>
    <row r="16989" spans="1:2" x14ac:dyDescent="0.25">
      <c r="A16989">
        <v>40112090251</v>
      </c>
      <c r="B16989" t="s">
        <v>7276</v>
      </c>
    </row>
    <row r="16990" spans="1:2" x14ac:dyDescent="0.25">
      <c r="A16990">
        <v>40112090252</v>
      </c>
      <c r="B16990" t="s">
        <v>7277</v>
      </c>
    </row>
    <row r="16991" spans="1:2" x14ac:dyDescent="0.25">
      <c r="A16991">
        <v>40112090259</v>
      </c>
      <c r="B16991" t="s">
        <v>7278</v>
      </c>
    </row>
    <row r="16992" spans="1:2" x14ac:dyDescent="0.25">
      <c r="A16992">
        <v>40112090260</v>
      </c>
      <c r="B16992" t="s">
        <v>7279</v>
      </c>
    </row>
    <row r="16993" spans="1:2" x14ac:dyDescent="0.25">
      <c r="A16993">
        <v>40112090290</v>
      </c>
      <c r="B16993" t="s">
        <v>7280</v>
      </c>
    </row>
    <row r="16994" spans="1:2" x14ac:dyDescent="0.25">
      <c r="A16994">
        <v>401120903</v>
      </c>
      <c r="B16994" t="s">
        <v>7281</v>
      </c>
    </row>
    <row r="16995" spans="1:2" x14ac:dyDescent="0.25">
      <c r="A16995">
        <v>40112090310</v>
      </c>
      <c r="B16995" t="s">
        <v>7282</v>
      </c>
    </row>
    <row r="16996" spans="1:2" x14ac:dyDescent="0.25">
      <c r="A16996">
        <v>40112090320</v>
      </c>
      <c r="B16996" t="s">
        <v>7283</v>
      </c>
    </row>
    <row r="16997" spans="1:2" x14ac:dyDescent="0.25">
      <c r="A16997">
        <v>40112090330</v>
      </c>
      <c r="B16997" t="s">
        <v>7284</v>
      </c>
    </row>
    <row r="16998" spans="1:2" x14ac:dyDescent="0.25">
      <c r="A16998">
        <v>40112090340</v>
      </c>
      <c r="B16998" t="s">
        <v>7285</v>
      </c>
    </row>
    <row r="16999" spans="1:2" x14ac:dyDescent="0.25">
      <c r="A16999">
        <v>40112090350</v>
      </c>
      <c r="B16999" t="s">
        <v>7286</v>
      </c>
    </row>
    <row r="17000" spans="1:2" x14ac:dyDescent="0.25">
      <c r="A17000">
        <v>40112090390</v>
      </c>
      <c r="B17000" t="s">
        <v>7287</v>
      </c>
    </row>
    <row r="17001" spans="1:2" x14ac:dyDescent="0.25">
      <c r="A17001">
        <v>401120904</v>
      </c>
      <c r="B17001" t="s">
        <v>7288</v>
      </c>
    </row>
    <row r="17002" spans="1:2" x14ac:dyDescent="0.25">
      <c r="A17002">
        <v>40112090410</v>
      </c>
      <c r="B17002" t="s">
        <v>7289</v>
      </c>
    </row>
    <row r="17003" spans="1:2" x14ac:dyDescent="0.25">
      <c r="A17003">
        <v>40112090420</v>
      </c>
      <c r="B17003" t="s">
        <v>7290</v>
      </c>
    </row>
    <row r="17004" spans="1:2" x14ac:dyDescent="0.25">
      <c r="A17004">
        <v>40112090430</v>
      </c>
      <c r="B17004" t="s">
        <v>7291</v>
      </c>
    </row>
    <row r="17005" spans="1:2" x14ac:dyDescent="0.25">
      <c r="A17005">
        <v>40112090440</v>
      </c>
      <c r="B17005" t="s">
        <v>7292</v>
      </c>
    </row>
    <row r="17006" spans="1:2" x14ac:dyDescent="0.25">
      <c r="A17006">
        <v>40112090450</v>
      </c>
      <c r="B17006" t="s">
        <v>7293</v>
      </c>
    </row>
    <row r="17007" spans="1:2" x14ac:dyDescent="0.25">
      <c r="A17007">
        <v>40112090460</v>
      </c>
      <c r="B17007" t="s">
        <v>7294</v>
      </c>
    </row>
    <row r="17008" spans="1:2" x14ac:dyDescent="0.25">
      <c r="A17008">
        <v>40112090490</v>
      </c>
      <c r="B17008" t="s">
        <v>7295</v>
      </c>
    </row>
    <row r="17009" spans="1:2" x14ac:dyDescent="0.25">
      <c r="A17009">
        <v>401120905</v>
      </c>
      <c r="B17009" t="s">
        <v>7296</v>
      </c>
    </row>
    <row r="17010" spans="1:2" x14ac:dyDescent="0.25">
      <c r="A17010">
        <v>40112090510</v>
      </c>
      <c r="B17010" t="s">
        <v>7297</v>
      </c>
    </row>
    <row r="17011" spans="1:2" x14ac:dyDescent="0.25">
      <c r="A17011">
        <v>40112090590</v>
      </c>
      <c r="B17011" t="s">
        <v>7298</v>
      </c>
    </row>
    <row r="17012" spans="1:2" x14ac:dyDescent="0.25">
      <c r="A17012">
        <v>401120906</v>
      </c>
      <c r="B17012" t="s">
        <v>7299</v>
      </c>
    </row>
    <row r="17013" spans="1:2" x14ac:dyDescent="0.25">
      <c r="A17013">
        <v>4011209061</v>
      </c>
      <c r="B17013" t="s">
        <v>7222</v>
      </c>
    </row>
    <row r="17014" spans="1:2" x14ac:dyDescent="0.25">
      <c r="A17014">
        <v>40112090611</v>
      </c>
      <c r="B17014" t="s">
        <v>7300</v>
      </c>
    </row>
    <row r="17015" spans="1:2" x14ac:dyDescent="0.25">
      <c r="A17015">
        <v>40112090619</v>
      </c>
      <c r="B17015" t="s">
        <v>7301</v>
      </c>
    </row>
    <row r="17016" spans="1:2" x14ac:dyDescent="0.25">
      <c r="A17016">
        <v>4011209062</v>
      </c>
      <c r="B17016" t="s">
        <v>7232</v>
      </c>
    </row>
    <row r="17017" spans="1:2" x14ac:dyDescent="0.25">
      <c r="A17017">
        <v>40112090621</v>
      </c>
      <c r="B17017" t="s">
        <v>7302</v>
      </c>
    </row>
    <row r="17018" spans="1:2" x14ac:dyDescent="0.25">
      <c r="A17018">
        <v>40112090622</v>
      </c>
      <c r="B17018" t="s">
        <v>7303</v>
      </c>
    </row>
    <row r="17019" spans="1:2" x14ac:dyDescent="0.25">
      <c r="A17019">
        <v>40112090629</v>
      </c>
      <c r="B17019" t="s">
        <v>7304</v>
      </c>
    </row>
    <row r="17020" spans="1:2" x14ac:dyDescent="0.25">
      <c r="A17020">
        <v>4011209063</v>
      </c>
      <c r="B17020" t="s">
        <v>7233</v>
      </c>
    </row>
    <row r="17021" spans="1:2" x14ac:dyDescent="0.25">
      <c r="A17021">
        <v>40112090631</v>
      </c>
      <c r="B17021" t="s">
        <v>7305</v>
      </c>
    </row>
    <row r="17022" spans="1:2" x14ac:dyDescent="0.25">
      <c r="A17022">
        <v>40112090639</v>
      </c>
      <c r="B17022" t="s">
        <v>7306</v>
      </c>
    </row>
    <row r="17023" spans="1:2" x14ac:dyDescent="0.25">
      <c r="A17023">
        <v>4011209064</v>
      </c>
      <c r="B17023" t="s">
        <v>7307</v>
      </c>
    </row>
    <row r="17024" spans="1:2" x14ac:dyDescent="0.25">
      <c r="A17024">
        <v>40112090641</v>
      </c>
      <c r="B17024" t="s">
        <v>7308</v>
      </c>
    </row>
    <row r="17025" spans="1:2" x14ac:dyDescent="0.25">
      <c r="A17025">
        <v>40112090642</v>
      </c>
      <c r="B17025" t="s">
        <v>7309</v>
      </c>
    </row>
    <row r="17026" spans="1:2" x14ac:dyDescent="0.25">
      <c r="A17026">
        <v>40112090649</v>
      </c>
      <c r="B17026" t="s">
        <v>7310</v>
      </c>
    </row>
    <row r="17027" spans="1:2" x14ac:dyDescent="0.25">
      <c r="A17027">
        <v>4011209065</v>
      </c>
      <c r="B17027" t="s">
        <v>7311</v>
      </c>
    </row>
    <row r="17028" spans="1:2" x14ac:dyDescent="0.25">
      <c r="A17028">
        <v>40112090651</v>
      </c>
      <c r="B17028" t="s">
        <v>7312</v>
      </c>
    </row>
    <row r="17029" spans="1:2" x14ac:dyDescent="0.25">
      <c r="A17029">
        <v>40112090659</v>
      </c>
      <c r="B17029" t="s">
        <v>7313</v>
      </c>
    </row>
    <row r="17030" spans="1:2" x14ac:dyDescent="0.25">
      <c r="A17030">
        <v>4011209066</v>
      </c>
      <c r="B17030" t="s">
        <v>7314</v>
      </c>
    </row>
    <row r="17031" spans="1:2" x14ac:dyDescent="0.25">
      <c r="A17031">
        <v>40112090661</v>
      </c>
      <c r="B17031" t="s">
        <v>7315</v>
      </c>
    </row>
    <row r="17032" spans="1:2" x14ac:dyDescent="0.25">
      <c r="A17032">
        <v>40112090662</v>
      </c>
      <c r="B17032" t="s">
        <v>7316</v>
      </c>
    </row>
    <row r="17033" spans="1:2" x14ac:dyDescent="0.25">
      <c r="A17033">
        <v>40112090663</v>
      </c>
      <c r="B17033" t="s">
        <v>7317</v>
      </c>
    </row>
    <row r="17034" spans="1:2" x14ac:dyDescent="0.25">
      <c r="A17034">
        <v>40112090669</v>
      </c>
      <c r="B17034" t="s">
        <v>7318</v>
      </c>
    </row>
    <row r="17035" spans="1:2" x14ac:dyDescent="0.25">
      <c r="A17035">
        <v>4011209067</v>
      </c>
      <c r="B17035" t="s">
        <v>7319</v>
      </c>
    </row>
    <row r="17036" spans="1:2" x14ac:dyDescent="0.25">
      <c r="A17036">
        <v>40112090671</v>
      </c>
      <c r="B17036" t="s">
        <v>7320</v>
      </c>
    </row>
    <row r="17037" spans="1:2" x14ac:dyDescent="0.25">
      <c r="A17037">
        <v>40112090679</v>
      </c>
      <c r="B17037" t="s">
        <v>7321</v>
      </c>
    </row>
    <row r="17038" spans="1:2" x14ac:dyDescent="0.25">
      <c r="A17038">
        <v>4011209068</v>
      </c>
      <c r="B17038" t="s">
        <v>7322</v>
      </c>
    </row>
    <row r="17039" spans="1:2" x14ac:dyDescent="0.25">
      <c r="A17039">
        <v>40112090681</v>
      </c>
      <c r="B17039" t="s">
        <v>7323</v>
      </c>
    </row>
    <row r="17040" spans="1:2" x14ac:dyDescent="0.25">
      <c r="A17040">
        <v>40112090689</v>
      </c>
      <c r="B17040" t="s">
        <v>7324</v>
      </c>
    </row>
    <row r="17041" spans="1:2" x14ac:dyDescent="0.25">
      <c r="A17041">
        <v>4011209069</v>
      </c>
      <c r="B17041" t="s">
        <v>7325</v>
      </c>
    </row>
    <row r="17042" spans="1:2" x14ac:dyDescent="0.25">
      <c r="A17042">
        <v>40112090691</v>
      </c>
      <c r="B17042" t="s">
        <v>7326</v>
      </c>
    </row>
    <row r="17043" spans="1:2" x14ac:dyDescent="0.25">
      <c r="A17043">
        <v>40112090692</v>
      </c>
      <c r="B17043" t="s">
        <v>7327</v>
      </c>
    </row>
    <row r="17044" spans="1:2" x14ac:dyDescent="0.25">
      <c r="A17044">
        <v>40112090693</v>
      </c>
      <c r="B17044" t="s">
        <v>7328</v>
      </c>
    </row>
    <row r="17045" spans="1:2" x14ac:dyDescent="0.25">
      <c r="A17045">
        <v>40112090694</v>
      </c>
      <c r="B17045" t="s">
        <v>7329</v>
      </c>
    </row>
    <row r="17046" spans="1:2" x14ac:dyDescent="0.25">
      <c r="A17046">
        <v>40112090699</v>
      </c>
      <c r="B17046" t="s">
        <v>7330</v>
      </c>
    </row>
    <row r="17047" spans="1:2" x14ac:dyDescent="0.25">
      <c r="A17047">
        <v>401120907</v>
      </c>
      <c r="B17047" t="s">
        <v>7331</v>
      </c>
    </row>
    <row r="17048" spans="1:2" x14ac:dyDescent="0.25">
      <c r="A17048">
        <v>4011209071</v>
      </c>
      <c r="B17048" t="s">
        <v>7262</v>
      </c>
    </row>
    <row r="17049" spans="1:2" x14ac:dyDescent="0.25">
      <c r="A17049">
        <v>40112090711</v>
      </c>
      <c r="B17049" t="s">
        <v>7332</v>
      </c>
    </row>
    <row r="17050" spans="1:2" x14ac:dyDescent="0.25">
      <c r="A17050">
        <v>40112090719</v>
      </c>
      <c r="B17050" t="s">
        <v>7333</v>
      </c>
    </row>
    <row r="17051" spans="1:2" x14ac:dyDescent="0.25">
      <c r="A17051">
        <v>4011209072</v>
      </c>
      <c r="B17051" t="s">
        <v>7334</v>
      </c>
    </row>
    <row r="17052" spans="1:2" x14ac:dyDescent="0.25">
      <c r="A17052">
        <v>40112090721</v>
      </c>
      <c r="B17052" t="s">
        <v>7335</v>
      </c>
    </row>
    <row r="17053" spans="1:2" x14ac:dyDescent="0.25">
      <c r="A17053">
        <v>40112090722</v>
      </c>
      <c r="B17053" t="s">
        <v>7336</v>
      </c>
    </row>
    <row r="17054" spans="1:2" x14ac:dyDescent="0.25">
      <c r="A17054">
        <v>40112090729</v>
      </c>
      <c r="B17054" t="s">
        <v>7337</v>
      </c>
    </row>
    <row r="17055" spans="1:2" x14ac:dyDescent="0.25">
      <c r="A17055">
        <v>40112090900</v>
      </c>
      <c r="B17055" t="s">
        <v>7338</v>
      </c>
    </row>
    <row r="17056" spans="1:2" x14ac:dyDescent="0.25">
      <c r="A17056">
        <v>40113000000</v>
      </c>
      <c r="B17056" t="e">
        <f>-de Los tipos utilizados En aeronaves</f>
        <v>#NAME?</v>
      </c>
    </row>
    <row r="17057" spans="1:2" x14ac:dyDescent="0.25">
      <c r="A17057">
        <v>40114000</v>
      </c>
      <c r="B17057" t="e">
        <f>- de Los tipos utilizados En motocicletas</f>
        <v>#NAME?</v>
      </c>
    </row>
    <row r="17058" spans="1:2" x14ac:dyDescent="0.25">
      <c r="A17058">
        <v>401140001</v>
      </c>
      <c r="B17058" t="s">
        <v>7339</v>
      </c>
    </row>
    <row r="17059" spans="1:2" x14ac:dyDescent="0.25">
      <c r="A17059">
        <v>4011400011</v>
      </c>
      <c r="B17059" t="s">
        <v>7340</v>
      </c>
    </row>
    <row r="17060" spans="1:2" x14ac:dyDescent="0.25">
      <c r="A17060">
        <v>40114000111</v>
      </c>
      <c r="B17060" t="s">
        <v>7341</v>
      </c>
    </row>
    <row r="17061" spans="1:2" x14ac:dyDescent="0.25">
      <c r="A17061">
        <v>40114000112</v>
      </c>
      <c r="B17061" t="s">
        <v>7342</v>
      </c>
    </row>
    <row r="17062" spans="1:2" x14ac:dyDescent="0.25">
      <c r="A17062">
        <v>40114000119</v>
      </c>
      <c r="B17062" t="s">
        <v>10</v>
      </c>
    </row>
    <row r="17063" spans="1:2" x14ac:dyDescent="0.25">
      <c r="A17063">
        <v>4011400012</v>
      </c>
      <c r="B17063" t="s">
        <v>7343</v>
      </c>
    </row>
    <row r="17064" spans="1:2" x14ac:dyDescent="0.25">
      <c r="A17064">
        <v>40114000121</v>
      </c>
      <c r="B17064" t="s">
        <v>7341</v>
      </c>
    </row>
    <row r="17065" spans="1:2" x14ac:dyDescent="0.25">
      <c r="A17065">
        <v>40114000122</v>
      </c>
      <c r="B17065" t="s">
        <v>7344</v>
      </c>
    </row>
    <row r="17066" spans="1:2" x14ac:dyDescent="0.25">
      <c r="A17066">
        <v>40114000129</v>
      </c>
      <c r="B17066" t="s">
        <v>10</v>
      </c>
    </row>
    <row r="17067" spans="1:2" x14ac:dyDescent="0.25">
      <c r="A17067">
        <v>4011400013</v>
      </c>
      <c r="B17067" t="s">
        <v>7174</v>
      </c>
    </row>
    <row r="17068" spans="1:2" x14ac:dyDescent="0.25">
      <c r="A17068">
        <v>40114000131</v>
      </c>
      <c r="B17068" t="s">
        <v>7341</v>
      </c>
    </row>
    <row r="17069" spans="1:2" x14ac:dyDescent="0.25">
      <c r="A17069">
        <v>40114000132</v>
      </c>
      <c r="B17069" t="s">
        <v>7344</v>
      </c>
    </row>
    <row r="17070" spans="1:2" x14ac:dyDescent="0.25">
      <c r="A17070">
        <v>40114000139</v>
      </c>
      <c r="B17070" t="s">
        <v>10</v>
      </c>
    </row>
    <row r="17071" spans="1:2" x14ac:dyDescent="0.25">
      <c r="A17071">
        <v>4011400014</v>
      </c>
      <c r="B17071" t="s">
        <v>7228</v>
      </c>
    </row>
    <row r="17072" spans="1:2" x14ac:dyDescent="0.25">
      <c r="A17072">
        <v>40114000141</v>
      </c>
      <c r="B17072" t="s">
        <v>7341</v>
      </c>
    </row>
    <row r="17073" spans="1:2" x14ac:dyDescent="0.25">
      <c r="A17073">
        <v>40114000142</v>
      </c>
      <c r="B17073" t="s">
        <v>7342</v>
      </c>
    </row>
    <row r="17074" spans="1:2" x14ac:dyDescent="0.25">
      <c r="A17074">
        <v>40114000149</v>
      </c>
      <c r="B17074" t="s">
        <v>10</v>
      </c>
    </row>
    <row r="17075" spans="1:2" x14ac:dyDescent="0.25">
      <c r="A17075">
        <v>4011400015</v>
      </c>
      <c r="B17075" t="s">
        <v>7230</v>
      </c>
    </row>
    <row r="17076" spans="1:2" x14ac:dyDescent="0.25">
      <c r="A17076">
        <v>40114000151</v>
      </c>
      <c r="B17076" t="s">
        <v>7341</v>
      </c>
    </row>
    <row r="17077" spans="1:2" x14ac:dyDescent="0.25">
      <c r="A17077">
        <v>40114000152</v>
      </c>
      <c r="B17077" t="s">
        <v>7344</v>
      </c>
    </row>
    <row r="17078" spans="1:2" x14ac:dyDescent="0.25">
      <c r="A17078">
        <v>40114000159</v>
      </c>
      <c r="B17078" t="s">
        <v>10</v>
      </c>
    </row>
    <row r="17079" spans="1:2" x14ac:dyDescent="0.25">
      <c r="A17079">
        <v>4011400019</v>
      </c>
      <c r="B17079" t="s">
        <v>10</v>
      </c>
    </row>
    <row r="17080" spans="1:2" x14ac:dyDescent="0.25">
      <c r="A17080">
        <v>40114000191</v>
      </c>
      <c r="B17080" t="s">
        <v>7341</v>
      </c>
    </row>
    <row r="17081" spans="1:2" x14ac:dyDescent="0.25">
      <c r="A17081">
        <v>40114000192</v>
      </c>
      <c r="B17081" t="s">
        <v>7344</v>
      </c>
    </row>
    <row r="17082" spans="1:2" x14ac:dyDescent="0.25">
      <c r="A17082">
        <v>40114000199</v>
      </c>
      <c r="B17082" t="s">
        <v>10</v>
      </c>
    </row>
    <row r="17083" spans="1:2" x14ac:dyDescent="0.25">
      <c r="A17083">
        <v>401140002</v>
      </c>
      <c r="B17083" t="s">
        <v>7244</v>
      </c>
    </row>
    <row r="17084" spans="1:2" x14ac:dyDescent="0.25">
      <c r="A17084">
        <v>4011400021</v>
      </c>
      <c r="B17084" t="s">
        <v>7340</v>
      </c>
    </row>
    <row r="17085" spans="1:2" x14ac:dyDescent="0.25">
      <c r="A17085">
        <v>40114000211</v>
      </c>
      <c r="B17085" t="s">
        <v>7341</v>
      </c>
    </row>
    <row r="17086" spans="1:2" x14ac:dyDescent="0.25">
      <c r="A17086">
        <v>40114000212</v>
      </c>
      <c r="B17086" t="s">
        <v>7344</v>
      </c>
    </row>
    <row r="17087" spans="1:2" x14ac:dyDescent="0.25">
      <c r="A17087">
        <v>40114000219</v>
      </c>
      <c r="B17087" t="s">
        <v>10</v>
      </c>
    </row>
    <row r="17088" spans="1:2" x14ac:dyDescent="0.25">
      <c r="A17088">
        <v>4011400022</v>
      </c>
      <c r="B17088" t="s">
        <v>7343</v>
      </c>
    </row>
    <row r="17089" spans="1:2" x14ac:dyDescent="0.25">
      <c r="A17089">
        <v>40114000221</v>
      </c>
      <c r="B17089" t="s">
        <v>7341</v>
      </c>
    </row>
    <row r="17090" spans="1:2" x14ac:dyDescent="0.25">
      <c r="A17090">
        <v>40114000222</v>
      </c>
      <c r="B17090" t="s">
        <v>7344</v>
      </c>
    </row>
    <row r="17091" spans="1:2" x14ac:dyDescent="0.25">
      <c r="A17091">
        <v>40114000229</v>
      </c>
      <c r="B17091" t="s">
        <v>10</v>
      </c>
    </row>
    <row r="17092" spans="1:2" x14ac:dyDescent="0.25">
      <c r="A17092">
        <v>4011400023</v>
      </c>
      <c r="B17092" t="s">
        <v>7174</v>
      </c>
    </row>
    <row r="17093" spans="1:2" x14ac:dyDescent="0.25">
      <c r="A17093">
        <v>40114000231</v>
      </c>
      <c r="B17093" t="s">
        <v>7341</v>
      </c>
    </row>
    <row r="17094" spans="1:2" x14ac:dyDescent="0.25">
      <c r="A17094">
        <v>40114000232</v>
      </c>
      <c r="B17094" t="s">
        <v>7344</v>
      </c>
    </row>
    <row r="17095" spans="1:2" x14ac:dyDescent="0.25">
      <c r="A17095">
        <v>40114000239</v>
      </c>
      <c r="B17095" t="s">
        <v>10</v>
      </c>
    </row>
    <row r="17096" spans="1:2" x14ac:dyDescent="0.25">
      <c r="A17096">
        <v>4011400024</v>
      </c>
      <c r="B17096" t="s">
        <v>7228</v>
      </c>
    </row>
    <row r="17097" spans="1:2" x14ac:dyDescent="0.25">
      <c r="A17097">
        <v>40114000241</v>
      </c>
      <c r="B17097" t="s">
        <v>7341</v>
      </c>
    </row>
    <row r="17098" spans="1:2" x14ac:dyDescent="0.25">
      <c r="A17098">
        <v>40114000242</v>
      </c>
      <c r="B17098" t="s">
        <v>7344</v>
      </c>
    </row>
    <row r="17099" spans="1:2" x14ac:dyDescent="0.25">
      <c r="A17099">
        <v>40114000249</v>
      </c>
      <c r="B17099" t="s">
        <v>10</v>
      </c>
    </row>
    <row r="17100" spans="1:2" x14ac:dyDescent="0.25">
      <c r="A17100">
        <v>4011400025</v>
      </c>
      <c r="B17100" t="s">
        <v>7230</v>
      </c>
    </row>
    <row r="17101" spans="1:2" x14ac:dyDescent="0.25">
      <c r="A17101">
        <v>40114000251</v>
      </c>
      <c r="B17101" t="s">
        <v>7341</v>
      </c>
    </row>
    <row r="17102" spans="1:2" x14ac:dyDescent="0.25">
      <c r="A17102">
        <v>40114000252</v>
      </c>
      <c r="B17102" t="s">
        <v>7344</v>
      </c>
    </row>
    <row r="17103" spans="1:2" x14ac:dyDescent="0.25">
      <c r="A17103">
        <v>40114000259</v>
      </c>
      <c r="B17103" t="s">
        <v>10</v>
      </c>
    </row>
    <row r="17104" spans="1:2" x14ac:dyDescent="0.25">
      <c r="A17104">
        <v>4011400029</v>
      </c>
      <c r="B17104" t="s">
        <v>10</v>
      </c>
    </row>
    <row r="17105" spans="1:2" x14ac:dyDescent="0.25">
      <c r="A17105">
        <v>40114000291</v>
      </c>
      <c r="B17105" t="s">
        <v>7341</v>
      </c>
    </row>
    <row r="17106" spans="1:2" x14ac:dyDescent="0.25">
      <c r="A17106">
        <v>40114000292</v>
      </c>
      <c r="B17106" t="s">
        <v>7344</v>
      </c>
    </row>
    <row r="17107" spans="1:2" x14ac:dyDescent="0.25">
      <c r="A17107">
        <v>40114000299</v>
      </c>
      <c r="B17107" t="s">
        <v>10</v>
      </c>
    </row>
    <row r="17108" spans="1:2" x14ac:dyDescent="0.25">
      <c r="A17108">
        <v>40115000</v>
      </c>
      <c r="B17108" t="e">
        <f>- de Los tipos utilizados En bicicletas</f>
        <v>#NAME?</v>
      </c>
    </row>
    <row r="17109" spans="1:2" x14ac:dyDescent="0.25">
      <c r="A17109">
        <v>401150001</v>
      </c>
      <c r="B17109" t="s">
        <v>7345</v>
      </c>
    </row>
    <row r="17110" spans="1:2" x14ac:dyDescent="0.25">
      <c r="A17110">
        <v>40115000110</v>
      </c>
      <c r="B17110" t="s">
        <v>7346</v>
      </c>
    </row>
    <row r="17111" spans="1:2" x14ac:dyDescent="0.25">
      <c r="A17111">
        <v>40115000120</v>
      </c>
      <c r="B17111" t="s">
        <v>7347</v>
      </c>
    </row>
    <row r="17112" spans="1:2" x14ac:dyDescent="0.25">
      <c r="A17112">
        <v>40115000130</v>
      </c>
      <c r="B17112" t="s">
        <v>7348</v>
      </c>
    </row>
    <row r="17113" spans="1:2" x14ac:dyDescent="0.25">
      <c r="A17113">
        <v>40115000190</v>
      </c>
      <c r="B17113" t="s">
        <v>10</v>
      </c>
    </row>
    <row r="17114" spans="1:2" x14ac:dyDescent="0.25">
      <c r="A17114">
        <v>401150002</v>
      </c>
      <c r="B17114" t="s">
        <v>7349</v>
      </c>
    </row>
    <row r="17115" spans="1:2" x14ac:dyDescent="0.25">
      <c r="A17115">
        <v>40115000210</v>
      </c>
      <c r="B17115" t="s">
        <v>7350</v>
      </c>
    </row>
    <row r="17116" spans="1:2" x14ac:dyDescent="0.25">
      <c r="A17116">
        <v>40115000220</v>
      </c>
      <c r="B17116" t="s">
        <v>7351</v>
      </c>
    </row>
    <row r="17117" spans="1:2" x14ac:dyDescent="0.25">
      <c r="A17117">
        <v>40115000290</v>
      </c>
      <c r="B17117" t="s">
        <v>10</v>
      </c>
    </row>
    <row r="17118" spans="1:2" x14ac:dyDescent="0.25">
      <c r="A17118">
        <v>401150003</v>
      </c>
      <c r="B17118" t="s">
        <v>7352</v>
      </c>
    </row>
    <row r="17119" spans="1:2" x14ac:dyDescent="0.25">
      <c r="A17119">
        <v>40115000310</v>
      </c>
      <c r="B17119" t="s">
        <v>7346</v>
      </c>
    </row>
    <row r="17120" spans="1:2" x14ac:dyDescent="0.25">
      <c r="A17120">
        <v>40115000320</v>
      </c>
      <c r="B17120" t="s">
        <v>7347</v>
      </c>
    </row>
    <row r="17121" spans="1:2" x14ac:dyDescent="0.25">
      <c r="A17121">
        <v>40115000330</v>
      </c>
      <c r="B17121" t="s">
        <v>7348</v>
      </c>
    </row>
    <row r="17122" spans="1:2" x14ac:dyDescent="0.25">
      <c r="A17122">
        <v>40115000390</v>
      </c>
      <c r="B17122" t="s">
        <v>10</v>
      </c>
    </row>
    <row r="17123" spans="1:2" x14ac:dyDescent="0.25">
      <c r="A17123">
        <v>40115000900</v>
      </c>
      <c r="B17123" t="s">
        <v>10</v>
      </c>
    </row>
    <row r="17124" spans="1:2" x14ac:dyDescent="0.25">
      <c r="A17124">
        <v>401170</v>
      </c>
      <c r="B17124" t="e">
        <f>- de Los tipos utilizados En vehiculos y maquinas agricolas o forestales</f>
        <v>#NAME?</v>
      </c>
    </row>
    <row r="17125" spans="1:2" x14ac:dyDescent="0.25">
      <c r="A17125">
        <v>40117010</v>
      </c>
      <c r="B17125" t="s">
        <v>7353</v>
      </c>
    </row>
    <row r="17126" spans="1:2" x14ac:dyDescent="0.25">
      <c r="A17126">
        <v>401170101</v>
      </c>
      <c r="B17126" t="s">
        <v>7354</v>
      </c>
    </row>
    <row r="17127" spans="1:2" x14ac:dyDescent="0.25">
      <c r="A17127">
        <v>40117010110</v>
      </c>
      <c r="B17127" t="s">
        <v>7355</v>
      </c>
    </row>
    <row r="17128" spans="1:2" x14ac:dyDescent="0.25">
      <c r="A17128">
        <v>40117010120</v>
      </c>
      <c r="B17128" t="s">
        <v>7356</v>
      </c>
    </row>
    <row r="17129" spans="1:2" x14ac:dyDescent="0.25">
      <c r="A17129">
        <v>40117010130</v>
      </c>
      <c r="B17129" t="s">
        <v>7357</v>
      </c>
    </row>
    <row r="17130" spans="1:2" x14ac:dyDescent="0.25">
      <c r="A17130">
        <v>40117010140</v>
      </c>
      <c r="B17130" t="s">
        <v>7358</v>
      </c>
    </row>
    <row r="17131" spans="1:2" x14ac:dyDescent="0.25">
      <c r="A17131">
        <v>40117010150</v>
      </c>
      <c r="B17131" t="s">
        <v>7359</v>
      </c>
    </row>
    <row r="17132" spans="1:2" x14ac:dyDescent="0.25">
      <c r="A17132">
        <v>40117010160</v>
      </c>
      <c r="B17132" t="s">
        <v>7360</v>
      </c>
    </row>
    <row r="17133" spans="1:2" x14ac:dyDescent="0.25">
      <c r="A17133">
        <v>401170102</v>
      </c>
      <c r="B17133" t="s">
        <v>7361</v>
      </c>
    </row>
    <row r="17134" spans="1:2" x14ac:dyDescent="0.25">
      <c r="A17134">
        <v>40117010210</v>
      </c>
      <c r="B17134" t="s">
        <v>7362</v>
      </c>
    </row>
    <row r="17135" spans="1:2" x14ac:dyDescent="0.25">
      <c r="A17135">
        <v>40117010220</v>
      </c>
      <c r="B17135" t="s">
        <v>7363</v>
      </c>
    </row>
    <row r="17136" spans="1:2" x14ac:dyDescent="0.25">
      <c r="A17136">
        <v>40117010230</v>
      </c>
      <c r="B17136" t="s">
        <v>7364</v>
      </c>
    </row>
    <row r="17137" spans="1:2" x14ac:dyDescent="0.25">
      <c r="A17137">
        <v>40117010240</v>
      </c>
      <c r="B17137" t="s">
        <v>7365</v>
      </c>
    </row>
    <row r="17138" spans="1:2" x14ac:dyDescent="0.25">
      <c r="A17138">
        <v>40117010250</v>
      </c>
      <c r="B17138" t="s">
        <v>7366</v>
      </c>
    </row>
    <row r="17139" spans="1:2" x14ac:dyDescent="0.25">
      <c r="A17139">
        <v>40117010260</v>
      </c>
      <c r="B17139" t="s">
        <v>7367</v>
      </c>
    </row>
    <row r="17140" spans="1:2" x14ac:dyDescent="0.25">
      <c r="A17140">
        <v>40117010270</v>
      </c>
      <c r="B17140" t="s">
        <v>7368</v>
      </c>
    </row>
    <row r="17141" spans="1:2" x14ac:dyDescent="0.25">
      <c r="A17141">
        <v>40117010280</v>
      </c>
      <c r="B17141" t="s">
        <v>7369</v>
      </c>
    </row>
    <row r="17142" spans="1:2" x14ac:dyDescent="0.25">
      <c r="A17142">
        <v>40117090</v>
      </c>
      <c r="B17142" t="s">
        <v>10</v>
      </c>
    </row>
    <row r="17143" spans="1:2" x14ac:dyDescent="0.25">
      <c r="A17143">
        <v>401170901</v>
      </c>
      <c r="B17143" t="s">
        <v>7370</v>
      </c>
    </row>
    <row r="17144" spans="1:2" x14ac:dyDescent="0.25">
      <c r="A17144">
        <v>4011709011</v>
      </c>
      <c r="B17144" t="s">
        <v>7371</v>
      </c>
    </row>
    <row r="17145" spans="1:2" x14ac:dyDescent="0.25">
      <c r="A17145">
        <v>40117090111</v>
      </c>
      <c r="B17145" t="s">
        <v>7372</v>
      </c>
    </row>
    <row r="17146" spans="1:2" x14ac:dyDescent="0.25">
      <c r="A17146">
        <v>40117090112</v>
      </c>
      <c r="B17146" t="s">
        <v>7373</v>
      </c>
    </row>
    <row r="17147" spans="1:2" x14ac:dyDescent="0.25">
      <c r="A17147">
        <v>40117090113</v>
      </c>
      <c r="B17147" t="s">
        <v>7374</v>
      </c>
    </row>
    <row r="17148" spans="1:2" x14ac:dyDescent="0.25">
      <c r="A17148">
        <v>40117090114</v>
      </c>
      <c r="B17148" t="s">
        <v>7375</v>
      </c>
    </row>
    <row r="17149" spans="1:2" x14ac:dyDescent="0.25">
      <c r="A17149">
        <v>40117090119</v>
      </c>
      <c r="B17149" t="s">
        <v>10</v>
      </c>
    </row>
    <row r="17150" spans="1:2" x14ac:dyDescent="0.25">
      <c r="A17150">
        <v>4011709012</v>
      </c>
      <c r="B17150" t="s">
        <v>7376</v>
      </c>
    </row>
    <row r="17151" spans="1:2" x14ac:dyDescent="0.25">
      <c r="A17151">
        <v>40117090121</v>
      </c>
      <c r="B17151" t="s">
        <v>7377</v>
      </c>
    </row>
    <row r="17152" spans="1:2" x14ac:dyDescent="0.25">
      <c r="A17152">
        <v>40117090122</v>
      </c>
      <c r="B17152" t="s">
        <v>7314</v>
      </c>
    </row>
    <row r="17153" spans="1:2" x14ac:dyDescent="0.25">
      <c r="A17153">
        <v>40117090123</v>
      </c>
      <c r="B17153" t="s">
        <v>7378</v>
      </c>
    </row>
    <row r="17154" spans="1:2" x14ac:dyDescent="0.25">
      <c r="A17154">
        <v>40117090124</v>
      </c>
      <c r="B17154" t="s">
        <v>7379</v>
      </c>
    </row>
    <row r="17155" spans="1:2" x14ac:dyDescent="0.25">
      <c r="A17155">
        <v>40117090125</v>
      </c>
      <c r="B17155" t="s">
        <v>7380</v>
      </c>
    </row>
    <row r="17156" spans="1:2" x14ac:dyDescent="0.25">
      <c r="A17156">
        <v>40117090129</v>
      </c>
      <c r="B17156" t="s">
        <v>10</v>
      </c>
    </row>
    <row r="17157" spans="1:2" x14ac:dyDescent="0.25">
      <c r="A17157">
        <v>4011709013</v>
      </c>
      <c r="B17157" t="s">
        <v>7381</v>
      </c>
    </row>
    <row r="17158" spans="1:2" x14ac:dyDescent="0.25">
      <c r="A17158">
        <v>40117090131</v>
      </c>
      <c r="B17158" t="s">
        <v>7379</v>
      </c>
    </row>
    <row r="17159" spans="1:2" x14ac:dyDescent="0.25">
      <c r="A17159">
        <v>40117090139</v>
      </c>
      <c r="B17159" t="s">
        <v>10</v>
      </c>
    </row>
    <row r="17160" spans="1:2" x14ac:dyDescent="0.25">
      <c r="A17160">
        <v>4011709014</v>
      </c>
      <c r="B17160" t="s">
        <v>7382</v>
      </c>
    </row>
    <row r="17161" spans="1:2" x14ac:dyDescent="0.25">
      <c r="A17161">
        <v>40117090141</v>
      </c>
      <c r="B17161" t="s">
        <v>7383</v>
      </c>
    </row>
    <row r="17162" spans="1:2" x14ac:dyDescent="0.25">
      <c r="A17162">
        <v>40117090142</v>
      </c>
      <c r="B17162" t="s">
        <v>7380</v>
      </c>
    </row>
    <row r="17163" spans="1:2" x14ac:dyDescent="0.25">
      <c r="A17163">
        <v>40117090143</v>
      </c>
      <c r="B17163" t="s">
        <v>7384</v>
      </c>
    </row>
    <row r="17164" spans="1:2" x14ac:dyDescent="0.25">
      <c r="A17164">
        <v>40117090144</v>
      </c>
      <c r="B17164" t="s">
        <v>7385</v>
      </c>
    </row>
    <row r="17165" spans="1:2" x14ac:dyDescent="0.25">
      <c r="A17165">
        <v>40117090145</v>
      </c>
      <c r="B17165" t="s">
        <v>7386</v>
      </c>
    </row>
    <row r="17166" spans="1:2" x14ac:dyDescent="0.25">
      <c r="A17166">
        <v>40117090149</v>
      </c>
      <c r="B17166" t="s">
        <v>10</v>
      </c>
    </row>
    <row r="17167" spans="1:2" x14ac:dyDescent="0.25">
      <c r="A17167">
        <v>4011709015</v>
      </c>
      <c r="B17167" t="s">
        <v>7387</v>
      </c>
    </row>
    <row r="17168" spans="1:2" x14ac:dyDescent="0.25">
      <c r="A17168">
        <v>40117090151</v>
      </c>
      <c r="B17168" t="s">
        <v>7388</v>
      </c>
    </row>
    <row r="17169" spans="1:2" x14ac:dyDescent="0.25">
      <c r="A17169">
        <v>40117090152</v>
      </c>
      <c r="B17169" t="s">
        <v>7389</v>
      </c>
    </row>
    <row r="17170" spans="1:2" x14ac:dyDescent="0.25">
      <c r="A17170">
        <v>40117090159</v>
      </c>
      <c r="B17170" t="s">
        <v>10</v>
      </c>
    </row>
    <row r="17171" spans="1:2" x14ac:dyDescent="0.25">
      <c r="A17171">
        <v>4011709016</v>
      </c>
      <c r="B17171" t="s">
        <v>7390</v>
      </c>
    </row>
    <row r="17172" spans="1:2" x14ac:dyDescent="0.25">
      <c r="A17172">
        <v>40117090161</v>
      </c>
      <c r="B17172" t="s">
        <v>7391</v>
      </c>
    </row>
    <row r="17173" spans="1:2" x14ac:dyDescent="0.25">
      <c r="A17173">
        <v>40117090169</v>
      </c>
      <c r="B17173" t="s">
        <v>10</v>
      </c>
    </row>
    <row r="17174" spans="1:2" x14ac:dyDescent="0.25">
      <c r="A17174">
        <v>4011709017</v>
      </c>
      <c r="B17174" t="s">
        <v>7392</v>
      </c>
    </row>
    <row r="17175" spans="1:2" x14ac:dyDescent="0.25">
      <c r="A17175">
        <v>40117090171</v>
      </c>
      <c r="B17175" t="s">
        <v>7393</v>
      </c>
    </row>
    <row r="17176" spans="1:2" x14ac:dyDescent="0.25">
      <c r="A17176">
        <v>40117090172</v>
      </c>
      <c r="B17176" t="s">
        <v>7389</v>
      </c>
    </row>
    <row r="17177" spans="1:2" x14ac:dyDescent="0.25">
      <c r="A17177">
        <v>40117090173</v>
      </c>
      <c r="B17177" t="s">
        <v>7394</v>
      </c>
    </row>
    <row r="17178" spans="1:2" x14ac:dyDescent="0.25">
      <c r="A17178">
        <v>40117090174</v>
      </c>
      <c r="B17178" t="s">
        <v>7380</v>
      </c>
    </row>
    <row r="17179" spans="1:2" x14ac:dyDescent="0.25">
      <c r="A17179">
        <v>40117090175</v>
      </c>
      <c r="B17179" t="s">
        <v>7395</v>
      </c>
    </row>
    <row r="17180" spans="1:2" x14ac:dyDescent="0.25">
      <c r="A17180">
        <v>40117090179</v>
      </c>
      <c r="B17180" t="s">
        <v>10</v>
      </c>
    </row>
    <row r="17181" spans="1:2" x14ac:dyDescent="0.25">
      <c r="A17181">
        <v>4011709018</v>
      </c>
      <c r="B17181" t="s">
        <v>7396</v>
      </c>
    </row>
    <row r="17182" spans="1:2" x14ac:dyDescent="0.25">
      <c r="A17182">
        <v>40117090181</v>
      </c>
      <c r="B17182" t="s">
        <v>7397</v>
      </c>
    </row>
    <row r="17183" spans="1:2" x14ac:dyDescent="0.25">
      <c r="A17183">
        <v>40117090182</v>
      </c>
      <c r="B17183" t="s">
        <v>7398</v>
      </c>
    </row>
    <row r="17184" spans="1:2" x14ac:dyDescent="0.25">
      <c r="A17184">
        <v>40117090183</v>
      </c>
      <c r="B17184" t="s">
        <v>7399</v>
      </c>
    </row>
    <row r="17185" spans="1:2" x14ac:dyDescent="0.25">
      <c r="A17185">
        <v>40117090184</v>
      </c>
      <c r="B17185" t="s">
        <v>7400</v>
      </c>
    </row>
    <row r="17186" spans="1:2" x14ac:dyDescent="0.25">
      <c r="A17186">
        <v>40117090185</v>
      </c>
      <c r="B17186" t="s">
        <v>7401</v>
      </c>
    </row>
    <row r="17187" spans="1:2" x14ac:dyDescent="0.25">
      <c r="A17187">
        <v>40117090186</v>
      </c>
      <c r="B17187" t="s">
        <v>7402</v>
      </c>
    </row>
    <row r="17188" spans="1:2" x14ac:dyDescent="0.25">
      <c r="A17188">
        <v>40117090187</v>
      </c>
      <c r="B17188" t="s">
        <v>7403</v>
      </c>
    </row>
    <row r="17189" spans="1:2" x14ac:dyDescent="0.25">
      <c r="A17189">
        <v>40117090189</v>
      </c>
      <c r="B17189" t="s">
        <v>10</v>
      </c>
    </row>
    <row r="17190" spans="1:2" x14ac:dyDescent="0.25">
      <c r="A17190">
        <v>40117090190</v>
      </c>
      <c r="B17190" t="s">
        <v>10</v>
      </c>
    </row>
    <row r="17191" spans="1:2" x14ac:dyDescent="0.25">
      <c r="A17191">
        <v>401170902</v>
      </c>
      <c r="B17191" t="s">
        <v>7404</v>
      </c>
    </row>
    <row r="17192" spans="1:2" x14ac:dyDescent="0.25">
      <c r="A17192">
        <v>40117090210</v>
      </c>
      <c r="B17192" t="s">
        <v>7387</v>
      </c>
    </row>
    <row r="17193" spans="1:2" x14ac:dyDescent="0.25">
      <c r="A17193">
        <v>40117090290</v>
      </c>
      <c r="B17193" t="s">
        <v>10</v>
      </c>
    </row>
    <row r="17194" spans="1:2" x14ac:dyDescent="0.25">
      <c r="A17194">
        <v>401170903</v>
      </c>
      <c r="B17194" t="s">
        <v>7405</v>
      </c>
    </row>
    <row r="17195" spans="1:2" x14ac:dyDescent="0.25">
      <c r="A17195">
        <v>4011709031</v>
      </c>
      <c r="B17195" t="s">
        <v>7173</v>
      </c>
    </row>
    <row r="17196" spans="1:2" x14ac:dyDescent="0.25">
      <c r="A17196">
        <v>40117090311</v>
      </c>
      <c r="B17196" t="s">
        <v>7406</v>
      </c>
    </row>
    <row r="17197" spans="1:2" x14ac:dyDescent="0.25">
      <c r="A17197">
        <v>40117090312</v>
      </c>
      <c r="B17197" t="s">
        <v>7407</v>
      </c>
    </row>
    <row r="17198" spans="1:2" x14ac:dyDescent="0.25">
      <c r="A17198">
        <v>40117090313</v>
      </c>
      <c r="B17198" t="s">
        <v>7408</v>
      </c>
    </row>
    <row r="17199" spans="1:2" x14ac:dyDescent="0.25">
      <c r="A17199">
        <v>40117090314</v>
      </c>
      <c r="B17199" t="s">
        <v>7409</v>
      </c>
    </row>
    <row r="17200" spans="1:2" x14ac:dyDescent="0.25">
      <c r="A17200">
        <v>4011709032</v>
      </c>
      <c r="B17200" t="s">
        <v>7174</v>
      </c>
    </row>
    <row r="17201" spans="1:2" x14ac:dyDescent="0.25">
      <c r="A17201">
        <v>40117090321</v>
      </c>
      <c r="B17201" t="s">
        <v>7410</v>
      </c>
    </row>
    <row r="17202" spans="1:2" x14ac:dyDescent="0.25">
      <c r="A17202">
        <v>40117090322</v>
      </c>
      <c r="B17202" t="s">
        <v>7411</v>
      </c>
    </row>
    <row r="17203" spans="1:2" x14ac:dyDescent="0.25">
      <c r="A17203">
        <v>40117090323</v>
      </c>
      <c r="B17203" t="s">
        <v>7412</v>
      </c>
    </row>
    <row r="17204" spans="1:2" x14ac:dyDescent="0.25">
      <c r="A17204">
        <v>40117090324</v>
      </c>
      <c r="B17204" t="s">
        <v>7413</v>
      </c>
    </row>
    <row r="17205" spans="1:2" x14ac:dyDescent="0.25">
      <c r="A17205">
        <v>40117090325</v>
      </c>
      <c r="B17205" t="s">
        <v>7414</v>
      </c>
    </row>
    <row r="17206" spans="1:2" x14ac:dyDescent="0.25">
      <c r="A17206">
        <v>40117090326</v>
      </c>
      <c r="B17206" t="s">
        <v>7415</v>
      </c>
    </row>
    <row r="17207" spans="1:2" x14ac:dyDescent="0.25">
      <c r="A17207">
        <v>40117090327</v>
      </c>
      <c r="B17207" t="s">
        <v>7416</v>
      </c>
    </row>
    <row r="17208" spans="1:2" x14ac:dyDescent="0.25">
      <c r="A17208">
        <v>40117090328</v>
      </c>
      <c r="B17208" t="s">
        <v>7417</v>
      </c>
    </row>
    <row r="17209" spans="1:2" x14ac:dyDescent="0.25">
      <c r="A17209">
        <v>40117090329</v>
      </c>
      <c r="B17209" t="s">
        <v>7418</v>
      </c>
    </row>
    <row r="17210" spans="1:2" x14ac:dyDescent="0.25">
      <c r="A17210">
        <v>4011709033</v>
      </c>
      <c r="B17210" t="s">
        <v>7419</v>
      </c>
    </row>
    <row r="17211" spans="1:2" x14ac:dyDescent="0.25">
      <c r="A17211">
        <v>40117090331</v>
      </c>
      <c r="B17211" t="s">
        <v>7420</v>
      </c>
    </row>
    <row r="17212" spans="1:2" x14ac:dyDescent="0.25">
      <c r="A17212">
        <v>40117090332</v>
      </c>
      <c r="B17212" t="s">
        <v>7421</v>
      </c>
    </row>
    <row r="17213" spans="1:2" x14ac:dyDescent="0.25">
      <c r="A17213">
        <v>4011709034</v>
      </c>
      <c r="B17213" t="s">
        <v>7422</v>
      </c>
    </row>
    <row r="17214" spans="1:2" x14ac:dyDescent="0.25">
      <c r="A17214">
        <v>40117090341</v>
      </c>
      <c r="B17214" t="s">
        <v>7423</v>
      </c>
    </row>
    <row r="17215" spans="1:2" x14ac:dyDescent="0.25">
      <c r="A17215">
        <v>40117090342</v>
      </c>
      <c r="B17215" t="s">
        <v>7424</v>
      </c>
    </row>
    <row r="17216" spans="1:2" x14ac:dyDescent="0.25">
      <c r="A17216">
        <v>40117090343</v>
      </c>
      <c r="B17216" t="s">
        <v>7425</v>
      </c>
    </row>
    <row r="17217" spans="1:2" x14ac:dyDescent="0.25">
      <c r="A17217">
        <v>40117090344</v>
      </c>
      <c r="B17217" t="s">
        <v>7426</v>
      </c>
    </row>
    <row r="17218" spans="1:2" x14ac:dyDescent="0.25">
      <c r="A17218">
        <v>40117090345</v>
      </c>
      <c r="B17218" t="s">
        <v>7427</v>
      </c>
    </row>
    <row r="17219" spans="1:2" x14ac:dyDescent="0.25">
      <c r="A17219">
        <v>40117090346</v>
      </c>
      <c r="B17219" t="s">
        <v>7428</v>
      </c>
    </row>
    <row r="17220" spans="1:2" x14ac:dyDescent="0.25">
      <c r="A17220">
        <v>401170904</v>
      </c>
      <c r="B17220" t="s">
        <v>7429</v>
      </c>
    </row>
    <row r="17221" spans="1:2" x14ac:dyDescent="0.25">
      <c r="A17221">
        <v>4011709041</v>
      </c>
      <c r="B17221" t="s">
        <v>7430</v>
      </c>
    </row>
    <row r="17222" spans="1:2" x14ac:dyDescent="0.25">
      <c r="A17222">
        <v>40117090411</v>
      </c>
      <c r="B17222" t="s">
        <v>7431</v>
      </c>
    </row>
    <row r="17223" spans="1:2" x14ac:dyDescent="0.25">
      <c r="A17223">
        <v>40117090412</v>
      </c>
      <c r="B17223" t="s">
        <v>7432</v>
      </c>
    </row>
    <row r="17224" spans="1:2" x14ac:dyDescent="0.25">
      <c r="A17224">
        <v>4011709042</v>
      </c>
      <c r="B17224" t="s">
        <v>7433</v>
      </c>
    </row>
    <row r="17225" spans="1:2" x14ac:dyDescent="0.25">
      <c r="A17225">
        <v>40117090421</v>
      </c>
      <c r="B17225" t="s">
        <v>7431</v>
      </c>
    </row>
    <row r="17226" spans="1:2" x14ac:dyDescent="0.25">
      <c r="A17226">
        <v>40117090422</v>
      </c>
      <c r="B17226" t="s">
        <v>7432</v>
      </c>
    </row>
    <row r="17227" spans="1:2" x14ac:dyDescent="0.25">
      <c r="A17227">
        <v>40117090430</v>
      </c>
      <c r="B17227" t="s">
        <v>7434</v>
      </c>
    </row>
    <row r="17228" spans="1:2" x14ac:dyDescent="0.25">
      <c r="A17228">
        <v>40117090440</v>
      </c>
      <c r="B17228" t="s">
        <v>7435</v>
      </c>
    </row>
    <row r="17229" spans="1:2" x14ac:dyDescent="0.25">
      <c r="A17229">
        <v>4011709049</v>
      </c>
      <c r="B17229" t="s">
        <v>10</v>
      </c>
    </row>
    <row r="17230" spans="1:2" x14ac:dyDescent="0.25">
      <c r="A17230">
        <v>40117090491</v>
      </c>
      <c r="B17230" t="s">
        <v>7436</v>
      </c>
    </row>
    <row r="17231" spans="1:2" x14ac:dyDescent="0.25">
      <c r="A17231">
        <v>40117090492</v>
      </c>
      <c r="B17231" t="s">
        <v>7437</v>
      </c>
    </row>
    <row r="17232" spans="1:2" x14ac:dyDescent="0.25">
      <c r="A17232">
        <v>401170905</v>
      </c>
      <c r="B17232" t="s">
        <v>7438</v>
      </c>
    </row>
    <row r="17233" spans="1:2" x14ac:dyDescent="0.25">
      <c r="A17233">
        <v>40117090510</v>
      </c>
      <c r="B17233" t="s">
        <v>7439</v>
      </c>
    </row>
    <row r="17234" spans="1:2" x14ac:dyDescent="0.25">
      <c r="A17234">
        <v>40117090520</v>
      </c>
      <c r="B17234" t="s">
        <v>7440</v>
      </c>
    </row>
    <row r="17235" spans="1:2" x14ac:dyDescent="0.25">
      <c r="A17235">
        <v>40117090530</v>
      </c>
      <c r="B17235" t="s">
        <v>7419</v>
      </c>
    </row>
    <row r="17236" spans="1:2" x14ac:dyDescent="0.25">
      <c r="A17236">
        <v>40117090540</v>
      </c>
      <c r="B17236" t="s">
        <v>7441</v>
      </c>
    </row>
    <row r="17237" spans="1:2" x14ac:dyDescent="0.25">
      <c r="A17237">
        <v>40117090550</v>
      </c>
      <c r="B17237" t="s">
        <v>7230</v>
      </c>
    </row>
    <row r="17238" spans="1:2" x14ac:dyDescent="0.25">
      <c r="A17238">
        <v>40117090560</v>
      </c>
      <c r="B17238" t="s">
        <v>7442</v>
      </c>
    </row>
    <row r="17239" spans="1:2" x14ac:dyDescent="0.25">
      <c r="A17239">
        <v>40117090570</v>
      </c>
      <c r="B17239" t="s">
        <v>7443</v>
      </c>
    </row>
    <row r="17240" spans="1:2" x14ac:dyDescent="0.25">
      <c r="A17240">
        <v>40117090590</v>
      </c>
      <c r="B17240" t="s">
        <v>10</v>
      </c>
    </row>
    <row r="17241" spans="1:2" x14ac:dyDescent="0.25">
      <c r="A17241">
        <v>401170906</v>
      </c>
      <c r="B17241" t="s">
        <v>7444</v>
      </c>
    </row>
    <row r="17242" spans="1:2" x14ac:dyDescent="0.25">
      <c r="A17242">
        <v>4011709061</v>
      </c>
      <c r="B17242" t="s">
        <v>7445</v>
      </c>
    </row>
    <row r="17243" spans="1:2" x14ac:dyDescent="0.25">
      <c r="A17243">
        <v>40117090611</v>
      </c>
      <c r="B17243" t="s">
        <v>7446</v>
      </c>
    </row>
    <row r="17244" spans="1:2" x14ac:dyDescent="0.25">
      <c r="A17244">
        <v>40117090612</v>
      </c>
      <c r="B17244" t="s">
        <v>7447</v>
      </c>
    </row>
    <row r="17245" spans="1:2" x14ac:dyDescent="0.25">
      <c r="A17245">
        <v>40117090613</v>
      </c>
      <c r="B17245" t="s">
        <v>7448</v>
      </c>
    </row>
    <row r="17246" spans="1:2" x14ac:dyDescent="0.25">
      <c r="A17246">
        <v>40117090614</v>
      </c>
      <c r="B17246" t="s">
        <v>7449</v>
      </c>
    </row>
    <row r="17247" spans="1:2" x14ac:dyDescent="0.25">
      <c r="A17247">
        <v>40117090615</v>
      </c>
      <c r="B17247" t="s">
        <v>7450</v>
      </c>
    </row>
    <row r="17248" spans="1:2" x14ac:dyDescent="0.25">
      <c r="A17248">
        <v>40117090616</v>
      </c>
      <c r="B17248" t="s">
        <v>7451</v>
      </c>
    </row>
    <row r="17249" spans="1:2" x14ac:dyDescent="0.25">
      <c r="A17249">
        <v>40117090619</v>
      </c>
      <c r="B17249" t="s">
        <v>10</v>
      </c>
    </row>
    <row r="17250" spans="1:2" x14ac:dyDescent="0.25">
      <c r="A17250">
        <v>4011709062</v>
      </c>
      <c r="B17250" t="s">
        <v>7376</v>
      </c>
    </row>
    <row r="17251" spans="1:2" x14ac:dyDescent="0.25">
      <c r="A17251">
        <v>40117090621</v>
      </c>
      <c r="B17251" t="s">
        <v>7452</v>
      </c>
    </row>
    <row r="17252" spans="1:2" x14ac:dyDescent="0.25">
      <c r="A17252">
        <v>40117090622</v>
      </c>
      <c r="B17252" t="s">
        <v>7448</v>
      </c>
    </row>
    <row r="17253" spans="1:2" x14ac:dyDescent="0.25">
      <c r="A17253">
        <v>40117090623</v>
      </c>
      <c r="B17253" t="s">
        <v>7453</v>
      </c>
    </row>
    <row r="17254" spans="1:2" x14ac:dyDescent="0.25">
      <c r="A17254">
        <v>40117090624</v>
      </c>
      <c r="B17254" t="s">
        <v>7454</v>
      </c>
    </row>
    <row r="17255" spans="1:2" x14ac:dyDescent="0.25">
      <c r="A17255">
        <v>40117090625</v>
      </c>
      <c r="B17255" t="s">
        <v>7455</v>
      </c>
    </row>
    <row r="17256" spans="1:2" x14ac:dyDescent="0.25">
      <c r="A17256">
        <v>40117090629</v>
      </c>
      <c r="B17256" t="s">
        <v>10</v>
      </c>
    </row>
    <row r="17257" spans="1:2" x14ac:dyDescent="0.25">
      <c r="A17257">
        <v>4011709063</v>
      </c>
      <c r="B17257" t="s">
        <v>7381</v>
      </c>
    </row>
    <row r="17258" spans="1:2" x14ac:dyDescent="0.25">
      <c r="A17258">
        <v>40117090631</v>
      </c>
      <c r="B17258" t="s">
        <v>7455</v>
      </c>
    </row>
    <row r="17259" spans="1:2" x14ac:dyDescent="0.25">
      <c r="A17259">
        <v>40117090632</v>
      </c>
      <c r="B17259" t="s">
        <v>7456</v>
      </c>
    </row>
    <row r="17260" spans="1:2" x14ac:dyDescent="0.25">
      <c r="A17260">
        <v>40117090633</v>
      </c>
      <c r="B17260" t="s">
        <v>7457</v>
      </c>
    </row>
    <row r="17261" spans="1:2" x14ac:dyDescent="0.25">
      <c r="A17261">
        <v>40117090634</v>
      </c>
      <c r="B17261" t="s">
        <v>7458</v>
      </c>
    </row>
    <row r="17262" spans="1:2" x14ac:dyDescent="0.25">
      <c r="A17262">
        <v>40117090635</v>
      </c>
      <c r="B17262" t="s">
        <v>7459</v>
      </c>
    </row>
    <row r="17263" spans="1:2" x14ac:dyDescent="0.25">
      <c r="A17263">
        <v>40117090639</v>
      </c>
      <c r="B17263" t="s">
        <v>10</v>
      </c>
    </row>
    <row r="17264" spans="1:2" x14ac:dyDescent="0.25">
      <c r="A17264">
        <v>40117090690</v>
      </c>
      <c r="B17264" t="s">
        <v>10</v>
      </c>
    </row>
    <row r="17265" spans="1:2" x14ac:dyDescent="0.25">
      <c r="A17265">
        <v>401170908</v>
      </c>
      <c r="B17265" t="s">
        <v>7460</v>
      </c>
    </row>
    <row r="17266" spans="1:2" x14ac:dyDescent="0.25">
      <c r="A17266">
        <v>40117090810</v>
      </c>
      <c r="B17266" t="s">
        <v>7461</v>
      </c>
    </row>
    <row r="17267" spans="1:2" x14ac:dyDescent="0.25">
      <c r="A17267">
        <v>40117090890</v>
      </c>
      <c r="B17267" t="s">
        <v>10</v>
      </c>
    </row>
    <row r="17268" spans="1:2" x14ac:dyDescent="0.25">
      <c r="A17268">
        <v>40117090900</v>
      </c>
      <c r="B17268" t="s">
        <v>10</v>
      </c>
    </row>
    <row r="17269" spans="1:2" x14ac:dyDescent="0.25">
      <c r="A17269">
        <v>401180</v>
      </c>
      <c r="B17269" t="e">
        <f>- de Los tipos utilizados En vehiculos y maquinas para la construccion. mineria o mantenimiento industrial</f>
        <v>#NAME?</v>
      </c>
    </row>
    <row r="17270" spans="1:2" x14ac:dyDescent="0.25">
      <c r="A17270">
        <v>40118010000</v>
      </c>
      <c r="B17270" t="s">
        <v>7462</v>
      </c>
    </row>
    <row r="17271" spans="1:2" x14ac:dyDescent="0.25">
      <c r="A17271">
        <v>40118020000</v>
      </c>
      <c r="B17271" t="s">
        <v>7463</v>
      </c>
    </row>
    <row r="17272" spans="1:2" x14ac:dyDescent="0.25">
      <c r="A17272">
        <v>40118090</v>
      </c>
      <c r="B17272" t="s">
        <v>10</v>
      </c>
    </row>
    <row r="17273" spans="1:2" x14ac:dyDescent="0.25">
      <c r="A17273">
        <v>40118090100</v>
      </c>
      <c r="B17273" t="s">
        <v>7464</v>
      </c>
    </row>
    <row r="17274" spans="1:2" x14ac:dyDescent="0.25">
      <c r="A17274">
        <v>40118090900</v>
      </c>
      <c r="B17274" t="s">
        <v>10</v>
      </c>
    </row>
    <row r="17275" spans="1:2" x14ac:dyDescent="0.25">
      <c r="A17275">
        <v>401190</v>
      </c>
      <c r="B17275" t="e">
        <f>- Los demas</f>
        <v>#NAME?</v>
      </c>
    </row>
    <row r="17276" spans="1:2" x14ac:dyDescent="0.25">
      <c r="A17276">
        <v>40119010000</v>
      </c>
      <c r="B17276" t="s">
        <v>7465</v>
      </c>
    </row>
    <row r="17277" spans="1:2" x14ac:dyDescent="0.25">
      <c r="A17277">
        <v>40119090000</v>
      </c>
      <c r="B17277" t="s">
        <v>10</v>
      </c>
    </row>
    <row r="17278" spans="1:2" x14ac:dyDescent="0.25">
      <c r="A17278">
        <v>4012</v>
      </c>
      <c r="B17278" t="s">
        <v>7466</v>
      </c>
    </row>
    <row r="17279" spans="1:2" x14ac:dyDescent="0.25">
      <c r="A17279">
        <v>40121</v>
      </c>
      <c r="B17279" t="s">
        <v>7467</v>
      </c>
    </row>
    <row r="17280" spans="1:2" x14ac:dyDescent="0.25">
      <c r="A17280">
        <v>40121100</v>
      </c>
      <c r="B17280" t="s">
        <v>7468</v>
      </c>
    </row>
    <row r="17281" spans="1:2" x14ac:dyDescent="0.25">
      <c r="A17281">
        <v>40121100100</v>
      </c>
      <c r="B17281" t="s">
        <v>7469</v>
      </c>
    </row>
    <row r="17282" spans="1:2" x14ac:dyDescent="0.25">
      <c r="A17282">
        <v>40121100200</v>
      </c>
      <c r="B17282" t="s">
        <v>7470</v>
      </c>
    </row>
    <row r="17283" spans="1:2" x14ac:dyDescent="0.25">
      <c r="A17283">
        <v>40121100300</v>
      </c>
      <c r="B17283" t="s">
        <v>7471</v>
      </c>
    </row>
    <row r="17284" spans="1:2" x14ac:dyDescent="0.25">
      <c r="A17284">
        <v>40121200</v>
      </c>
      <c r="B17284" t="e">
        <f>- - de Los tipos utilizados En autobuses o camiones</f>
        <v>#NAME?</v>
      </c>
    </row>
    <row r="17285" spans="1:2" x14ac:dyDescent="0.25">
      <c r="A17285">
        <v>40121200100</v>
      </c>
      <c r="B17285" t="s">
        <v>7469</v>
      </c>
    </row>
    <row r="17286" spans="1:2" x14ac:dyDescent="0.25">
      <c r="A17286">
        <v>40121200200</v>
      </c>
      <c r="B17286" t="s">
        <v>7470</v>
      </c>
    </row>
    <row r="17287" spans="1:2" x14ac:dyDescent="0.25">
      <c r="A17287">
        <v>40121200300</v>
      </c>
      <c r="B17287" t="s">
        <v>7471</v>
      </c>
    </row>
    <row r="17288" spans="1:2" x14ac:dyDescent="0.25">
      <c r="A17288">
        <v>40121300</v>
      </c>
      <c r="B17288" t="e">
        <f>- - de Los tipos utilizados En aeronaves</f>
        <v>#NAME?</v>
      </c>
    </row>
    <row r="17289" spans="1:2" x14ac:dyDescent="0.25">
      <c r="A17289">
        <v>40121300100</v>
      </c>
      <c r="B17289" t="s">
        <v>7469</v>
      </c>
    </row>
    <row r="17290" spans="1:2" x14ac:dyDescent="0.25">
      <c r="A17290">
        <v>40121300200</v>
      </c>
      <c r="B17290" t="s">
        <v>7470</v>
      </c>
    </row>
    <row r="17291" spans="1:2" x14ac:dyDescent="0.25">
      <c r="A17291">
        <v>40121300300</v>
      </c>
      <c r="B17291" t="s">
        <v>7471</v>
      </c>
    </row>
    <row r="17292" spans="1:2" x14ac:dyDescent="0.25">
      <c r="A17292">
        <v>40121900</v>
      </c>
      <c r="B17292" t="e">
        <f>- - Los demas</f>
        <v>#NAME?</v>
      </c>
    </row>
    <row r="17293" spans="1:2" x14ac:dyDescent="0.25">
      <c r="A17293">
        <v>40121900100</v>
      </c>
      <c r="B17293" t="s">
        <v>7469</v>
      </c>
    </row>
    <row r="17294" spans="1:2" x14ac:dyDescent="0.25">
      <c r="A17294">
        <v>40121900200</v>
      </c>
      <c r="B17294" t="s">
        <v>7470</v>
      </c>
    </row>
    <row r="17295" spans="1:2" x14ac:dyDescent="0.25">
      <c r="A17295">
        <v>40121900300</v>
      </c>
      <c r="B17295" t="s">
        <v>7471</v>
      </c>
    </row>
    <row r="17296" spans="1:2" x14ac:dyDescent="0.25">
      <c r="A17296">
        <v>40122000</v>
      </c>
      <c r="B17296" t="e">
        <f>- Neumaticos (llantas neumaticas) usados</f>
        <v>#NAME?</v>
      </c>
    </row>
    <row r="17297" spans="1:2" x14ac:dyDescent="0.25">
      <c r="A17297">
        <v>40122000100</v>
      </c>
      <c r="B17297" t="s">
        <v>7472</v>
      </c>
    </row>
    <row r="17298" spans="1:2" x14ac:dyDescent="0.25">
      <c r="A17298">
        <v>40122000200</v>
      </c>
      <c r="B17298" t="s">
        <v>7473</v>
      </c>
    </row>
    <row r="17299" spans="1:2" x14ac:dyDescent="0.25">
      <c r="A17299">
        <v>40122000300</v>
      </c>
      <c r="B17299" t="s">
        <v>7474</v>
      </c>
    </row>
    <row r="17300" spans="1:2" x14ac:dyDescent="0.25">
      <c r="A17300">
        <v>40122000900</v>
      </c>
      <c r="B17300" t="s">
        <v>10</v>
      </c>
    </row>
    <row r="17301" spans="1:2" x14ac:dyDescent="0.25">
      <c r="A17301">
        <v>401290</v>
      </c>
      <c r="B17301" t="e">
        <f>- Los demas</f>
        <v>#NAME?</v>
      </c>
    </row>
    <row r="17302" spans="1:2" x14ac:dyDescent="0.25">
      <c r="A17302">
        <v>40129010000</v>
      </c>
      <c r="B17302" t="s">
        <v>7475</v>
      </c>
    </row>
    <row r="17303" spans="1:2" x14ac:dyDescent="0.25">
      <c r="A17303">
        <v>40129090</v>
      </c>
      <c r="B17303" t="s">
        <v>10</v>
      </c>
    </row>
    <row r="17304" spans="1:2" x14ac:dyDescent="0.25">
      <c r="A17304">
        <v>40129090100</v>
      </c>
      <c r="B17304" t="s">
        <v>7476</v>
      </c>
    </row>
    <row r="17305" spans="1:2" x14ac:dyDescent="0.25">
      <c r="A17305">
        <v>40129090200</v>
      </c>
      <c r="B17305" t="s">
        <v>7477</v>
      </c>
    </row>
    <row r="17306" spans="1:2" x14ac:dyDescent="0.25">
      <c r="A17306">
        <v>4013</v>
      </c>
      <c r="B17306" t="s">
        <v>7478</v>
      </c>
    </row>
    <row r="17307" spans="1:2" x14ac:dyDescent="0.25">
      <c r="A17307">
        <v>401310</v>
      </c>
      <c r="B17307" t="s">
        <v>7479</v>
      </c>
    </row>
    <row r="17308" spans="1:2" x14ac:dyDescent="0.25">
      <c r="A17308">
        <v>40131010000</v>
      </c>
      <c r="B17308" t="s">
        <v>7480</v>
      </c>
    </row>
    <row r="17309" spans="1:2" x14ac:dyDescent="0.25">
      <c r="A17309">
        <v>40131090000</v>
      </c>
      <c r="B17309" t="s">
        <v>57</v>
      </c>
    </row>
    <row r="17310" spans="1:2" x14ac:dyDescent="0.25">
      <c r="A17310">
        <v>40132000000</v>
      </c>
      <c r="B17310" t="e">
        <f>-de Los tipos utilizados En bicicletas</f>
        <v>#NAME?</v>
      </c>
    </row>
    <row r="17311" spans="1:2" x14ac:dyDescent="0.25">
      <c r="A17311">
        <v>40139000</v>
      </c>
      <c r="B17311" t="e">
        <f>- las demas</f>
        <v>#NAME?</v>
      </c>
    </row>
    <row r="17312" spans="1:2" x14ac:dyDescent="0.25">
      <c r="A17312">
        <v>40139000100</v>
      </c>
      <c r="B17312" t="s">
        <v>7481</v>
      </c>
    </row>
    <row r="17313" spans="1:2" x14ac:dyDescent="0.25">
      <c r="A17313">
        <v>40139000900</v>
      </c>
      <c r="B17313" t="s">
        <v>57</v>
      </c>
    </row>
    <row r="17314" spans="1:2" x14ac:dyDescent="0.25">
      <c r="A17314">
        <v>4014</v>
      </c>
      <c r="B17314" t="s">
        <v>7482</v>
      </c>
    </row>
    <row r="17315" spans="1:2" x14ac:dyDescent="0.25">
      <c r="A17315">
        <v>40141000</v>
      </c>
      <c r="B17315" t="e">
        <f>- Preservativos</f>
        <v>#NAME?</v>
      </c>
    </row>
    <row r="17316" spans="1:2" x14ac:dyDescent="0.25">
      <c r="A17316">
        <v>401410001</v>
      </c>
      <c r="B17316" t="s">
        <v>7483</v>
      </c>
    </row>
    <row r="17317" spans="1:2" x14ac:dyDescent="0.25">
      <c r="A17317">
        <v>40141000110</v>
      </c>
      <c r="B17317" t="s">
        <v>7484</v>
      </c>
    </row>
    <row r="17318" spans="1:2" x14ac:dyDescent="0.25">
      <c r="A17318">
        <v>40141000120</v>
      </c>
      <c r="B17318" t="s">
        <v>7485</v>
      </c>
    </row>
    <row r="17319" spans="1:2" x14ac:dyDescent="0.25">
      <c r="A17319">
        <v>40141000190</v>
      </c>
      <c r="B17319" t="s">
        <v>10</v>
      </c>
    </row>
    <row r="17320" spans="1:2" x14ac:dyDescent="0.25">
      <c r="A17320">
        <v>401410009</v>
      </c>
      <c r="B17320" t="s">
        <v>10</v>
      </c>
    </row>
    <row r="17321" spans="1:2" x14ac:dyDescent="0.25">
      <c r="A17321">
        <v>40141000910</v>
      </c>
      <c r="B17321" t="s">
        <v>7486</v>
      </c>
    </row>
    <row r="17322" spans="1:2" x14ac:dyDescent="0.25">
      <c r="A17322">
        <v>40141000990</v>
      </c>
      <c r="B17322" t="s">
        <v>10</v>
      </c>
    </row>
    <row r="17323" spans="1:2" x14ac:dyDescent="0.25">
      <c r="A17323">
        <v>401490</v>
      </c>
      <c r="B17323" t="e">
        <f>- Los demas</f>
        <v>#NAME?</v>
      </c>
    </row>
    <row r="17324" spans="1:2" x14ac:dyDescent="0.25">
      <c r="A17324">
        <v>40149010000</v>
      </c>
      <c r="B17324" t="s">
        <v>7487</v>
      </c>
    </row>
    <row r="17325" spans="1:2" x14ac:dyDescent="0.25">
      <c r="A17325">
        <v>40149090</v>
      </c>
      <c r="B17325" t="s">
        <v>10</v>
      </c>
    </row>
    <row r="17326" spans="1:2" x14ac:dyDescent="0.25">
      <c r="A17326">
        <v>401490901</v>
      </c>
      <c r="B17326" t="s">
        <v>6965</v>
      </c>
    </row>
    <row r="17327" spans="1:2" x14ac:dyDescent="0.25">
      <c r="A17327">
        <v>40149090110</v>
      </c>
      <c r="B17327" t="s">
        <v>7028</v>
      </c>
    </row>
    <row r="17328" spans="1:2" x14ac:dyDescent="0.25">
      <c r="A17328">
        <v>40149090190</v>
      </c>
      <c r="B17328" t="s">
        <v>57</v>
      </c>
    </row>
    <row r="17329" spans="1:2" x14ac:dyDescent="0.25">
      <c r="A17329">
        <v>401490902</v>
      </c>
      <c r="B17329" t="s">
        <v>7488</v>
      </c>
    </row>
    <row r="17330" spans="1:2" x14ac:dyDescent="0.25">
      <c r="A17330">
        <v>40149090210</v>
      </c>
      <c r="B17330" t="s">
        <v>7489</v>
      </c>
    </row>
    <row r="17331" spans="1:2" x14ac:dyDescent="0.25">
      <c r="A17331">
        <v>4014909022</v>
      </c>
      <c r="B17331" t="s">
        <v>7490</v>
      </c>
    </row>
    <row r="17332" spans="1:2" x14ac:dyDescent="0.25">
      <c r="A17332">
        <v>40149090221</v>
      </c>
      <c r="B17332" t="s">
        <v>5635</v>
      </c>
    </row>
    <row r="17333" spans="1:2" x14ac:dyDescent="0.25">
      <c r="A17333">
        <v>40149090229</v>
      </c>
      <c r="B17333" t="s">
        <v>10</v>
      </c>
    </row>
    <row r="17334" spans="1:2" x14ac:dyDescent="0.25">
      <c r="A17334">
        <v>40149090300</v>
      </c>
      <c r="B17334" t="s">
        <v>909</v>
      </c>
    </row>
    <row r="17335" spans="1:2" x14ac:dyDescent="0.25">
      <c r="A17335">
        <v>40149090900</v>
      </c>
      <c r="B17335" t="s">
        <v>10</v>
      </c>
    </row>
    <row r="17336" spans="1:2" x14ac:dyDescent="0.25">
      <c r="A17336">
        <v>4015</v>
      </c>
      <c r="B17336" t="s">
        <v>7491</v>
      </c>
    </row>
    <row r="17337" spans="1:2" x14ac:dyDescent="0.25">
      <c r="A17337">
        <v>40151</v>
      </c>
      <c r="B17337" t="s">
        <v>7492</v>
      </c>
    </row>
    <row r="17338" spans="1:2" x14ac:dyDescent="0.25">
      <c r="A17338">
        <v>40151100</v>
      </c>
      <c r="B17338" t="e">
        <f>- - para cirugia</f>
        <v>#NAME?</v>
      </c>
    </row>
    <row r="17339" spans="1:2" x14ac:dyDescent="0.25">
      <c r="A17339">
        <v>40151100100</v>
      </c>
      <c r="B17339" t="s">
        <v>7493</v>
      </c>
    </row>
    <row r="17340" spans="1:2" x14ac:dyDescent="0.25">
      <c r="A17340">
        <v>40151100900</v>
      </c>
      <c r="B17340" t="s">
        <v>10</v>
      </c>
    </row>
    <row r="17341" spans="1:2" x14ac:dyDescent="0.25">
      <c r="A17341">
        <v>40151900</v>
      </c>
      <c r="B17341" t="e">
        <f>- - Los demas</f>
        <v>#NAME?</v>
      </c>
    </row>
    <row r="17342" spans="1:2" x14ac:dyDescent="0.25">
      <c r="A17342">
        <v>401519001</v>
      </c>
      <c r="B17342" t="s">
        <v>7494</v>
      </c>
    </row>
    <row r="17343" spans="1:2" x14ac:dyDescent="0.25">
      <c r="A17343">
        <v>4015190011</v>
      </c>
      <c r="B17343" t="s">
        <v>7495</v>
      </c>
    </row>
    <row r="17344" spans="1:2" x14ac:dyDescent="0.25">
      <c r="A17344">
        <v>40151900111</v>
      </c>
      <c r="B17344" t="s">
        <v>7493</v>
      </c>
    </row>
    <row r="17345" spans="1:2" x14ac:dyDescent="0.25">
      <c r="A17345">
        <v>40151900119</v>
      </c>
      <c r="B17345" t="s">
        <v>10</v>
      </c>
    </row>
    <row r="17346" spans="1:2" x14ac:dyDescent="0.25">
      <c r="A17346">
        <v>4015190019</v>
      </c>
      <c r="B17346" t="s">
        <v>10</v>
      </c>
    </row>
    <row r="17347" spans="1:2" x14ac:dyDescent="0.25">
      <c r="A17347">
        <v>40151900191</v>
      </c>
      <c r="B17347" t="s">
        <v>7493</v>
      </c>
    </row>
    <row r="17348" spans="1:2" x14ac:dyDescent="0.25">
      <c r="A17348">
        <v>40151900199</v>
      </c>
      <c r="B17348" t="s">
        <v>10</v>
      </c>
    </row>
    <row r="17349" spans="1:2" x14ac:dyDescent="0.25">
      <c r="A17349">
        <v>401519002</v>
      </c>
      <c r="B17349" t="s">
        <v>7496</v>
      </c>
    </row>
    <row r="17350" spans="1:2" x14ac:dyDescent="0.25">
      <c r="A17350">
        <v>40151900210</v>
      </c>
      <c r="B17350" t="s">
        <v>7497</v>
      </c>
    </row>
    <row r="17351" spans="1:2" x14ac:dyDescent="0.25">
      <c r="A17351">
        <v>40151900290</v>
      </c>
      <c r="B17351" t="s">
        <v>10</v>
      </c>
    </row>
    <row r="17352" spans="1:2" x14ac:dyDescent="0.25">
      <c r="A17352">
        <v>401519009</v>
      </c>
      <c r="B17352" t="s">
        <v>10</v>
      </c>
    </row>
    <row r="17353" spans="1:2" x14ac:dyDescent="0.25">
      <c r="A17353">
        <v>40151900910</v>
      </c>
      <c r="B17353" t="s">
        <v>6648</v>
      </c>
    </row>
    <row r="17354" spans="1:2" x14ac:dyDescent="0.25">
      <c r="A17354">
        <v>40151900990</v>
      </c>
      <c r="B17354" t="s">
        <v>10</v>
      </c>
    </row>
    <row r="17355" spans="1:2" x14ac:dyDescent="0.25">
      <c r="A17355">
        <v>40159000</v>
      </c>
      <c r="B17355" t="e">
        <f>- Los demas</f>
        <v>#NAME?</v>
      </c>
    </row>
    <row r="17356" spans="1:2" x14ac:dyDescent="0.25">
      <c r="A17356">
        <v>40159000100</v>
      </c>
      <c r="B17356" t="s">
        <v>7498</v>
      </c>
    </row>
    <row r="17357" spans="1:2" x14ac:dyDescent="0.25">
      <c r="A17357">
        <v>40159000200</v>
      </c>
      <c r="B17357" t="s">
        <v>6987</v>
      </c>
    </row>
    <row r="17358" spans="1:2" x14ac:dyDescent="0.25">
      <c r="A17358">
        <v>40159000300</v>
      </c>
      <c r="B17358" t="s">
        <v>7499</v>
      </c>
    </row>
    <row r="17359" spans="1:2" x14ac:dyDescent="0.25">
      <c r="A17359">
        <v>40159000900</v>
      </c>
      <c r="B17359" t="s">
        <v>10</v>
      </c>
    </row>
    <row r="17360" spans="1:2" x14ac:dyDescent="0.25">
      <c r="A17360">
        <v>4016</v>
      </c>
      <c r="B17360" t="s">
        <v>7500</v>
      </c>
    </row>
    <row r="17361" spans="1:2" x14ac:dyDescent="0.25">
      <c r="A17361">
        <v>401610</v>
      </c>
      <c r="B17361" t="e">
        <f>- de caucho celular</f>
        <v>#NAME?</v>
      </c>
    </row>
    <row r="17362" spans="1:2" x14ac:dyDescent="0.25">
      <c r="A17362">
        <v>40161010</v>
      </c>
      <c r="B17362" t="s">
        <v>7501</v>
      </c>
    </row>
    <row r="17363" spans="1:2" x14ac:dyDescent="0.25">
      <c r="A17363">
        <v>40161010100</v>
      </c>
      <c r="B17363" t="s">
        <v>7502</v>
      </c>
    </row>
    <row r="17364" spans="1:2" x14ac:dyDescent="0.25">
      <c r="A17364">
        <v>40161010900</v>
      </c>
      <c r="B17364" t="s">
        <v>57</v>
      </c>
    </row>
    <row r="17365" spans="1:2" x14ac:dyDescent="0.25">
      <c r="A17365">
        <v>40161090</v>
      </c>
      <c r="B17365" t="s">
        <v>10</v>
      </c>
    </row>
    <row r="17366" spans="1:2" x14ac:dyDescent="0.25">
      <c r="A17366">
        <v>40161090100</v>
      </c>
      <c r="B17366" t="s">
        <v>7503</v>
      </c>
    </row>
    <row r="17367" spans="1:2" x14ac:dyDescent="0.25">
      <c r="A17367">
        <v>40161090900</v>
      </c>
      <c r="B17367" t="s">
        <v>10</v>
      </c>
    </row>
    <row r="17368" spans="1:2" x14ac:dyDescent="0.25">
      <c r="A17368">
        <v>40169</v>
      </c>
      <c r="B17368" t="s">
        <v>567</v>
      </c>
    </row>
    <row r="17369" spans="1:2" x14ac:dyDescent="0.25">
      <c r="A17369">
        <v>40169100</v>
      </c>
      <c r="B17369" t="e">
        <f>- - Revestimientos para el suelo y alfombras</f>
        <v>#NAME?</v>
      </c>
    </row>
    <row r="17370" spans="1:2" x14ac:dyDescent="0.25">
      <c r="A17370">
        <v>40169100100</v>
      </c>
      <c r="B17370" t="s">
        <v>6673</v>
      </c>
    </row>
    <row r="17371" spans="1:2" x14ac:dyDescent="0.25">
      <c r="A17371">
        <v>40169100900</v>
      </c>
      <c r="B17371" t="s">
        <v>10</v>
      </c>
    </row>
    <row r="17372" spans="1:2" x14ac:dyDescent="0.25">
      <c r="A17372">
        <v>40169200000</v>
      </c>
      <c r="B17372" t="e">
        <f>--gomas de borrar</f>
        <v>#NAME?</v>
      </c>
    </row>
    <row r="17373" spans="1:2" x14ac:dyDescent="0.25">
      <c r="A17373">
        <v>40169300</v>
      </c>
      <c r="B17373" t="e">
        <f>- - Juntas o empaquetaduras</f>
        <v>#NAME?</v>
      </c>
    </row>
    <row r="17374" spans="1:2" x14ac:dyDescent="0.25">
      <c r="A17374">
        <v>401693001</v>
      </c>
      <c r="B17374" t="s">
        <v>7504</v>
      </c>
    </row>
    <row r="17375" spans="1:2" x14ac:dyDescent="0.25">
      <c r="A17375">
        <v>40169300110</v>
      </c>
      <c r="B17375" t="s">
        <v>6673</v>
      </c>
    </row>
    <row r="17376" spans="1:2" x14ac:dyDescent="0.25">
      <c r="A17376">
        <v>40169300190</v>
      </c>
      <c r="B17376" t="s">
        <v>57</v>
      </c>
    </row>
    <row r="17377" spans="1:2" x14ac:dyDescent="0.25">
      <c r="A17377">
        <v>401693009</v>
      </c>
      <c r="B17377" t="s">
        <v>57</v>
      </c>
    </row>
    <row r="17378" spans="1:2" x14ac:dyDescent="0.25">
      <c r="A17378">
        <v>40169300910</v>
      </c>
      <c r="B17378" t="s">
        <v>6673</v>
      </c>
    </row>
    <row r="17379" spans="1:2" x14ac:dyDescent="0.25">
      <c r="A17379">
        <v>40169300990</v>
      </c>
      <c r="B17379" t="s">
        <v>57</v>
      </c>
    </row>
    <row r="17380" spans="1:2" x14ac:dyDescent="0.25">
      <c r="A17380">
        <v>40169400000</v>
      </c>
      <c r="B17380" t="e">
        <f>--Defensas. incluso inflables. para el atraque de Los barcos</f>
        <v>#NAME?</v>
      </c>
    </row>
    <row r="17381" spans="1:2" x14ac:dyDescent="0.25">
      <c r="A17381">
        <v>401695</v>
      </c>
      <c r="B17381" t="e">
        <f>- - Los demas Articulos inflables</f>
        <v>#NAME?</v>
      </c>
    </row>
    <row r="17382" spans="1:2" x14ac:dyDescent="0.25">
      <c r="A17382">
        <v>40169510000</v>
      </c>
      <c r="B17382" t="s">
        <v>7505</v>
      </c>
    </row>
    <row r="17383" spans="1:2" x14ac:dyDescent="0.25">
      <c r="A17383">
        <v>40169590000</v>
      </c>
      <c r="B17383" t="s">
        <v>10</v>
      </c>
    </row>
    <row r="17384" spans="1:2" x14ac:dyDescent="0.25">
      <c r="A17384">
        <v>401699</v>
      </c>
      <c r="B17384" t="e">
        <f>- - las demas</f>
        <v>#NAME?</v>
      </c>
    </row>
    <row r="17385" spans="1:2" x14ac:dyDescent="0.25">
      <c r="A17385">
        <v>40169910000</v>
      </c>
      <c r="B17385" t="s">
        <v>7506</v>
      </c>
    </row>
    <row r="17386" spans="1:2" x14ac:dyDescent="0.25">
      <c r="A17386">
        <v>40169990</v>
      </c>
      <c r="B17386" t="s">
        <v>57</v>
      </c>
    </row>
    <row r="17387" spans="1:2" x14ac:dyDescent="0.25">
      <c r="A17387">
        <v>401699901</v>
      </c>
      <c r="B17387" t="s">
        <v>7507</v>
      </c>
    </row>
    <row r="17388" spans="1:2" x14ac:dyDescent="0.25">
      <c r="A17388">
        <v>40169990110</v>
      </c>
      <c r="B17388" t="s">
        <v>7508</v>
      </c>
    </row>
    <row r="17389" spans="1:2" x14ac:dyDescent="0.25">
      <c r="A17389">
        <v>40169990120</v>
      </c>
      <c r="B17389" t="s">
        <v>7509</v>
      </c>
    </row>
    <row r="17390" spans="1:2" x14ac:dyDescent="0.25">
      <c r="A17390">
        <v>40169990130</v>
      </c>
      <c r="B17390" t="s">
        <v>7510</v>
      </c>
    </row>
    <row r="17391" spans="1:2" x14ac:dyDescent="0.25">
      <c r="A17391">
        <v>40169990140</v>
      </c>
      <c r="B17391" t="s">
        <v>7511</v>
      </c>
    </row>
    <row r="17392" spans="1:2" x14ac:dyDescent="0.25">
      <c r="A17392">
        <v>40169990150</v>
      </c>
      <c r="B17392" t="s">
        <v>7512</v>
      </c>
    </row>
    <row r="17393" spans="1:2" x14ac:dyDescent="0.25">
      <c r="A17393">
        <v>40169990190</v>
      </c>
      <c r="B17393" t="s">
        <v>57</v>
      </c>
    </row>
    <row r="17394" spans="1:2" x14ac:dyDescent="0.25">
      <c r="A17394">
        <v>401699902</v>
      </c>
      <c r="B17394" t="s">
        <v>7513</v>
      </c>
    </row>
    <row r="17395" spans="1:2" x14ac:dyDescent="0.25">
      <c r="A17395">
        <v>4016999021</v>
      </c>
      <c r="B17395" t="s">
        <v>6869</v>
      </c>
    </row>
    <row r="17396" spans="1:2" x14ac:dyDescent="0.25">
      <c r="A17396">
        <v>40169990211</v>
      </c>
      <c r="B17396" t="s">
        <v>6648</v>
      </c>
    </row>
    <row r="17397" spans="1:2" x14ac:dyDescent="0.25">
      <c r="A17397">
        <v>40169990219</v>
      </c>
      <c r="B17397" t="s">
        <v>10</v>
      </c>
    </row>
    <row r="17398" spans="1:2" x14ac:dyDescent="0.25">
      <c r="A17398">
        <v>4016999022</v>
      </c>
      <c r="B17398" t="s">
        <v>7514</v>
      </c>
    </row>
    <row r="17399" spans="1:2" x14ac:dyDescent="0.25">
      <c r="A17399">
        <v>40169990221</v>
      </c>
      <c r="B17399" t="s">
        <v>6648</v>
      </c>
    </row>
    <row r="17400" spans="1:2" x14ac:dyDescent="0.25">
      <c r="A17400">
        <v>40169990229</v>
      </c>
      <c r="B17400" t="s">
        <v>10</v>
      </c>
    </row>
    <row r="17401" spans="1:2" x14ac:dyDescent="0.25">
      <c r="A17401">
        <v>4016999029</v>
      </c>
      <c r="B17401" t="s">
        <v>10</v>
      </c>
    </row>
    <row r="17402" spans="1:2" x14ac:dyDescent="0.25">
      <c r="A17402">
        <v>40169990291</v>
      </c>
      <c r="B17402" t="s">
        <v>6648</v>
      </c>
    </row>
    <row r="17403" spans="1:2" x14ac:dyDescent="0.25">
      <c r="A17403">
        <v>40169990299</v>
      </c>
      <c r="B17403" t="s">
        <v>10</v>
      </c>
    </row>
    <row r="17404" spans="1:2" x14ac:dyDescent="0.25">
      <c r="A17404">
        <v>401699903</v>
      </c>
      <c r="B17404" t="s">
        <v>7515</v>
      </c>
    </row>
    <row r="17405" spans="1:2" x14ac:dyDescent="0.25">
      <c r="A17405">
        <v>4016999033</v>
      </c>
      <c r="B17405" t="s">
        <v>7516</v>
      </c>
    </row>
    <row r="17406" spans="1:2" x14ac:dyDescent="0.25">
      <c r="A17406">
        <v>40169990331</v>
      </c>
      <c r="B17406" t="s">
        <v>7517</v>
      </c>
    </row>
    <row r="17407" spans="1:2" x14ac:dyDescent="0.25">
      <c r="A17407">
        <v>40169990332</v>
      </c>
      <c r="B17407" t="s">
        <v>7518</v>
      </c>
    </row>
    <row r="17408" spans="1:2" x14ac:dyDescent="0.25">
      <c r="A17408">
        <v>40169990333</v>
      </c>
      <c r="B17408" t="s">
        <v>7519</v>
      </c>
    </row>
    <row r="17409" spans="1:2" x14ac:dyDescent="0.25">
      <c r="A17409">
        <v>40169990339</v>
      </c>
      <c r="B17409" t="s">
        <v>10</v>
      </c>
    </row>
    <row r="17410" spans="1:2" x14ac:dyDescent="0.25">
      <c r="A17410">
        <v>4016999034</v>
      </c>
      <c r="B17410" t="s">
        <v>7520</v>
      </c>
    </row>
    <row r="17411" spans="1:2" x14ac:dyDescent="0.25">
      <c r="A17411">
        <v>40169990341</v>
      </c>
      <c r="B17411" t="s">
        <v>788</v>
      </c>
    </row>
    <row r="17412" spans="1:2" x14ac:dyDescent="0.25">
      <c r="A17412">
        <v>40169990349</v>
      </c>
      <c r="B17412" t="s">
        <v>10</v>
      </c>
    </row>
    <row r="17413" spans="1:2" x14ac:dyDescent="0.25">
      <c r="A17413">
        <v>40169990390</v>
      </c>
      <c r="B17413" t="s">
        <v>57</v>
      </c>
    </row>
    <row r="17414" spans="1:2" x14ac:dyDescent="0.25">
      <c r="A17414">
        <v>401699904</v>
      </c>
      <c r="B17414" t="s">
        <v>7521</v>
      </c>
    </row>
    <row r="17415" spans="1:2" x14ac:dyDescent="0.25">
      <c r="A17415">
        <v>40169990410</v>
      </c>
      <c r="B17415" t="s">
        <v>6648</v>
      </c>
    </row>
    <row r="17416" spans="1:2" x14ac:dyDescent="0.25">
      <c r="A17416">
        <v>40169990490</v>
      </c>
      <c r="B17416" t="s">
        <v>10</v>
      </c>
    </row>
    <row r="17417" spans="1:2" x14ac:dyDescent="0.25">
      <c r="A17417">
        <v>401699905</v>
      </c>
      <c r="B17417" t="s">
        <v>7522</v>
      </c>
    </row>
    <row r="17418" spans="1:2" x14ac:dyDescent="0.25">
      <c r="A17418">
        <v>40169990510</v>
      </c>
      <c r="B17418" t="s">
        <v>7523</v>
      </c>
    </row>
    <row r="17419" spans="1:2" x14ac:dyDescent="0.25">
      <c r="A17419">
        <v>40169990520</v>
      </c>
      <c r="B17419" t="s">
        <v>7524</v>
      </c>
    </row>
    <row r="17420" spans="1:2" x14ac:dyDescent="0.25">
      <c r="A17420">
        <v>40169990590</v>
      </c>
      <c r="B17420" t="s">
        <v>10</v>
      </c>
    </row>
    <row r="17421" spans="1:2" x14ac:dyDescent="0.25">
      <c r="A17421">
        <v>401699909</v>
      </c>
      <c r="B17421" t="s">
        <v>10</v>
      </c>
    </row>
    <row r="17422" spans="1:2" x14ac:dyDescent="0.25">
      <c r="A17422">
        <v>4016999091</v>
      </c>
      <c r="B17422" t="s">
        <v>7525</v>
      </c>
    </row>
    <row r="17423" spans="1:2" x14ac:dyDescent="0.25">
      <c r="A17423">
        <v>40169990911</v>
      </c>
      <c r="B17423" t="s">
        <v>6648</v>
      </c>
    </row>
    <row r="17424" spans="1:2" x14ac:dyDescent="0.25">
      <c r="A17424">
        <v>40169990919</v>
      </c>
      <c r="B17424" t="s">
        <v>10</v>
      </c>
    </row>
    <row r="17425" spans="1:2" x14ac:dyDescent="0.25">
      <c r="A17425">
        <v>4016999092</v>
      </c>
      <c r="B17425" t="s">
        <v>7526</v>
      </c>
    </row>
    <row r="17426" spans="1:2" x14ac:dyDescent="0.25">
      <c r="A17426">
        <v>40169990921</v>
      </c>
      <c r="B17426" t="s">
        <v>6648</v>
      </c>
    </row>
    <row r="17427" spans="1:2" x14ac:dyDescent="0.25">
      <c r="A17427">
        <v>40169990929</v>
      </c>
      <c r="B17427" t="s">
        <v>10</v>
      </c>
    </row>
    <row r="17428" spans="1:2" x14ac:dyDescent="0.25">
      <c r="A17428">
        <v>4016999099</v>
      </c>
      <c r="B17428" t="s">
        <v>10</v>
      </c>
    </row>
    <row r="17429" spans="1:2" x14ac:dyDescent="0.25">
      <c r="A17429">
        <v>40169990991</v>
      </c>
      <c r="B17429" t="s">
        <v>6648</v>
      </c>
    </row>
    <row r="17430" spans="1:2" x14ac:dyDescent="0.25">
      <c r="A17430">
        <v>40169990999</v>
      </c>
      <c r="B17430" t="s">
        <v>10</v>
      </c>
    </row>
    <row r="17431" spans="1:2" x14ac:dyDescent="0.25">
      <c r="A17431">
        <v>40170000000</v>
      </c>
      <c r="B17431" t="s">
        <v>7527</v>
      </c>
    </row>
    <row r="17432" spans="1:2" x14ac:dyDescent="0.25">
      <c r="A17432">
        <v>4101</v>
      </c>
      <c r="B17432" t="s">
        <v>7528</v>
      </c>
    </row>
    <row r="17433" spans="1:2" x14ac:dyDescent="0.25">
      <c r="A17433">
        <v>41012000</v>
      </c>
      <c r="B17433" t="s">
        <v>7529</v>
      </c>
    </row>
    <row r="17434" spans="1:2" x14ac:dyDescent="0.25">
      <c r="A17434">
        <v>410120001</v>
      </c>
      <c r="B17434" t="s">
        <v>7530</v>
      </c>
    </row>
    <row r="17435" spans="1:2" x14ac:dyDescent="0.25">
      <c r="A17435">
        <v>41012000110</v>
      </c>
      <c r="B17435" t="s">
        <v>7531</v>
      </c>
    </row>
    <row r="17436" spans="1:2" x14ac:dyDescent="0.25">
      <c r="A17436">
        <v>41012000120</v>
      </c>
      <c r="B17436" t="s">
        <v>7532</v>
      </c>
    </row>
    <row r="17437" spans="1:2" x14ac:dyDescent="0.25">
      <c r="A17437">
        <v>41012000130</v>
      </c>
      <c r="B17437" t="s">
        <v>7533</v>
      </c>
    </row>
    <row r="17438" spans="1:2" x14ac:dyDescent="0.25">
      <c r="A17438">
        <v>41012000190</v>
      </c>
      <c r="B17438" t="s">
        <v>10</v>
      </c>
    </row>
    <row r="17439" spans="1:2" x14ac:dyDescent="0.25">
      <c r="A17439">
        <v>410120002</v>
      </c>
      <c r="B17439" t="s">
        <v>7534</v>
      </c>
    </row>
    <row r="17440" spans="1:2" x14ac:dyDescent="0.25">
      <c r="A17440">
        <v>41012000210</v>
      </c>
      <c r="B17440" t="s">
        <v>7535</v>
      </c>
    </row>
    <row r="17441" spans="1:2" x14ac:dyDescent="0.25">
      <c r="A17441">
        <v>41012000220</v>
      </c>
      <c r="B17441" t="s">
        <v>7532</v>
      </c>
    </row>
    <row r="17442" spans="1:2" x14ac:dyDescent="0.25">
      <c r="A17442">
        <v>41012000290</v>
      </c>
      <c r="B17442" t="s">
        <v>10</v>
      </c>
    </row>
    <row r="17443" spans="1:2" x14ac:dyDescent="0.25">
      <c r="A17443">
        <v>410150</v>
      </c>
      <c r="B17443" t="s">
        <v>7536</v>
      </c>
    </row>
    <row r="17444" spans="1:2" x14ac:dyDescent="0.25">
      <c r="A17444">
        <v>41015010</v>
      </c>
      <c r="B17444" t="s">
        <v>7537</v>
      </c>
    </row>
    <row r="17445" spans="1:2" x14ac:dyDescent="0.25">
      <c r="A17445">
        <v>410150101</v>
      </c>
      <c r="B17445" t="s">
        <v>7530</v>
      </c>
    </row>
    <row r="17446" spans="1:2" x14ac:dyDescent="0.25">
      <c r="A17446">
        <v>41015010110</v>
      </c>
      <c r="B17446" t="s">
        <v>7531</v>
      </c>
    </row>
    <row r="17447" spans="1:2" x14ac:dyDescent="0.25">
      <c r="A17447">
        <v>41015010120</v>
      </c>
      <c r="B17447" t="s">
        <v>7532</v>
      </c>
    </row>
    <row r="17448" spans="1:2" x14ac:dyDescent="0.25">
      <c r="A17448">
        <v>41015010130</v>
      </c>
      <c r="B17448" t="s">
        <v>7533</v>
      </c>
    </row>
    <row r="17449" spans="1:2" x14ac:dyDescent="0.25">
      <c r="A17449">
        <v>41015010190</v>
      </c>
      <c r="B17449" t="s">
        <v>10</v>
      </c>
    </row>
    <row r="17450" spans="1:2" x14ac:dyDescent="0.25">
      <c r="A17450">
        <v>410150102</v>
      </c>
      <c r="B17450" t="s">
        <v>7534</v>
      </c>
    </row>
    <row r="17451" spans="1:2" x14ac:dyDescent="0.25">
      <c r="A17451">
        <v>41015010210</v>
      </c>
      <c r="B17451" t="s">
        <v>7535</v>
      </c>
    </row>
    <row r="17452" spans="1:2" x14ac:dyDescent="0.25">
      <c r="A17452">
        <v>41015010220</v>
      </c>
      <c r="B17452" t="s">
        <v>7532</v>
      </c>
    </row>
    <row r="17453" spans="1:2" x14ac:dyDescent="0.25">
      <c r="A17453">
        <v>41015010290</v>
      </c>
      <c r="B17453" t="s">
        <v>10</v>
      </c>
    </row>
    <row r="17454" spans="1:2" x14ac:dyDescent="0.25">
      <c r="A17454">
        <v>41015020</v>
      </c>
      <c r="B17454" t="s">
        <v>7538</v>
      </c>
    </row>
    <row r="17455" spans="1:2" x14ac:dyDescent="0.25">
      <c r="A17455">
        <v>410150201</v>
      </c>
      <c r="B17455" t="s">
        <v>7530</v>
      </c>
    </row>
    <row r="17456" spans="1:2" x14ac:dyDescent="0.25">
      <c r="A17456">
        <v>41015020120</v>
      </c>
      <c r="B17456" t="s">
        <v>7532</v>
      </c>
    </row>
    <row r="17457" spans="1:2" x14ac:dyDescent="0.25">
      <c r="A17457">
        <v>41015020130</v>
      </c>
      <c r="B17457" t="s">
        <v>7533</v>
      </c>
    </row>
    <row r="17458" spans="1:2" x14ac:dyDescent="0.25">
      <c r="A17458">
        <v>41015020190</v>
      </c>
      <c r="B17458" t="s">
        <v>10</v>
      </c>
    </row>
    <row r="17459" spans="1:2" x14ac:dyDescent="0.25">
      <c r="A17459">
        <v>41015020200</v>
      </c>
      <c r="B17459" t="s">
        <v>7534</v>
      </c>
    </row>
    <row r="17460" spans="1:2" x14ac:dyDescent="0.25">
      <c r="A17460">
        <v>41015030</v>
      </c>
      <c r="B17460" t="s">
        <v>7539</v>
      </c>
    </row>
    <row r="17461" spans="1:2" x14ac:dyDescent="0.25">
      <c r="A17461">
        <v>410150301</v>
      </c>
      <c r="B17461" t="s">
        <v>7530</v>
      </c>
    </row>
    <row r="17462" spans="1:2" x14ac:dyDescent="0.25">
      <c r="A17462">
        <v>41015030120</v>
      </c>
      <c r="B17462" t="s">
        <v>7532</v>
      </c>
    </row>
    <row r="17463" spans="1:2" x14ac:dyDescent="0.25">
      <c r="A17463">
        <v>41015030130</v>
      </c>
      <c r="B17463" t="s">
        <v>7533</v>
      </c>
    </row>
    <row r="17464" spans="1:2" x14ac:dyDescent="0.25">
      <c r="A17464">
        <v>41015030140</v>
      </c>
      <c r="B17464" t="s">
        <v>7540</v>
      </c>
    </row>
    <row r="17465" spans="1:2" x14ac:dyDescent="0.25">
      <c r="A17465">
        <v>41015030190</v>
      </c>
      <c r="B17465" t="s">
        <v>10</v>
      </c>
    </row>
    <row r="17466" spans="1:2" x14ac:dyDescent="0.25">
      <c r="A17466">
        <v>410150302</v>
      </c>
      <c r="B17466" t="s">
        <v>7534</v>
      </c>
    </row>
    <row r="17467" spans="1:2" x14ac:dyDescent="0.25">
      <c r="A17467">
        <v>41015030210</v>
      </c>
      <c r="B17467" t="s">
        <v>7532</v>
      </c>
    </row>
    <row r="17468" spans="1:2" x14ac:dyDescent="0.25">
      <c r="A17468">
        <v>41015030290</v>
      </c>
      <c r="B17468" t="s">
        <v>10</v>
      </c>
    </row>
    <row r="17469" spans="1:2" x14ac:dyDescent="0.25">
      <c r="A17469">
        <v>410190</v>
      </c>
      <c r="B17469" t="e">
        <f>- Los demas. incluidos Los crupones. medios crupones y faldas</f>
        <v>#NAME?</v>
      </c>
    </row>
    <row r="17470" spans="1:2" x14ac:dyDescent="0.25">
      <c r="A17470">
        <v>41019010</v>
      </c>
      <c r="B17470" t="s">
        <v>7537</v>
      </c>
    </row>
    <row r="17471" spans="1:2" x14ac:dyDescent="0.25">
      <c r="A17471">
        <v>410190101</v>
      </c>
      <c r="B17471" t="s">
        <v>7541</v>
      </c>
    </row>
    <row r="17472" spans="1:2" x14ac:dyDescent="0.25">
      <c r="A17472">
        <v>41019010110</v>
      </c>
      <c r="B17472" t="s">
        <v>7542</v>
      </c>
    </row>
    <row r="17473" spans="1:2" x14ac:dyDescent="0.25">
      <c r="A17473">
        <v>41019010120</v>
      </c>
      <c r="B17473" t="s">
        <v>7532</v>
      </c>
    </row>
    <row r="17474" spans="1:2" x14ac:dyDescent="0.25">
      <c r="A17474">
        <v>41019010190</v>
      </c>
      <c r="B17474" t="s">
        <v>10</v>
      </c>
    </row>
    <row r="17475" spans="1:2" x14ac:dyDescent="0.25">
      <c r="A17475">
        <v>410190102</v>
      </c>
      <c r="B17475" t="s">
        <v>7534</v>
      </c>
    </row>
    <row r="17476" spans="1:2" x14ac:dyDescent="0.25">
      <c r="A17476">
        <v>41019010210</v>
      </c>
      <c r="B17476" t="s">
        <v>7535</v>
      </c>
    </row>
    <row r="17477" spans="1:2" x14ac:dyDescent="0.25">
      <c r="A17477">
        <v>41019010220</v>
      </c>
      <c r="B17477" t="s">
        <v>7532</v>
      </c>
    </row>
    <row r="17478" spans="1:2" x14ac:dyDescent="0.25">
      <c r="A17478">
        <v>41019010290</v>
      </c>
      <c r="B17478" t="s">
        <v>10</v>
      </c>
    </row>
    <row r="17479" spans="1:2" x14ac:dyDescent="0.25">
      <c r="A17479">
        <v>41019020</v>
      </c>
      <c r="B17479" t="s">
        <v>7538</v>
      </c>
    </row>
    <row r="17480" spans="1:2" x14ac:dyDescent="0.25">
      <c r="A17480">
        <v>410190203</v>
      </c>
      <c r="B17480" t="s">
        <v>7541</v>
      </c>
    </row>
    <row r="17481" spans="1:2" x14ac:dyDescent="0.25">
      <c r="A17481">
        <v>4101902031</v>
      </c>
      <c r="B17481" t="s">
        <v>340</v>
      </c>
    </row>
    <row r="17482" spans="1:2" x14ac:dyDescent="0.25">
      <c r="A17482">
        <v>41019020311</v>
      </c>
      <c r="B17482" t="s">
        <v>7531</v>
      </c>
    </row>
    <row r="17483" spans="1:2" x14ac:dyDescent="0.25">
      <c r="A17483">
        <v>41019020312</v>
      </c>
      <c r="B17483" t="s">
        <v>7532</v>
      </c>
    </row>
    <row r="17484" spans="1:2" x14ac:dyDescent="0.25">
      <c r="A17484">
        <v>41019020313</v>
      </c>
      <c r="B17484" t="s">
        <v>7533</v>
      </c>
    </row>
    <row r="17485" spans="1:2" x14ac:dyDescent="0.25">
      <c r="A17485">
        <v>41019020319</v>
      </c>
      <c r="B17485" t="s">
        <v>10</v>
      </c>
    </row>
    <row r="17486" spans="1:2" x14ac:dyDescent="0.25">
      <c r="A17486">
        <v>4101902039</v>
      </c>
      <c r="B17486" t="s">
        <v>10</v>
      </c>
    </row>
    <row r="17487" spans="1:2" x14ac:dyDescent="0.25">
      <c r="A17487">
        <v>41019020391</v>
      </c>
      <c r="B17487" t="s">
        <v>7532</v>
      </c>
    </row>
    <row r="17488" spans="1:2" x14ac:dyDescent="0.25">
      <c r="A17488">
        <v>41019020392</v>
      </c>
      <c r="B17488" t="s">
        <v>7535</v>
      </c>
    </row>
    <row r="17489" spans="1:2" x14ac:dyDescent="0.25">
      <c r="A17489">
        <v>41019020399</v>
      </c>
      <c r="B17489" t="s">
        <v>10</v>
      </c>
    </row>
    <row r="17490" spans="1:2" x14ac:dyDescent="0.25">
      <c r="A17490">
        <v>410190204</v>
      </c>
      <c r="B17490" t="s">
        <v>7534</v>
      </c>
    </row>
    <row r="17491" spans="1:2" x14ac:dyDescent="0.25">
      <c r="A17491">
        <v>4101902041</v>
      </c>
      <c r="B17491" t="s">
        <v>340</v>
      </c>
    </row>
    <row r="17492" spans="1:2" x14ac:dyDescent="0.25">
      <c r="A17492">
        <v>41019020411</v>
      </c>
      <c r="B17492" t="s">
        <v>7535</v>
      </c>
    </row>
    <row r="17493" spans="1:2" x14ac:dyDescent="0.25">
      <c r="A17493">
        <v>41019020419</v>
      </c>
      <c r="B17493" t="s">
        <v>10</v>
      </c>
    </row>
    <row r="17494" spans="1:2" x14ac:dyDescent="0.25">
      <c r="A17494">
        <v>4101902049</v>
      </c>
      <c r="B17494" t="s">
        <v>10</v>
      </c>
    </row>
    <row r="17495" spans="1:2" x14ac:dyDescent="0.25">
      <c r="A17495">
        <v>41019020491</v>
      </c>
      <c r="B17495" t="s">
        <v>7532</v>
      </c>
    </row>
    <row r="17496" spans="1:2" x14ac:dyDescent="0.25">
      <c r="A17496">
        <v>41019020492</v>
      </c>
      <c r="B17496" t="s">
        <v>7535</v>
      </c>
    </row>
    <row r="17497" spans="1:2" x14ac:dyDescent="0.25">
      <c r="A17497">
        <v>41019020499</v>
      </c>
      <c r="B17497" t="s">
        <v>10</v>
      </c>
    </row>
    <row r="17498" spans="1:2" x14ac:dyDescent="0.25">
      <c r="A17498">
        <v>41019030</v>
      </c>
      <c r="B17498" t="s">
        <v>7539</v>
      </c>
    </row>
    <row r="17499" spans="1:2" x14ac:dyDescent="0.25">
      <c r="A17499">
        <v>410190303</v>
      </c>
      <c r="B17499" t="s">
        <v>7541</v>
      </c>
    </row>
    <row r="17500" spans="1:2" x14ac:dyDescent="0.25">
      <c r="A17500">
        <v>4101903031</v>
      </c>
      <c r="B17500" t="s">
        <v>340</v>
      </c>
    </row>
    <row r="17501" spans="1:2" x14ac:dyDescent="0.25">
      <c r="A17501">
        <v>41019030311</v>
      </c>
      <c r="B17501" t="s">
        <v>7531</v>
      </c>
    </row>
    <row r="17502" spans="1:2" x14ac:dyDescent="0.25">
      <c r="A17502">
        <v>41019030312</v>
      </c>
      <c r="B17502" t="s">
        <v>7532</v>
      </c>
    </row>
    <row r="17503" spans="1:2" x14ac:dyDescent="0.25">
      <c r="A17503">
        <v>41019030313</v>
      </c>
      <c r="B17503" t="s">
        <v>7533</v>
      </c>
    </row>
    <row r="17504" spans="1:2" x14ac:dyDescent="0.25">
      <c r="A17504">
        <v>41019030319</v>
      </c>
      <c r="B17504" t="s">
        <v>10</v>
      </c>
    </row>
    <row r="17505" spans="1:2" x14ac:dyDescent="0.25">
      <c r="A17505">
        <v>4101903039</v>
      </c>
      <c r="B17505" t="s">
        <v>10</v>
      </c>
    </row>
    <row r="17506" spans="1:2" x14ac:dyDescent="0.25">
      <c r="A17506">
        <v>41019030391</v>
      </c>
      <c r="B17506" t="s">
        <v>7532</v>
      </c>
    </row>
    <row r="17507" spans="1:2" x14ac:dyDescent="0.25">
      <c r="A17507">
        <v>41019030392</v>
      </c>
      <c r="B17507" t="s">
        <v>7540</v>
      </c>
    </row>
    <row r="17508" spans="1:2" x14ac:dyDescent="0.25">
      <c r="A17508">
        <v>41019030393</v>
      </c>
      <c r="B17508" t="s">
        <v>7535</v>
      </c>
    </row>
    <row r="17509" spans="1:2" x14ac:dyDescent="0.25">
      <c r="A17509">
        <v>41019030399</v>
      </c>
      <c r="B17509" t="s">
        <v>10</v>
      </c>
    </row>
    <row r="17510" spans="1:2" x14ac:dyDescent="0.25">
      <c r="A17510">
        <v>410190304</v>
      </c>
      <c r="B17510" t="s">
        <v>7534</v>
      </c>
    </row>
    <row r="17511" spans="1:2" x14ac:dyDescent="0.25">
      <c r="A17511">
        <v>4101903041</v>
      </c>
      <c r="B17511" t="s">
        <v>340</v>
      </c>
    </row>
    <row r="17512" spans="1:2" x14ac:dyDescent="0.25">
      <c r="A17512">
        <v>41019030411</v>
      </c>
      <c r="B17512" t="s">
        <v>7535</v>
      </c>
    </row>
    <row r="17513" spans="1:2" x14ac:dyDescent="0.25">
      <c r="A17513">
        <v>41019030419</v>
      </c>
      <c r="B17513" t="s">
        <v>10</v>
      </c>
    </row>
    <row r="17514" spans="1:2" x14ac:dyDescent="0.25">
      <c r="A17514">
        <v>4101903049</v>
      </c>
      <c r="B17514" t="s">
        <v>10</v>
      </c>
    </row>
    <row r="17515" spans="1:2" x14ac:dyDescent="0.25">
      <c r="A17515">
        <v>41019030491</v>
      </c>
      <c r="B17515" t="s">
        <v>7532</v>
      </c>
    </row>
    <row r="17516" spans="1:2" x14ac:dyDescent="0.25">
      <c r="A17516">
        <v>41019030492</v>
      </c>
      <c r="B17516" t="s">
        <v>7535</v>
      </c>
    </row>
    <row r="17517" spans="1:2" x14ac:dyDescent="0.25">
      <c r="A17517">
        <v>41019030499</v>
      </c>
      <c r="B17517" t="s">
        <v>10</v>
      </c>
    </row>
    <row r="17518" spans="1:2" x14ac:dyDescent="0.25">
      <c r="A17518">
        <v>4102</v>
      </c>
      <c r="B17518" t="s">
        <v>7543</v>
      </c>
    </row>
    <row r="17519" spans="1:2" x14ac:dyDescent="0.25">
      <c r="A17519">
        <v>41021000</v>
      </c>
      <c r="B17519" t="e">
        <f>- Con lana</f>
        <v>#NAME?</v>
      </c>
    </row>
    <row r="17520" spans="1:2" x14ac:dyDescent="0.25">
      <c r="A17520">
        <v>41021000400</v>
      </c>
      <c r="B17520" t="s">
        <v>7544</v>
      </c>
    </row>
    <row r="17521" spans="1:2" x14ac:dyDescent="0.25">
      <c r="A17521">
        <v>41021000500</v>
      </c>
      <c r="B17521" t="s">
        <v>7533</v>
      </c>
    </row>
    <row r="17522" spans="1:2" x14ac:dyDescent="0.25">
      <c r="A17522">
        <v>41021000900</v>
      </c>
      <c r="B17522" t="s">
        <v>10</v>
      </c>
    </row>
    <row r="17523" spans="1:2" x14ac:dyDescent="0.25">
      <c r="A17523">
        <v>41022</v>
      </c>
      <c r="B17523" t="s">
        <v>7545</v>
      </c>
    </row>
    <row r="17524" spans="1:2" x14ac:dyDescent="0.25">
      <c r="A17524">
        <v>41022100</v>
      </c>
      <c r="B17524" t="e">
        <f>- - Piquelados</f>
        <v>#NAME?</v>
      </c>
    </row>
    <row r="17525" spans="1:2" x14ac:dyDescent="0.25">
      <c r="A17525">
        <v>41022100100</v>
      </c>
      <c r="B17525" t="s">
        <v>7546</v>
      </c>
    </row>
    <row r="17526" spans="1:2" x14ac:dyDescent="0.25">
      <c r="A17526">
        <v>41022100200</v>
      </c>
      <c r="B17526" t="s">
        <v>7547</v>
      </c>
    </row>
    <row r="17527" spans="1:2" x14ac:dyDescent="0.25">
      <c r="A17527">
        <v>41022100300</v>
      </c>
      <c r="B17527" t="s">
        <v>7548</v>
      </c>
    </row>
    <row r="17528" spans="1:2" x14ac:dyDescent="0.25">
      <c r="A17528">
        <v>41022100900</v>
      </c>
      <c r="B17528" t="s">
        <v>10</v>
      </c>
    </row>
    <row r="17529" spans="1:2" x14ac:dyDescent="0.25">
      <c r="A17529">
        <v>41022900</v>
      </c>
      <c r="B17529" t="e">
        <f>- - Los demas</f>
        <v>#NAME?</v>
      </c>
    </row>
    <row r="17530" spans="1:2" x14ac:dyDescent="0.25">
      <c r="A17530">
        <v>41022900400</v>
      </c>
      <c r="B17530" t="s">
        <v>7544</v>
      </c>
    </row>
    <row r="17531" spans="1:2" x14ac:dyDescent="0.25">
      <c r="A17531">
        <v>41022900500</v>
      </c>
      <c r="B17531" t="s">
        <v>7533</v>
      </c>
    </row>
    <row r="17532" spans="1:2" x14ac:dyDescent="0.25">
      <c r="A17532">
        <v>41022900900</v>
      </c>
      <c r="B17532" t="s">
        <v>10</v>
      </c>
    </row>
    <row r="17533" spans="1:2" x14ac:dyDescent="0.25">
      <c r="A17533">
        <v>4103</v>
      </c>
      <c r="B17533" t="s">
        <v>7549</v>
      </c>
    </row>
    <row r="17534" spans="1:2" x14ac:dyDescent="0.25">
      <c r="A17534">
        <v>41032000</v>
      </c>
      <c r="B17534" t="e">
        <f>- de reptil</f>
        <v>#NAME?</v>
      </c>
    </row>
    <row r="17535" spans="1:2" x14ac:dyDescent="0.25">
      <c r="A17535">
        <v>41032000100</v>
      </c>
      <c r="B17535" t="s">
        <v>7550</v>
      </c>
    </row>
    <row r="17536" spans="1:2" x14ac:dyDescent="0.25">
      <c r="A17536">
        <v>41032000200</v>
      </c>
      <c r="B17536" t="s">
        <v>7551</v>
      </c>
    </row>
    <row r="17537" spans="1:2" x14ac:dyDescent="0.25">
      <c r="A17537">
        <v>41032000900</v>
      </c>
      <c r="B17537" t="s">
        <v>10</v>
      </c>
    </row>
    <row r="17538" spans="1:2" x14ac:dyDescent="0.25">
      <c r="A17538">
        <v>41033000</v>
      </c>
      <c r="B17538" t="e">
        <f>- de porcino</f>
        <v>#NAME?</v>
      </c>
    </row>
    <row r="17539" spans="1:2" x14ac:dyDescent="0.25">
      <c r="A17539">
        <v>41033000100</v>
      </c>
      <c r="B17539" t="s">
        <v>7552</v>
      </c>
    </row>
    <row r="17540" spans="1:2" x14ac:dyDescent="0.25">
      <c r="A17540">
        <v>41033000900</v>
      </c>
      <c r="B17540" t="s">
        <v>10</v>
      </c>
    </row>
    <row r="17541" spans="1:2" x14ac:dyDescent="0.25">
      <c r="A17541">
        <v>41039000</v>
      </c>
      <c r="B17541" t="e">
        <f>- Los demas</f>
        <v>#NAME?</v>
      </c>
    </row>
    <row r="17542" spans="1:2" x14ac:dyDescent="0.25">
      <c r="A17542">
        <v>41039000200</v>
      </c>
      <c r="B17542" t="s">
        <v>7553</v>
      </c>
    </row>
    <row r="17543" spans="1:2" x14ac:dyDescent="0.25">
      <c r="A17543">
        <v>41039000300</v>
      </c>
      <c r="B17543" t="s">
        <v>7554</v>
      </c>
    </row>
    <row r="17544" spans="1:2" x14ac:dyDescent="0.25">
      <c r="A17544">
        <v>410390004</v>
      </c>
      <c r="B17544" t="s">
        <v>1728</v>
      </c>
    </row>
    <row r="17545" spans="1:2" x14ac:dyDescent="0.25">
      <c r="A17545">
        <v>41039000410</v>
      </c>
      <c r="B17545" t="s">
        <v>7555</v>
      </c>
    </row>
    <row r="17546" spans="1:2" x14ac:dyDescent="0.25">
      <c r="A17546">
        <v>41039000490</v>
      </c>
      <c r="B17546" t="s">
        <v>10</v>
      </c>
    </row>
    <row r="17547" spans="1:2" x14ac:dyDescent="0.25">
      <c r="A17547">
        <v>41039000900</v>
      </c>
      <c r="B17547" t="s">
        <v>10</v>
      </c>
    </row>
    <row r="17548" spans="1:2" x14ac:dyDescent="0.25">
      <c r="A17548">
        <v>4104</v>
      </c>
      <c r="B17548" t="s">
        <v>7556</v>
      </c>
    </row>
    <row r="17549" spans="1:2" x14ac:dyDescent="0.25">
      <c r="A17549">
        <v>41041</v>
      </c>
      <c r="B17549" t="s">
        <v>7557</v>
      </c>
    </row>
    <row r="17550" spans="1:2" x14ac:dyDescent="0.25">
      <c r="A17550">
        <v>410411</v>
      </c>
      <c r="B17550" t="e">
        <f>- - Plena flor sin dividir, divididos Con la flor</f>
        <v>#NAME?</v>
      </c>
    </row>
    <row r="17551" spans="1:2" x14ac:dyDescent="0.25">
      <c r="A17551">
        <v>4104111</v>
      </c>
      <c r="B17551" t="s">
        <v>7558</v>
      </c>
    </row>
    <row r="17552" spans="1:2" x14ac:dyDescent="0.25">
      <c r="A17552">
        <v>41041111000</v>
      </c>
      <c r="B17552" t="s">
        <v>7559</v>
      </c>
    </row>
    <row r="17553" spans="1:2" x14ac:dyDescent="0.25">
      <c r="A17553">
        <v>41041112000</v>
      </c>
      <c r="B17553" t="s">
        <v>7560</v>
      </c>
    </row>
    <row r="17554" spans="1:2" x14ac:dyDescent="0.25">
      <c r="A17554">
        <v>41041113</v>
      </c>
      <c r="B17554" t="s">
        <v>7561</v>
      </c>
    </row>
    <row r="17555" spans="1:2" x14ac:dyDescent="0.25">
      <c r="A17555">
        <v>41041113100</v>
      </c>
      <c r="B17555" t="s">
        <v>7562</v>
      </c>
    </row>
    <row r="17556" spans="1:2" x14ac:dyDescent="0.25">
      <c r="A17556">
        <v>41041113900</v>
      </c>
      <c r="B17556" t="s">
        <v>10</v>
      </c>
    </row>
    <row r="17557" spans="1:2" x14ac:dyDescent="0.25">
      <c r="A17557">
        <v>41041114</v>
      </c>
      <c r="B17557" t="s">
        <v>7563</v>
      </c>
    </row>
    <row r="17558" spans="1:2" x14ac:dyDescent="0.25">
      <c r="A17558">
        <v>41041114100</v>
      </c>
      <c r="B17558" t="s">
        <v>7562</v>
      </c>
    </row>
    <row r="17559" spans="1:2" x14ac:dyDescent="0.25">
      <c r="A17559">
        <v>41041114900</v>
      </c>
      <c r="B17559" t="s">
        <v>10</v>
      </c>
    </row>
    <row r="17560" spans="1:2" x14ac:dyDescent="0.25">
      <c r="A17560">
        <v>41041119000</v>
      </c>
      <c r="B17560" t="s">
        <v>10</v>
      </c>
    </row>
    <row r="17561" spans="1:2" x14ac:dyDescent="0.25">
      <c r="A17561">
        <v>4104112</v>
      </c>
      <c r="B17561" t="s">
        <v>7538</v>
      </c>
    </row>
    <row r="17562" spans="1:2" x14ac:dyDescent="0.25">
      <c r="A17562">
        <v>41041121000</v>
      </c>
      <c r="B17562" t="s">
        <v>7559</v>
      </c>
    </row>
    <row r="17563" spans="1:2" x14ac:dyDescent="0.25">
      <c r="A17563">
        <v>41041122000</v>
      </c>
      <c r="B17563" t="s">
        <v>7560</v>
      </c>
    </row>
    <row r="17564" spans="1:2" x14ac:dyDescent="0.25">
      <c r="A17564">
        <v>41041123</v>
      </c>
      <c r="B17564" t="s">
        <v>7561</v>
      </c>
    </row>
    <row r="17565" spans="1:2" x14ac:dyDescent="0.25">
      <c r="A17565">
        <v>41041123100</v>
      </c>
      <c r="B17565" t="s">
        <v>7562</v>
      </c>
    </row>
    <row r="17566" spans="1:2" x14ac:dyDescent="0.25">
      <c r="A17566">
        <v>41041123900</v>
      </c>
      <c r="B17566" t="s">
        <v>10</v>
      </c>
    </row>
    <row r="17567" spans="1:2" x14ac:dyDescent="0.25">
      <c r="A17567">
        <v>41041124</v>
      </c>
      <c r="B17567" t="s">
        <v>7563</v>
      </c>
    </row>
    <row r="17568" spans="1:2" x14ac:dyDescent="0.25">
      <c r="A17568">
        <v>41041124100</v>
      </c>
      <c r="B17568" t="s">
        <v>7562</v>
      </c>
    </row>
    <row r="17569" spans="1:2" x14ac:dyDescent="0.25">
      <c r="A17569">
        <v>41041124900</v>
      </c>
      <c r="B17569" t="s">
        <v>10</v>
      </c>
    </row>
    <row r="17570" spans="1:2" x14ac:dyDescent="0.25">
      <c r="A17570">
        <v>41041129000</v>
      </c>
      <c r="B17570" t="s">
        <v>10</v>
      </c>
    </row>
    <row r="17571" spans="1:2" x14ac:dyDescent="0.25">
      <c r="A17571">
        <v>410419</v>
      </c>
      <c r="B17571" t="e">
        <f>- - Los demas</f>
        <v>#NAME?</v>
      </c>
    </row>
    <row r="17572" spans="1:2" x14ac:dyDescent="0.25">
      <c r="A17572">
        <v>41041910</v>
      </c>
      <c r="B17572" t="s">
        <v>7564</v>
      </c>
    </row>
    <row r="17573" spans="1:2" x14ac:dyDescent="0.25">
      <c r="A17573">
        <v>41041910100</v>
      </c>
      <c r="B17573" t="s">
        <v>7565</v>
      </c>
    </row>
    <row r="17574" spans="1:2" x14ac:dyDescent="0.25">
      <c r="A17574">
        <v>41041910900</v>
      </c>
      <c r="B17574" t="s">
        <v>10</v>
      </c>
    </row>
    <row r="17575" spans="1:2" x14ac:dyDescent="0.25">
      <c r="A17575">
        <v>41041920000</v>
      </c>
      <c r="B17575" t="s">
        <v>7560</v>
      </c>
    </row>
    <row r="17576" spans="1:2" x14ac:dyDescent="0.25">
      <c r="A17576">
        <v>41041930000</v>
      </c>
      <c r="B17576" t="s">
        <v>7561</v>
      </c>
    </row>
    <row r="17577" spans="1:2" x14ac:dyDescent="0.25">
      <c r="A17577">
        <v>41041940</v>
      </c>
      <c r="B17577" t="s">
        <v>7563</v>
      </c>
    </row>
    <row r="17578" spans="1:2" x14ac:dyDescent="0.25">
      <c r="A17578">
        <v>410419401</v>
      </c>
      <c r="B17578" t="s">
        <v>7562</v>
      </c>
    </row>
    <row r="17579" spans="1:2" x14ac:dyDescent="0.25">
      <c r="A17579">
        <v>41041940110</v>
      </c>
      <c r="B17579" t="s">
        <v>7566</v>
      </c>
    </row>
    <row r="17580" spans="1:2" x14ac:dyDescent="0.25">
      <c r="A17580">
        <v>41041940190</v>
      </c>
      <c r="B17580" t="s">
        <v>10</v>
      </c>
    </row>
    <row r="17581" spans="1:2" x14ac:dyDescent="0.25">
      <c r="A17581">
        <v>410419409</v>
      </c>
      <c r="B17581" t="s">
        <v>10</v>
      </c>
    </row>
    <row r="17582" spans="1:2" x14ac:dyDescent="0.25">
      <c r="A17582">
        <v>4104194091</v>
      </c>
      <c r="B17582" t="s">
        <v>7567</v>
      </c>
    </row>
    <row r="17583" spans="1:2" x14ac:dyDescent="0.25">
      <c r="A17583">
        <v>41041940911</v>
      </c>
      <c r="B17583" t="s">
        <v>7568</v>
      </c>
    </row>
    <row r="17584" spans="1:2" x14ac:dyDescent="0.25">
      <c r="A17584">
        <v>41041940919</v>
      </c>
      <c r="B17584" t="s">
        <v>10</v>
      </c>
    </row>
    <row r="17585" spans="1:2" x14ac:dyDescent="0.25">
      <c r="A17585">
        <v>41041940990</v>
      </c>
      <c r="B17585" t="s">
        <v>10</v>
      </c>
    </row>
    <row r="17586" spans="1:2" x14ac:dyDescent="0.25">
      <c r="A17586">
        <v>41041990000</v>
      </c>
      <c r="B17586" t="s">
        <v>10</v>
      </c>
    </row>
    <row r="17587" spans="1:2" x14ac:dyDescent="0.25">
      <c r="A17587">
        <v>41044</v>
      </c>
      <c r="B17587" t="s">
        <v>7569</v>
      </c>
    </row>
    <row r="17588" spans="1:2" x14ac:dyDescent="0.25">
      <c r="A17588">
        <v>410441</v>
      </c>
      <c r="B17588" t="e">
        <f>- - Plena flor sin dividir, divididos Con la flor</f>
        <v>#NAME?</v>
      </c>
    </row>
    <row r="17589" spans="1:2" x14ac:dyDescent="0.25">
      <c r="A17589">
        <v>41044110</v>
      </c>
      <c r="B17589" t="s">
        <v>7570</v>
      </c>
    </row>
    <row r="17590" spans="1:2" x14ac:dyDescent="0.25">
      <c r="A17590">
        <v>41044110200</v>
      </c>
      <c r="B17590" t="s">
        <v>7571</v>
      </c>
    </row>
    <row r="17591" spans="1:2" x14ac:dyDescent="0.25">
      <c r="A17591">
        <v>41044110900</v>
      </c>
      <c r="B17591" t="s">
        <v>10</v>
      </c>
    </row>
    <row r="17592" spans="1:2" x14ac:dyDescent="0.25">
      <c r="A17592">
        <v>41044120000</v>
      </c>
      <c r="B17592" t="s">
        <v>7572</v>
      </c>
    </row>
    <row r="17593" spans="1:2" x14ac:dyDescent="0.25">
      <c r="A17593">
        <v>41044130</v>
      </c>
      <c r="B17593" t="s">
        <v>7563</v>
      </c>
    </row>
    <row r="17594" spans="1:2" x14ac:dyDescent="0.25">
      <c r="A17594">
        <v>41044130100</v>
      </c>
      <c r="B17594" t="s">
        <v>7571</v>
      </c>
    </row>
    <row r="17595" spans="1:2" x14ac:dyDescent="0.25">
      <c r="A17595">
        <v>41044130900</v>
      </c>
      <c r="B17595" t="s">
        <v>10</v>
      </c>
    </row>
    <row r="17596" spans="1:2" x14ac:dyDescent="0.25">
      <c r="A17596">
        <v>41044190000</v>
      </c>
      <c r="B17596" t="s">
        <v>10</v>
      </c>
    </row>
    <row r="17597" spans="1:2" x14ac:dyDescent="0.25">
      <c r="A17597">
        <v>410449</v>
      </c>
      <c r="B17597" t="e">
        <f>- - Los demas</f>
        <v>#NAME?</v>
      </c>
    </row>
    <row r="17598" spans="1:2" x14ac:dyDescent="0.25">
      <c r="A17598">
        <v>41044910</v>
      </c>
      <c r="B17598" t="s">
        <v>7570</v>
      </c>
    </row>
    <row r="17599" spans="1:2" x14ac:dyDescent="0.25">
      <c r="A17599">
        <v>41044910100</v>
      </c>
      <c r="B17599" t="s">
        <v>7573</v>
      </c>
    </row>
    <row r="17600" spans="1:2" x14ac:dyDescent="0.25">
      <c r="A17600">
        <v>41044910200</v>
      </c>
      <c r="B17600" t="s">
        <v>7567</v>
      </c>
    </row>
    <row r="17601" spans="1:2" x14ac:dyDescent="0.25">
      <c r="A17601">
        <v>41044910300</v>
      </c>
      <c r="B17601" t="s">
        <v>7574</v>
      </c>
    </row>
    <row r="17602" spans="1:2" x14ac:dyDescent="0.25">
      <c r="A17602">
        <v>41044910900</v>
      </c>
      <c r="B17602" t="s">
        <v>10</v>
      </c>
    </row>
    <row r="17603" spans="1:2" x14ac:dyDescent="0.25">
      <c r="A17603">
        <v>41044920</v>
      </c>
      <c r="B17603" t="s">
        <v>7563</v>
      </c>
    </row>
    <row r="17604" spans="1:2" x14ac:dyDescent="0.25">
      <c r="A17604">
        <v>41044920100</v>
      </c>
      <c r="B17604" t="s">
        <v>7567</v>
      </c>
    </row>
    <row r="17605" spans="1:2" x14ac:dyDescent="0.25">
      <c r="A17605">
        <v>41044920200</v>
      </c>
      <c r="B17605" t="s">
        <v>7574</v>
      </c>
    </row>
    <row r="17606" spans="1:2" x14ac:dyDescent="0.25">
      <c r="A17606">
        <v>41044920900</v>
      </c>
      <c r="B17606" t="s">
        <v>10</v>
      </c>
    </row>
    <row r="17607" spans="1:2" x14ac:dyDescent="0.25">
      <c r="A17607">
        <v>41044990000</v>
      </c>
      <c r="B17607" t="s">
        <v>10</v>
      </c>
    </row>
    <row r="17608" spans="1:2" x14ac:dyDescent="0.25">
      <c r="A17608">
        <v>4105</v>
      </c>
      <c r="B17608" t="s">
        <v>7575</v>
      </c>
    </row>
    <row r="17609" spans="1:2" x14ac:dyDescent="0.25">
      <c r="A17609">
        <v>410510</v>
      </c>
      <c r="B17609" t="s">
        <v>7576</v>
      </c>
    </row>
    <row r="17610" spans="1:2" x14ac:dyDescent="0.25">
      <c r="A17610">
        <v>41051010000</v>
      </c>
      <c r="B17610" t="s">
        <v>7577</v>
      </c>
    </row>
    <row r="17611" spans="1:2" x14ac:dyDescent="0.25">
      <c r="A17611">
        <v>4105102</v>
      </c>
      <c r="B17611" t="s">
        <v>7578</v>
      </c>
    </row>
    <row r="17612" spans="1:2" x14ac:dyDescent="0.25">
      <c r="A17612">
        <v>41051021000</v>
      </c>
      <c r="B17612" t="s">
        <v>7579</v>
      </c>
    </row>
    <row r="17613" spans="1:2" x14ac:dyDescent="0.25">
      <c r="A17613">
        <v>41051029000</v>
      </c>
      <c r="B17613" t="s">
        <v>57</v>
      </c>
    </row>
    <row r="17614" spans="1:2" x14ac:dyDescent="0.25">
      <c r="A17614">
        <v>41051090</v>
      </c>
      <c r="B17614" t="s">
        <v>57</v>
      </c>
    </row>
    <row r="17615" spans="1:2" x14ac:dyDescent="0.25">
      <c r="A17615">
        <v>41051090100</v>
      </c>
      <c r="B17615" t="s">
        <v>7580</v>
      </c>
    </row>
    <row r="17616" spans="1:2" x14ac:dyDescent="0.25">
      <c r="A17616">
        <v>41051090900</v>
      </c>
      <c r="B17616" t="s">
        <v>57</v>
      </c>
    </row>
    <row r="17617" spans="1:2" x14ac:dyDescent="0.25">
      <c r="A17617">
        <v>41053000000</v>
      </c>
      <c r="B17617" t="s">
        <v>7581</v>
      </c>
    </row>
    <row r="17618" spans="1:2" x14ac:dyDescent="0.25">
      <c r="A17618">
        <v>4106</v>
      </c>
      <c r="B17618" t="s">
        <v>7582</v>
      </c>
    </row>
    <row r="17619" spans="1:2" x14ac:dyDescent="0.25">
      <c r="A17619">
        <v>41062</v>
      </c>
      <c r="B17619" t="s">
        <v>7583</v>
      </c>
    </row>
    <row r="17620" spans="1:2" x14ac:dyDescent="0.25">
      <c r="A17620">
        <v>410621</v>
      </c>
      <c r="B17620" t="s">
        <v>7584</v>
      </c>
    </row>
    <row r="17621" spans="1:2" x14ac:dyDescent="0.25">
      <c r="A17621">
        <v>41062110000</v>
      </c>
      <c r="B17621" t="s">
        <v>7577</v>
      </c>
    </row>
    <row r="17622" spans="1:2" x14ac:dyDescent="0.25">
      <c r="A17622">
        <v>4106212</v>
      </c>
      <c r="B17622" t="s">
        <v>7585</v>
      </c>
    </row>
    <row r="17623" spans="1:2" x14ac:dyDescent="0.25">
      <c r="A17623">
        <v>41062121000</v>
      </c>
      <c r="B17623" t="s">
        <v>7579</v>
      </c>
    </row>
    <row r="17624" spans="1:2" x14ac:dyDescent="0.25">
      <c r="A17624">
        <v>41062129000</v>
      </c>
      <c r="B17624" t="s">
        <v>10</v>
      </c>
    </row>
    <row r="17625" spans="1:2" x14ac:dyDescent="0.25">
      <c r="A17625">
        <v>41062190000</v>
      </c>
      <c r="B17625" t="s">
        <v>10</v>
      </c>
    </row>
    <row r="17626" spans="1:2" x14ac:dyDescent="0.25">
      <c r="A17626">
        <v>41062200000</v>
      </c>
      <c r="B17626" t="s">
        <v>7586</v>
      </c>
    </row>
    <row r="17627" spans="1:2" x14ac:dyDescent="0.25">
      <c r="A17627">
        <v>41063</v>
      </c>
      <c r="B17627" t="s">
        <v>7587</v>
      </c>
    </row>
    <row r="17628" spans="1:2" x14ac:dyDescent="0.25">
      <c r="A17628">
        <v>410631</v>
      </c>
      <c r="B17628" t="s">
        <v>7584</v>
      </c>
    </row>
    <row r="17629" spans="1:2" x14ac:dyDescent="0.25">
      <c r="A17629">
        <v>41063110000</v>
      </c>
      <c r="B17629" t="s">
        <v>7579</v>
      </c>
    </row>
    <row r="17630" spans="1:2" x14ac:dyDescent="0.25">
      <c r="A17630">
        <v>41063190000</v>
      </c>
      <c r="B17630" t="s">
        <v>10</v>
      </c>
    </row>
    <row r="17631" spans="1:2" x14ac:dyDescent="0.25">
      <c r="A17631">
        <v>41063200000</v>
      </c>
      <c r="B17631" t="s">
        <v>7588</v>
      </c>
    </row>
    <row r="17632" spans="1:2" x14ac:dyDescent="0.25">
      <c r="A17632">
        <v>41064000</v>
      </c>
      <c r="B17632" t="e">
        <f>- de reptil</f>
        <v>#NAME?</v>
      </c>
    </row>
    <row r="17633" spans="1:2" x14ac:dyDescent="0.25">
      <c r="A17633">
        <v>410640001</v>
      </c>
      <c r="B17633" t="s">
        <v>7550</v>
      </c>
    </row>
    <row r="17634" spans="1:2" x14ac:dyDescent="0.25">
      <c r="A17634">
        <v>41064000110</v>
      </c>
      <c r="B17634" t="s">
        <v>7577</v>
      </c>
    </row>
    <row r="17635" spans="1:2" x14ac:dyDescent="0.25">
      <c r="A17635">
        <v>41064000190</v>
      </c>
      <c r="B17635" t="s">
        <v>10</v>
      </c>
    </row>
    <row r="17636" spans="1:2" x14ac:dyDescent="0.25">
      <c r="A17636">
        <v>410640002</v>
      </c>
      <c r="B17636" t="s">
        <v>7551</v>
      </c>
    </row>
    <row r="17637" spans="1:2" x14ac:dyDescent="0.25">
      <c r="A17637">
        <v>41064000210</v>
      </c>
      <c r="B17637" t="s">
        <v>7577</v>
      </c>
    </row>
    <row r="17638" spans="1:2" x14ac:dyDescent="0.25">
      <c r="A17638">
        <v>41064000290</v>
      </c>
      <c r="B17638" t="s">
        <v>10</v>
      </c>
    </row>
    <row r="17639" spans="1:2" x14ac:dyDescent="0.25">
      <c r="A17639">
        <v>410640009</v>
      </c>
      <c r="B17639" t="s">
        <v>10</v>
      </c>
    </row>
    <row r="17640" spans="1:2" x14ac:dyDescent="0.25">
      <c r="A17640">
        <v>41064000910</v>
      </c>
      <c r="B17640" t="s">
        <v>7577</v>
      </c>
    </row>
    <row r="17641" spans="1:2" x14ac:dyDescent="0.25">
      <c r="A17641">
        <v>41064000990</v>
      </c>
      <c r="B17641" t="s">
        <v>10</v>
      </c>
    </row>
    <row r="17642" spans="1:2" x14ac:dyDescent="0.25">
      <c r="A17642">
        <v>41069</v>
      </c>
      <c r="B17642" t="s">
        <v>28</v>
      </c>
    </row>
    <row r="17643" spans="1:2" x14ac:dyDescent="0.25">
      <c r="A17643">
        <v>41069100</v>
      </c>
      <c r="B17643" t="s">
        <v>7584</v>
      </c>
    </row>
    <row r="17644" spans="1:2" x14ac:dyDescent="0.25">
      <c r="A17644">
        <v>410691001</v>
      </c>
      <c r="B17644" t="s">
        <v>1728</v>
      </c>
    </row>
    <row r="17645" spans="1:2" x14ac:dyDescent="0.25">
      <c r="A17645">
        <v>41069100110</v>
      </c>
      <c r="B17645" t="s">
        <v>7555</v>
      </c>
    </row>
    <row r="17646" spans="1:2" x14ac:dyDescent="0.25">
      <c r="A17646">
        <v>41069100190</v>
      </c>
      <c r="B17646" t="s">
        <v>10</v>
      </c>
    </row>
    <row r="17647" spans="1:2" x14ac:dyDescent="0.25">
      <c r="A17647">
        <v>41069100900</v>
      </c>
      <c r="B17647" t="s">
        <v>10</v>
      </c>
    </row>
    <row r="17648" spans="1:2" x14ac:dyDescent="0.25">
      <c r="A17648">
        <v>41069200</v>
      </c>
      <c r="B17648" t="s">
        <v>7589</v>
      </c>
    </row>
    <row r="17649" spans="1:2" x14ac:dyDescent="0.25">
      <c r="A17649">
        <v>410692001</v>
      </c>
      <c r="B17649" t="s">
        <v>1728</v>
      </c>
    </row>
    <row r="17650" spans="1:2" x14ac:dyDescent="0.25">
      <c r="A17650">
        <v>41069200110</v>
      </c>
      <c r="B17650" t="s">
        <v>7555</v>
      </c>
    </row>
    <row r="17651" spans="1:2" x14ac:dyDescent="0.25">
      <c r="A17651">
        <v>41069200190</v>
      </c>
      <c r="B17651" t="s">
        <v>10</v>
      </c>
    </row>
    <row r="17652" spans="1:2" x14ac:dyDescent="0.25">
      <c r="A17652">
        <v>41069200900</v>
      </c>
      <c r="B17652" t="s">
        <v>10</v>
      </c>
    </row>
    <row r="17653" spans="1:2" x14ac:dyDescent="0.25">
      <c r="A17653">
        <v>4107</v>
      </c>
      <c r="B17653" t="s">
        <v>7590</v>
      </c>
    </row>
    <row r="17654" spans="1:2" x14ac:dyDescent="0.25">
      <c r="A17654">
        <v>41071</v>
      </c>
      <c r="B17654" t="s">
        <v>7591</v>
      </c>
    </row>
    <row r="17655" spans="1:2" x14ac:dyDescent="0.25">
      <c r="A17655">
        <v>410711</v>
      </c>
      <c r="B17655" t="e">
        <f>- - Plena flor sin dividir</f>
        <v>#NAME?</v>
      </c>
    </row>
    <row r="17656" spans="1:2" x14ac:dyDescent="0.25">
      <c r="A17656">
        <v>41071110000</v>
      </c>
      <c r="B17656" t="s">
        <v>7592</v>
      </c>
    </row>
    <row r="17657" spans="1:2" x14ac:dyDescent="0.25">
      <c r="A17657">
        <v>41071120000</v>
      </c>
      <c r="B17657" t="s">
        <v>7563</v>
      </c>
    </row>
    <row r="17658" spans="1:2" x14ac:dyDescent="0.25">
      <c r="A17658">
        <v>41071190000</v>
      </c>
      <c r="B17658" t="s">
        <v>10</v>
      </c>
    </row>
    <row r="17659" spans="1:2" x14ac:dyDescent="0.25">
      <c r="A17659">
        <v>410712</v>
      </c>
      <c r="B17659" t="e">
        <f>- - divididos Con la flor</f>
        <v>#NAME?</v>
      </c>
    </row>
    <row r="17660" spans="1:2" x14ac:dyDescent="0.25">
      <c r="A17660">
        <v>41071210000</v>
      </c>
      <c r="B17660" t="s">
        <v>7592</v>
      </c>
    </row>
    <row r="17661" spans="1:2" x14ac:dyDescent="0.25">
      <c r="A17661">
        <v>41071220000</v>
      </c>
      <c r="B17661" t="s">
        <v>7563</v>
      </c>
    </row>
    <row r="17662" spans="1:2" x14ac:dyDescent="0.25">
      <c r="A17662">
        <v>41071290000</v>
      </c>
      <c r="B17662" t="s">
        <v>10</v>
      </c>
    </row>
    <row r="17663" spans="1:2" x14ac:dyDescent="0.25">
      <c r="A17663">
        <v>410719</v>
      </c>
      <c r="B17663" t="e">
        <f>- - Los demas</f>
        <v>#NAME?</v>
      </c>
    </row>
    <row r="17664" spans="1:2" x14ac:dyDescent="0.25">
      <c r="A17664">
        <v>41071910000</v>
      </c>
      <c r="B17664" t="s">
        <v>7592</v>
      </c>
    </row>
    <row r="17665" spans="1:2" x14ac:dyDescent="0.25">
      <c r="A17665">
        <v>41071920000</v>
      </c>
      <c r="B17665" t="s">
        <v>7563</v>
      </c>
    </row>
    <row r="17666" spans="1:2" x14ac:dyDescent="0.25">
      <c r="A17666">
        <v>41071990000</v>
      </c>
      <c r="B17666" t="s">
        <v>10</v>
      </c>
    </row>
    <row r="17667" spans="1:2" x14ac:dyDescent="0.25">
      <c r="A17667">
        <v>41079</v>
      </c>
      <c r="B17667" t="s">
        <v>7593</v>
      </c>
    </row>
    <row r="17668" spans="1:2" x14ac:dyDescent="0.25">
      <c r="A17668">
        <v>410791</v>
      </c>
      <c r="B17668" t="e">
        <f>- - Plena flor sin dividir</f>
        <v>#NAME?</v>
      </c>
    </row>
    <row r="17669" spans="1:2" x14ac:dyDescent="0.25">
      <c r="A17669">
        <v>41079110000</v>
      </c>
      <c r="B17669" t="s">
        <v>7594</v>
      </c>
    </row>
    <row r="17670" spans="1:2" x14ac:dyDescent="0.25">
      <c r="A17670">
        <v>41079190000</v>
      </c>
      <c r="B17670" t="s">
        <v>10</v>
      </c>
    </row>
    <row r="17671" spans="1:2" x14ac:dyDescent="0.25">
      <c r="A17671">
        <v>410792</v>
      </c>
      <c r="B17671" t="e">
        <f>- - divididos Con la flor</f>
        <v>#NAME?</v>
      </c>
    </row>
    <row r="17672" spans="1:2" x14ac:dyDescent="0.25">
      <c r="A17672">
        <v>41079210000</v>
      </c>
      <c r="B17672" t="s">
        <v>7594</v>
      </c>
    </row>
    <row r="17673" spans="1:2" x14ac:dyDescent="0.25">
      <c r="A17673">
        <v>41079290000</v>
      </c>
      <c r="B17673" t="s">
        <v>10</v>
      </c>
    </row>
    <row r="17674" spans="1:2" x14ac:dyDescent="0.25">
      <c r="A17674">
        <v>410799</v>
      </c>
      <c r="B17674" t="e">
        <f>- - Los demas</f>
        <v>#NAME?</v>
      </c>
    </row>
    <row r="17675" spans="1:2" x14ac:dyDescent="0.25">
      <c r="A17675">
        <v>41079910000</v>
      </c>
      <c r="B17675" t="s">
        <v>7594</v>
      </c>
    </row>
    <row r="17676" spans="1:2" x14ac:dyDescent="0.25">
      <c r="A17676">
        <v>41079990000</v>
      </c>
      <c r="B17676" t="s">
        <v>10</v>
      </c>
    </row>
    <row r="17677" spans="1:2" x14ac:dyDescent="0.25">
      <c r="A17677">
        <v>41120000000</v>
      </c>
      <c r="B17677" t="s">
        <v>7595</v>
      </c>
    </row>
    <row r="17678" spans="1:2" x14ac:dyDescent="0.25">
      <c r="A17678">
        <v>4113</v>
      </c>
      <c r="B17678" t="s">
        <v>7596</v>
      </c>
    </row>
    <row r="17679" spans="1:2" x14ac:dyDescent="0.25">
      <c r="A17679">
        <v>411310</v>
      </c>
      <c r="B17679" t="e">
        <f>- de caprino</f>
        <v>#NAME?</v>
      </c>
    </row>
    <row r="17680" spans="1:2" x14ac:dyDescent="0.25">
      <c r="A17680">
        <v>41131010000</v>
      </c>
      <c r="B17680" t="s">
        <v>7597</v>
      </c>
    </row>
    <row r="17681" spans="1:2" x14ac:dyDescent="0.25">
      <c r="A17681">
        <v>41131090000</v>
      </c>
      <c r="B17681" t="s">
        <v>10</v>
      </c>
    </row>
    <row r="17682" spans="1:2" x14ac:dyDescent="0.25">
      <c r="A17682">
        <v>41132000000</v>
      </c>
      <c r="B17682" t="e">
        <f>-de porcino</f>
        <v>#NAME?</v>
      </c>
    </row>
    <row r="17683" spans="1:2" x14ac:dyDescent="0.25">
      <c r="A17683">
        <v>41133000000</v>
      </c>
      <c r="B17683" t="e">
        <f>-de reptil</f>
        <v>#NAME?</v>
      </c>
    </row>
    <row r="17684" spans="1:2" x14ac:dyDescent="0.25">
      <c r="A17684">
        <v>41139000</v>
      </c>
      <c r="B17684" t="e">
        <f>- Los demas</f>
        <v>#NAME?</v>
      </c>
    </row>
    <row r="17685" spans="1:2" x14ac:dyDescent="0.25">
      <c r="A17685">
        <v>411390001</v>
      </c>
      <c r="B17685" t="s">
        <v>1728</v>
      </c>
    </row>
    <row r="17686" spans="1:2" x14ac:dyDescent="0.25">
      <c r="A17686">
        <v>41139000110</v>
      </c>
      <c r="B17686" t="s">
        <v>7555</v>
      </c>
    </row>
    <row r="17687" spans="1:2" x14ac:dyDescent="0.25">
      <c r="A17687">
        <v>41139000190</v>
      </c>
      <c r="B17687" t="s">
        <v>10</v>
      </c>
    </row>
    <row r="17688" spans="1:2" x14ac:dyDescent="0.25">
      <c r="A17688">
        <v>41139000900</v>
      </c>
      <c r="B17688" t="s">
        <v>10</v>
      </c>
    </row>
    <row r="17689" spans="1:2" x14ac:dyDescent="0.25">
      <c r="A17689">
        <v>4114</v>
      </c>
      <c r="B17689" t="s">
        <v>7598</v>
      </c>
    </row>
    <row r="17690" spans="1:2" x14ac:dyDescent="0.25">
      <c r="A17690">
        <v>41141000</v>
      </c>
      <c r="B17690" t="e">
        <f>- cueros y pieles agamuzados (incluido el agamuzado combinado al Aceite)</f>
        <v>#NAME?</v>
      </c>
    </row>
    <row r="17691" spans="1:2" x14ac:dyDescent="0.25">
      <c r="A17691">
        <v>411410001</v>
      </c>
      <c r="B17691" t="s">
        <v>1728</v>
      </c>
    </row>
    <row r="17692" spans="1:2" x14ac:dyDescent="0.25">
      <c r="A17692">
        <v>41141000110</v>
      </c>
      <c r="B17692" t="s">
        <v>7555</v>
      </c>
    </row>
    <row r="17693" spans="1:2" x14ac:dyDescent="0.25">
      <c r="A17693">
        <v>41141000190</v>
      </c>
      <c r="B17693" t="s">
        <v>10</v>
      </c>
    </row>
    <row r="17694" spans="1:2" x14ac:dyDescent="0.25">
      <c r="A17694">
        <v>41141000900</v>
      </c>
      <c r="B17694" t="s">
        <v>10</v>
      </c>
    </row>
    <row r="17695" spans="1:2" x14ac:dyDescent="0.25">
      <c r="A17695">
        <v>411420</v>
      </c>
      <c r="B17695" t="e">
        <f>- cueros y pieles charolados ysus imitaciones de cueros o pieles chapados, cueros y pieles metalizados</f>
        <v>#NAME?</v>
      </c>
    </row>
    <row r="17696" spans="1:2" x14ac:dyDescent="0.25">
      <c r="A17696">
        <v>41142010000</v>
      </c>
      <c r="B17696" t="s">
        <v>7599</v>
      </c>
    </row>
    <row r="17697" spans="1:2" x14ac:dyDescent="0.25">
      <c r="A17697">
        <v>41142020000</v>
      </c>
      <c r="B17697" t="s">
        <v>6884</v>
      </c>
    </row>
    <row r="17698" spans="1:2" x14ac:dyDescent="0.25">
      <c r="A17698">
        <v>4115</v>
      </c>
      <c r="B17698" t="s">
        <v>7600</v>
      </c>
    </row>
    <row r="17699" spans="1:2" x14ac:dyDescent="0.25">
      <c r="A17699">
        <v>41151000000</v>
      </c>
      <c r="B17699" t="e">
        <f>-cuero regenerado a base de cuero o fibras de cuero. En Placas. Hojas o tiras. incluso enrolladas</f>
        <v>#NAME?</v>
      </c>
    </row>
    <row r="17700" spans="1:2" x14ac:dyDescent="0.25">
      <c r="A17700">
        <v>41152000</v>
      </c>
      <c r="B17700" t="e">
        <f>- Recortes y demas desperdicios de cuero o piel. preparados. o de cuero regenerado. no utilizables para la fabricacion de manufacturas de cuero, aserrin. polvo y harina de cuero</f>
        <v>#NAME?</v>
      </c>
    </row>
    <row r="17701" spans="1:2" x14ac:dyDescent="0.25">
      <c r="A17701">
        <v>411520001</v>
      </c>
      <c r="B17701" t="s">
        <v>1728</v>
      </c>
    </row>
    <row r="17702" spans="1:2" x14ac:dyDescent="0.25">
      <c r="A17702">
        <v>41152000110</v>
      </c>
      <c r="B17702" t="s">
        <v>7555</v>
      </c>
    </row>
    <row r="17703" spans="1:2" x14ac:dyDescent="0.25">
      <c r="A17703">
        <v>41152000190</v>
      </c>
      <c r="B17703" t="s">
        <v>10</v>
      </c>
    </row>
    <row r="17704" spans="1:2" x14ac:dyDescent="0.25">
      <c r="A17704">
        <v>41152000900</v>
      </c>
      <c r="B17704" t="s">
        <v>10</v>
      </c>
    </row>
    <row r="17705" spans="1:2" x14ac:dyDescent="0.25">
      <c r="A17705">
        <v>420100</v>
      </c>
      <c r="B17705" t="s">
        <v>7601</v>
      </c>
    </row>
    <row r="17706" spans="1:2" x14ac:dyDescent="0.25">
      <c r="A17706">
        <v>42010010000</v>
      </c>
      <c r="B17706" t="s">
        <v>7602</v>
      </c>
    </row>
    <row r="17707" spans="1:2" x14ac:dyDescent="0.25">
      <c r="A17707">
        <v>42010090000</v>
      </c>
      <c r="B17707" t="s">
        <v>10</v>
      </c>
    </row>
    <row r="17708" spans="1:2" x14ac:dyDescent="0.25">
      <c r="A17708">
        <v>4202</v>
      </c>
      <c r="B17708" t="s">
        <v>7603</v>
      </c>
    </row>
    <row r="17709" spans="1:2" x14ac:dyDescent="0.25">
      <c r="A17709">
        <v>42021</v>
      </c>
      <c r="B17709" t="s">
        <v>7604</v>
      </c>
    </row>
    <row r="17710" spans="1:2" x14ac:dyDescent="0.25">
      <c r="A17710">
        <v>42021100</v>
      </c>
      <c r="B17710" t="e">
        <f>- - Con la superficie exterior de cuero natural o cuero regenerado</f>
        <v>#NAME?</v>
      </c>
    </row>
    <row r="17711" spans="1:2" x14ac:dyDescent="0.25">
      <c r="A17711">
        <v>420211001</v>
      </c>
      <c r="B17711" t="s">
        <v>7605</v>
      </c>
    </row>
    <row r="17712" spans="1:2" x14ac:dyDescent="0.25">
      <c r="A17712">
        <v>4202110011</v>
      </c>
      <c r="B17712" t="s">
        <v>7606</v>
      </c>
    </row>
    <row r="17713" spans="1:2" x14ac:dyDescent="0.25">
      <c r="A17713">
        <v>42021100111</v>
      </c>
      <c r="B17713" t="s">
        <v>7607</v>
      </c>
    </row>
    <row r="17714" spans="1:2" x14ac:dyDescent="0.25">
      <c r="A17714">
        <v>42021100112</v>
      </c>
      <c r="B17714" t="s">
        <v>7608</v>
      </c>
    </row>
    <row r="17715" spans="1:2" x14ac:dyDescent="0.25">
      <c r="A17715">
        <v>42021100119</v>
      </c>
      <c r="B17715" t="s">
        <v>10</v>
      </c>
    </row>
    <row r="17716" spans="1:2" x14ac:dyDescent="0.25">
      <c r="A17716">
        <v>4202110019</v>
      </c>
      <c r="B17716" t="s">
        <v>10</v>
      </c>
    </row>
    <row r="17717" spans="1:2" x14ac:dyDescent="0.25">
      <c r="A17717">
        <v>42021100191</v>
      </c>
      <c r="B17717" t="s">
        <v>7609</v>
      </c>
    </row>
    <row r="17718" spans="1:2" x14ac:dyDescent="0.25">
      <c r="A17718">
        <v>42021100192</v>
      </c>
      <c r="B17718" t="s">
        <v>7610</v>
      </c>
    </row>
    <row r="17719" spans="1:2" x14ac:dyDescent="0.25">
      <c r="A17719">
        <v>42021100193</v>
      </c>
      <c r="B17719" t="s">
        <v>7607</v>
      </c>
    </row>
    <row r="17720" spans="1:2" x14ac:dyDescent="0.25">
      <c r="A17720">
        <v>42021100194</v>
      </c>
      <c r="B17720" t="s">
        <v>7608</v>
      </c>
    </row>
    <row r="17721" spans="1:2" x14ac:dyDescent="0.25">
      <c r="A17721">
        <v>42021100199</v>
      </c>
      <c r="B17721" t="s">
        <v>10</v>
      </c>
    </row>
    <row r="17722" spans="1:2" x14ac:dyDescent="0.25">
      <c r="A17722">
        <v>420211002</v>
      </c>
      <c r="B17722" t="s">
        <v>7611</v>
      </c>
    </row>
    <row r="17723" spans="1:2" x14ac:dyDescent="0.25">
      <c r="A17723">
        <v>4202110021</v>
      </c>
      <c r="B17723" t="s">
        <v>7606</v>
      </c>
    </row>
    <row r="17724" spans="1:2" x14ac:dyDescent="0.25">
      <c r="A17724">
        <v>42021100211</v>
      </c>
      <c r="B17724" t="s">
        <v>7607</v>
      </c>
    </row>
    <row r="17725" spans="1:2" x14ac:dyDescent="0.25">
      <c r="A17725">
        <v>42021100212</v>
      </c>
      <c r="B17725" t="s">
        <v>7608</v>
      </c>
    </row>
    <row r="17726" spans="1:2" x14ac:dyDescent="0.25">
      <c r="A17726">
        <v>42021100219</v>
      </c>
      <c r="B17726" t="s">
        <v>10</v>
      </c>
    </row>
    <row r="17727" spans="1:2" x14ac:dyDescent="0.25">
      <c r="A17727">
        <v>4202110029</v>
      </c>
      <c r="B17727" t="s">
        <v>10</v>
      </c>
    </row>
    <row r="17728" spans="1:2" x14ac:dyDescent="0.25">
      <c r="A17728">
        <v>42021100291</v>
      </c>
      <c r="B17728" t="s">
        <v>7609</v>
      </c>
    </row>
    <row r="17729" spans="1:2" x14ac:dyDescent="0.25">
      <c r="A17729">
        <v>42021100292</v>
      </c>
      <c r="B17729" t="s">
        <v>7610</v>
      </c>
    </row>
    <row r="17730" spans="1:2" x14ac:dyDescent="0.25">
      <c r="A17730">
        <v>42021100293</v>
      </c>
      <c r="B17730" t="s">
        <v>7607</v>
      </c>
    </row>
    <row r="17731" spans="1:2" x14ac:dyDescent="0.25">
      <c r="A17731">
        <v>42021100294</v>
      </c>
      <c r="B17731" t="s">
        <v>7608</v>
      </c>
    </row>
    <row r="17732" spans="1:2" x14ac:dyDescent="0.25">
      <c r="A17732">
        <v>42021100299</v>
      </c>
      <c r="B17732" t="s">
        <v>10</v>
      </c>
    </row>
    <row r="17733" spans="1:2" x14ac:dyDescent="0.25">
      <c r="A17733">
        <v>420212</v>
      </c>
      <c r="B17733" t="e">
        <f>- - Con la superficie exterior de plastico o materia textil</f>
        <v>#NAME?</v>
      </c>
    </row>
    <row r="17734" spans="1:2" x14ac:dyDescent="0.25">
      <c r="A17734">
        <v>42021210</v>
      </c>
      <c r="B17734" t="s">
        <v>7612</v>
      </c>
    </row>
    <row r="17735" spans="1:2" x14ac:dyDescent="0.25">
      <c r="A17735">
        <v>420212101</v>
      </c>
      <c r="B17735" t="s">
        <v>7606</v>
      </c>
    </row>
    <row r="17736" spans="1:2" x14ac:dyDescent="0.25">
      <c r="A17736">
        <v>42021210110</v>
      </c>
      <c r="B17736" t="s">
        <v>7607</v>
      </c>
    </row>
    <row r="17737" spans="1:2" x14ac:dyDescent="0.25">
      <c r="A17737">
        <v>42021210120</v>
      </c>
      <c r="B17737" t="s">
        <v>7608</v>
      </c>
    </row>
    <row r="17738" spans="1:2" x14ac:dyDescent="0.25">
      <c r="A17738">
        <v>42021210190</v>
      </c>
      <c r="B17738" t="s">
        <v>10</v>
      </c>
    </row>
    <row r="17739" spans="1:2" x14ac:dyDescent="0.25">
      <c r="A17739">
        <v>420212109</v>
      </c>
      <c r="B17739" t="s">
        <v>10</v>
      </c>
    </row>
    <row r="17740" spans="1:2" x14ac:dyDescent="0.25">
      <c r="A17740">
        <v>42021210910</v>
      </c>
      <c r="B17740" t="s">
        <v>7609</v>
      </c>
    </row>
    <row r="17741" spans="1:2" x14ac:dyDescent="0.25">
      <c r="A17741">
        <v>42021210920</v>
      </c>
      <c r="B17741" t="s">
        <v>7610</v>
      </c>
    </row>
    <row r="17742" spans="1:2" x14ac:dyDescent="0.25">
      <c r="A17742">
        <v>42021210930</v>
      </c>
      <c r="B17742" t="s">
        <v>7607</v>
      </c>
    </row>
    <row r="17743" spans="1:2" x14ac:dyDescent="0.25">
      <c r="A17743">
        <v>42021210940</v>
      </c>
      <c r="B17743" t="s">
        <v>7608</v>
      </c>
    </row>
    <row r="17744" spans="1:2" x14ac:dyDescent="0.25">
      <c r="A17744">
        <v>42021210990</v>
      </c>
      <c r="B17744" t="s">
        <v>10</v>
      </c>
    </row>
    <row r="17745" spans="1:2" x14ac:dyDescent="0.25">
      <c r="A17745">
        <v>42021220</v>
      </c>
      <c r="B17745" t="s">
        <v>7613</v>
      </c>
    </row>
    <row r="17746" spans="1:2" x14ac:dyDescent="0.25">
      <c r="A17746">
        <v>420212201</v>
      </c>
      <c r="B17746" t="s">
        <v>7606</v>
      </c>
    </row>
    <row r="17747" spans="1:2" x14ac:dyDescent="0.25">
      <c r="A17747">
        <v>42021220110</v>
      </c>
      <c r="B17747" t="s">
        <v>7607</v>
      </c>
    </row>
    <row r="17748" spans="1:2" x14ac:dyDescent="0.25">
      <c r="A17748">
        <v>42021220120</v>
      </c>
      <c r="B17748" t="s">
        <v>7608</v>
      </c>
    </row>
    <row r="17749" spans="1:2" x14ac:dyDescent="0.25">
      <c r="A17749">
        <v>42021220190</v>
      </c>
      <c r="B17749" t="s">
        <v>10</v>
      </c>
    </row>
    <row r="17750" spans="1:2" x14ac:dyDescent="0.25">
      <c r="A17750">
        <v>420212209</v>
      </c>
      <c r="B17750" t="s">
        <v>10</v>
      </c>
    </row>
    <row r="17751" spans="1:2" x14ac:dyDescent="0.25">
      <c r="A17751">
        <v>42021220910</v>
      </c>
      <c r="B17751" t="s">
        <v>7609</v>
      </c>
    </row>
    <row r="17752" spans="1:2" x14ac:dyDescent="0.25">
      <c r="A17752">
        <v>42021220920</v>
      </c>
      <c r="B17752" t="s">
        <v>7610</v>
      </c>
    </row>
    <row r="17753" spans="1:2" x14ac:dyDescent="0.25">
      <c r="A17753">
        <v>42021220930</v>
      </c>
      <c r="B17753" t="s">
        <v>7607</v>
      </c>
    </row>
    <row r="17754" spans="1:2" x14ac:dyDescent="0.25">
      <c r="A17754">
        <v>42021220940</v>
      </c>
      <c r="B17754" t="s">
        <v>7608</v>
      </c>
    </row>
    <row r="17755" spans="1:2" x14ac:dyDescent="0.25">
      <c r="A17755">
        <v>42021220990</v>
      </c>
      <c r="B17755" t="s">
        <v>10</v>
      </c>
    </row>
    <row r="17756" spans="1:2" x14ac:dyDescent="0.25">
      <c r="A17756">
        <v>42021900</v>
      </c>
      <c r="B17756" t="e">
        <f>- - Los demas</f>
        <v>#NAME?</v>
      </c>
    </row>
    <row r="17757" spans="1:2" x14ac:dyDescent="0.25">
      <c r="A17757">
        <v>420219001</v>
      </c>
      <c r="B17757" t="s">
        <v>7614</v>
      </c>
    </row>
    <row r="17758" spans="1:2" x14ac:dyDescent="0.25">
      <c r="A17758">
        <v>4202190011</v>
      </c>
      <c r="B17758" t="s">
        <v>7606</v>
      </c>
    </row>
    <row r="17759" spans="1:2" x14ac:dyDescent="0.25">
      <c r="A17759">
        <v>42021900111</v>
      </c>
      <c r="B17759" t="s">
        <v>7608</v>
      </c>
    </row>
    <row r="17760" spans="1:2" x14ac:dyDescent="0.25">
      <c r="A17760">
        <v>42021900119</v>
      </c>
      <c r="B17760" t="s">
        <v>10</v>
      </c>
    </row>
    <row r="17761" spans="1:2" x14ac:dyDescent="0.25">
      <c r="A17761">
        <v>4202190019</v>
      </c>
      <c r="B17761" t="s">
        <v>10</v>
      </c>
    </row>
    <row r="17762" spans="1:2" x14ac:dyDescent="0.25">
      <c r="A17762">
        <v>42021900191</v>
      </c>
      <c r="B17762" t="s">
        <v>7609</v>
      </c>
    </row>
    <row r="17763" spans="1:2" x14ac:dyDescent="0.25">
      <c r="A17763">
        <v>42021900192</v>
      </c>
      <c r="B17763" t="s">
        <v>7610</v>
      </c>
    </row>
    <row r="17764" spans="1:2" x14ac:dyDescent="0.25">
      <c r="A17764">
        <v>42021900193</v>
      </c>
      <c r="B17764" t="s">
        <v>7608</v>
      </c>
    </row>
    <row r="17765" spans="1:2" x14ac:dyDescent="0.25">
      <c r="A17765">
        <v>42021900199</v>
      </c>
      <c r="B17765" t="s">
        <v>10</v>
      </c>
    </row>
    <row r="17766" spans="1:2" x14ac:dyDescent="0.25">
      <c r="A17766">
        <v>420219009</v>
      </c>
      <c r="B17766" t="s">
        <v>10</v>
      </c>
    </row>
    <row r="17767" spans="1:2" x14ac:dyDescent="0.25">
      <c r="A17767">
        <v>4202190091</v>
      </c>
      <c r="B17767" t="s">
        <v>7606</v>
      </c>
    </row>
    <row r="17768" spans="1:2" x14ac:dyDescent="0.25">
      <c r="A17768">
        <v>42021900911</v>
      </c>
      <c r="B17768" t="s">
        <v>7607</v>
      </c>
    </row>
    <row r="17769" spans="1:2" x14ac:dyDescent="0.25">
      <c r="A17769">
        <v>42021900912</v>
      </c>
      <c r="B17769" t="s">
        <v>7608</v>
      </c>
    </row>
    <row r="17770" spans="1:2" x14ac:dyDescent="0.25">
      <c r="A17770">
        <v>42021900919</v>
      </c>
      <c r="B17770" t="s">
        <v>10</v>
      </c>
    </row>
    <row r="17771" spans="1:2" x14ac:dyDescent="0.25">
      <c r="A17771">
        <v>4202190099</v>
      </c>
      <c r="B17771" t="s">
        <v>10</v>
      </c>
    </row>
    <row r="17772" spans="1:2" x14ac:dyDescent="0.25">
      <c r="A17772">
        <v>42021900991</v>
      </c>
      <c r="B17772" t="s">
        <v>7609</v>
      </c>
    </row>
    <row r="17773" spans="1:2" x14ac:dyDescent="0.25">
      <c r="A17773">
        <v>42021900992</v>
      </c>
      <c r="B17773" t="s">
        <v>7610</v>
      </c>
    </row>
    <row r="17774" spans="1:2" x14ac:dyDescent="0.25">
      <c r="A17774">
        <v>42021900993</v>
      </c>
      <c r="B17774" t="s">
        <v>7607</v>
      </c>
    </row>
    <row r="17775" spans="1:2" x14ac:dyDescent="0.25">
      <c r="A17775">
        <v>42021900994</v>
      </c>
      <c r="B17775" t="s">
        <v>7608</v>
      </c>
    </row>
    <row r="17776" spans="1:2" x14ac:dyDescent="0.25">
      <c r="A17776">
        <v>42021900999</v>
      </c>
      <c r="B17776" t="s">
        <v>10</v>
      </c>
    </row>
    <row r="17777" spans="1:2" x14ac:dyDescent="0.25">
      <c r="A17777">
        <v>42022</v>
      </c>
      <c r="B17777" t="s">
        <v>7615</v>
      </c>
    </row>
    <row r="17778" spans="1:2" x14ac:dyDescent="0.25">
      <c r="A17778">
        <v>42022100</v>
      </c>
      <c r="B17778" t="e">
        <f>- - Con la superficie exterior de cuero natural o cuero regenerado</f>
        <v>#NAME?</v>
      </c>
    </row>
    <row r="17779" spans="1:2" x14ac:dyDescent="0.25">
      <c r="A17779">
        <v>420221001</v>
      </c>
      <c r="B17779" t="s">
        <v>7605</v>
      </c>
    </row>
    <row r="17780" spans="1:2" x14ac:dyDescent="0.25">
      <c r="A17780">
        <v>42022100110</v>
      </c>
      <c r="B17780" t="s">
        <v>7606</v>
      </c>
    </row>
    <row r="17781" spans="1:2" x14ac:dyDescent="0.25">
      <c r="A17781">
        <v>42022100190</v>
      </c>
      <c r="B17781" t="s">
        <v>10</v>
      </c>
    </row>
    <row r="17782" spans="1:2" x14ac:dyDescent="0.25">
      <c r="A17782">
        <v>420221002</v>
      </c>
      <c r="B17782" t="s">
        <v>7611</v>
      </c>
    </row>
    <row r="17783" spans="1:2" x14ac:dyDescent="0.25">
      <c r="A17783">
        <v>42022100210</v>
      </c>
      <c r="B17783" t="s">
        <v>7606</v>
      </c>
    </row>
    <row r="17784" spans="1:2" x14ac:dyDescent="0.25">
      <c r="A17784">
        <v>42022100290</v>
      </c>
      <c r="B17784" t="s">
        <v>10</v>
      </c>
    </row>
    <row r="17785" spans="1:2" x14ac:dyDescent="0.25">
      <c r="A17785">
        <v>420222</v>
      </c>
      <c r="B17785" t="e">
        <f>- - Con la superficie exterior de Hojas de plastico o materia textil</f>
        <v>#NAME?</v>
      </c>
    </row>
    <row r="17786" spans="1:2" x14ac:dyDescent="0.25">
      <c r="A17786">
        <v>42022210</v>
      </c>
      <c r="B17786" t="s">
        <v>7616</v>
      </c>
    </row>
    <row r="17787" spans="1:2" x14ac:dyDescent="0.25">
      <c r="A17787">
        <v>420222101</v>
      </c>
      <c r="B17787" t="s">
        <v>7606</v>
      </c>
    </row>
    <row r="17788" spans="1:2" x14ac:dyDescent="0.25">
      <c r="A17788">
        <v>42022210110</v>
      </c>
      <c r="B17788" t="s">
        <v>5635</v>
      </c>
    </row>
    <row r="17789" spans="1:2" x14ac:dyDescent="0.25">
      <c r="A17789">
        <v>42022210190</v>
      </c>
      <c r="B17789" t="s">
        <v>10</v>
      </c>
    </row>
    <row r="17790" spans="1:2" x14ac:dyDescent="0.25">
      <c r="A17790">
        <v>42022210900</v>
      </c>
      <c r="B17790" t="s">
        <v>10</v>
      </c>
    </row>
    <row r="17791" spans="1:2" x14ac:dyDescent="0.25">
      <c r="A17791">
        <v>42022220</v>
      </c>
      <c r="B17791" t="s">
        <v>7613</v>
      </c>
    </row>
    <row r="17792" spans="1:2" x14ac:dyDescent="0.25">
      <c r="A17792">
        <v>420222201</v>
      </c>
      <c r="B17792" t="s">
        <v>7606</v>
      </c>
    </row>
    <row r="17793" spans="1:2" x14ac:dyDescent="0.25">
      <c r="A17793">
        <v>42022220110</v>
      </c>
      <c r="B17793" t="s">
        <v>5635</v>
      </c>
    </row>
    <row r="17794" spans="1:2" x14ac:dyDescent="0.25">
      <c r="A17794">
        <v>42022220190</v>
      </c>
      <c r="B17794" t="s">
        <v>10</v>
      </c>
    </row>
    <row r="17795" spans="1:2" x14ac:dyDescent="0.25">
      <c r="A17795">
        <v>42022220900</v>
      </c>
      <c r="B17795" t="s">
        <v>10</v>
      </c>
    </row>
    <row r="17796" spans="1:2" x14ac:dyDescent="0.25">
      <c r="A17796">
        <v>42022900</v>
      </c>
      <c r="B17796" t="e">
        <f>- - Los demas</f>
        <v>#NAME?</v>
      </c>
    </row>
    <row r="17797" spans="1:2" x14ac:dyDescent="0.25">
      <c r="A17797">
        <v>42022900100</v>
      </c>
      <c r="B17797" t="s">
        <v>7606</v>
      </c>
    </row>
    <row r="17798" spans="1:2" x14ac:dyDescent="0.25">
      <c r="A17798">
        <v>42022900900</v>
      </c>
      <c r="B17798" t="s">
        <v>10</v>
      </c>
    </row>
    <row r="17799" spans="1:2" x14ac:dyDescent="0.25">
      <c r="A17799">
        <v>42023</v>
      </c>
      <c r="B17799" t="s">
        <v>7617</v>
      </c>
    </row>
    <row r="17800" spans="1:2" x14ac:dyDescent="0.25">
      <c r="A17800">
        <v>42023100</v>
      </c>
      <c r="B17800" t="e">
        <f>- - Con la superficie exterior de cuero natural o cuero regenerado</f>
        <v>#NAME?</v>
      </c>
    </row>
    <row r="17801" spans="1:2" x14ac:dyDescent="0.25">
      <c r="A17801">
        <v>420231001</v>
      </c>
      <c r="B17801" t="s">
        <v>7605</v>
      </c>
    </row>
    <row r="17802" spans="1:2" x14ac:dyDescent="0.25">
      <c r="A17802">
        <v>42023100110</v>
      </c>
      <c r="B17802" t="s">
        <v>7618</v>
      </c>
    </row>
    <row r="17803" spans="1:2" x14ac:dyDescent="0.25">
      <c r="A17803">
        <v>42023100120</v>
      </c>
      <c r="B17803" t="s">
        <v>7619</v>
      </c>
    </row>
    <row r="17804" spans="1:2" x14ac:dyDescent="0.25">
      <c r="A17804">
        <v>42023100130</v>
      </c>
      <c r="B17804" t="s">
        <v>7620</v>
      </c>
    </row>
    <row r="17805" spans="1:2" x14ac:dyDescent="0.25">
      <c r="A17805">
        <v>42023100140</v>
      </c>
      <c r="B17805" t="s">
        <v>7621</v>
      </c>
    </row>
    <row r="17806" spans="1:2" x14ac:dyDescent="0.25">
      <c r="A17806">
        <v>42023100150</v>
      </c>
      <c r="B17806" t="s">
        <v>7622</v>
      </c>
    </row>
    <row r="17807" spans="1:2" x14ac:dyDescent="0.25">
      <c r="A17807">
        <v>42023100190</v>
      </c>
      <c r="B17807" t="s">
        <v>10</v>
      </c>
    </row>
    <row r="17808" spans="1:2" x14ac:dyDescent="0.25">
      <c r="A17808">
        <v>420231002</v>
      </c>
      <c r="B17808" t="s">
        <v>7611</v>
      </c>
    </row>
    <row r="17809" spans="1:2" x14ac:dyDescent="0.25">
      <c r="A17809">
        <v>42023100210</v>
      </c>
      <c r="B17809" t="s">
        <v>7618</v>
      </c>
    </row>
    <row r="17810" spans="1:2" x14ac:dyDescent="0.25">
      <c r="A17810">
        <v>42023100220</v>
      </c>
      <c r="B17810" t="s">
        <v>7619</v>
      </c>
    </row>
    <row r="17811" spans="1:2" x14ac:dyDescent="0.25">
      <c r="A17811">
        <v>42023100230</v>
      </c>
      <c r="B17811" t="s">
        <v>7620</v>
      </c>
    </row>
    <row r="17812" spans="1:2" x14ac:dyDescent="0.25">
      <c r="A17812">
        <v>42023100240</v>
      </c>
      <c r="B17812" t="s">
        <v>7621</v>
      </c>
    </row>
    <row r="17813" spans="1:2" x14ac:dyDescent="0.25">
      <c r="A17813">
        <v>42023100250</v>
      </c>
      <c r="B17813" t="s">
        <v>7622</v>
      </c>
    </row>
    <row r="17814" spans="1:2" x14ac:dyDescent="0.25">
      <c r="A17814">
        <v>42023100290</v>
      </c>
      <c r="B17814" t="s">
        <v>10</v>
      </c>
    </row>
    <row r="17815" spans="1:2" x14ac:dyDescent="0.25">
      <c r="A17815">
        <v>42023200</v>
      </c>
      <c r="B17815" t="e">
        <f>- - Con la superficie exterior de Hojas de plastico o materia textil</f>
        <v>#NAME?</v>
      </c>
    </row>
    <row r="17816" spans="1:2" x14ac:dyDescent="0.25">
      <c r="A17816">
        <v>420232001</v>
      </c>
      <c r="B17816" t="s">
        <v>7616</v>
      </c>
    </row>
    <row r="17817" spans="1:2" x14ac:dyDescent="0.25">
      <c r="A17817">
        <v>42023200110</v>
      </c>
      <c r="B17817" t="s">
        <v>5635</v>
      </c>
    </row>
    <row r="17818" spans="1:2" x14ac:dyDescent="0.25">
      <c r="A17818">
        <v>42023200120</v>
      </c>
      <c r="B17818" t="s">
        <v>7619</v>
      </c>
    </row>
    <row r="17819" spans="1:2" x14ac:dyDescent="0.25">
      <c r="A17819">
        <v>42023200130</v>
      </c>
      <c r="B17819" t="s">
        <v>7620</v>
      </c>
    </row>
    <row r="17820" spans="1:2" x14ac:dyDescent="0.25">
      <c r="A17820">
        <v>42023200140</v>
      </c>
      <c r="B17820" t="s">
        <v>7621</v>
      </c>
    </row>
    <row r="17821" spans="1:2" x14ac:dyDescent="0.25">
      <c r="A17821">
        <v>42023200150</v>
      </c>
      <c r="B17821" t="s">
        <v>7622</v>
      </c>
    </row>
    <row r="17822" spans="1:2" x14ac:dyDescent="0.25">
      <c r="A17822">
        <v>42023200160</v>
      </c>
      <c r="B17822" t="s">
        <v>7618</v>
      </c>
    </row>
    <row r="17823" spans="1:2" x14ac:dyDescent="0.25">
      <c r="A17823">
        <v>42023200190</v>
      </c>
      <c r="B17823" t="s">
        <v>10</v>
      </c>
    </row>
    <row r="17824" spans="1:2" x14ac:dyDescent="0.25">
      <c r="A17824">
        <v>420232002</v>
      </c>
      <c r="B17824" t="s">
        <v>7613</v>
      </c>
    </row>
    <row r="17825" spans="1:2" x14ac:dyDescent="0.25">
      <c r="A17825">
        <v>42023200210</v>
      </c>
      <c r="B17825" t="s">
        <v>5635</v>
      </c>
    </row>
    <row r="17826" spans="1:2" x14ac:dyDescent="0.25">
      <c r="A17826">
        <v>42023200220</v>
      </c>
      <c r="B17826" t="s">
        <v>7619</v>
      </c>
    </row>
    <row r="17827" spans="1:2" x14ac:dyDescent="0.25">
      <c r="A17827">
        <v>42023200230</v>
      </c>
      <c r="B17827" t="s">
        <v>7620</v>
      </c>
    </row>
    <row r="17828" spans="1:2" x14ac:dyDescent="0.25">
      <c r="A17828">
        <v>42023200240</v>
      </c>
      <c r="B17828" t="s">
        <v>7621</v>
      </c>
    </row>
    <row r="17829" spans="1:2" x14ac:dyDescent="0.25">
      <c r="A17829">
        <v>42023200250</v>
      </c>
      <c r="B17829" t="s">
        <v>7622</v>
      </c>
    </row>
    <row r="17830" spans="1:2" x14ac:dyDescent="0.25">
      <c r="A17830">
        <v>42023200260</v>
      </c>
      <c r="B17830" t="s">
        <v>7618</v>
      </c>
    </row>
    <row r="17831" spans="1:2" x14ac:dyDescent="0.25">
      <c r="A17831">
        <v>42023200290</v>
      </c>
      <c r="B17831" t="s">
        <v>10</v>
      </c>
    </row>
    <row r="17832" spans="1:2" x14ac:dyDescent="0.25">
      <c r="A17832">
        <v>42023900</v>
      </c>
      <c r="B17832" t="e">
        <f>- - Los demas</f>
        <v>#NAME?</v>
      </c>
    </row>
    <row r="17833" spans="1:2" x14ac:dyDescent="0.25">
      <c r="A17833">
        <v>42023900100</v>
      </c>
      <c r="B17833" t="s">
        <v>7618</v>
      </c>
    </row>
    <row r="17834" spans="1:2" x14ac:dyDescent="0.25">
      <c r="A17834">
        <v>42023900200</v>
      </c>
      <c r="B17834" t="s">
        <v>7619</v>
      </c>
    </row>
    <row r="17835" spans="1:2" x14ac:dyDescent="0.25">
      <c r="A17835">
        <v>42023900300</v>
      </c>
      <c r="B17835" t="s">
        <v>7620</v>
      </c>
    </row>
    <row r="17836" spans="1:2" x14ac:dyDescent="0.25">
      <c r="A17836">
        <v>42023900400</v>
      </c>
      <c r="B17836" t="s">
        <v>7621</v>
      </c>
    </row>
    <row r="17837" spans="1:2" x14ac:dyDescent="0.25">
      <c r="A17837">
        <v>42023900500</v>
      </c>
      <c r="B17837" t="s">
        <v>7622</v>
      </c>
    </row>
    <row r="17838" spans="1:2" x14ac:dyDescent="0.25">
      <c r="A17838">
        <v>42023900900</v>
      </c>
      <c r="B17838" t="s">
        <v>10</v>
      </c>
    </row>
    <row r="17839" spans="1:2" x14ac:dyDescent="0.25">
      <c r="A17839">
        <v>42029</v>
      </c>
      <c r="B17839" t="s">
        <v>28</v>
      </c>
    </row>
    <row r="17840" spans="1:2" x14ac:dyDescent="0.25">
      <c r="A17840">
        <v>42029100</v>
      </c>
      <c r="B17840" t="e">
        <f>- - Con la superficie exterior de cuero natural o cuero regenerado</f>
        <v>#NAME?</v>
      </c>
    </row>
    <row r="17841" spans="1:2" x14ac:dyDescent="0.25">
      <c r="A17841">
        <v>420291001</v>
      </c>
      <c r="B17841" t="s">
        <v>7623</v>
      </c>
    </row>
    <row r="17842" spans="1:2" x14ac:dyDescent="0.25">
      <c r="A17842">
        <v>42029100110</v>
      </c>
      <c r="B17842" t="s">
        <v>7624</v>
      </c>
    </row>
    <row r="17843" spans="1:2" x14ac:dyDescent="0.25">
      <c r="A17843">
        <v>4202910019</v>
      </c>
      <c r="B17843" t="s">
        <v>57</v>
      </c>
    </row>
    <row r="17844" spans="1:2" x14ac:dyDescent="0.25">
      <c r="A17844">
        <v>42029100191</v>
      </c>
      <c r="B17844" t="s">
        <v>7625</v>
      </c>
    </row>
    <row r="17845" spans="1:2" x14ac:dyDescent="0.25">
      <c r="A17845">
        <v>42029100199</v>
      </c>
      <c r="B17845" t="s">
        <v>57</v>
      </c>
    </row>
    <row r="17846" spans="1:2" x14ac:dyDescent="0.25">
      <c r="A17846">
        <v>420291002</v>
      </c>
      <c r="B17846" t="s">
        <v>7626</v>
      </c>
    </row>
    <row r="17847" spans="1:2" x14ac:dyDescent="0.25">
      <c r="A17847">
        <v>4202910021</v>
      </c>
      <c r="B17847" t="s">
        <v>7627</v>
      </c>
    </row>
    <row r="17848" spans="1:2" x14ac:dyDescent="0.25">
      <c r="A17848">
        <v>42029100211</v>
      </c>
      <c r="B17848" t="s">
        <v>7628</v>
      </c>
    </row>
    <row r="17849" spans="1:2" x14ac:dyDescent="0.25">
      <c r="A17849">
        <v>42029100219</v>
      </c>
      <c r="B17849" t="s">
        <v>10</v>
      </c>
    </row>
    <row r="17850" spans="1:2" x14ac:dyDescent="0.25">
      <c r="A17850">
        <v>42029100220</v>
      </c>
      <c r="B17850" t="s">
        <v>7629</v>
      </c>
    </row>
    <row r="17851" spans="1:2" x14ac:dyDescent="0.25">
      <c r="A17851">
        <v>42029100230</v>
      </c>
      <c r="B17851" t="s">
        <v>7630</v>
      </c>
    </row>
    <row r="17852" spans="1:2" x14ac:dyDescent="0.25">
      <c r="A17852">
        <v>42029100290</v>
      </c>
      <c r="B17852" t="s">
        <v>10</v>
      </c>
    </row>
    <row r="17853" spans="1:2" x14ac:dyDescent="0.25">
      <c r="A17853">
        <v>420291003</v>
      </c>
      <c r="B17853" t="s">
        <v>7631</v>
      </c>
    </row>
    <row r="17854" spans="1:2" x14ac:dyDescent="0.25">
      <c r="A17854">
        <v>42029100310</v>
      </c>
      <c r="B17854" t="s">
        <v>7632</v>
      </c>
    </row>
    <row r="17855" spans="1:2" x14ac:dyDescent="0.25">
      <c r="A17855">
        <v>42029100320</v>
      </c>
      <c r="B17855" t="s">
        <v>7633</v>
      </c>
    </row>
    <row r="17856" spans="1:2" x14ac:dyDescent="0.25">
      <c r="A17856">
        <v>42029100330</v>
      </c>
      <c r="B17856" t="s">
        <v>7634</v>
      </c>
    </row>
    <row r="17857" spans="1:2" x14ac:dyDescent="0.25">
      <c r="A17857">
        <v>42029100340</v>
      </c>
      <c r="B17857" t="s">
        <v>7635</v>
      </c>
    </row>
    <row r="17858" spans="1:2" x14ac:dyDescent="0.25">
      <c r="A17858">
        <v>42029100390</v>
      </c>
      <c r="B17858" t="s">
        <v>10</v>
      </c>
    </row>
    <row r="17859" spans="1:2" x14ac:dyDescent="0.25">
      <c r="A17859">
        <v>42029100900</v>
      </c>
      <c r="B17859" t="s">
        <v>10</v>
      </c>
    </row>
    <row r="17860" spans="1:2" x14ac:dyDescent="0.25">
      <c r="A17860">
        <v>42029200</v>
      </c>
      <c r="B17860" t="e">
        <f>- - Con la superficie exterior de Hojas de plastico o materia textil</f>
        <v>#NAME?</v>
      </c>
    </row>
    <row r="17861" spans="1:2" x14ac:dyDescent="0.25">
      <c r="A17861">
        <v>420292001</v>
      </c>
      <c r="B17861" t="s">
        <v>7623</v>
      </c>
    </row>
    <row r="17862" spans="1:2" x14ac:dyDescent="0.25">
      <c r="A17862">
        <v>42029200110</v>
      </c>
      <c r="B17862" t="s">
        <v>7624</v>
      </c>
    </row>
    <row r="17863" spans="1:2" x14ac:dyDescent="0.25">
      <c r="A17863">
        <v>42029200120</v>
      </c>
      <c r="B17863" t="s">
        <v>5635</v>
      </c>
    </row>
    <row r="17864" spans="1:2" x14ac:dyDescent="0.25">
      <c r="A17864">
        <v>4202920019</v>
      </c>
      <c r="B17864" t="s">
        <v>57</v>
      </c>
    </row>
    <row r="17865" spans="1:2" x14ac:dyDescent="0.25">
      <c r="A17865">
        <v>42029200191</v>
      </c>
      <c r="B17865" t="s">
        <v>7625</v>
      </c>
    </row>
    <row r="17866" spans="1:2" x14ac:dyDescent="0.25">
      <c r="A17866">
        <v>42029200199</v>
      </c>
      <c r="B17866" t="s">
        <v>57</v>
      </c>
    </row>
    <row r="17867" spans="1:2" x14ac:dyDescent="0.25">
      <c r="A17867">
        <v>420292002</v>
      </c>
      <c r="B17867" t="s">
        <v>7626</v>
      </c>
    </row>
    <row r="17868" spans="1:2" x14ac:dyDescent="0.25">
      <c r="A17868">
        <v>4202920021</v>
      </c>
      <c r="B17868" t="s">
        <v>7627</v>
      </c>
    </row>
    <row r="17869" spans="1:2" x14ac:dyDescent="0.25">
      <c r="A17869">
        <v>42029200211</v>
      </c>
      <c r="B17869" t="s">
        <v>7628</v>
      </c>
    </row>
    <row r="17870" spans="1:2" x14ac:dyDescent="0.25">
      <c r="A17870">
        <v>42029200219</v>
      </c>
      <c r="B17870" t="s">
        <v>10</v>
      </c>
    </row>
    <row r="17871" spans="1:2" x14ac:dyDescent="0.25">
      <c r="A17871">
        <v>42029200220</v>
      </c>
      <c r="B17871" t="s">
        <v>7629</v>
      </c>
    </row>
    <row r="17872" spans="1:2" x14ac:dyDescent="0.25">
      <c r="A17872">
        <v>42029200230</v>
      </c>
      <c r="B17872" t="s">
        <v>7630</v>
      </c>
    </row>
    <row r="17873" spans="1:2" x14ac:dyDescent="0.25">
      <c r="A17873">
        <v>42029200290</v>
      </c>
      <c r="B17873" t="s">
        <v>10</v>
      </c>
    </row>
    <row r="17874" spans="1:2" x14ac:dyDescent="0.25">
      <c r="A17874">
        <v>420292003</v>
      </c>
      <c r="B17874" t="s">
        <v>7631</v>
      </c>
    </row>
    <row r="17875" spans="1:2" x14ac:dyDescent="0.25">
      <c r="A17875">
        <v>42029200310</v>
      </c>
      <c r="B17875" t="s">
        <v>7632</v>
      </c>
    </row>
    <row r="17876" spans="1:2" x14ac:dyDescent="0.25">
      <c r="A17876">
        <v>42029200320</v>
      </c>
      <c r="B17876" t="s">
        <v>7633</v>
      </c>
    </row>
    <row r="17877" spans="1:2" x14ac:dyDescent="0.25">
      <c r="A17877">
        <v>42029200330</v>
      </c>
      <c r="B17877" t="s">
        <v>7634</v>
      </c>
    </row>
    <row r="17878" spans="1:2" x14ac:dyDescent="0.25">
      <c r="A17878">
        <v>42029200340</v>
      </c>
      <c r="B17878" t="s">
        <v>7635</v>
      </c>
    </row>
    <row r="17879" spans="1:2" x14ac:dyDescent="0.25">
      <c r="A17879">
        <v>42029200390</v>
      </c>
      <c r="B17879" t="s">
        <v>10</v>
      </c>
    </row>
    <row r="17880" spans="1:2" x14ac:dyDescent="0.25">
      <c r="A17880">
        <v>42029200400</v>
      </c>
      <c r="B17880" t="s">
        <v>7636</v>
      </c>
    </row>
    <row r="17881" spans="1:2" x14ac:dyDescent="0.25">
      <c r="A17881">
        <v>42029200900</v>
      </c>
      <c r="B17881" t="s">
        <v>10</v>
      </c>
    </row>
    <row r="17882" spans="1:2" x14ac:dyDescent="0.25">
      <c r="A17882">
        <v>42029900</v>
      </c>
      <c r="B17882" t="e">
        <f>- - Los demas</f>
        <v>#NAME?</v>
      </c>
    </row>
    <row r="17883" spans="1:2" x14ac:dyDescent="0.25">
      <c r="A17883">
        <v>420299001</v>
      </c>
      <c r="B17883" t="s">
        <v>7623</v>
      </c>
    </row>
    <row r="17884" spans="1:2" x14ac:dyDescent="0.25">
      <c r="A17884">
        <v>42029900110</v>
      </c>
      <c r="B17884" t="s">
        <v>7624</v>
      </c>
    </row>
    <row r="17885" spans="1:2" x14ac:dyDescent="0.25">
      <c r="A17885">
        <v>4202990019</v>
      </c>
      <c r="B17885" t="s">
        <v>57</v>
      </c>
    </row>
    <row r="17886" spans="1:2" x14ac:dyDescent="0.25">
      <c r="A17886">
        <v>42029900191</v>
      </c>
      <c r="B17886" t="s">
        <v>7625</v>
      </c>
    </row>
    <row r="17887" spans="1:2" x14ac:dyDescent="0.25">
      <c r="A17887">
        <v>42029900199</v>
      </c>
      <c r="B17887" t="s">
        <v>57</v>
      </c>
    </row>
    <row r="17888" spans="1:2" x14ac:dyDescent="0.25">
      <c r="A17888">
        <v>420299002</v>
      </c>
      <c r="B17888" t="s">
        <v>7626</v>
      </c>
    </row>
    <row r="17889" spans="1:2" x14ac:dyDescent="0.25">
      <c r="A17889">
        <v>4202990021</v>
      </c>
      <c r="B17889" t="s">
        <v>7627</v>
      </c>
    </row>
    <row r="17890" spans="1:2" x14ac:dyDescent="0.25">
      <c r="A17890">
        <v>42029900211</v>
      </c>
      <c r="B17890" t="s">
        <v>7628</v>
      </c>
    </row>
    <row r="17891" spans="1:2" x14ac:dyDescent="0.25">
      <c r="A17891">
        <v>42029900219</v>
      </c>
      <c r="B17891" t="s">
        <v>10</v>
      </c>
    </row>
    <row r="17892" spans="1:2" x14ac:dyDescent="0.25">
      <c r="A17892">
        <v>42029900220</v>
      </c>
      <c r="B17892" t="s">
        <v>7629</v>
      </c>
    </row>
    <row r="17893" spans="1:2" x14ac:dyDescent="0.25">
      <c r="A17893">
        <v>42029900230</v>
      </c>
      <c r="B17893" t="s">
        <v>7630</v>
      </c>
    </row>
    <row r="17894" spans="1:2" x14ac:dyDescent="0.25">
      <c r="A17894">
        <v>42029900290</v>
      </c>
      <c r="B17894" t="s">
        <v>10</v>
      </c>
    </row>
    <row r="17895" spans="1:2" x14ac:dyDescent="0.25">
      <c r="A17895">
        <v>420299003</v>
      </c>
      <c r="B17895" t="s">
        <v>7631</v>
      </c>
    </row>
    <row r="17896" spans="1:2" x14ac:dyDescent="0.25">
      <c r="A17896">
        <v>42029900310</v>
      </c>
      <c r="B17896" t="s">
        <v>7632</v>
      </c>
    </row>
    <row r="17897" spans="1:2" x14ac:dyDescent="0.25">
      <c r="A17897">
        <v>42029900320</v>
      </c>
      <c r="B17897" t="s">
        <v>7633</v>
      </c>
    </row>
    <row r="17898" spans="1:2" x14ac:dyDescent="0.25">
      <c r="A17898">
        <v>42029900330</v>
      </c>
      <c r="B17898" t="s">
        <v>7634</v>
      </c>
    </row>
    <row r="17899" spans="1:2" x14ac:dyDescent="0.25">
      <c r="A17899">
        <v>42029900340</v>
      </c>
      <c r="B17899" t="s">
        <v>7635</v>
      </c>
    </row>
    <row r="17900" spans="1:2" x14ac:dyDescent="0.25">
      <c r="A17900">
        <v>42029900390</v>
      </c>
      <c r="B17900" t="s">
        <v>10</v>
      </c>
    </row>
    <row r="17901" spans="1:2" x14ac:dyDescent="0.25">
      <c r="A17901">
        <v>42029900900</v>
      </c>
      <c r="B17901" t="s">
        <v>10</v>
      </c>
    </row>
    <row r="17902" spans="1:2" x14ac:dyDescent="0.25">
      <c r="A17902">
        <v>4203</v>
      </c>
      <c r="B17902" t="s">
        <v>7637</v>
      </c>
    </row>
    <row r="17903" spans="1:2" x14ac:dyDescent="0.25">
      <c r="A17903">
        <v>42031000</v>
      </c>
      <c r="B17903" t="e">
        <f>- Prendas de vestir</f>
        <v>#NAME?</v>
      </c>
    </row>
    <row r="17904" spans="1:2" x14ac:dyDescent="0.25">
      <c r="A17904">
        <v>42031000100</v>
      </c>
      <c r="B17904" t="s">
        <v>7638</v>
      </c>
    </row>
    <row r="17905" spans="1:2" x14ac:dyDescent="0.25">
      <c r="A17905">
        <v>42031000900</v>
      </c>
      <c r="B17905" t="s">
        <v>10</v>
      </c>
    </row>
    <row r="17906" spans="1:2" x14ac:dyDescent="0.25">
      <c r="A17906">
        <v>42032</v>
      </c>
      <c r="B17906" t="s">
        <v>7492</v>
      </c>
    </row>
    <row r="17907" spans="1:2" x14ac:dyDescent="0.25">
      <c r="A17907">
        <v>42032100</v>
      </c>
      <c r="B17907" t="e">
        <f>- - Diseñados especialmente para la practica del deporte</f>
        <v>#NAME?</v>
      </c>
    </row>
    <row r="17908" spans="1:2" x14ac:dyDescent="0.25">
      <c r="A17908">
        <v>420321001</v>
      </c>
      <c r="B17908" t="s">
        <v>7639</v>
      </c>
    </row>
    <row r="17909" spans="1:2" x14ac:dyDescent="0.25">
      <c r="A17909">
        <v>42032100110</v>
      </c>
      <c r="B17909" t="s">
        <v>7640</v>
      </c>
    </row>
    <row r="17910" spans="1:2" x14ac:dyDescent="0.25">
      <c r="A17910">
        <v>42032100190</v>
      </c>
      <c r="B17910" t="s">
        <v>10</v>
      </c>
    </row>
    <row r="17911" spans="1:2" x14ac:dyDescent="0.25">
      <c r="A17911">
        <v>420321009</v>
      </c>
      <c r="B17911" t="s">
        <v>10</v>
      </c>
    </row>
    <row r="17912" spans="1:2" x14ac:dyDescent="0.25">
      <c r="A17912">
        <v>42032100910</v>
      </c>
      <c r="B17912" t="s">
        <v>7640</v>
      </c>
    </row>
    <row r="17913" spans="1:2" x14ac:dyDescent="0.25">
      <c r="A17913">
        <v>42032100990</v>
      </c>
      <c r="B17913" t="s">
        <v>10</v>
      </c>
    </row>
    <row r="17914" spans="1:2" x14ac:dyDescent="0.25">
      <c r="A17914">
        <v>42032900</v>
      </c>
      <c r="B17914" t="e">
        <f>- - Los demas</f>
        <v>#NAME?</v>
      </c>
    </row>
    <row r="17915" spans="1:2" x14ac:dyDescent="0.25">
      <c r="A17915">
        <v>42032900100</v>
      </c>
      <c r="B17915" t="s">
        <v>7639</v>
      </c>
    </row>
    <row r="17916" spans="1:2" x14ac:dyDescent="0.25">
      <c r="A17916">
        <v>42032900900</v>
      </c>
      <c r="B17916" t="s">
        <v>10</v>
      </c>
    </row>
    <row r="17917" spans="1:2" x14ac:dyDescent="0.25">
      <c r="A17917">
        <v>42033000</v>
      </c>
      <c r="B17917" t="e">
        <f>- Cintos. cinturones y bandoleras</f>
        <v>#NAME?</v>
      </c>
    </row>
    <row r="17918" spans="1:2" x14ac:dyDescent="0.25">
      <c r="A17918">
        <v>42033000100</v>
      </c>
      <c r="B17918" t="s">
        <v>7639</v>
      </c>
    </row>
    <row r="17919" spans="1:2" x14ac:dyDescent="0.25">
      <c r="A17919">
        <v>42033000900</v>
      </c>
      <c r="B17919" t="s">
        <v>10</v>
      </c>
    </row>
    <row r="17920" spans="1:2" x14ac:dyDescent="0.25">
      <c r="A17920">
        <v>42034000000</v>
      </c>
      <c r="B17920" t="e">
        <f>- Los demas complementos (accesorios) de vestir</f>
        <v>#NAME?</v>
      </c>
    </row>
    <row r="17921" spans="1:2" x14ac:dyDescent="0.25">
      <c r="A17921">
        <v>42050000</v>
      </c>
      <c r="B17921" t="s">
        <v>7641</v>
      </c>
    </row>
    <row r="17922" spans="1:2" x14ac:dyDescent="0.25">
      <c r="A17922">
        <v>42050000100</v>
      </c>
      <c r="B17922" t="s">
        <v>7642</v>
      </c>
    </row>
    <row r="17923" spans="1:2" x14ac:dyDescent="0.25">
      <c r="A17923">
        <v>42050000200</v>
      </c>
      <c r="B17923" t="s">
        <v>7643</v>
      </c>
    </row>
    <row r="17924" spans="1:2" x14ac:dyDescent="0.25">
      <c r="A17924">
        <v>42050000400</v>
      </c>
      <c r="B17924" t="s">
        <v>7644</v>
      </c>
    </row>
    <row r="17925" spans="1:2" x14ac:dyDescent="0.25">
      <c r="A17925">
        <v>42050000500</v>
      </c>
      <c r="B17925" t="s">
        <v>6661</v>
      </c>
    </row>
    <row r="17926" spans="1:2" x14ac:dyDescent="0.25">
      <c r="A17926">
        <v>42050000900</v>
      </c>
      <c r="B17926" t="s">
        <v>57</v>
      </c>
    </row>
    <row r="17927" spans="1:2" x14ac:dyDescent="0.25">
      <c r="A17927">
        <v>42060000</v>
      </c>
      <c r="B17927" t="s">
        <v>7645</v>
      </c>
    </row>
    <row r="17928" spans="1:2" x14ac:dyDescent="0.25">
      <c r="A17928">
        <v>42060000100</v>
      </c>
      <c r="B17928" t="s">
        <v>7646</v>
      </c>
    </row>
    <row r="17929" spans="1:2" x14ac:dyDescent="0.25">
      <c r="A17929">
        <v>42060000900</v>
      </c>
      <c r="B17929" t="s">
        <v>57</v>
      </c>
    </row>
    <row r="17930" spans="1:2" x14ac:dyDescent="0.25">
      <c r="A17930">
        <v>4301</v>
      </c>
      <c r="B17930" t="s">
        <v>7647</v>
      </c>
    </row>
    <row r="17931" spans="1:2" x14ac:dyDescent="0.25">
      <c r="A17931">
        <v>43011000000</v>
      </c>
      <c r="B17931" t="e">
        <f>-de vison. enteras. incluso sin la cabeza. cola o patas</f>
        <v>#NAME?</v>
      </c>
    </row>
    <row r="17932" spans="1:2" x14ac:dyDescent="0.25">
      <c r="A17932">
        <v>43013000000</v>
      </c>
      <c r="B17932" t="s">
        <v>7648</v>
      </c>
    </row>
    <row r="17933" spans="1:2" x14ac:dyDescent="0.25">
      <c r="A17933">
        <v>43016000000</v>
      </c>
      <c r="B17933" t="e">
        <f>-de zorro. enteras. incluso sin la cabeza. cola o patas</f>
        <v>#NAME?</v>
      </c>
    </row>
    <row r="17934" spans="1:2" x14ac:dyDescent="0.25">
      <c r="A17934">
        <v>43018000</v>
      </c>
      <c r="B17934" t="e">
        <f>- las demas pieles. enteras. incluso sin la cabeza. cola o patas</f>
        <v>#NAME?</v>
      </c>
    </row>
    <row r="17935" spans="1:2" x14ac:dyDescent="0.25">
      <c r="A17935">
        <v>43018000100</v>
      </c>
      <c r="B17935" t="s">
        <v>7649</v>
      </c>
    </row>
    <row r="17936" spans="1:2" x14ac:dyDescent="0.25">
      <c r="A17936">
        <v>43018000200</v>
      </c>
      <c r="B17936" t="s">
        <v>7650</v>
      </c>
    </row>
    <row r="17937" spans="1:2" x14ac:dyDescent="0.25">
      <c r="A17937">
        <v>43018000300</v>
      </c>
      <c r="B17937" t="s">
        <v>7651</v>
      </c>
    </row>
    <row r="17938" spans="1:2" x14ac:dyDescent="0.25">
      <c r="A17938">
        <v>43018000400</v>
      </c>
      <c r="B17938" t="s">
        <v>7652</v>
      </c>
    </row>
    <row r="17939" spans="1:2" x14ac:dyDescent="0.25">
      <c r="A17939">
        <v>43018000900</v>
      </c>
      <c r="B17939" t="s">
        <v>57</v>
      </c>
    </row>
    <row r="17940" spans="1:2" x14ac:dyDescent="0.25">
      <c r="A17940">
        <v>43019000000</v>
      </c>
      <c r="B17940" t="e">
        <f>-cabezas. colas. patas y demas trozos utilizables En peleteria</f>
        <v>#NAME?</v>
      </c>
    </row>
    <row r="17941" spans="1:2" x14ac:dyDescent="0.25">
      <c r="A17941">
        <v>4302</v>
      </c>
      <c r="B17941" t="s">
        <v>7653</v>
      </c>
    </row>
    <row r="17942" spans="1:2" x14ac:dyDescent="0.25">
      <c r="A17942">
        <v>43021</v>
      </c>
      <c r="B17942" t="s">
        <v>7654</v>
      </c>
    </row>
    <row r="17943" spans="1:2" x14ac:dyDescent="0.25">
      <c r="A17943">
        <v>43021100000</v>
      </c>
      <c r="B17943" t="e">
        <f>--de vison</f>
        <v>#NAME?</v>
      </c>
    </row>
    <row r="17944" spans="1:2" x14ac:dyDescent="0.25">
      <c r="A17944">
        <v>430219</v>
      </c>
      <c r="B17944" t="e">
        <f>- - las demas</f>
        <v>#NAME?</v>
      </c>
    </row>
    <row r="17945" spans="1:2" x14ac:dyDescent="0.25">
      <c r="A17945">
        <v>43021910000</v>
      </c>
      <c r="B17945" t="s">
        <v>7655</v>
      </c>
    </row>
    <row r="17946" spans="1:2" x14ac:dyDescent="0.25">
      <c r="A17946">
        <v>43021990</v>
      </c>
      <c r="B17946" t="s">
        <v>57</v>
      </c>
    </row>
    <row r="17947" spans="1:2" x14ac:dyDescent="0.25">
      <c r="A17947">
        <v>43021990100</v>
      </c>
      <c r="B17947" t="s">
        <v>7649</v>
      </c>
    </row>
    <row r="17948" spans="1:2" x14ac:dyDescent="0.25">
      <c r="A17948">
        <v>43021990200</v>
      </c>
      <c r="B17948" t="s">
        <v>7652</v>
      </c>
    </row>
    <row r="17949" spans="1:2" x14ac:dyDescent="0.25">
      <c r="A17949">
        <v>43021990900</v>
      </c>
      <c r="B17949" t="s">
        <v>57</v>
      </c>
    </row>
    <row r="17950" spans="1:2" x14ac:dyDescent="0.25">
      <c r="A17950">
        <v>43022000000</v>
      </c>
      <c r="B17950" t="e">
        <f>-cabezas. colas. patas y demas trozos. desechos y recortes. sin ensamblar</f>
        <v>#NAME?</v>
      </c>
    </row>
    <row r="17951" spans="1:2" x14ac:dyDescent="0.25">
      <c r="A17951">
        <v>43023000000</v>
      </c>
      <c r="B17951" t="e">
        <f>-pieles enteras y trozos y Recortes de pieles. ensamblados</f>
        <v>#NAME?</v>
      </c>
    </row>
    <row r="17952" spans="1:2" x14ac:dyDescent="0.25">
      <c r="A17952">
        <v>4303</v>
      </c>
      <c r="B17952" t="s">
        <v>7656</v>
      </c>
    </row>
    <row r="17953" spans="1:2" x14ac:dyDescent="0.25">
      <c r="A17953">
        <v>43031000</v>
      </c>
      <c r="B17953" t="s">
        <v>7657</v>
      </c>
    </row>
    <row r="17954" spans="1:2" x14ac:dyDescent="0.25">
      <c r="A17954">
        <v>430310001</v>
      </c>
      <c r="B17954" t="s">
        <v>7658</v>
      </c>
    </row>
    <row r="17955" spans="1:2" x14ac:dyDescent="0.25">
      <c r="A17955">
        <v>4303100011</v>
      </c>
      <c r="B17955" t="s">
        <v>7659</v>
      </c>
    </row>
    <row r="17956" spans="1:2" x14ac:dyDescent="0.25">
      <c r="A17956">
        <v>43031000111</v>
      </c>
      <c r="B17956" t="s">
        <v>7660</v>
      </c>
    </row>
    <row r="17957" spans="1:2" x14ac:dyDescent="0.25">
      <c r="A17957">
        <v>43031000119</v>
      </c>
      <c r="B17957" t="s">
        <v>10</v>
      </c>
    </row>
    <row r="17958" spans="1:2" x14ac:dyDescent="0.25">
      <c r="A17958">
        <v>4303100019</v>
      </c>
      <c r="B17958" t="s">
        <v>57</v>
      </c>
    </row>
    <row r="17959" spans="1:2" x14ac:dyDescent="0.25">
      <c r="A17959">
        <v>43031000191</v>
      </c>
      <c r="B17959" t="s">
        <v>7661</v>
      </c>
    </row>
    <row r="17960" spans="1:2" x14ac:dyDescent="0.25">
      <c r="A17960">
        <v>43031000199</v>
      </c>
      <c r="B17960" t="s">
        <v>57</v>
      </c>
    </row>
    <row r="17961" spans="1:2" x14ac:dyDescent="0.25">
      <c r="A17961">
        <v>430310002</v>
      </c>
      <c r="B17961" t="s">
        <v>7662</v>
      </c>
    </row>
    <row r="17962" spans="1:2" x14ac:dyDescent="0.25">
      <c r="A17962">
        <v>43031000210</v>
      </c>
      <c r="B17962" t="s">
        <v>7663</v>
      </c>
    </row>
    <row r="17963" spans="1:2" x14ac:dyDescent="0.25">
      <c r="A17963">
        <v>43031000290</v>
      </c>
      <c r="B17963" t="s">
        <v>10</v>
      </c>
    </row>
    <row r="17964" spans="1:2" x14ac:dyDescent="0.25">
      <c r="A17964">
        <v>43039000</v>
      </c>
      <c r="B17964" t="e">
        <f>- Los demas</f>
        <v>#NAME?</v>
      </c>
    </row>
    <row r="17965" spans="1:2" x14ac:dyDescent="0.25">
      <c r="A17965">
        <v>430390001</v>
      </c>
      <c r="B17965" t="s">
        <v>7660</v>
      </c>
    </row>
    <row r="17966" spans="1:2" x14ac:dyDescent="0.25">
      <c r="A17966">
        <v>43039000110</v>
      </c>
      <c r="B17966" t="s">
        <v>7664</v>
      </c>
    </row>
    <row r="17967" spans="1:2" x14ac:dyDescent="0.25">
      <c r="A17967">
        <v>43039000120</v>
      </c>
      <c r="B17967" t="s">
        <v>7665</v>
      </c>
    </row>
    <row r="17968" spans="1:2" x14ac:dyDescent="0.25">
      <c r="A17968">
        <v>43039000130</v>
      </c>
      <c r="B17968" t="s">
        <v>7666</v>
      </c>
    </row>
    <row r="17969" spans="1:2" x14ac:dyDescent="0.25">
      <c r="A17969">
        <v>43039000190</v>
      </c>
      <c r="B17969" t="s">
        <v>10</v>
      </c>
    </row>
    <row r="17970" spans="1:2" x14ac:dyDescent="0.25">
      <c r="A17970">
        <v>430390009</v>
      </c>
      <c r="B17970" t="s">
        <v>10</v>
      </c>
    </row>
    <row r="17971" spans="1:2" x14ac:dyDescent="0.25">
      <c r="A17971">
        <v>43039000910</v>
      </c>
      <c r="B17971" t="s">
        <v>7664</v>
      </c>
    </row>
    <row r="17972" spans="1:2" x14ac:dyDescent="0.25">
      <c r="A17972">
        <v>43039000920</v>
      </c>
      <c r="B17972" t="s">
        <v>7665</v>
      </c>
    </row>
    <row r="17973" spans="1:2" x14ac:dyDescent="0.25">
      <c r="A17973">
        <v>43039000930</v>
      </c>
      <c r="B17973" t="s">
        <v>7666</v>
      </c>
    </row>
    <row r="17974" spans="1:2" x14ac:dyDescent="0.25">
      <c r="A17974">
        <v>43039000990</v>
      </c>
      <c r="B17974" t="s">
        <v>10</v>
      </c>
    </row>
    <row r="17975" spans="1:2" x14ac:dyDescent="0.25">
      <c r="A17975">
        <v>43040000000</v>
      </c>
      <c r="B17975" t="s">
        <v>7667</v>
      </c>
    </row>
    <row r="17976" spans="1:2" x14ac:dyDescent="0.25">
      <c r="A17976">
        <v>4401</v>
      </c>
      <c r="B17976" t="s">
        <v>7668</v>
      </c>
    </row>
    <row r="17977" spans="1:2" x14ac:dyDescent="0.25">
      <c r="A17977">
        <v>44011</v>
      </c>
      <c r="B17977" t="s">
        <v>7669</v>
      </c>
    </row>
    <row r="17978" spans="1:2" x14ac:dyDescent="0.25">
      <c r="A17978">
        <v>44011100000</v>
      </c>
      <c r="B17978" t="e">
        <f>--de coniferas</f>
        <v>#NAME?</v>
      </c>
    </row>
    <row r="17979" spans="1:2" x14ac:dyDescent="0.25">
      <c r="A17979">
        <v>44011200</v>
      </c>
      <c r="B17979" t="e">
        <f>- - Distinta de la de coniferas</f>
        <v>#NAME?</v>
      </c>
    </row>
    <row r="17980" spans="1:2" x14ac:dyDescent="0.25">
      <c r="A17980">
        <v>44011200100</v>
      </c>
      <c r="B17980" t="s">
        <v>7670</v>
      </c>
    </row>
    <row r="17981" spans="1:2" x14ac:dyDescent="0.25">
      <c r="A17981">
        <v>44011200900</v>
      </c>
      <c r="B17981" t="s">
        <v>57</v>
      </c>
    </row>
    <row r="17982" spans="1:2" x14ac:dyDescent="0.25">
      <c r="A17982">
        <v>44012</v>
      </c>
      <c r="B17982" t="s">
        <v>7671</v>
      </c>
    </row>
    <row r="17983" spans="1:2" x14ac:dyDescent="0.25">
      <c r="A17983">
        <v>44012100</v>
      </c>
      <c r="B17983" t="e">
        <f>- - de coniferas</f>
        <v>#NAME?</v>
      </c>
    </row>
    <row r="17984" spans="1:2" x14ac:dyDescent="0.25">
      <c r="A17984">
        <v>44012100100</v>
      </c>
      <c r="B17984" t="s">
        <v>7672</v>
      </c>
    </row>
    <row r="17985" spans="1:2" x14ac:dyDescent="0.25">
      <c r="A17985">
        <v>44012100900</v>
      </c>
      <c r="B17985" t="s">
        <v>57</v>
      </c>
    </row>
    <row r="17986" spans="1:2" x14ac:dyDescent="0.25">
      <c r="A17986">
        <v>44012200</v>
      </c>
      <c r="B17986" t="e">
        <f>- - Distinta de la de coniferas</f>
        <v>#NAME?</v>
      </c>
    </row>
    <row r="17987" spans="1:2" x14ac:dyDescent="0.25">
      <c r="A17987">
        <v>44012200100</v>
      </c>
      <c r="B17987" t="s">
        <v>7673</v>
      </c>
    </row>
    <row r="17988" spans="1:2" x14ac:dyDescent="0.25">
      <c r="A17988">
        <v>44012200200</v>
      </c>
      <c r="B17988" t="s">
        <v>7674</v>
      </c>
    </row>
    <row r="17989" spans="1:2" x14ac:dyDescent="0.25">
      <c r="A17989">
        <v>44012200900</v>
      </c>
      <c r="B17989" t="s">
        <v>57</v>
      </c>
    </row>
    <row r="17990" spans="1:2" x14ac:dyDescent="0.25">
      <c r="A17990">
        <v>44013</v>
      </c>
      <c r="B17990" t="s">
        <v>7675</v>
      </c>
    </row>
    <row r="17991" spans="1:2" x14ac:dyDescent="0.25">
      <c r="A17991">
        <v>44013100</v>
      </c>
      <c r="B17991" t="s">
        <v>7676</v>
      </c>
    </row>
    <row r="17992" spans="1:2" x14ac:dyDescent="0.25">
      <c r="A17992">
        <v>440131001</v>
      </c>
      <c r="B17992" t="s">
        <v>7677</v>
      </c>
    </row>
    <row r="17993" spans="1:2" x14ac:dyDescent="0.25">
      <c r="A17993">
        <v>44013100110</v>
      </c>
      <c r="B17993" t="s">
        <v>7678</v>
      </c>
    </row>
    <row r="17994" spans="1:2" x14ac:dyDescent="0.25">
      <c r="A17994">
        <v>44013100120</v>
      </c>
      <c r="B17994" t="s">
        <v>7679</v>
      </c>
    </row>
    <row r="17995" spans="1:2" x14ac:dyDescent="0.25">
      <c r="A17995">
        <v>44013100130</v>
      </c>
      <c r="B17995" t="s">
        <v>7680</v>
      </c>
    </row>
    <row r="17996" spans="1:2" x14ac:dyDescent="0.25">
      <c r="A17996">
        <v>44013100140</v>
      </c>
      <c r="B17996" t="s">
        <v>7681</v>
      </c>
    </row>
    <row r="17997" spans="1:2" x14ac:dyDescent="0.25">
      <c r="A17997">
        <v>44013100150</v>
      </c>
      <c r="B17997" t="s">
        <v>7682</v>
      </c>
    </row>
    <row r="17998" spans="1:2" x14ac:dyDescent="0.25">
      <c r="A17998">
        <v>44013100160</v>
      </c>
      <c r="B17998" t="s">
        <v>7683</v>
      </c>
    </row>
    <row r="17999" spans="1:2" x14ac:dyDescent="0.25">
      <c r="A17999">
        <v>44013100190</v>
      </c>
      <c r="B17999" t="s">
        <v>10</v>
      </c>
    </row>
    <row r="18000" spans="1:2" x14ac:dyDescent="0.25">
      <c r="A18000">
        <v>440131002</v>
      </c>
      <c r="B18000" t="s">
        <v>7684</v>
      </c>
    </row>
    <row r="18001" spans="1:2" x14ac:dyDescent="0.25">
      <c r="A18001">
        <v>44013100210</v>
      </c>
      <c r="B18001" t="s">
        <v>7678</v>
      </c>
    </row>
    <row r="18002" spans="1:2" x14ac:dyDescent="0.25">
      <c r="A18002">
        <v>44013100220</v>
      </c>
      <c r="B18002" t="s">
        <v>7679</v>
      </c>
    </row>
    <row r="18003" spans="1:2" x14ac:dyDescent="0.25">
      <c r="A18003">
        <v>44013100230</v>
      </c>
      <c r="B18003" t="s">
        <v>7680</v>
      </c>
    </row>
    <row r="18004" spans="1:2" x14ac:dyDescent="0.25">
      <c r="A18004">
        <v>44013100240</v>
      </c>
      <c r="B18004" t="s">
        <v>7681</v>
      </c>
    </row>
    <row r="18005" spans="1:2" x14ac:dyDescent="0.25">
      <c r="A18005">
        <v>44013100250</v>
      </c>
      <c r="B18005" t="s">
        <v>7682</v>
      </c>
    </row>
    <row r="18006" spans="1:2" x14ac:dyDescent="0.25">
      <c r="A18006">
        <v>44013100260</v>
      </c>
      <c r="B18006" t="s">
        <v>7683</v>
      </c>
    </row>
    <row r="18007" spans="1:2" x14ac:dyDescent="0.25">
      <c r="A18007">
        <v>44013100290</v>
      </c>
      <c r="B18007" t="s">
        <v>10</v>
      </c>
    </row>
    <row r="18008" spans="1:2" x14ac:dyDescent="0.25">
      <c r="A18008">
        <v>440131009</v>
      </c>
      <c r="B18008" t="s">
        <v>10</v>
      </c>
    </row>
    <row r="18009" spans="1:2" x14ac:dyDescent="0.25">
      <c r="A18009">
        <v>44013100910</v>
      </c>
      <c r="B18009" t="s">
        <v>7678</v>
      </c>
    </row>
    <row r="18010" spans="1:2" x14ac:dyDescent="0.25">
      <c r="A18010">
        <v>44013100920</v>
      </c>
      <c r="B18010" t="s">
        <v>7679</v>
      </c>
    </row>
    <row r="18011" spans="1:2" x14ac:dyDescent="0.25">
      <c r="A18011">
        <v>44013100930</v>
      </c>
      <c r="B18011" t="s">
        <v>7680</v>
      </c>
    </row>
    <row r="18012" spans="1:2" x14ac:dyDescent="0.25">
      <c r="A18012">
        <v>44013100940</v>
      </c>
      <c r="B18012" t="s">
        <v>7681</v>
      </c>
    </row>
    <row r="18013" spans="1:2" x14ac:dyDescent="0.25">
      <c r="A18013">
        <v>44013100950</v>
      </c>
      <c r="B18013" t="s">
        <v>7682</v>
      </c>
    </row>
    <row r="18014" spans="1:2" x14ac:dyDescent="0.25">
      <c r="A18014">
        <v>44013100960</v>
      </c>
      <c r="B18014" t="s">
        <v>7683</v>
      </c>
    </row>
    <row r="18015" spans="1:2" x14ac:dyDescent="0.25">
      <c r="A18015">
        <v>44013100990</v>
      </c>
      <c r="B18015" t="s">
        <v>10</v>
      </c>
    </row>
    <row r="18016" spans="1:2" x14ac:dyDescent="0.25">
      <c r="A18016">
        <v>44013900</v>
      </c>
      <c r="B18016" t="e">
        <f>- - Los demas</f>
        <v>#NAME?</v>
      </c>
    </row>
    <row r="18017" spans="1:2" x14ac:dyDescent="0.25">
      <c r="A18017">
        <v>440139001</v>
      </c>
      <c r="B18017" t="s">
        <v>7685</v>
      </c>
    </row>
    <row r="18018" spans="1:2" x14ac:dyDescent="0.25">
      <c r="A18018">
        <v>44013900110</v>
      </c>
      <c r="B18018" t="s">
        <v>7678</v>
      </c>
    </row>
    <row r="18019" spans="1:2" x14ac:dyDescent="0.25">
      <c r="A18019">
        <v>44013900120</v>
      </c>
      <c r="B18019" t="s">
        <v>7679</v>
      </c>
    </row>
    <row r="18020" spans="1:2" x14ac:dyDescent="0.25">
      <c r="A18020">
        <v>44013900130</v>
      </c>
      <c r="B18020" t="s">
        <v>7680</v>
      </c>
    </row>
    <row r="18021" spans="1:2" x14ac:dyDescent="0.25">
      <c r="A18021">
        <v>44013900140</v>
      </c>
      <c r="B18021" t="s">
        <v>7681</v>
      </c>
    </row>
    <row r="18022" spans="1:2" x14ac:dyDescent="0.25">
      <c r="A18022">
        <v>44013900150</v>
      </c>
      <c r="B18022" t="s">
        <v>7682</v>
      </c>
    </row>
    <row r="18023" spans="1:2" x14ac:dyDescent="0.25">
      <c r="A18023">
        <v>44013900160</v>
      </c>
      <c r="B18023" t="s">
        <v>7683</v>
      </c>
    </row>
    <row r="18024" spans="1:2" x14ac:dyDescent="0.25">
      <c r="A18024">
        <v>44013900190</v>
      </c>
      <c r="B18024" t="s">
        <v>10</v>
      </c>
    </row>
    <row r="18025" spans="1:2" x14ac:dyDescent="0.25">
      <c r="A18025">
        <v>440139002</v>
      </c>
      <c r="B18025" t="s">
        <v>7686</v>
      </c>
    </row>
    <row r="18026" spans="1:2" x14ac:dyDescent="0.25">
      <c r="A18026">
        <v>44013900210</v>
      </c>
      <c r="B18026" t="s">
        <v>7678</v>
      </c>
    </row>
    <row r="18027" spans="1:2" x14ac:dyDescent="0.25">
      <c r="A18027">
        <v>44013900220</v>
      </c>
      <c r="B18027" t="s">
        <v>7679</v>
      </c>
    </row>
    <row r="18028" spans="1:2" x14ac:dyDescent="0.25">
      <c r="A18028">
        <v>44013900230</v>
      </c>
      <c r="B18028" t="s">
        <v>7680</v>
      </c>
    </row>
    <row r="18029" spans="1:2" x14ac:dyDescent="0.25">
      <c r="A18029">
        <v>44013900240</v>
      </c>
      <c r="B18029" t="s">
        <v>7681</v>
      </c>
    </row>
    <row r="18030" spans="1:2" x14ac:dyDescent="0.25">
      <c r="A18030">
        <v>44013900250</v>
      </c>
      <c r="B18030" t="s">
        <v>7682</v>
      </c>
    </row>
    <row r="18031" spans="1:2" x14ac:dyDescent="0.25">
      <c r="A18031">
        <v>44013900260</v>
      </c>
      <c r="B18031" t="s">
        <v>7683</v>
      </c>
    </row>
    <row r="18032" spans="1:2" x14ac:dyDescent="0.25">
      <c r="A18032">
        <v>44013900290</v>
      </c>
      <c r="B18032" t="s">
        <v>10</v>
      </c>
    </row>
    <row r="18033" spans="1:2" x14ac:dyDescent="0.25">
      <c r="A18033">
        <v>440139003</v>
      </c>
      <c r="B18033" t="s">
        <v>7687</v>
      </c>
    </row>
    <row r="18034" spans="1:2" x14ac:dyDescent="0.25">
      <c r="A18034">
        <v>44013900310</v>
      </c>
      <c r="B18034" t="s">
        <v>7678</v>
      </c>
    </row>
    <row r="18035" spans="1:2" x14ac:dyDescent="0.25">
      <c r="A18035">
        <v>44013900320</v>
      </c>
      <c r="B18035" t="s">
        <v>7679</v>
      </c>
    </row>
    <row r="18036" spans="1:2" x14ac:dyDescent="0.25">
      <c r="A18036">
        <v>44013900330</v>
      </c>
      <c r="B18036" t="s">
        <v>7680</v>
      </c>
    </row>
    <row r="18037" spans="1:2" x14ac:dyDescent="0.25">
      <c r="A18037">
        <v>44013900340</v>
      </c>
      <c r="B18037" t="s">
        <v>7681</v>
      </c>
    </row>
    <row r="18038" spans="1:2" x14ac:dyDescent="0.25">
      <c r="A18038">
        <v>44013900350</v>
      </c>
      <c r="B18038" t="s">
        <v>7682</v>
      </c>
    </row>
    <row r="18039" spans="1:2" x14ac:dyDescent="0.25">
      <c r="A18039">
        <v>44013900360</v>
      </c>
      <c r="B18039" t="s">
        <v>7683</v>
      </c>
    </row>
    <row r="18040" spans="1:2" x14ac:dyDescent="0.25">
      <c r="A18040">
        <v>44013900390</v>
      </c>
      <c r="B18040" t="s">
        <v>10</v>
      </c>
    </row>
    <row r="18041" spans="1:2" x14ac:dyDescent="0.25">
      <c r="A18041">
        <v>44014000</v>
      </c>
      <c r="B18041" t="e">
        <f>- aserrin. desperdicios y desechos. de madera. sin aglomerar</f>
        <v>#NAME?</v>
      </c>
    </row>
    <row r="18042" spans="1:2" x14ac:dyDescent="0.25">
      <c r="A18042">
        <v>44014000100</v>
      </c>
      <c r="B18042" t="s">
        <v>7677</v>
      </c>
    </row>
    <row r="18043" spans="1:2" x14ac:dyDescent="0.25">
      <c r="A18043">
        <v>44014000200</v>
      </c>
      <c r="B18043" t="s">
        <v>7688</v>
      </c>
    </row>
    <row r="18044" spans="1:2" x14ac:dyDescent="0.25">
      <c r="A18044">
        <v>44014000900</v>
      </c>
      <c r="B18044" t="s">
        <v>10</v>
      </c>
    </row>
    <row r="18045" spans="1:2" x14ac:dyDescent="0.25">
      <c r="A18045">
        <v>4402</v>
      </c>
      <c r="B18045" t="s">
        <v>7689</v>
      </c>
    </row>
    <row r="18046" spans="1:2" x14ac:dyDescent="0.25">
      <c r="A18046">
        <v>44021000</v>
      </c>
      <c r="B18046" t="e">
        <f>- de Bambu</f>
        <v>#NAME?</v>
      </c>
    </row>
    <row r="18047" spans="1:2" x14ac:dyDescent="0.25">
      <c r="A18047">
        <v>44021000100</v>
      </c>
      <c r="B18047" t="s">
        <v>7690</v>
      </c>
    </row>
    <row r="18048" spans="1:2" x14ac:dyDescent="0.25">
      <c r="A18048">
        <v>44021000200</v>
      </c>
      <c r="B18048" t="s">
        <v>7691</v>
      </c>
    </row>
    <row r="18049" spans="1:2" x14ac:dyDescent="0.25">
      <c r="A18049">
        <v>44021000900</v>
      </c>
      <c r="B18049" t="s">
        <v>10</v>
      </c>
    </row>
    <row r="18050" spans="1:2" x14ac:dyDescent="0.25">
      <c r="A18050">
        <v>44029000</v>
      </c>
      <c r="B18050" t="e">
        <f>- Los demas</f>
        <v>#NAME?</v>
      </c>
    </row>
    <row r="18051" spans="1:2" x14ac:dyDescent="0.25">
      <c r="A18051">
        <v>440290001</v>
      </c>
      <c r="B18051" t="s">
        <v>7690</v>
      </c>
    </row>
    <row r="18052" spans="1:2" x14ac:dyDescent="0.25">
      <c r="A18052">
        <v>44029000110</v>
      </c>
      <c r="B18052" t="s">
        <v>7692</v>
      </c>
    </row>
    <row r="18053" spans="1:2" x14ac:dyDescent="0.25">
      <c r="A18053">
        <v>44029000190</v>
      </c>
      <c r="B18053" t="s">
        <v>10</v>
      </c>
    </row>
    <row r="18054" spans="1:2" x14ac:dyDescent="0.25">
      <c r="A18054">
        <v>440290002</v>
      </c>
      <c r="B18054" t="s">
        <v>7691</v>
      </c>
    </row>
    <row r="18055" spans="1:2" x14ac:dyDescent="0.25">
      <c r="A18055">
        <v>44029000210</v>
      </c>
      <c r="B18055" t="s">
        <v>7692</v>
      </c>
    </row>
    <row r="18056" spans="1:2" x14ac:dyDescent="0.25">
      <c r="A18056">
        <v>44029000290</v>
      </c>
      <c r="B18056" t="s">
        <v>10</v>
      </c>
    </row>
    <row r="18057" spans="1:2" x14ac:dyDescent="0.25">
      <c r="A18057">
        <v>440290009</v>
      </c>
      <c r="B18057" t="s">
        <v>10</v>
      </c>
    </row>
    <row r="18058" spans="1:2" x14ac:dyDescent="0.25">
      <c r="A18058">
        <v>44029000910</v>
      </c>
      <c r="B18058" t="s">
        <v>7692</v>
      </c>
    </row>
    <row r="18059" spans="1:2" x14ac:dyDescent="0.25">
      <c r="A18059">
        <v>44029000990</v>
      </c>
      <c r="B18059" t="s">
        <v>10</v>
      </c>
    </row>
    <row r="18060" spans="1:2" x14ac:dyDescent="0.25">
      <c r="A18060">
        <v>4403</v>
      </c>
      <c r="B18060" t="s">
        <v>7693</v>
      </c>
    </row>
    <row r="18061" spans="1:2" x14ac:dyDescent="0.25">
      <c r="A18061">
        <v>44031</v>
      </c>
      <c r="B18061" t="s">
        <v>7694</v>
      </c>
    </row>
    <row r="18062" spans="1:2" x14ac:dyDescent="0.25">
      <c r="A18062">
        <v>44031100</v>
      </c>
      <c r="B18062" t="e">
        <f>- - de coniferas</f>
        <v>#NAME?</v>
      </c>
    </row>
    <row r="18063" spans="1:2" x14ac:dyDescent="0.25">
      <c r="A18063">
        <v>440311001</v>
      </c>
      <c r="B18063" t="s">
        <v>7695</v>
      </c>
    </row>
    <row r="18064" spans="1:2" x14ac:dyDescent="0.25">
      <c r="A18064">
        <v>4403110011</v>
      </c>
      <c r="B18064" t="s">
        <v>7696</v>
      </c>
    </row>
    <row r="18065" spans="1:2" x14ac:dyDescent="0.25">
      <c r="A18065">
        <v>44031100111</v>
      </c>
      <c r="B18065" t="s">
        <v>7697</v>
      </c>
    </row>
    <row r="18066" spans="1:2" x14ac:dyDescent="0.25">
      <c r="A18066">
        <v>44031100112</v>
      </c>
      <c r="B18066" t="s">
        <v>7698</v>
      </c>
    </row>
    <row r="18067" spans="1:2" x14ac:dyDescent="0.25">
      <c r="A18067">
        <v>44031100119</v>
      </c>
      <c r="B18067" t="s">
        <v>57</v>
      </c>
    </row>
    <row r="18068" spans="1:2" x14ac:dyDescent="0.25">
      <c r="A18068">
        <v>4403110019</v>
      </c>
      <c r="B18068" t="s">
        <v>10</v>
      </c>
    </row>
    <row r="18069" spans="1:2" x14ac:dyDescent="0.25">
      <c r="A18069">
        <v>44031100191</v>
      </c>
      <c r="B18069" t="s">
        <v>7697</v>
      </c>
    </row>
    <row r="18070" spans="1:2" x14ac:dyDescent="0.25">
      <c r="A18070">
        <v>44031100192</v>
      </c>
      <c r="B18070" t="s">
        <v>7698</v>
      </c>
    </row>
    <row r="18071" spans="1:2" x14ac:dyDescent="0.25">
      <c r="A18071">
        <v>44031100199</v>
      </c>
      <c r="B18071" t="s">
        <v>57</v>
      </c>
    </row>
    <row r="18072" spans="1:2" x14ac:dyDescent="0.25">
      <c r="A18072">
        <v>440311002</v>
      </c>
      <c r="B18072" t="s">
        <v>7699</v>
      </c>
    </row>
    <row r="18073" spans="1:2" x14ac:dyDescent="0.25">
      <c r="A18073">
        <v>44031100210</v>
      </c>
      <c r="B18073" t="s">
        <v>7697</v>
      </c>
    </row>
    <row r="18074" spans="1:2" x14ac:dyDescent="0.25">
      <c r="A18074">
        <v>44031100220</v>
      </c>
      <c r="B18074" t="s">
        <v>7698</v>
      </c>
    </row>
    <row r="18075" spans="1:2" x14ac:dyDescent="0.25">
      <c r="A18075">
        <v>44031100230</v>
      </c>
      <c r="B18075" t="s">
        <v>7700</v>
      </c>
    </row>
    <row r="18076" spans="1:2" x14ac:dyDescent="0.25">
      <c r="A18076">
        <v>44031100290</v>
      </c>
      <c r="B18076" t="s">
        <v>10</v>
      </c>
    </row>
    <row r="18077" spans="1:2" x14ac:dyDescent="0.25">
      <c r="A18077">
        <v>44031100900</v>
      </c>
      <c r="B18077" t="s">
        <v>10</v>
      </c>
    </row>
    <row r="18078" spans="1:2" x14ac:dyDescent="0.25">
      <c r="A18078">
        <v>44031200</v>
      </c>
      <c r="B18078" t="e">
        <f>- - Distinta de la de coniferas</f>
        <v>#NAME?</v>
      </c>
    </row>
    <row r="18079" spans="1:2" x14ac:dyDescent="0.25">
      <c r="A18079">
        <v>440312001</v>
      </c>
      <c r="B18079" t="s">
        <v>7695</v>
      </c>
    </row>
    <row r="18080" spans="1:2" x14ac:dyDescent="0.25">
      <c r="A18080">
        <v>4403120011</v>
      </c>
      <c r="B18080" t="s">
        <v>7696</v>
      </c>
    </row>
    <row r="18081" spans="1:2" x14ac:dyDescent="0.25">
      <c r="A18081">
        <v>44031200111</v>
      </c>
      <c r="B18081" t="s">
        <v>7678</v>
      </c>
    </row>
    <row r="18082" spans="1:2" x14ac:dyDescent="0.25">
      <c r="A18082">
        <v>44031200112</v>
      </c>
      <c r="B18082" t="s">
        <v>7679</v>
      </c>
    </row>
    <row r="18083" spans="1:2" x14ac:dyDescent="0.25">
      <c r="A18083">
        <v>44031200113</v>
      </c>
      <c r="B18083" t="s">
        <v>7680</v>
      </c>
    </row>
    <row r="18084" spans="1:2" x14ac:dyDescent="0.25">
      <c r="A18084">
        <v>44031200114</v>
      </c>
      <c r="B18084" t="s">
        <v>7681</v>
      </c>
    </row>
    <row r="18085" spans="1:2" x14ac:dyDescent="0.25">
      <c r="A18085">
        <v>44031200115</v>
      </c>
      <c r="B18085" t="s">
        <v>7682</v>
      </c>
    </row>
    <row r="18086" spans="1:2" x14ac:dyDescent="0.25">
      <c r="A18086">
        <v>44031200116</v>
      </c>
      <c r="B18086" t="s">
        <v>7683</v>
      </c>
    </row>
    <row r="18087" spans="1:2" x14ac:dyDescent="0.25">
      <c r="A18087">
        <v>44031200119</v>
      </c>
      <c r="B18087" t="s">
        <v>57</v>
      </c>
    </row>
    <row r="18088" spans="1:2" x14ac:dyDescent="0.25">
      <c r="A18088">
        <v>44031200190</v>
      </c>
      <c r="B18088" t="s">
        <v>10</v>
      </c>
    </row>
    <row r="18089" spans="1:2" x14ac:dyDescent="0.25">
      <c r="A18089">
        <v>440312009</v>
      </c>
      <c r="B18089" t="s">
        <v>10</v>
      </c>
    </row>
    <row r="18090" spans="1:2" x14ac:dyDescent="0.25">
      <c r="A18090">
        <v>44031200910</v>
      </c>
      <c r="B18090" t="s">
        <v>7678</v>
      </c>
    </row>
    <row r="18091" spans="1:2" x14ac:dyDescent="0.25">
      <c r="A18091">
        <v>44031200920</v>
      </c>
      <c r="B18091" t="s">
        <v>7679</v>
      </c>
    </row>
    <row r="18092" spans="1:2" x14ac:dyDescent="0.25">
      <c r="A18092">
        <v>44031200930</v>
      </c>
      <c r="B18092" t="s">
        <v>7680</v>
      </c>
    </row>
    <row r="18093" spans="1:2" x14ac:dyDescent="0.25">
      <c r="A18093">
        <v>44031200940</v>
      </c>
      <c r="B18093" t="s">
        <v>7681</v>
      </c>
    </row>
    <row r="18094" spans="1:2" x14ac:dyDescent="0.25">
      <c r="A18094">
        <v>44031200950</v>
      </c>
      <c r="B18094" t="s">
        <v>7682</v>
      </c>
    </row>
    <row r="18095" spans="1:2" x14ac:dyDescent="0.25">
      <c r="A18095">
        <v>44031200960</v>
      </c>
      <c r="B18095" t="s">
        <v>7683</v>
      </c>
    </row>
    <row r="18096" spans="1:2" x14ac:dyDescent="0.25">
      <c r="A18096">
        <v>44031200990</v>
      </c>
      <c r="B18096" t="s">
        <v>57</v>
      </c>
    </row>
    <row r="18097" spans="1:2" x14ac:dyDescent="0.25">
      <c r="A18097">
        <v>44032</v>
      </c>
      <c r="B18097" t="s">
        <v>7701</v>
      </c>
    </row>
    <row r="18098" spans="1:2" x14ac:dyDescent="0.25">
      <c r="A18098">
        <v>44032100</v>
      </c>
      <c r="B18098" t="s">
        <v>7702</v>
      </c>
    </row>
    <row r="18099" spans="1:2" x14ac:dyDescent="0.25">
      <c r="A18099">
        <v>440321001</v>
      </c>
      <c r="B18099" t="s">
        <v>7695</v>
      </c>
    </row>
    <row r="18100" spans="1:2" x14ac:dyDescent="0.25">
      <c r="A18100">
        <v>4403210011</v>
      </c>
      <c r="B18100" t="s">
        <v>7696</v>
      </c>
    </row>
    <row r="18101" spans="1:2" x14ac:dyDescent="0.25">
      <c r="A18101">
        <v>44032100111</v>
      </c>
      <c r="B18101" t="s">
        <v>7697</v>
      </c>
    </row>
    <row r="18102" spans="1:2" x14ac:dyDescent="0.25">
      <c r="A18102">
        <v>44032100112</v>
      </c>
      <c r="B18102" t="s">
        <v>7698</v>
      </c>
    </row>
    <row r="18103" spans="1:2" x14ac:dyDescent="0.25">
      <c r="A18103">
        <v>44032100119</v>
      </c>
      <c r="B18103" t="s">
        <v>57</v>
      </c>
    </row>
    <row r="18104" spans="1:2" x14ac:dyDescent="0.25">
      <c r="A18104">
        <v>4403210019</v>
      </c>
      <c r="B18104" t="s">
        <v>10</v>
      </c>
    </row>
    <row r="18105" spans="1:2" x14ac:dyDescent="0.25">
      <c r="A18105">
        <v>44032100191</v>
      </c>
      <c r="B18105" t="s">
        <v>7697</v>
      </c>
    </row>
    <row r="18106" spans="1:2" x14ac:dyDescent="0.25">
      <c r="A18106">
        <v>44032100192</v>
      </c>
      <c r="B18106" t="s">
        <v>7698</v>
      </c>
    </row>
    <row r="18107" spans="1:2" x14ac:dyDescent="0.25">
      <c r="A18107">
        <v>44032100199</v>
      </c>
      <c r="B18107" t="s">
        <v>57</v>
      </c>
    </row>
    <row r="18108" spans="1:2" x14ac:dyDescent="0.25">
      <c r="A18108">
        <v>440321002</v>
      </c>
      <c r="B18108" t="s">
        <v>7699</v>
      </c>
    </row>
    <row r="18109" spans="1:2" x14ac:dyDescent="0.25">
      <c r="A18109">
        <v>44032100210</v>
      </c>
      <c r="B18109" t="s">
        <v>7697</v>
      </c>
    </row>
    <row r="18110" spans="1:2" x14ac:dyDescent="0.25">
      <c r="A18110">
        <v>44032100220</v>
      </c>
      <c r="B18110" t="s">
        <v>7698</v>
      </c>
    </row>
    <row r="18111" spans="1:2" x14ac:dyDescent="0.25">
      <c r="A18111">
        <v>44032100230</v>
      </c>
      <c r="B18111" t="s">
        <v>7700</v>
      </c>
    </row>
    <row r="18112" spans="1:2" x14ac:dyDescent="0.25">
      <c r="A18112">
        <v>44032100290</v>
      </c>
      <c r="B18112" t="s">
        <v>10</v>
      </c>
    </row>
    <row r="18113" spans="1:2" x14ac:dyDescent="0.25">
      <c r="A18113">
        <v>44032100900</v>
      </c>
      <c r="B18113" t="s">
        <v>10</v>
      </c>
    </row>
    <row r="18114" spans="1:2" x14ac:dyDescent="0.25">
      <c r="A18114">
        <v>44032200</v>
      </c>
      <c r="B18114" t="e">
        <f>- - las demas. de pino (Pinus spp.)</f>
        <v>#NAME?</v>
      </c>
    </row>
    <row r="18115" spans="1:2" x14ac:dyDescent="0.25">
      <c r="A18115">
        <v>440322001</v>
      </c>
      <c r="B18115" t="s">
        <v>7695</v>
      </c>
    </row>
    <row r="18116" spans="1:2" x14ac:dyDescent="0.25">
      <c r="A18116">
        <v>4403220011</v>
      </c>
      <c r="B18116" t="s">
        <v>7696</v>
      </c>
    </row>
    <row r="18117" spans="1:2" x14ac:dyDescent="0.25">
      <c r="A18117">
        <v>44032200111</v>
      </c>
      <c r="B18117" t="s">
        <v>7697</v>
      </c>
    </row>
    <row r="18118" spans="1:2" x14ac:dyDescent="0.25">
      <c r="A18118">
        <v>44032200112</v>
      </c>
      <c r="B18118" t="s">
        <v>7698</v>
      </c>
    </row>
    <row r="18119" spans="1:2" x14ac:dyDescent="0.25">
      <c r="A18119">
        <v>44032200119</v>
      </c>
      <c r="B18119" t="s">
        <v>57</v>
      </c>
    </row>
    <row r="18120" spans="1:2" x14ac:dyDescent="0.25">
      <c r="A18120">
        <v>4403220019</v>
      </c>
      <c r="B18120" t="s">
        <v>10</v>
      </c>
    </row>
    <row r="18121" spans="1:2" x14ac:dyDescent="0.25">
      <c r="A18121">
        <v>44032200191</v>
      </c>
      <c r="B18121" t="s">
        <v>7697</v>
      </c>
    </row>
    <row r="18122" spans="1:2" x14ac:dyDescent="0.25">
      <c r="A18122">
        <v>44032200192</v>
      </c>
      <c r="B18122" t="s">
        <v>7698</v>
      </c>
    </row>
    <row r="18123" spans="1:2" x14ac:dyDescent="0.25">
      <c r="A18123">
        <v>44032200199</v>
      </c>
      <c r="B18123" t="s">
        <v>57</v>
      </c>
    </row>
    <row r="18124" spans="1:2" x14ac:dyDescent="0.25">
      <c r="A18124">
        <v>440322002</v>
      </c>
      <c r="B18124" t="s">
        <v>7699</v>
      </c>
    </row>
    <row r="18125" spans="1:2" x14ac:dyDescent="0.25">
      <c r="A18125">
        <v>44032200210</v>
      </c>
      <c r="B18125" t="s">
        <v>7697</v>
      </c>
    </row>
    <row r="18126" spans="1:2" x14ac:dyDescent="0.25">
      <c r="A18126">
        <v>44032200220</v>
      </c>
      <c r="B18126" t="s">
        <v>7698</v>
      </c>
    </row>
    <row r="18127" spans="1:2" x14ac:dyDescent="0.25">
      <c r="A18127">
        <v>44032200230</v>
      </c>
      <c r="B18127" t="s">
        <v>7700</v>
      </c>
    </row>
    <row r="18128" spans="1:2" x14ac:dyDescent="0.25">
      <c r="A18128">
        <v>44032200290</v>
      </c>
      <c r="B18128" t="s">
        <v>10</v>
      </c>
    </row>
    <row r="18129" spans="1:2" x14ac:dyDescent="0.25">
      <c r="A18129">
        <v>44032200900</v>
      </c>
      <c r="B18129" t="s">
        <v>10</v>
      </c>
    </row>
    <row r="18130" spans="1:2" x14ac:dyDescent="0.25">
      <c r="A18130">
        <v>44032300000</v>
      </c>
      <c r="B18130" t="s">
        <v>7703</v>
      </c>
    </row>
    <row r="18131" spans="1:2" x14ac:dyDescent="0.25">
      <c r="A18131">
        <v>44032400000</v>
      </c>
      <c r="B18131" t="e">
        <f>--las demas. de abeto (Abies spp.) y de picea (picea spp.)</f>
        <v>#NAME?</v>
      </c>
    </row>
    <row r="18132" spans="1:2" x14ac:dyDescent="0.25">
      <c r="A18132">
        <v>44032500000</v>
      </c>
      <c r="B18132" t="s">
        <v>7704</v>
      </c>
    </row>
    <row r="18133" spans="1:2" x14ac:dyDescent="0.25">
      <c r="A18133">
        <v>44032600000</v>
      </c>
      <c r="B18133" t="e">
        <f>--las demas</f>
        <v>#NAME?</v>
      </c>
    </row>
    <row r="18134" spans="1:2" x14ac:dyDescent="0.25">
      <c r="A18134">
        <v>44034</v>
      </c>
      <c r="B18134" t="s">
        <v>7705</v>
      </c>
    </row>
    <row r="18135" spans="1:2" x14ac:dyDescent="0.25">
      <c r="A18135">
        <v>44034100000</v>
      </c>
      <c r="B18135" t="e">
        <f>--Dark Red Meranti. Light Red Meranti y Meranti Bakau</f>
        <v>#NAME?</v>
      </c>
    </row>
    <row r="18136" spans="1:2" x14ac:dyDescent="0.25">
      <c r="A18136">
        <v>44034900000</v>
      </c>
      <c r="B18136" t="e">
        <f>--las demas</f>
        <v>#NAME?</v>
      </c>
    </row>
    <row r="18137" spans="1:2" x14ac:dyDescent="0.25">
      <c r="A18137">
        <v>44039</v>
      </c>
      <c r="B18137" t="s">
        <v>567</v>
      </c>
    </row>
    <row r="18138" spans="1:2" x14ac:dyDescent="0.25">
      <c r="A18138">
        <v>44039100000</v>
      </c>
      <c r="B18138" t="e">
        <f>--de roble (Quercus spp.)</f>
        <v>#NAME?</v>
      </c>
    </row>
    <row r="18139" spans="1:2" x14ac:dyDescent="0.25">
      <c r="A18139">
        <v>44039300000</v>
      </c>
      <c r="B18139" t="s">
        <v>7706</v>
      </c>
    </row>
    <row r="18140" spans="1:2" x14ac:dyDescent="0.25">
      <c r="A18140">
        <v>44039400000</v>
      </c>
      <c r="B18140" t="e">
        <f>--las demas. de haya (Fagus spp.)</f>
        <v>#NAME?</v>
      </c>
    </row>
    <row r="18141" spans="1:2" x14ac:dyDescent="0.25">
      <c r="A18141">
        <v>44039500000</v>
      </c>
      <c r="B18141" t="s">
        <v>7707</v>
      </c>
    </row>
    <row r="18142" spans="1:2" x14ac:dyDescent="0.25">
      <c r="A18142">
        <v>44039600000</v>
      </c>
      <c r="B18142" t="e">
        <f>--las demas. de abedul (Betula spp.)</f>
        <v>#NAME?</v>
      </c>
    </row>
    <row r="18143" spans="1:2" x14ac:dyDescent="0.25">
      <c r="A18143">
        <v>44039700000</v>
      </c>
      <c r="B18143" t="e">
        <f>--de alamo (Populus spp.)</f>
        <v>#NAME?</v>
      </c>
    </row>
    <row r="18144" spans="1:2" x14ac:dyDescent="0.25">
      <c r="A18144">
        <v>44039800</v>
      </c>
      <c r="B18144" t="e">
        <f>- - de eucalipto (Eucalyptus spp.)</f>
        <v>#NAME?</v>
      </c>
    </row>
    <row r="18145" spans="1:2" x14ac:dyDescent="0.25">
      <c r="A18145">
        <v>44039800100</v>
      </c>
      <c r="B18145" t="s">
        <v>7695</v>
      </c>
    </row>
    <row r="18146" spans="1:2" x14ac:dyDescent="0.25">
      <c r="A18146">
        <v>44039800200</v>
      </c>
      <c r="B18146" t="s">
        <v>7699</v>
      </c>
    </row>
    <row r="18147" spans="1:2" x14ac:dyDescent="0.25">
      <c r="A18147">
        <v>44039800900</v>
      </c>
      <c r="B18147" t="s">
        <v>10</v>
      </c>
    </row>
    <row r="18148" spans="1:2" x14ac:dyDescent="0.25">
      <c r="A18148">
        <v>44039900</v>
      </c>
      <c r="B18148" t="e">
        <f>- - las demas</f>
        <v>#NAME?</v>
      </c>
    </row>
    <row r="18149" spans="1:2" x14ac:dyDescent="0.25">
      <c r="A18149">
        <v>440399001</v>
      </c>
      <c r="B18149" t="s">
        <v>7695</v>
      </c>
    </row>
    <row r="18150" spans="1:2" x14ac:dyDescent="0.25">
      <c r="A18150">
        <v>4403990011</v>
      </c>
      <c r="B18150" t="s">
        <v>7696</v>
      </c>
    </row>
    <row r="18151" spans="1:2" x14ac:dyDescent="0.25">
      <c r="A18151">
        <v>44039900112</v>
      </c>
      <c r="B18151" t="s">
        <v>7678</v>
      </c>
    </row>
    <row r="18152" spans="1:2" x14ac:dyDescent="0.25">
      <c r="A18152">
        <v>44039900113</v>
      </c>
      <c r="B18152" t="s">
        <v>7679</v>
      </c>
    </row>
    <row r="18153" spans="1:2" x14ac:dyDescent="0.25">
      <c r="A18153">
        <v>44039900114</v>
      </c>
      <c r="B18153" t="s">
        <v>7680</v>
      </c>
    </row>
    <row r="18154" spans="1:2" x14ac:dyDescent="0.25">
      <c r="A18154">
        <v>44039900116</v>
      </c>
      <c r="B18154" t="s">
        <v>7682</v>
      </c>
    </row>
    <row r="18155" spans="1:2" x14ac:dyDescent="0.25">
      <c r="A18155">
        <v>44039900117</v>
      </c>
      <c r="B18155" t="s">
        <v>7683</v>
      </c>
    </row>
    <row r="18156" spans="1:2" x14ac:dyDescent="0.25">
      <c r="A18156">
        <v>44039900119</v>
      </c>
      <c r="B18156" t="s">
        <v>10</v>
      </c>
    </row>
    <row r="18157" spans="1:2" x14ac:dyDescent="0.25">
      <c r="A18157">
        <v>4403990019</v>
      </c>
      <c r="B18157" t="s">
        <v>10</v>
      </c>
    </row>
    <row r="18158" spans="1:2" x14ac:dyDescent="0.25">
      <c r="A18158">
        <v>44039900192</v>
      </c>
      <c r="B18158" t="s">
        <v>7678</v>
      </c>
    </row>
    <row r="18159" spans="1:2" x14ac:dyDescent="0.25">
      <c r="A18159">
        <v>44039900193</v>
      </c>
      <c r="B18159" t="s">
        <v>7679</v>
      </c>
    </row>
    <row r="18160" spans="1:2" x14ac:dyDescent="0.25">
      <c r="A18160">
        <v>44039900194</v>
      </c>
      <c r="B18160" t="s">
        <v>7680</v>
      </c>
    </row>
    <row r="18161" spans="1:2" x14ac:dyDescent="0.25">
      <c r="A18161">
        <v>44039900196</v>
      </c>
      <c r="B18161" t="s">
        <v>7682</v>
      </c>
    </row>
    <row r="18162" spans="1:2" x14ac:dyDescent="0.25">
      <c r="A18162">
        <v>44039900197</v>
      </c>
      <c r="B18162" t="s">
        <v>7683</v>
      </c>
    </row>
    <row r="18163" spans="1:2" x14ac:dyDescent="0.25">
      <c r="A18163">
        <v>44039900199</v>
      </c>
      <c r="B18163" t="s">
        <v>10</v>
      </c>
    </row>
    <row r="18164" spans="1:2" x14ac:dyDescent="0.25">
      <c r="A18164">
        <v>440399002</v>
      </c>
      <c r="B18164" t="s">
        <v>7699</v>
      </c>
    </row>
    <row r="18165" spans="1:2" x14ac:dyDescent="0.25">
      <c r="A18165">
        <v>44039900230</v>
      </c>
      <c r="B18165" t="s">
        <v>7708</v>
      </c>
    </row>
    <row r="18166" spans="1:2" x14ac:dyDescent="0.25">
      <c r="A18166">
        <v>44039900240</v>
      </c>
      <c r="B18166" t="s">
        <v>7709</v>
      </c>
    </row>
    <row r="18167" spans="1:2" x14ac:dyDescent="0.25">
      <c r="A18167">
        <v>44039900250</v>
      </c>
      <c r="B18167" t="s">
        <v>7678</v>
      </c>
    </row>
    <row r="18168" spans="1:2" x14ac:dyDescent="0.25">
      <c r="A18168">
        <v>44039900260</v>
      </c>
      <c r="B18168" t="s">
        <v>7679</v>
      </c>
    </row>
    <row r="18169" spans="1:2" x14ac:dyDescent="0.25">
      <c r="A18169">
        <v>44039900270</v>
      </c>
      <c r="B18169" t="s">
        <v>7680</v>
      </c>
    </row>
    <row r="18170" spans="1:2" x14ac:dyDescent="0.25">
      <c r="A18170">
        <v>44039900290</v>
      </c>
      <c r="B18170" t="s">
        <v>57</v>
      </c>
    </row>
    <row r="18171" spans="1:2" x14ac:dyDescent="0.25">
      <c r="A18171">
        <v>440399009</v>
      </c>
      <c r="B18171" t="s">
        <v>10</v>
      </c>
    </row>
    <row r="18172" spans="1:2" x14ac:dyDescent="0.25">
      <c r="A18172">
        <v>44039900910</v>
      </c>
      <c r="B18172" t="s">
        <v>7678</v>
      </c>
    </row>
    <row r="18173" spans="1:2" x14ac:dyDescent="0.25">
      <c r="A18173">
        <v>44039900920</v>
      </c>
      <c r="B18173" t="s">
        <v>7679</v>
      </c>
    </row>
    <row r="18174" spans="1:2" x14ac:dyDescent="0.25">
      <c r="A18174">
        <v>44039900930</v>
      </c>
      <c r="B18174" t="s">
        <v>7680</v>
      </c>
    </row>
    <row r="18175" spans="1:2" x14ac:dyDescent="0.25">
      <c r="A18175">
        <v>44039900950</v>
      </c>
      <c r="B18175" t="s">
        <v>7682</v>
      </c>
    </row>
    <row r="18176" spans="1:2" x14ac:dyDescent="0.25">
      <c r="A18176">
        <v>44039900960</v>
      </c>
      <c r="B18176" t="s">
        <v>7683</v>
      </c>
    </row>
    <row r="18177" spans="1:2" x14ac:dyDescent="0.25">
      <c r="A18177">
        <v>44039900990</v>
      </c>
      <c r="B18177" t="s">
        <v>57</v>
      </c>
    </row>
    <row r="18178" spans="1:2" x14ac:dyDescent="0.25">
      <c r="A18178">
        <v>4404</v>
      </c>
      <c r="B18178" t="s">
        <v>7710</v>
      </c>
    </row>
    <row r="18179" spans="1:2" x14ac:dyDescent="0.25">
      <c r="A18179">
        <v>44041000000</v>
      </c>
      <c r="B18179" t="e">
        <f>-de coniferas</f>
        <v>#NAME?</v>
      </c>
    </row>
    <row r="18180" spans="1:2" x14ac:dyDescent="0.25">
      <c r="A18180">
        <v>44042000</v>
      </c>
      <c r="B18180" t="e">
        <f>- Distinta de la de coniferas</f>
        <v>#NAME?</v>
      </c>
    </row>
    <row r="18181" spans="1:2" x14ac:dyDescent="0.25">
      <c r="A18181">
        <v>440420001</v>
      </c>
      <c r="B18181" t="s">
        <v>7711</v>
      </c>
    </row>
    <row r="18182" spans="1:2" x14ac:dyDescent="0.25">
      <c r="A18182">
        <v>4404200011</v>
      </c>
      <c r="B18182" t="s">
        <v>7712</v>
      </c>
    </row>
    <row r="18183" spans="1:2" x14ac:dyDescent="0.25">
      <c r="A18183">
        <v>44042000111</v>
      </c>
      <c r="B18183" t="s">
        <v>7713</v>
      </c>
    </row>
    <row r="18184" spans="1:2" x14ac:dyDescent="0.25">
      <c r="A18184">
        <v>44042000119</v>
      </c>
      <c r="B18184" t="s">
        <v>10</v>
      </c>
    </row>
    <row r="18185" spans="1:2" x14ac:dyDescent="0.25">
      <c r="A18185">
        <v>4404200019</v>
      </c>
      <c r="B18185" t="s">
        <v>10</v>
      </c>
    </row>
    <row r="18186" spans="1:2" x14ac:dyDescent="0.25">
      <c r="A18186">
        <v>44042000191</v>
      </c>
      <c r="B18186" t="s">
        <v>7674</v>
      </c>
    </row>
    <row r="18187" spans="1:2" x14ac:dyDescent="0.25">
      <c r="A18187">
        <v>44042000199</v>
      </c>
      <c r="B18187" t="s">
        <v>10</v>
      </c>
    </row>
    <row r="18188" spans="1:2" x14ac:dyDescent="0.25">
      <c r="A18188">
        <v>440420009</v>
      </c>
      <c r="B18188" t="s">
        <v>10</v>
      </c>
    </row>
    <row r="18189" spans="1:2" x14ac:dyDescent="0.25">
      <c r="A18189">
        <v>4404200091</v>
      </c>
      <c r="B18189" t="s">
        <v>7712</v>
      </c>
    </row>
    <row r="18190" spans="1:2" x14ac:dyDescent="0.25">
      <c r="A18190">
        <v>44042000911</v>
      </c>
      <c r="B18190" t="s">
        <v>7714</v>
      </c>
    </row>
    <row r="18191" spans="1:2" x14ac:dyDescent="0.25">
      <c r="A18191">
        <v>44042000919</v>
      </c>
      <c r="B18191" t="s">
        <v>10</v>
      </c>
    </row>
    <row r="18192" spans="1:2" x14ac:dyDescent="0.25">
      <c r="A18192">
        <v>4404200099</v>
      </c>
      <c r="B18192" t="s">
        <v>10</v>
      </c>
    </row>
    <row r="18193" spans="1:2" x14ac:dyDescent="0.25">
      <c r="A18193">
        <v>44042000991</v>
      </c>
      <c r="B18193" t="s">
        <v>7713</v>
      </c>
    </row>
    <row r="18194" spans="1:2" x14ac:dyDescent="0.25">
      <c r="A18194">
        <v>44042000999</v>
      </c>
      <c r="B18194" t="s">
        <v>10</v>
      </c>
    </row>
    <row r="18195" spans="1:2" x14ac:dyDescent="0.25">
      <c r="A18195">
        <v>44050000000</v>
      </c>
      <c r="B18195" t="s">
        <v>7715</v>
      </c>
    </row>
    <row r="18196" spans="1:2" x14ac:dyDescent="0.25">
      <c r="A18196">
        <v>4406</v>
      </c>
      <c r="B18196" t="s">
        <v>7716</v>
      </c>
    </row>
    <row r="18197" spans="1:2" x14ac:dyDescent="0.25">
      <c r="A18197">
        <v>44061</v>
      </c>
      <c r="B18197" t="s">
        <v>7717</v>
      </c>
    </row>
    <row r="18198" spans="1:2" x14ac:dyDescent="0.25">
      <c r="A18198">
        <v>44061100000</v>
      </c>
      <c r="B18198" t="e">
        <f>--de coniferas</f>
        <v>#NAME?</v>
      </c>
    </row>
    <row r="18199" spans="1:2" x14ac:dyDescent="0.25">
      <c r="A18199">
        <v>44061200000</v>
      </c>
      <c r="B18199" t="e">
        <f>--Distinta de la de coniferas</f>
        <v>#NAME?</v>
      </c>
    </row>
    <row r="18200" spans="1:2" x14ac:dyDescent="0.25">
      <c r="A18200">
        <v>44069</v>
      </c>
      <c r="B18200" t="s">
        <v>567</v>
      </c>
    </row>
    <row r="18201" spans="1:2" x14ac:dyDescent="0.25">
      <c r="A18201">
        <v>44069100000</v>
      </c>
      <c r="B18201" t="e">
        <f>--de coniferas</f>
        <v>#NAME?</v>
      </c>
    </row>
    <row r="18202" spans="1:2" x14ac:dyDescent="0.25">
      <c r="A18202">
        <v>44069200000</v>
      </c>
      <c r="B18202" t="e">
        <f>--Distinta de la de coniferas</f>
        <v>#NAME?</v>
      </c>
    </row>
    <row r="18203" spans="1:2" x14ac:dyDescent="0.25">
      <c r="A18203">
        <v>4407</v>
      </c>
      <c r="B18203" t="s">
        <v>7718</v>
      </c>
    </row>
    <row r="18204" spans="1:2" x14ac:dyDescent="0.25">
      <c r="A18204">
        <v>44071</v>
      </c>
      <c r="B18204" t="s">
        <v>7719</v>
      </c>
    </row>
    <row r="18205" spans="1:2" x14ac:dyDescent="0.25">
      <c r="A18205">
        <v>44071100</v>
      </c>
      <c r="B18205" t="e">
        <f>- - de pino (Pinus spp.)</f>
        <v>#NAME?</v>
      </c>
    </row>
    <row r="18206" spans="1:2" x14ac:dyDescent="0.25">
      <c r="A18206">
        <v>440711001</v>
      </c>
      <c r="B18206" t="s">
        <v>7711</v>
      </c>
    </row>
    <row r="18207" spans="1:2" x14ac:dyDescent="0.25">
      <c r="A18207">
        <v>44071100110</v>
      </c>
      <c r="B18207" t="s">
        <v>7720</v>
      </c>
    </row>
    <row r="18208" spans="1:2" x14ac:dyDescent="0.25">
      <c r="A18208">
        <v>44071100120</v>
      </c>
      <c r="B18208" t="s">
        <v>7721</v>
      </c>
    </row>
    <row r="18209" spans="1:2" x14ac:dyDescent="0.25">
      <c r="A18209">
        <v>44071100130</v>
      </c>
      <c r="B18209" t="s">
        <v>7722</v>
      </c>
    </row>
    <row r="18210" spans="1:2" x14ac:dyDescent="0.25">
      <c r="A18210">
        <v>44071100140</v>
      </c>
      <c r="B18210" t="s">
        <v>7723</v>
      </c>
    </row>
    <row r="18211" spans="1:2" x14ac:dyDescent="0.25">
      <c r="A18211">
        <v>44071100150</v>
      </c>
      <c r="B18211" t="s">
        <v>7724</v>
      </c>
    </row>
    <row r="18212" spans="1:2" x14ac:dyDescent="0.25">
      <c r="A18212">
        <v>44071100190</v>
      </c>
      <c r="B18212" t="s">
        <v>10</v>
      </c>
    </row>
    <row r="18213" spans="1:2" x14ac:dyDescent="0.25">
      <c r="A18213">
        <v>440711009</v>
      </c>
      <c r="B18213" t="s">
        <v>10</v>
      </c>
    </row>
    <row r="18214" spans="1:2" x14ac:dyDescent="0.25">
      <c r="A18214">
        <v>44071100910</v>
      </c>
      <c r="B18214" t="s">
        <v>7720</v>
      </c>
    </row>
    <row r="18215" spans="1:2" x14ac:dyDescent="0.25">
      <c r="A18215">
        <v>44071100920</v>
      </c>
      <c r="B18215" t="s">
        <v>7721</v>
      </c>
    </row>
    <row r="18216" spans="1:2" x14ac:dyDescent="0.25">
      <c r="A18216">
        <v>44071100930</v>
      </c>
      <c r="B18216" t="s">
        <v>7725</v>
      </c>
    </row>
    <row r="18217" spans="1:2" x14ac:dyDescent="0.25">
      <c r="A18217">
        <v>44071100940</v>
      </c>
      <c r="B18217" t="s">
        <v>7723</v>
      </c>
    </row>
    <row r="18218" spans="1:2" x14ac:dyDescent="0.25">
      <c r="A18218">
        <v>44071100950</v>
      </c>
      <c r="B18218" t="s">
        <v>7724</v>
      </c>
    </row>
    <row r="18219" spans="1:2" x14ac:dyDescent="0.25">
      <c r="A18219">
        <v>44071100990</v>
      </c>
      <c r="B18219" t="s">
        <v>10</v>
      </c>
    </row>
    <row r="18220" spans="1:2" x14ac:dyDescent="0.25">
      <c r="A18220">
        <v>44071200</v>
      </c>
      <c r="B18220" t="e">
        <f>- - de abeto (Abies spp.) y de picea (picea spp.)</f>
        <v>#NAME?</v>
      </c>
    </row>
    <row r="18221" spans="1:2" x14ac:dyDescent="0.25">
      <c r="A18221">
        <v>440712001</v>
      </c>
      <c r="B18221" t="s">
        <v>7711</v>
      </c>
    </row>
    <row r="18222" spans="1:2" x14ac:dyDescent="0.25">
      <c r="A18222">
        <v>44071200110</v>
      </c>
      <c r="B18222" t="s">
        <v>7726</v>
      </c>
    </row>
    <row r="18223" spans="1:2" x14ac:dyDescent="0.25">
      <c r="A18223">
        <v>44071200120</v>
      </c>
      <c r="B18223" t="s">
        <v>7727</v>
      </c>
    </row>
    <row r="18224" spans="1:2" x14ac:dyDescent="0.25">
      <c r="A18224">
        <v>440712009</v>
      </c>
      <c r="B18224" t="s">
        <v>10</v>
      </c>
    </row>
    <row r="18225" spans="1:2" x14ac:dyDescent="0.25">
      <c r="A18225">
        <v>44071200910</v>
      </c>
      <c r="B18225" t="s">
        <v>7726</v>
      </c>
    </row>
    <row r="18226" spans="1:2" x14ac:dyDescent="0.25">
      <c r="A18226">
        <v>44071200920</v>
      </c>
      <c r="B18226" t="s">
        <v>7727</v>
      </c>
    </row>
    <row r="18227" spans="1:2" x14ac:dyDescent="0.25">
      <c r="A18227">
        <v>44071900</v>
      </c>
      <c r="B18227" t="e">
        <f>- - las demas</f>
        <v>#NAME?</v>
      </c>
    </row>
    <row r="18228" spans="1:2" x14ac:dyDescent="0.25">
      <c r="A18228">
        <v>44071900100</v>
      </c>
      <c r="B18228" t="s">
        <v>7728</v>
      </c>
    </row>
    <row r="18229" spans="1:2" x14ac:dyDescent="0.25">
      <c r="A18229">
        <v>44071900900</v>
      </c>
      <c r="B18229" t="s">
        <v>10</v>
      </c>
    </row>
    <row r="18230" spans="1:2" x14ac:dyDescent="0.25">
      <c r="A18230">
        <v>44072</v>
      </c>
      <c r="B18230" t="s">
        <v>7729</v>
      </c>
    </row>
    <row r="18231" spans="1:2" x14ac:dyDescent="0.25">
      <c r="A18231">
        <v>44072100000</v>
      </c>
      <c r="B18231" t="e">
        <f>--Mahogany (Switenia spp.)</f>
        <v>#NAME?</v>
      </c>
    </row>
    <row r="18232" spans="1:2" x14ac:dyDescent="0.25">
      <c r="A18232">
        <v>44072200000</v>
      </c>
      <c r="B18232" t="e">
        <f>--Virola. Imbuia y Balsa</f>
        <v>#NAME?</v>
      </c>
    </row>
    <row r="18233" spans="1:2" x14ac:dyDescent="0.25">
      <c r="A18233">
        <v>44072500000</v>
      </c>
      <c r="B18233" t="e">
        <f>--Dark Red Meranti. Light Red Meranti y Meranti Bakau</f>
        <v>#NAME?</v>
      </c>
    </row>
    <row r="18234" spans="1:2" x14ac:dyDescent="0.25">
      <c r="A18234">
        <v>44072600000</v>
      </c>
      <c r="B18234" t="e">
        <f>--White Lauan. White Meranti. White Seraya. Yellow Meranti y Alan</f>
        <v>#NAME?</v>
      </c>
    </row>
    <row r="18235" spans="1:2" x14ac:dyDescent="0.25">
      <c r="A18235">
        <v>44072700000</v>
      </c>
      <c r="B18235" t="e">
        <f>--Sapelli</f>
        <v>#NAME?</v>
      </c>
    </row>
    <row r="18236" spans="1:2" x14ac:dyDescent="0.25">
      <c r="A18236">
        <v>44072800000</v>
      </c>
      <c r="B18236" t="e">
        <f>--Iroko</f>
        <v>#NAME?</v>
      </c>
    </row>
    <row r="18237" spans="1:2" x14ac:dyDescent="0.25">
      <c r="A18237">
        <v>440729</v>
      </c>
      <c r="B18237" t="e">
        <f>- - las demas</f>
        <v>#NAME?</v>
      </c>
    </row>
    <row r="18238" spans="1:2" x14ac:dyDescent="0.25">
      <c r="A18238">
        <v>44072910000</v>
      </c>
      <c r="B18238" t="s">
        <v>7730</v>
      </c>
    </row>
    <row r="18239" spans="1:2" x14ac:dyDescent="0.25">
      <c r="A18239">
        <v>44072920000</v>
      </c>
      <c r="B18239" t="s">
        <v>7731</v>
      </c>
    </row>
    <row r="18240" spans="1:2" x14ac:dyDescent="0.25">
      <c r="A18240">
        <v>44072930000</v>
      </c>
      <c r="B18240" t="s">
        <v>7732</v>
      </c>
    </row>
    <row r="18241" spans="1:2" x14ac:dyDescent="0.25">
      <c r="A18241">
        <v>44072940000</v>
      </c>
      <c r="B18241" t="s">
        <v>7733</v>
      </c>
    </row>
    <row r="18242" spans="1:2" x14ac:dyDescent="0.25">
      <c r="A18242">
        <v>44072950000</v>
      </c>
      <c r="B18242" t="s">
        <v>7734</v>
      </c>
    </row>
    <row r="18243" spans="1:2" x14ac:dyDescent="0.25">
      <c r="A18243">
        <v>44072960000</v>
      </c>
      <c r="B18243" t="s">
        <v>7735</v>
      </c>
    </row>
    <row r="18244" spans="1:2" x14ac:dyDescent="0.25">
      <c r="A18244">
        <v>44072970000</v>
      </c>
      <c r="B18244" t="s">
        <v>7736</v>
      </c>
    </row>
    <row r="18245" spans="1:2" x14ac:dyDescent="0.25">
      <c r="A18245">
        <v>44072990000</v>
      </c>
      <c r="B18245" t="s">
        <v>57</v>
      </c>
    </row>
    <row r="18246" spans="1:2" x14ac:dyDescent="0.25">
      <c r="A18246">
        <v>44079</v>
      </c>
      <c r="B18246" t="s">
        <v>567</v>
      </c>
    </row>
    <row r="18247" spans="1:2" x14ac:dyDescent="0.25">
      <c r="A18247">
        <v>44079100000</v>
      </c>
      <c r="B18247" t="e">
        <f>--de roble (Quercus spp.)</f>
        <v>#NAME?</v>
      </c>
    </row>
    <row r="18248" spans="1:2" x14ac:dyDescent="0.25">
      <c r="A18248">
        <v>44079200000</v>
      </c>
      <c r="B18248" t="e">
        <f>--de haya (Fagus spp.)</f>
        <v>#NAME?</v>
      </c>
    </row>
    <row r="18249" spans="1:2" x14ac:dyDescent="0.25">
      <c r="A18249">
        <v>44079300000</v>
      </c>
      <c r="B18249" t="e">
        <f>--de arce (hacer spp.)</f>
        <v>#NAME?</v>
      </c>
    </row>
    <row r="18250" spans="1:2" x14ac:dyDescent="0.25">
      <c r="A18250">
        <v>44079400000</v>
      </c>
      <c r="B18250" t="e">
        <f>--de cerezo (Prunus spp.)</f>
        <v>#NAME?</v>
      </c>
    </row>
    <row r="18251" spans="1:2" x14ac:dyDescent="0.25">
      <c r="A18251">
        <v>44079500000</v>
      </c>
      <c r="B18251" t="e">
        <f>--de fresno (Fraxinus spp.)</f>
        <v>#NAME?</v>
      </c>
    </row>
    <row r="18252" spans="1:2" x14ac:dyDescent="0.25">
      <c r="A18252">
        <v>44079600000</v>
      </c>
      <c r="B18252" t="e">
        <f>--de abedul (Betula spp)</f>
        <v>#NAME?</v>
      </c>
    </row>
    <row r="18253" spans="1:2" x14ac:dyDescent="0.25">
      <c r="A18253">
        <v>44079700000</v>
      </c>
      <c r="B18253" t="e">
        <f>--de alamo (Populus spp)</f>
        <v>#NAME?</v>
      </c>
    </row>
    <row r="18254" spans="1:2" x14ac:dyDescent="0.25">
      <c r="A18254">
        <v>440799</v>
      </c>
      <c r="B18254" t="e">
        <f>- - las demas</f>
        <v>#NAME?</v>
      </c>
    </row>
    <row r="18255" spans="1:2" x14ac:dyDescent="0.25">
      <c r="A18255">
        <v>44079920000</v>
      </c>
      <c r="B18255" t="s">
        <v>7737</v>
      </c>
    </row>
    <row r="18256" spans="1:2" x14ac:dyDescent="0.25">
      <c r="A18256">
        <v>44079930000</v>
      </c>
      <c r="B18256" t="s">
        <v>7738</v>
      </c>
    </row>
    <row r="18257" spans="1:2" x14ac:dyDescent="0.25">
      <c r="A18257">
        <v>44079960000</v>
      </c>
      <c r="B18257" t="s">
        <v>7739</v>
      </c>
    </row>
    <row r="18258" spans="1:2" x14ac:dyDescent="0.25">
      <c r="A18258">
        <v>44079970000</v>
      </c>
      <c r="B18258" t="s">
        <v>7740</v>
      </c>
    </row>
    <row r="18259" spans="1:2" x14ac:dyDescent="0.25">
      <c r="A18259">
        <v>44079990</v>
      </c>
      <c r="B18259" t="s">
        <v>57</v>
      </c>
    </row>
    <row r="18260" spans="1:2" x14ac:dyDescent="0.25">
      <c r="A18260">
        <v>44079990100</v>
      </c>
      <c r="B18260" t="s">
        <v>7741</v>
      </c>
    </row>
    <row r="18261" spans="1:2" x14ac:dyDescent="0.25">
      <c r="A18261">
        <v>44079990200</v>
      </c>
      <c r="B18261" t="s">
        <v>7713</v>
      </c>
    </row>
    <row r="18262" spans="1:2" x14ac:dyDescent="0.25">
      <c r="A18262">
        <v>44079990300</v>
      </c>
      <c r="B18262" t="s">
        <v>7678</v>
      </c>
    </row>
    <row r="18263" spans="1:2" x14ac:dyDescent="0.25">
      <c r="A18263">
        <v>44079990400</v>
      </c>
      <c r="B18263" t="s">
        <v>7679</v>
      </c>
    </row>
    <row r="18264" spans="1:2" x14ac:dyDescent="0.25">
      <c r="A18264">
        <v>44079990500</v>
      </c>
      <c r="B18264" t="s">
        <v>7680</v>
      </c>
    </row>
    <row r="18265" spans="1:2" x14ac:dyDescent="0.25">
      <c r="A18265">
        <v>44079990700</v>
      </c>
      <c r="B18265" t="s">
        <v>7682</v>
      </c>
    </row>
    <row r="18266" spans="1:2" x14ac:dyDescent="0.25">
      <c r="A18266">
        <v>44079990800</v>
      </c>
      <c r="B18266" t="s">
        <v>7683</v>
      </c>
    </row>
    <row r="18267" spans="1:2" x14ac:dyDescent="0.25">
      <c r="A18267">
        <v>44079990900</v>
      </c>
      <c r="B18267" t="s">
        <v>10</v>
      </c>
    </row>
    <row r="18268" spans="1:2" x14ac:dyDescent="0.25">
      <c r="A18268">
        <v>4408</v>
      </c>
      <c r="B18268" t="s">
        <v>7742</v>
      </c>
    </row>
    <row r="18269" spans="1:2" x14ac:dyDescent="0.25">
      <c r="A18269">
        <v>440810</v>
      </c>
      <c r="B18269" t="e">
        <f>- de coniferas</f>
        <v>#NAME?</v>
      </c>
    </row>
    <row r="18270" spans="1:2" x14ac:dyDescent="0.25">
      <c r="A18270">
        <v>44081010</v>
      </c>
      <c r="B18270" t="s">
        <v>7743</v>
      </c>
    </row>
    <row r="18271" spans="1:2" x14ac:dyDescent="0.25">
      <c r="A18271">
        <v>44081010100</v>
      </c>
      <c r="B18271" t="s">
        <v>7744</v>
      </c>
    </row>
    <row r="18272" spans="1:2" x14ac:dyDescent="0.25">
      <c r="A18272">
        <v>44081010900</v>
      </c>
      <c r="B18272" t="s">
        <v>57</v>
      </c>
    </row>
    <row r="18273" spans="1:2" x14ac:dyDescent="0.25">
      <c r="A18273">
        <v>4408109</v>
      </c>
      <c r="B18273" t="s">
        <v>57</v>
      </c>
    </row>
    <row r="18274" spans="1:2" x14ac:dyDescent="0.25">
      <c r="A18274">
        <v>44081091</v>
      </c>
      <c r="B18274" t="s">
        <v>7698</v>
      </c>
    </row>
    <row r="18275" spans="1:2" x14ac:dyDescent="0.25">
      <c r="A18275">
        <v>44081091100</v>
      </c>
      <c r="B18275" t="s">
        <v>7744</v>
      </c>
    </row>
    <row r="18276" spans="1:2" x14ac:dyDescent="0.25">
      <c r="A18276">
        <v>44081091900</v>
      </c>
      <c r="B18276" t="s">
        <v>57</v>
      </c>
    </row>
    <row r="18277" spans="1:2" x14ac:dyDescent="0.25">
      <c r="A18277">
        <v>44081099</v>
      </c>
      <c r="B18277" t="s">
        <v>57</v>
      </c>
    </row>
    <row r="18278" spans="1:2" x14ac:dyDescent="0.25">
      <c r="A18278">
        <v>440810991</v>
      </c>
      <c r="B18278" t="s">
        <v>7744</v>
      </c>
    </row>
    <row r="18279" spans="1:2" x14ac:dyDescent="0.25">
      <c r="A18279">
        <v>44081099110</v>
      </c>
      <c r="B18279" t="s">
        <v>7722</v>
      </c>
    </row>
    <row r="18280" spans="1:2" x14ac:dyDescent="0.25">
      <c r="A18280">
        <v>44081099120</v>
      </c>
      <c r="B18280" t="s">
        <v>7745</v>
      </c>
    </row>
    <row r="18281" spans="1:2" x14ac:dyDescent="0.25">
      <c r="A18281">
        <v>44081099190</v>
      </c>
      <c r="B18281" t="s">
        <v>57</v>
      </c>
    </row>
    <row r="18282" spans="1:2" x14ac:dyDescent="0.25">
      <c r="A18282">
        <v>440810999</v>
      </c>
      <c r="B18282" t="s">
        <v>57</v>
      </c>
    </row>
    <row r="18283" spans="1:2" x14ac:dyDescent="0.25">
      <c r="A18283">
        <v>44081099910</v>
      </c>
      <c r="B18283" t="s">
        <v>7722</v>
      </c>
    </row>
    <row r="18284" spans="1:2" x14ac:dyDescent="0.25">
      <c r="A18284">
        <v>44081099920</v>
      </c>
      <c r="B18284" t="s">
        <v>7745</v>
      </c>
    </row>
    <row r="18285" spans="1:2" x14ac:dyDescent="0.25">
      <c r="A18285">
        <v>44081099990</v>
      </c>
      <c r="B18285" t="s">
        <v>57</v>
      </c>
    </row>
    <row r="18286" spans="1:2" x14ac:dyDescent="0.25">
      <c r="A18286">
        <v>44083</v>
      </c>
      <c r="B18286" t="s">
        <v>7729</v>
      </c>
    </row>
    <row r="18287" spans="1:2" x14ac:dyDescent="0.25">
      <c r="A18287">
        <v>440831</v>
      </c>
      <c r="B18287" t="e">
        <f>- - Dark Red Meranti. Light Red Meranti y Meranti Bakau</f>
        <v>#NAME?</v>
      </c>
    </row>
    <row r="18288" spans="1:2" x14ac:dyDescent="0.25">
      <c r="A18288">
        <v>44083110000</v>
      </c>
      <c r="B18288" t="s">
        <v>7743</v>
      </c>
    </row>
    <row r="18289" spans="1:2" x14ac:dyDescent="0.25">
      <c r="A18289">
        <v>44083190000</v>
      </c>
      <c r="B18289" t="s">
        <v>57</v>
      </c>
    </row>
    <row r="18290" spans="1:2" x14ac:dyDescent="0.25">
      <c r="A18290">
        <v>440839</v>
      </c>
      <c r="B18290" t="e">
        <f>- - las demas</f>
        <v>#NAME?</v>
      </c>
    </row>
    <row r="18291" spans="1:2" x14ac:dyDescent="0.25">
      <c r="A18291">
        <v>44083910</v>
      </c>
      <c r="B18291" t="s">
        <v>7743</v>
      </c>
    </row>
    <row r="18292" spans="1:2" x14ac:dyDescent="0.25">
      <c r="A18292">
        <v>44083910100</v>
      </c>
      <c r="B18292" t="s">
        <v>7744</v>
      </c>
    </row>
    <row r="18293" spans="1:2" x14ac:dyDescent="0.25">
      <c r="A18293">
        <v>44083910900</v>
      </c>
      <c r="B18293" t="s">
        <v>57</v>
      </c>
    </row>
    <row r="18294" spans="1:2" x14ac:dyDescent="0.25">
      <c r="A18294">
        <v>4408399</v>
      </c>
      <c r="B18294" t="s">
        <v>57</v>
      </c>
    </row>
    <row r="18295" spans="1:2" x14ac:dyDescent="0.25">
      <c r="A18295">
        <v>44083991</v>
      </c>
      <c r="B18295" t="s">
        <v>5682</v>
      </c>
    </row>
    <row r="18296" spans="1:2" x14ac:dyDescent="0.25">
      <c r="A18296">
        <v>44083991100</v>
      </c>
      <c r="B18296" t="s">
        <v>7744</v>
      </c>
    </row>
    <row r="18297" spans="1:2" x14ac:dyDescent="0.25">
      <c r="A18297">
        <v>44083991900</v>
      </c>
      <c r="B18297" t="s">
        <v>57</v>
      </c>
    </row>
    <row r="18298" spans="1:2" x14ac:dyDescent="0.25">
      <c r="A18298">
        <v>44083992</v>
      </c>
      <c r="B18298" t="s">
        <v>7746</v>
      </c>
    </row>
    <row r="18299" spans="1:2" x14ac:dyDescent="0.25">
      <c r="A18299">
        <v>44083992100</v>
      </c>
      <c r="B18299" t="s">
        <v>7744</v>
      </c>
    </row>
    <row r="18300" spans="1:2" x14ac:dyDescent="0.25">
      <c r="A18300">
        <v>44083992900</v>
      </c>
      <c r="B18300" t="s">
        <v>57</v>
      </c>
    </row>
    <row r="18301" spans="1:2" x14ac:dyDescent="0.25">
      <c r="A18301">
        <v>44083999</v>
      </c>
      <c r="B18301" t="s">
        <v>57</v>
      </c>
    </row>
    <row r="18302" spans="1:2" x14ac:dyDescent="0.25">
      <c r="A18302">
        <v>440839991</v>
      </c>
      <c r="B18302" t="s">
        <v>7747</v>
      </c>
    </row>
    <row r="18303" spans="1:2" x14ac:dyDescent="0.25">
      <c r="A18303">
        <v>44083999110</v>
      </c>
      <c r="B18303" t="s">
        <v>7744</v>
      </c>
    </row>
    <row r="18304" spans="1:2" x14ac:dyDescent="0.25">
      <c r="A18304">
        <v>44083999190</v>
      </c>
      <c r="B18304" t="s">
        <v>57</v>
      </c>
    </row>
    <row r="18305" spans="1:2" x14ac:dyDescent="0.25">
      <c r="A18305">
        <v>440839999</v>
      </c>
      <c r="B18305" t="s">
        <v>57</v>
      </c>
    </row>
    <row r="18306" spans="1:2" x14ac:dyDescent="0.25">
      <c r="A18306">
        <v>44083999910</v>
      </c>
      <c r="B18306" t="s">
        <v>7744</v>
      </c>
    </row>
    <row r="18307" spans="1:2" x14ac:dyDescent="0.25">
      <c r="A18307">
        <v>44083999990</v>
      </c>
      <c r="B18307" t="s">
        <v>57</v>
      </c>
    </row>
    <row r="18308" spans="1:2" x14ac:dyDescent="0.25">
      <c r="A18308">
        <v>440890</v>
      </c>
      <c r="B18308" t="e">
        <f>- las demas</f>
        <v>#NAME?</v>
      </c>
    </row>
    <row r="18309" spans="1:2" x14ac:dyDescent="0.25">
      <c r="A18309">
        <v>44089010</v>
      </c>
      <c r="B18309" t="s">
        <v>7743</v>
      </c>
    </row>
    <row r="18310" spans="1:2" x14ac:dyDescent="0.25">
      <c r="A18310">
        <v>44089010100</v>
      </c>
      <c r="B18310" t="s">
        <v>7744</v>
      </c>
    </row>
    <row r="18311" spans="1:2" x14ac:dyDescent="0.25">
      <c r="A18311">
        <v>44089010900</v>
      </c>
      <c r="B18311" t="s">
        <v>57</v>
      </c>
    </row>
    <row r="18312" spans="1:2" x14ac:dyDescent="0.25">
      <c r="A18312">
        <v>44089090</v>
      </c>
      <c r="B18312" t="s">
        <v>57</v>
      </c>
    </row>
    <row r="18313" spans="1:2" x14ac:dyDescent="0.25">
      <c r="A18313">
        <v>440890901</v>
      </c>
      <c r="B18313" t="s">
        <v>7744</v>
      </c>
    </row>
    <row r="18314" spans="1:2" x14ac:dyDescent="0.25">
      <c r="A18314">
        <v>44089090110</v>
      </c>
      <c r="B18314" t="s">
        <v>7748</v>
      </c>
    </row>
    <row r="18315" spans="1:2" x14ac:dyDescent="0.25">
      <c r="A18315">
        <v>44089090120</v>
      </c>
      <c r="B18315" t="s">
        <v>7713</v>
      </c>
    </row>
    <row r="18316" spans="1:2" x14ac:dyDescent="0.25">
      <c r="A18316">
        <v>44089090130</v>
      </c>
      <c r="B18316" t="s">
        <v>7709</v>
      </c>
    </row>
    <row r="18317" spans="1:2" x14ac:dyDescent="0.25">
      <c r="A18317">
        <v>44089090140</v>
      </c>
      <c r="B18317" t="s">
        <v>7678</v>
      </c>
    </row>
    <row r="18318" spans="1:2" x14ac:dyDescent="0.25">
      <c r="A18318">
        <v>44089090150</v>
      </c>
      <c r="B18318" t="s">
        <v>7679</v>
      </c>
    </row>
    <row r="18319" spans="1:2" x14ac:dyDescent="0.25">
      <c r="A18319">
        <v>44089090160</v>
      </c>
      <c r="B18319" t="s">
        <v>7680</v>
      </c>
    </row>
    <row r="18320" spans="1:2" x14ac:dyDescent="0.25">
      <c r="A18320">
        <v>44089090180</v>
      </c>
      <c r="B18320" t="s">
        <v>7749</v>
      </c>
    </row>
    <row r="18321" spans="1:2" x14ac:dyDescent="0.25">
      <c r="A18321">
        <v>44089090190</v>
      </c>
      <c r="B18321" t="s">
        <v>57</v>
      </c>
    </row>
    <row r="18322" spans="1:2" x14ac:dyDescent="0.25">
      <c r="A18322">
        <v>440890909</v>
      </c>
      <c r="B18322" t="s">
        <v>57</v>
      </c>
    </row>
    <row r="18323" spans="1:2" x14ac:dyDescent="0.25">
      <c r="A18323">
        <v>44089090910</v>
      </c>
      <c r="B18323" t="s">
        <v>7748</v>
      </c>
    </row>
    <row r="18324" spans="1:2" x14ac:dyDescent="0.25">
      <c r="A18324">
        <v>44089090920</v>
      </c>
      <c r="B18324" t="s">
        <v>7713</v>
      </c>
    </row>
    <row r="18325" spans="1:2" x14ac:dyDescent="0.25">
      <c r="A18325">
        <v>44089090930</v>
      </c>
      <c r="B18325" t="s">
        <v>7709</v>
      </c>
    </row>
    <row r="18326" spans="1:2" x14ac:dyDescent="0.25">
      <c r="A18326">
        <v>44089090940</v>
      </c>
      <c r="B18326" t="s">
        <v>7678</v>
      </c>
    </row>
    <row r="18327" spans="1:2" x14ac:dyDescent="0.25">
      <c r="A18327">
        <v>44089090950</v>
      </c>
      <c r="B18327" t="s">
        <v>7679</v>
      </c>
    </row>
    <row r="18328" spans="1:2" x14ac:dyDescent="0.25">
      <c r="A18328">
        <v>44089090960</v>
      </c>
      <c r="B18328" t="s">
        <v>7680</v>
      </c>
    </row>
    <row r="18329" spans="1:2" x14ac:dyDescent="0.25">
      <c r="A18329">
        <v>44089090980</v>
      </c>
      <c r="B18329" t="s">
        <v>7749</v>
      </c>
    </row>
    <row r="18330" spans="1:2" x14ac:dyDescent="0.25">
      <c r="A18330">
        <v>44089090990</v>
      </c>
      <c r="B18330" t="s">
        <v>57</v>
      </c>
    </row>
    <row r="18331" spans="1:2" x14ac:dyDescent="0.25">
      <c r="A18331">
        <v>4409</v>
      </c>
      <c r="B18331" t="s">
        <v>7750</v>
      </c>
    </row>
    <row r="18332" spans="1:2" x14ac:dyDescent="0.25">
      <c r="A18332">
        <v>44091000000</v>
      </c>
      <c r="B18332" t="e">
        <f>-de coniferas</f>
        <v>#NAME?</v>
      </c>
    </row>
    <row r="18333" spans="1:2" x14ac:dyDescent="0.25">
      <c r="A18333">
        <v>44092</v>
      </c>
      <c r="B18333" t="s">
        <v>7751</v>
      </c>
    </row>
    <row r="18334" spans="1:2" x14ac:dyDescent="0.25">
      <c r="A18334">
        <v>44092100000</v>
      </c>
      <c r="B18334" t="e">
        <f>--de Bambu</f>
        <v>#NAME?</v>
      </c>
    </row>
    <row r="18335" spans="1:2" x14ac:dyDescent="0.25">
      <c r="A18335">
        <v>44092200000</v>
      </c>
      <c r="B18335" t="e">
        <f>--de maderas tropicales</f>
        <v>#NAME?</v>
      </c>
    </row>
    <row r="18336" spans="1:2" x14ac:dyDescent="0.25">
      <c r="A18336">
        <v>44092900</v>
      </c>
      <c r="B18336" t="e">
        <f>- - las demas</f>
        <v>#NAME?</v>
      </c>
    </row>
    <row r="18337" spans="1:2" x14ac:dyDescent="0.25">
      <c r="A18337">
        <v>44092900100</v>
      </c>
      <c r="B18337" t="s">
        <v>7678</v>
      </c>
    </row>
    <row r="18338" spans="1:2" x14ac:dyDescent="0.25">
      <c r="A18338">
        <v>44092900200</v>
      </c>
      <c r="B18338" t="s">
        <v>7679</v>
      </c>
    </row>
    <row r="18339" spans="1:2" x14ac:dyDescent="0.25">
      <c r="A18339">
        <v>44092900300</v>
      </c>
      <c r="B18339" t="s">
        <v>7680</v>
      </c>
    </row>
    <row r="18340" spans="1:2" x14ac:dyDescent="0.25">
      <c r="A18340">
        <v>44092900400</v>
      </c>
      <c r="B18340" t="s">
        <v>7683</v>
      </c>
    </row>
    <row r="18341" spans="1:2" x14ac:dyDescent="0.25">
      <c r="A18341">
        <v>44092900600</v>
      </c>
      <c r="B18341" t="s">
        <v>7682</v>
      </c>
    </row>
    <row r="18342" spans="1:2" x14ac:dyDescent="0.25">
      <c r="A18342">
        <v>44092900900</v>
      </c>
      <c r="B18342" t="s">
        <v>57</v>
      </c>
    </row>
    <row r="18343" spans="1:2" x14ac:dyDescent="0.25">
      <c r="A18343">
        <v>4410</v>
      </c>
      <c r="B18343" t="s">
        <v>7752</v>
      </c>
    </row>
    <row r="18344" spans="1:2" x14ac:dyDescent="0.25">
      <c r="A18344">
        <v>44101</v>
      </c>
      <c r="B18344" t="s">
        <v>7753</v>
      </c>
    </row>
    <row r="18345" spans="1:2" x14ac:dyDescent="0.25">
      <c r="A18345">
        <v>441011</v>
      </c>
      <c r="B18345" t="e">
        <f>- - Tableros de particulas</f>
        <v>#NAME?</v>
      </c>
    </row>
    <row r="18346" spans="1:2" x14ac:dyDescent="0.25">
      <c r="A18346">
        <v>44101110</v>
      </c>
      <c r="B18346" t="s">
        <v>7754</v>
      </c>
    </row>
    <row r="18347" spans="1:2" x14ac:dyDescent="0.25">
      <c r="A18347">
        <v>44101110100</v>
      </c>
      <c r="B18347" t="s">
        <v>7755</v>
      </c>
    </row>
    <row r="18348" spans="1:2" x14ac:dyDescent="0.25">
      <c r="A18348">
        <v>44101110900</v>
      </c>
      <c r="B18348" t="s">
        <v>10</v>
      </c>
    </row>
    <row r="18349" spans="1:2" x14ac:dyDescent="0.25">
      <c r="A18349">
        <v>4410112</v>
      </c>
      <c r="B18349" t="s">
        <v>7756</v>
      </c>
    </row>
    <row r="18350" spans="1:2" x14ac:dyDescent="0.25">
      <c r="A18350">
        <v>44101121000</v>
      </c>
      <c r="B18350" t="s">
        <v>7757</v>
      </c>
    </row>
    <row r="18351" spans="1:2" x14ac:dyDescent="0.25">
      <c r="A18351">
        <v>44101129</v>
      </c>
      <c r="B18351" t="s">
        <v>10</v>
      </c>
    </row>
    <row r="18352" spans="1:2" x14ac:dyDescent="0.25">
      <c r="A18352">
        <v>441011291</v>
      </c>
      <c r="B18352" t="s">
        <v>7758</v>
      </c>
    </row>
    <row r="18353" spans="1:2" x14ac:dyDescent="0.25">
      <c r="A18353">
        <v>44101129110</v>
      </c>
      <c r="B18353" t="s">
        <v>7755</v>
      </c>
    </row>
    <row r="18354" spans="1:2" x14ac:dyDescent="0.25">
      <c r="A18354">
        <v>44101129190</v>
      </c>
      <c r="B18354" t="s">
        <v>10</v>
      </c>
    </row>
    <row r="18355" spans="1:2" x14ac:dyDescent="0.25">
      <c r="A18355">
        <v>441011299</v>
      </c>
      <c r="B18355" t="s">
        <v>10</v>
      </c>
    </row>
    <row r="18356" spans="1:2" x14ac:dyDescent="0.25">
      <c r="A18356">
        <v>4410112991</v>
      </c>
      <c r="B18356" t="s">
        <v>7755</v>
      </c>
    </row>
    <row r="18357" spans="1:2" x14ac:dyDescent="0.25">
      <c r="A18357">
        <v>44101129911</v>
      </c>
      <c r="B18357" t="s">
        <v>7759</v>
      </c>
    </row>
    <row r="18358" spans="1:2" x14ac:dyDescent="0.25">
      <c r="A18358">
        <v>44101129919</v>
      </c>
      <c r="B18358" t="s">
        <v>10</v>
      </c>
    </row>
    <row r="18359" spans="1:2" x14ac:dyDescent="0.25">
      <c r="A18359">
        <v>44101129920</v>
      </c>
      <c r="B18359" t="s">
        <v>7760</v>
      </c>
    </row>
    <row r="18360" spans="1:2" x14ac:dyDescent="0.25">
      <c r="A18360">
        <v>44101129990</v>
      </c>
      <c r="B18360" t="s">
        <v>10</v>
      </c>
    </row>
    <row r="18361" spans="1:2" x14ac:dyDescent="0.25">
      <c r="A18361">
        <v>44101190</v>
      </c>
      <c r="B18361" t="s">
        <v>10</v>
      </c>
    </row>
    <row r="18362" spans="1:2" x14ac:dyDescent="0.25">
      <c r="A18362">
        <v>441011901</v>
      </c>
      <c r="B18362" t="s">
        <v>7758</v>
      </c>
    </row>
    <row r="18363" spans="1:2" x14ac:dyDescent="0.25">
      <c r="A18363">
        <v>44101190110</v>
      </c>
      <c r="B18363" t="s">
        <v>7755</v>
      </c>
    </row>
    <row r="18364" spans="1:2" x14ac:dyDescent="0.25">
      <c r="A18364">
        <v>44101190190</v>
      </c>
      <c r="B18364" t="s">
        <v>10</v>
      </c>
    </row>
    <row r="18365" spans="1:2" x14ac:dyDescent="0.25">
      <c r="A18365">
        <v>441011909</v>
      </c>
      <c r="B18365" t="s">
        <v>10</v>
      </c>
    </row>
    <row r="18366" spans="1:2" x14ac:dyDescent="0.25">
      <c r="A18366">
        <v>44101190910</v>
      </c>
      <c r="B18366" t="s">
        <v>7755</v>
      </c>
    </row>
    <row r="18367" spans="1:2" x14ac:dyDescent="0.25">
      <c r="A18367">
        <v>44101190990</v>
      </c>
      <c r="B18367" t="s">
        <v>10</v>
      </c>
    </row>
    <row r="18368" spans="1:2" x14ac:dyDescent="0.25">
      <c r="A18368">
        <v>441012</v>
      </c>
      <c r="B18368" t="s">
        <v>7761</v>
      </c>
    </row>
    <row r="18369" spans="1:2" x14ac:dyDescent="0.25">
      <c r="A18369">
        <v>44101210000</v>
      </c>
      <c r="B18369" t="s">
        <v>7754</v>
      </c>
    </row>
    <row r="18370" spans="1:2" x14ac:dyDescent="0.25">
      <c r="A18370">
        <v>44101290000</v>
      </c>
      <c r="B18370" t="s">
        <v>10</v>
      </c>
    </row>
    <row r="18371" spans="1:2" x14ac:dyDescent="0.25">
      <c r="A18371">
        <v>441019</v>
      </c>
      <c r="B18371" t="e">
        <f>- - Los demas</f>
        <v>#NAME?</v>
      </c>
    </row>
    <row r="18372" spans="1:2" x14ac:dyDescent="0.25">
      <c r="A18372">
        <v>4410191</v>
      </c>
      <c r="B18372" t="s">
        <v>7762</v>
      </c>
    </row>
    <row r="18373" spans="1:2" x14ac:dyDescent="0.25">
      <c r="A18373">
        <v>44101911000</v>
      </c>
      <c r="B18373" t="s">
        <v>7754</v>
      </c>
    </row>
    <row r="18374" spans="1:2" x14ac:dyDescent="0.25">
      <c r="A18374">
        <v>44101919000</v>
      </c>
      <c r="B18374" t="s">
        <v>10</v>
      </c>
    </row>
    <row r="18375" spans="1:2" x14ac:dyDescent="0.25">
      <c r="A18375">
        <v>4410199</v>
      </c>
      <c r="B18375" t="s">
        <v>10</v>
      </c>
    </row>
    <row r="18376" spans="1:2" x14ac:dyDescent="0.25">
      <c r="A18376">
        <v>44101991</v>
      </c>
      <c r="B18376" t="s">
        <v>7754</v>
      </c>
    </row>
    <row r="18377" spans="1:2" x14ac:dyDescent="0.25">
      <c r="A18377">
        <v>44101991100</v>
      </c>
      <c r="B18377" t="s">
        <v>7755</v>
      </c>
    </row>
    <row r="18378" spans="1:2" x14ac:dyDescent="0.25">
      <c r="A18378">
        <v>44101991900</v>
      </c>
      <c r="B18378" t="s">
        <v>10</v>
      </c>
    </row>
    <row r="18379" spans="1:2" x14ac:dyDescent="0.25">
      <c r="A18379">
        <v>44101992</v>
      </c>
      <c r="B18379" t="s">
        <v>7756</v>
      </c>
    </row>
    <row r="18380" spans="1:2" x14ac:dyDescent="0.25">
      <c r="A18380">
        <v>441019921</v>
      </c>
      <c r="B18380" t="s">
        <v>7758</v>
      </c>
    </row>
    <row r="18381" spans="1:2" x14ac:dyDescent="0.25">
      <c r="A18381">
        <v>44101992110</v>
      </c>
      <c r="B18381" t="s">
        <v>7755</v>
      </c>
    </row>
    <row r="18382" spans="1:2" x14ac:dyDescent="0.25">
      <c r="A18382">
        <v>44101992190</v>
      </c>
      <c r="B18382" t="s">
        <v>10</v>
      </c>
    </row>
    <row r="18383" spans="1:2" x14ac:dyDescent="0.25">
      <c r="A18383">
        <v>441019929</v>
      </c>
      <c r="B18383" t="s">
        <v>10</v>
      </c>
    </row>
    <row r="18384" spans="1:2" x14ac:dyDescent="0.25">
      <c r="A18384">
        <v>44101992910</v>
      </c>
      <c r="B18384" t="s">
        <v>7755</v>
      </c>
    </row>
    <row r="18385" spans="1:2" x14ac:dyDescent="0.25">
      <c r="A18385">
        <v>44101992990</v>
      </c>
      <c r="B18385" t="s">
        <v>10</v>
      </c>
    </row>
    <row r="18386" spans="1:2" x14ac:dyDescent="0.25">
      <c r="A18386">
        <v>44101999</v>
      </c>
      <c r="B18386" t="s">
        <v>10</v>
      </c>
    </row>
    <row r="18387" spans="1:2" x14ac:dyDescent="0.25">
      <c r="A18387">
        <v>441019991</v>
      </c>
      <c r="B18387" t="s">
        <v>7758</v>
      </c>
    </row>
    <row r="18388" spans="1:2" x14ac:dyDescent="0.25">
      <c r="A18388">
        <v>44101999110</v>
      </c>
      <c r="B18388" t="s">
        <v>7755</v>
      </c>
    </row>
    <row r="18389" spans="1:2" x14ac:dyDescent="0.25">
      <c r="A18389">
        <v>44101999190</v>
      </c>
      <c r="B18389" t="s">
        <v>10</v>
      </c>
    </row>
    <row r="18390" spans="1:2" x14ac:dyDescent="0.25">
      <c r="A18390">
        <v>441019999</v>
      </c>
      <c r="B18390" t="s">
        <v>10</v>
      </c>
    </row>
    <row r="18391" spans="1:2" x14ac:dyDescent="0.25">
      <c r="A18391">
        <v>44101999910</v>
      </c>
      <c r="B18391" t="s">
        <v>7755</v>
      </c>
    </row>
    <row r="18392" spans="1:2" x14ac:dyDescent="0.25">
      <c r="A18392">
        <v>44101999990</v>
      </c>
      <c r="B18392" t="s">
        <v>10</v>
      </c>
    </row>
    <row r="18393" spans="1:2" x14ac:dyDescent="0.25">
      <c r="A18393">
        <v>44109000000</v>
      </c>
      <c r="B18393" t="e">
        <f>-Los demas</f>
        <v>#NAME?</v>
      </c>
    </row>
    <row r="18394" spans="1:2" x14ac:dyDescent="0.25">
      <c r="A18394">
        <v>4411</v>
      </c>
      <c r="B18394" t="s">
        <v>7763</v>
      </c>
    </row>
    <row r="18395" spans="1:2" x14ac:dyDescent="0.25">
      <c r="A18395">
        <v>44111</v>
      </c>
      <c r="B18395" t="s">
        <v>7764</v>
      </c>
    </row>
    <row r="18396" spans="1:2" x14ac:dyDescent="0.25">
      <c r="A18396">
        <v>441112</v>
      </c>
      <c r="B18396" t="s">
        <v>7765</v>
      </c>
    </row>
    <row r="18397" spans="1:2" x14ac:dyDescent="0.25">
      <c r="A18397">
        <v>44111210</v>
      </c>
      <c r="B18397" t="s">
        <v>7766</v>
      </c>
    </row>
    <row r="18398" spans="1:2" x14ac:dyDescent="0.25">
      <c r="A18398">
        <v>44111210100</v>
      </c>
      <c r="B18398" t="s">
        <v>7767</v>
      </c>
    </row>
    <row r="18399" spans="1:2" x14ac:dyDescent="0.25">
      <c r="A18399">
        <v>44111210900</v>
      </c>
      <c r="B18399" t="s">
        <v>10</v>
      </c>
    </row>
    <row r="18400" spans="1:2" x14ac:dyDescent="0.25">
      <c r="A18400">
        <v>44111290</v>
      </c>
      <c r="B18400" t="s">
        <v>10</v>
      </c>
    </row>
    <row r="18401" spans="1:2" x14ac:dyDescent="0.25">
      <c r="A18401">
        <v>441112901</v>
      </c>
      <c r="B18401" t="s">
        <v>7768</v>
      </c>
    </row>
    <row r="18402" spans="1:2" x14ac:dyDescent="0.25">
      <c r="A18402">
        <v>44111290110</v>
      </c>
      <c r="B18402" t="s">
        <v>7769</v>
      </c>
    </row>
    <row r="18403" spans="1:2" x14ac:dyDescent="0.25">
      <c r="A18403">
        <v>44111290190</v>
      </c>
      <c r="B18403" t="s">
        <v>10</v>
      </c>
    </row>
    <row r="18404" spans="1:2" x14ac:dyDescent="0.25">
      <c r="A18404">
        <v>44111290900</v>
      </c>
      <c r="B18404" t="s">
        <v>10</v>
      </c>
    </row>
    <row r="18405" spans="1:2" x14ac:dyDescent="0.25">
      <c r="A18405">
        <v>441113</v>
      </c>
      <c r="B18405" t="s">
        <v>7770</v>
      </c>
    </row>
    <row r="18406" spans="1:2" x14ac:dyDescent="0.25">
      <c r="A18406">
        <v>44111310</v>
      </c>
      <c r="B18406" t="s">
        <v>7766</v>
      </c>
    </row>
    <row r="18407" spans="1:2" x14ac:dyDescent="0.25">
      <c r="A18407">
        <v>44111310100</v>
      </c>
      <c r="B18407" t="s">
        <v>7767</v>
      </c>
    </row>
    <row r="18408" spans="1:2" x14ac:dyDescent="0.25">
      <c r="A18408">
        <v>44111310900</v>
      </c>
      <c r="B18408" t="s">
        <v>10</v>
      </c>
    </row>
    <row r="18409" spans="1:2" x14ac:dyDescent="0.25">
      <c r="A18409">
        <v>4411139</v>
      </c>
      <c r="B18409" t="s">
        <v>10</v>
      </c>
    </row>
    <row r="18410" spans="1:2" x14ac:dyDescent="0.25">
      <c r="A18410">
        <v>44111391000</v>
      </c>
      <c r="B18410" t="s">
        <v>7771</v>
      </c>
    </row>
    <row r="18411" spans="1:2" x14ac:dyDescent="0.25">
      <c r="A18411">
        <v>44111399</v>
      </c>
      <c r="B18411" t="s">
        <v>10</v>
      </c>
    </row>
    <row r="18412" spans="1:2" x14ac:dyDescent="0.25">
      <c r="A18412">
        <v>44111399100</v>
      </c>
      <c r="B18412" t="s">
        <v>7768</v>
      </c>
    </row>
    <row r="18413" spans="1:2" x14ac:dyDescent="0.25">
      <c r="A18413">
        <v>44111399900</v>
      </c>
      <c r="B18413" t="s">
        <v>10</v>
      </c>
    </row>
    <row r="18414" spans="1:2" x14ac:dyDescent="0.25">
      <c r="A18414">
        <v>441114</v>
      </c>
      <c r="B18414" t="s">
        <v>7772</v>
      </c>
    </row>
    <row r="18415" spans="1:2" x14ac:dyDescent="0.25">
      <c r="A18415">
        <v>44111410</v>
      </c>
      <c r="B18415" t="s">
        <v>7766</v>
      </c>
    </row>
    <row r="18416" spans="1:2" x14ac:dyDescent="0.25">
      <c r="A18416">
        <v>44111410100</v>
      </c>
      <c r="B18416" t="s">
        <v>7767</v>
      </c>
    </row>
    <row r="18417" spans="1:2" x14ac:dyDescent="0.25">
      <c r="A18417">
        <v>44111410900</v>
      </c>
      <c r="B18417" t="s">
        <v>10</v>
      </c>
    </row>
    <row r="18418" spans="1:2" x14ac:dyDescent="0.25">
      <c r="A18418">
        <v>44111490</v>
      </c>
      <c r="B18418" t="s">
        <v>10</v>
      </c>
    </row>
    <row r="18419" spans="1:2" x14ac:dyDescent="0.25">
      <c r="A18419">
        <v>441114902</v>
      </c>
      <c r="B18419" t="s">
        <v>7768</v>
      </c>
    </row>
    <row r="18420" spans="1:2" x14ac:dyDescent="0.25">
      <c r="A18420">
        <v>44111490210</v>
      </c>
      <c r="B18420" t="s">
        <v>7773</v>
      </c>
    </row>
    <row r="18421" spans="1:2" x14ac:dyDescent="0.25">
      <c r="A18421">
        <v>44111490290</v>
      </c>
      <c r="B18421" t="s">
        <v>10</v>
      </c>
    </row>
    <row r="18422" spans="1:2" x14ac:dyDescent="0.25">
      <c r="A18422">
        <v>44111490900</v>
      </c>
      <c r="B18422" t="s">
        <v>10</v>
      </c>
    </row>
    <row r="18423" spans="1:2" x14ac:dyDescent="0.25">
      <c r="A18423">
        <v>44119</v>
      </c>
      <c r="B18423" t="s">
        <v>28</v>
      </c>
    </row>
    <row r="18424" spans="1:2" x14ac:dyDescent="0.25">
      <c r="A18424">
        <v>441192</v>
      </c>
      <c r="B18424" t="s">
        <v>7774</v>
      </c>
    </row>
    <row r="18425" spans="1:2" x14ac:dyDescent="0.25">
      <c r="A18425">
        <v>44119210</v>
      </c>
      <c r="B18425" t="s">
        <v>7766</v>
      </c>
    </row>
    <row r="18426" spans="1:2" x14ac:dyDescent="0.25">
      <c r="A18426">
        <v>44119210100</v>
      </c>
      <c r="B18426" t="s">
        <v>7755</v>
      </c>
    </row>
    <row r="18427" spans="1:2" x14ac:dyDescent="0.25">
      <c r="A18427">
        <v>44119210900</v>
      </c>
      <c r="B18427" t="s">
        <v>10</v>
      </c>
    </row>
    <row r="18428" spans="1:2" x14ac:dyDescent="0.25">
      <c r="A18428">
        <v>44119290</v>
      </c>
      <c r="B18428" t="s">
        <v>10</v>
      </c>
    </row>
    <row r="18429" spans="1:2" x14ac:dyDescent="0.25">
      <c r="A18429">
        <v>441192902</v>
      </c>
      <c r="B18429" t="s">
        <v>7775</v>
      </c>
    </row>
    <row r="18430" spans="1:2" x14ac:dyDescent="0.25">
      <c r="A18430">
        <v>4411929021</v>
      </c>
      <c r="B18430" t="s">
        <v>7768</v>
      </c>
    </row>
    <row r="18431" spans="1:2" x14ac:dyDescent="0.25">
      <c r="A18431">
        <v>44119290211</v>
      </c>
      <c r="B18431" t="s">
        <v>7776</v>
      </c>
    </row>
    <row r="18432" spans="1:2" x14ac:dyDescent="0.25">
      <c r="A18432">
        <v>44119290219</v>
      </c>
      <c r="B18432" t="s">
        <v>10</v>
      </c>
    </row>
    <row r="18433" spans="1:2" x14ac:dyDescent="0.25">
      <c r="A18433">
        <v>44119290290</v>
      </c>
      <c r="B18433" t="s">
        <v>10</v>
      </c>
    </row>
    <row r="18434" spans="1:2" x14ac:dyDescent="0.25">
      <c r="A18434">
        <v>44119290900</v>
      </c>
      <c r="B18434" t="s">
        <v>10</v>
      </c>
    </row>
    <row r="18435" spans="1:2" x14ac:dyDescent="0.25">
      <c r="A18435">
        <v>441193</v>
      </c>
      <c r="B18435" t="s">
        <v>7777</v>
      </c>
    </row>
    <row r="18436" spans="1:2" x14ac:dyDescent="0.25">
      <c r="A18436">
        <v>44119310</v>
      </c>
      <c r="B18436" t="s">
        <v>7766</v>
      </c>
    </row>
    <row r="18437" spans="1:2" x14ac:dyDescent="0.25">
      <c r="A18437">
        <v>44119310100</v>
      </c>
      <c r="B18437" t="s">
        <v>7755</v>
      </c>
    </row>
    <row r="18438" spans="1:2" x14ac:dyDescent="0.25">
      <c r="A18438">
        <v>44119310900</v>
      </c>
      <c r="B18438" t="s">
        <v>10</v>
      </c>
    </row>
    <row r="18439" spans="1:2" x14ac:dyDescent="0.25">
      <c r="A18439">
        <v>44119390</v>
      </c>
      <c r="B18439" t="s">
        <v>10</v>
      </c>
    </row>
    <row r="18440" spans="1:2" x14ac:dyDescent="0.25">
      <c r="A18440">
        <v>441193902</v>
      </c>
      <c r="B18440" t="s">
        <v>7768</v>
      </c>
    </row>
    <row r="18441" spans="1:2" x14ac:dyDescent="0.25">
      <c r="A18441">
        <v>44119390210</v>
      </c>
      <c r="B18441" t="s">
        <v>7776</v>
      </c>
    </row>
    <row r="18442" spans="1:2" x14ac:dyDescent="0.25">
      <c r="A18442">
        <v>44119390290</v>
      </c>
      <c r="B18442" t="s">
        <v>10</v>
      </c>
    </row>
    <row r="18443" spans="1:2" x14ac:dyDescent="0.25">
      <c r="A18443">
        <v>44119390900</v>
      </c>
      <c r="B18443" t="s">
        <v>10</v>
      </c>
    </row>
    <row r="18444" spans="1:2" x14ac:dyDescent="0.25">
      <c r="A18444">
        <v>441194</v>
      </c>
      <c r="B18444" t="s">
        <v>7778</v>
      </c>
    </row>
    <row r="18445" spans="1:2" x14ac:dyDescent="0.25">
      <c r="A18445">
        <v>44119410</v>
      </c>
      <c r="B18445" t="s">
        <v>7766</v>
      </c>
    </row>
    <row r="18446" spans="1:2" x14ac:dyDescent="0.25">
      <c r="A18446">
        <v>44119410100</v>
      </c>
      <c r="B18446" t="s">
        <v>7755</v>
      </c>
    </row>
    <row r="18447" spans="1:2" x14ac:dyDescent="0.25">
      <c r="A18447">
        <v>44119410900</v>
      </c>
      <c r="B18447" t="s">
        <v>10</v>
      </c>
    </row>
    <row r="18448" spans="1:2" x14ac:dyDescent="0.25">
      <c r="A18448">
        <v>44119490</v>
      </c>
      <c r="B18448" t="s">
        <v>10</v>
      </c>
    </row>
    <row r="18449" spans="1:2" x14ac:dyDescent="0.25">
      <c r="A18449">
        <v>44119490100</v>
      </c>
      <c r="B18449" t="s">
        <v>7755</v>
      </c>
    </row>
    <row r="18450" spans="1:2" x14ac:dyDescent="0.25">
      <c r="A18450">
        <v>44119490900</v>
      </c>
      <c r="B18450" t="s">
        <v>10</v>
      </c>
    </row>
    <row r="18451" spans="1:2" x14ac:dyDescent="0.25">
      <c r="A18451">
        <v>4412</v>
      </c>
      <c r="B18451" t="s">
        <v>7779</v>
      </c>
    </row>
    <row r="18452" spans="1:2" x14ac:dyDescent="0.25">
      <c r="A18452">
        <v>44121000</v>
      </c>
      <c r="B18452" t="e">
        <f>- de Bambu</f>
        <v>#NAME?</v>
      </c>
    </row>
    <row r="18453" spans="1:2" x14ac:dyDescent="0.25">
      <c r="A18453">
        <v>44121000100</v>
      </c>
      <c r="B18453" t="s">
        <v>7780</v>
      </c>
    </row>
    <row r="18454" spans="1:2" x14ac:dyDescent="0.25">
      <c r="A18454">
        <v>44121000900</v>
      </c>
      <c r="B18454" t="s">
        <v>10</v>
      </c>
    </row>
    <row r="18455" spans="1:2" x14ac:dyDescent="0.25">
      <c r="A18455">
        <v>44123</v>
      </c>
      <c r="B18455" t="s">
        <v>7781</v>
      </c>
    </row>
    <row r="18456" spans="1:2" x14ac:dyDescent="0.25">
      <c r="A18456">
        <v>44123100</v>
      </c>
      <c r="B18456" t="e">
        <f>- - que tengan. por lo menos. una hoja externa de maderas tropicales</f>
        <v>#NAME?</v>
      </c>
    </row>
    <row r="18457" spans="1:2" x14ac:dyDescent="0.25">
      <c r="A18457">
        <v>441231001</v>
      </c>
      <c r="B18457" t="s">
        <v>7732</v>
      </c>
    </row>
    <row r="18458" spans="1:2" x14ac:dyDescent="0.25">
      <c r="A18458">
        <v>4412310011</v>
      </c>
      <c r="B18458" t="s">
        <v>7782</v>
      </c>
    </row>
    <row r="18459" spans="1:2" x14ac:dyDescent="0.25">
      <c r="A18459">
        <v>44123100111</v>
      </c>
      <c r="B18459" t="s">
        <v>7783</v>
      </c>
    </row>
    <row r="18460" spans="1:2" x14ac:dyDescent="0.25">
      <c r="A18460">
        <v>44123100112</v>
      </c>
      <c r="B18460" t="s">
        <v>7784</v>
      </c>
    </row>
    <row r="18461" spans="1:2" x14ac:dyDescent="0.25">
      <c r="A18461">
        <v>44123100113</v>
      </c>
      <c r="B18461" t="s">
        <v>7785</v>
      </c>
    </row>
    <row r="18462" spans="1:2" x14ac:dyDescent="0.25">
      <c r="A18462">
        <v>44123100119</v>
      </c>
      <c r="B18462" t="s">
        <v>7786</v>
      </c>
    </row>
    <row r="18463" spans="1:2" x14ac:dyDescent="0.25">
      <c r="A18463">
        <v>4412310012</v>
      </c>
      <c r="B18463" t="s">
        <v>7787</v>
      </c>
    </row>
    <row r="18464" spans="1:2" x14ac:dyDescent="0.25">
      <c r="A18464">
        <v>44123100121</v>
      </c>
      <c r="B18464" t="s">
        <v>7783</v>
      </c>
    </row>
    <row r="18465" spans="1:2" x14ac:dyDescent="0.25">
      <c r="A18465">
        <v>44123100122</v>
      </c>
      <c r="B18465" t="s">
        <v>7784</v>
      </c>
    </row>
    <row r="18466" spans="1:2" x14ac:dyDescent="0.25">
      <c r="A18466">
        <v>44123100123</v>
      </c>
      <c r="B18466" t="s">
        <v>7785</v>
      </c>
    </row>
    <row r="18467" spans="1:2" x14ac:dyDescent="0.25">
      <c r="A18467">
        <v>44123100129</v>
      </c>
      <c r="B18467" t="s">
        <v>7786</v>
      </c>
    </row>
    <row r="18468" spans="1:2" x14ac:dyDescent="0.25">
      <c r="A18468">
        <v>4412310013</v>
      </c>
      <c r="B18468" t="s">
        <v>7788</v>
      </c>
    </row>
    <row r="18469" spans="1:2" x14ac:dyDescent="0.25">
      <c r="A18469">
        <v>44123100131</v>
      </c>
      <c r="B18469" t="s">
        <v>7783</v>
      </c>
    </row>
    <row r="18470" spans="1:2" x14ac:dyDescent="0.25">
      <c r="A18470">
        <v>44123100132</v>
      </c>
      <c r="B18470" t="s">
        <v>7784</v>
      </c>
    </row>
    <row r="18471" spans="1:2" x14ac:dyDescent="0.25">
      <c r="A18471">
        <v>44123100133</v>
      </c>
      <c r="B18471" t="s">
        <v>7789</v>
      </c>
    </row>
    <row r="18472" spans="1:2" x14ac:dyDescent="0.25">
      <c r="A18472">
        <v>4412310014</v>
      </c>
      <c r="B18472" t="s">
        <v>7790</v>
      </c>
    </row>
    <row r="18473" spans="1:2" x14ac:dyDescent="0.25">
      <c r="A18473">
        <v>44123100141</v>
      </c>
      <c r="B18473" t="s">
        <v>7791</v>
      </c>
    </row>
    <row r="18474" spans="1:2" x14ac:dyDescent="0.25">
      <c r="A18474">
        <v>44123100142</v>
      </c>
      <c r="B18474" t="s">
        <v>7792</v>
      </c>
    </row>
    <row r="18475" spans="1:2" x14ac:dyDescent="0.25">
      <c r="A18475">
        <v>44123100143</v>
      </c>
      <c r="B18475" t="s">
        <v>7793</v>
      </c>
    </row>
    <row r="18476" spans="1:2" x14ac:dyDescent="0.25">
      <c r="A18476">
        <v>44123100144</v>
      </c>
      <c r="B18476" t="s">
        <v>7794</v>
      </c>
    </row>
    <row r="18477" spans="1:2" x14ac:dyDescent="0.25">
      <c r="A18477">
        <v>44123100145</v>
      </c>
      <c r="B18477" t="s">
        <v>7795</v>
      </c>
    </row>
    <row r="18478" spans="1:2" x14ac:dyDescent="0.25">
      <c r="A18478">
        <v>44123100146</v>
      </c>
      <c r="B18478" t="s">
        <v>7796</v>
      </c>
    </row>
    <row r="18479" spans="1:2" x14ac:dyDescent="0.25">
      <c r="A18479">
        <v>44123100147</v>
      </c>
      <c r="B18479" t="s">
        <v>7797</v>
      </c>
    </row>
    <row r="18480" spans="1:2" x14ac:dyDescent="0.25">
      <c r="A18480">
        <v>44123100148</v>
      </c>
      <c r="B18480" t="s">
        <v>7798</v>
      </c>
    </row>
    <row r="18481" spans="1:2" x14ac:dyDescent="0.25">
      <c r="A18481">
        <v>44123100149</v>
      </c>
      <c r="B18481" t="s">
        <v>7799</v>
      </c>
    </row>
    <row r="18482" spans="1:2" x14ac:dyDescent="0.25">
      <c r="A18482">
        <v>4412310015</v>
      </c>
      <c r="B18482" t="s">
        <v>7800</v>
      </c>
    </row>
    <row r="18483" spans="1:2" x14ac:dyDescent="0.25">
      <c r="A18483">
        <v>44123100151</v>
      </c>
      <c r="B18483" t="s">
        <v>7801</v>
      </c>
    </row>
    <row r="18484" spans="1:2" x14ac:dyDescent="0.25">
      <c r="A18484">
        <v>44123100152</v>
      </c>
      <c r="B18484" t="s">
        <v>7802</v>
      </c>
    </row>
    <row r="18485" spans="1:2" x14ac:dyDescent="0.25">
      <c r="A18485">
        <v>44123100153</v>
      </c>
      <c r="B18485" t="s">
        <v>7803</v>
      </c>
    </row>
    <row r="18486" spans="1:2" x14ac:dyDescent="0.25">
      <c r="A18486">
        <v>44123100154</v>
      </c>
      <c r="B18486" t="s">
        <v>7804</v>
      </c>
    </row>
    <row r="18487" spans="1:2" x14ac:dyDescent="0.25">
      <c r="A18487">
        <v>44123100155</v>
      </c>
      <c r="B18487" t="s">
        <v>7805</v>
      </c>
    </row>
    <row r="18488" spans="1:2" x14ac:dyDescent="0.25">
      <c r="A18488">
        <v>44123100156</v>
      </c>
      <c r="B18488" t="s">
        <v>7806</v>
      </c>
    </row>
    <row r="18489" spans="1:2" x14ac:dyDescent="0.25">
      <c r="A18489">
        <v>44123100157</v>
      </c>
      <c r="B18489" t="s">
        <v>7807</v>
      </c>
    </row>
    <row r="18490" spans="1:2" x14ac:dyDescent="0.25">
      <c r="A18490">
        <v>44123100158</v>
      </c>
      <c r="B18490" t="s">
        <v>7808</v>
      </c>
    </row>
    <row r="18491" spans="1:2" x14ac:dyDescent="0.25">
      <c r="A18491">
        <v>44123100159</v>
      </c>
      <c r="B18491" t="s">
        <v>7809</v>
      </c>
    </row>
    <row r="18492" spans="1:2" x14ac:dyDescent="0.25">
      <c r="A18492">
        <v>4412310016</v>
      </c>
      <c r="B18492" t="s">
        <v>7810</v>
      </c>
    </row>
    <row r="18493" spans="1:2" x14ac:dyDescent="0.25">
      <c r="A18493">
        <v>44123100161</v>
      </c>
      <c r="B18493" t="s">
        <v>7811</v>
      </c>
    </row>
    <row r="18494" spans="1:2" x14ac:dyDescent="0.25">
      <c r="A18494">
        <v>44123100162</v>
      </c>
      <c r="B18494" t="s">
        <v>7812</v>
      </c>
    </row>
    <row r="18495" spans="1:2" x14ac:dyDescent="0.25">
      <c r="A18495">
        <v>44123100163</v>
      </c>
      <c r="B18495" t="s">
        <v>7813</v>
      </c>
    </row>
    <row r="18496" spans="1:2" x14ac:dyDescent="0.25">
      <c r="A18496">
        <v>44123100164</v>
      </c>
      <c r="B18496" t="s">
        <v>7814</v>
      </c>
    </row>
    <row r="18497" spans="1:2" x14ac:dyDescent="0.25">
      <c r="A18497">
        <v>44123100165</v>
      </c>
      <c r="B18497" t="s">
        <v>7815</v>
      </c>
    </row>
    <row r="18498" spans="1:2" x14ac:dyDescent="0.25">
      <c r="A18498">
        <v>44123100166</v>
      </c>
      <c r="B18498" t="s">
        <v>7816</v>
      </c>
    </row>
    <row r="18499" spans="1:2" x14ac:dyDescent="0.25">
      <c r="A18499">
        <v>44123100167</v>
      </c>
      <c r="B18499" t="s">
        <v>7817</v>
      </c>
    </row>
    <row r="18500" spans="1:2" x14ac:dyDescent="0.25">
      <c r="A18500">
        <v>44123100168</v>
      </c>
      <c r="B18500" t="s">
        <v>7818</v>
      </c>
    </row>
    <row r="18501" spans="1:2" x14ac:dyDescent="0.25">
      <c r="A18501">
        <v>44123100169</v>
      </c>
      <c r="B18501" t="s">
        <v>7819</v>
      </c>
    </row>
    <row r="18502" spans="1:2" x14ac:dyDescent="0.25">
      <c r="A18502">
        <v>44123100190</v>
      </c>
      <c r="B18502" t="s">
        <v>57</v>
      </c>
    </row>
    <row r="18503" spans="1:2" x14ac:dyDescent="0.25">
      <c r="A18503">
        <v>441231002</v>
      </c>
      <c r="B18503" t="s">
        <v>5682</v>
      </c>
    </row>
    <row r="18504" spans="1:2" x14ac:dyDescent="0.25">
      <c r="A18504">
        <v>4412310021</v>
      </c>
      <c r="B18504" t="s">
        <v>7820</v>
      </c>
    </row>
    <row r="18505" spans="1:2" x14ac:dyDescent="0.25">
      <c r="A18505">
        <v>44123100211</v>
      </c>
      <c r="B18505" t="s">
        <v>7821</v>
      </c>
    </row>
    <row r="18506" spans="1:2" x14ac:dyDescent="0.25">
      <c r="A18506">
        <v>44123100212</v>
      </c>
      <c r="B18506" t="s">
        <v>7822</v>
      </c>
    </row>
    <row r="18507" spans="1:2" x14ac:dyDescent="0.25">
      <c r="A18507">
        <v>44123100213</v>
      </c>
      <c r="B18507" t="s">
        <v>7823</v>
      </c>
    </row>
    <row r="18508" spans="1:2" x14ac:dyDescent="0.25">
      <c r="A18508">
        <v>44123100214</v>
      </c>
      <c r="B18508" t="s">
        <v>7824</v>
      </c>
    </row>
    <row r="18509" spans="1:2" x14ac:dyDescent="0.25">
      <c r="A18509">
        <v>44123100215</v>
      </c>
      <c r="B18509" t="s">
        <v>7825</v>
      </c>
    </row>
    <row r="18510" spans="1:2" x14ac:dyDescent="0.25">
      <c r="A18510">
        <v>44123100216</v>
      </c>
      <c r="B18510" t="s">
        <v>7826</v>
      </c>
    </row>
    <row r="18511" spans="1:2" x14ac:dyDescent="0.25">
      <c r="A18511">
        <v>44123100217</v>
      </c>
      <c r="B18511" t="s">
        <v>7827</v>
      </c>
    </row>
    <row r="18512" spans="1:2" x14ac:dyDescent="0.25">
      <c r="A18512">
        <v>44123100218</v>
      </c>
      <c r="B18512" t="s">
        <v>7828</v>
      </c>
    </row>
    <row r="18513" spans="1:2" x14ac:dyDescent="0.25">
      <c r="A18513">
        <v>44123100219</v>
      </c>
      <c r="B18513" t="s">
        <v>7829</v>
      </c>
    </row>
    <row r="18514" spans="1:2" x14ac:dyDescent="0.25">
      <c r="A18514">
        <v>4412310022</v>
      </c>
      <c r="B18514" t="s">
        <v>7830</v>
      </c>
    </row>
    <row r="18515" spans="1:2" x14ac:dyDescent="0.25">
      <c r="A18515">
        <v>44123100221</v>
      </c>
      <c r="B18515" t="s">
        <v>7831</v>
      </c>
    </row>
    <row r="18516" spans="1:2" x14ac:dyDescent="0.25">
      <c r="A18516">
        <v>44123100222</v>
      </c>
      <c r="B18516" t="s">
        <v>7832</v>
      </c>
    </row>
    <row r="18517" spans="1:2" x14ac:dyDescent="0.25">
      <c r="A18517">
        <v>44123100223</v>
      </c>
      <c r="B18517" t="s">
        <v>7833</v>
      </c>
    </row>
    <row r="18518" spans="1:2" x14ac:dyDescent="0.25">
      <c r="A18518">
        <v>44123100224</v>
      </c>
      <c r="B18518" t="s">
        <v>7834</v>
      </c>
    </row>
    <row r="18519" spans="1:2" x14ac:dyDescent="0.25">
      <c r="A18519">
        <v>44123100225</v>
      </c>
      <c r="B18519" t="s">
        <v>7835</v>
      </c>
    </row>
    <row r="18520" spans="1:2" x14ac:dyDescent="0.25">
      <c r="A18520">
        <v>44123100226</v>
      </c>
      <c r="B18520" t="s">
        <v>7836</v>
      </c>
    </row>
    <row r="18521" spans="1:2" x14ac:dyDescent="0.25">
      <c r="A18521">
        <v>44123100227</v>
      </c>
      <c r="B18521" t="s">
        <v>7837</v>
      </c>
    </row>
    <row r="18522" spans="1:2" x14ac:dyDescent="0.25">
      <c r="A18522">
        <v>44123100228</v>
      </c>
      <c r="B18522" t="s">
        <v>7838</v>
      </c>
    </row>
    <row r="18523" spans="1:2" x14ac:dyDescent="0.25">
      <c r="A18523">
        <v>44123100229</v>
      </c>
      <c r="B18523" t="s">
        <v>7839</v>
      </c>
    </row>
    <row r="18524" spans="1:2" x14ac:dyDescent="0.25">
      <c r="A18524">
        <v>4412310023</v>
      </c>
      <c r="B18524" t="s">
        <v>7840</v>
      </c>
    </row>
    <row r="18525" spans="1:2" x14ac:dyDescent="0.25">
      <c r="A18525">
        <v>44123100231</v>
      </c>
      <c r="B18525" t="s">
        <v>7841</v>
      </c>
    </row>
    <row r="18526" spans="1:2" x14ac:dyDescent="0.25">
      <c r="A18526">
        <v>44123100232</v>
      </c>
      <c r="B18526" t="s">
        <v>7842</v>
      </c>
    </row>
    <row r="18527" spans="1:2" x14ac:dyDescent="0.25">
      <c r="A18527">
        <v>44123100233</v>
      </c>
      <c r="B18527" t="s">
        <v>7843</v>
      </c>
    </row>
    <row r="18528" spans="1:2" x14ac:dyDescent="0.25">
      <c r="A18528">
        <v>44123100234</v>
      </c>
      <c r="B18528" t="s">
        <v>7844</v>
      </c>
    </row>
    <row r="18529" spans="1:2" x14ac:dyDescent="0.25">
      <c r="A18529">
        <v>44123100235</v>
      </c>
      <c r="B18529" t="s">
        <v>7845</v>
      </c>
    </row>
    <row r="18530" spans="1:2" x14ac:dyDescent="0.25">
      <c r="A18530">
        <v>44123100236</v>
      </c>
      <c r="B18530" t="s">
        <v>7846</v>
      </c>
    </row>
    <row r="18531" spans="1:2" x14ac:dyDescent="0.25">
      <c r="A18531">
        <v>44123100237</v>
      </c>
      <c r="B18531" t="s">
        <v>7847</v>
      </c>
    </row>
    <row r="18532" spans="1:2" x14ac:dyDescent="0.25">
      <c r="A18532">
        <v>44123100238</v>
      </c>
      <c r="B18532" t="s">
        <v>7848</v>
      </c>
    </row>
    <row r="18533" spans="1:2" x14ac:dyDescent="0.25">
      <c r="A18533">
        <v>44123100239</v>
      </c>
      <c r="B18533" t="s">
        <v>7849</v>
      </c>
    </row>
    <row r="18534" spans="1:2" x14ac:dyDescent="0.25">
      <c r="A18534">
        <v>4412310024</v>
      </c>
      <c r="B18534" t="s">
        <v>7850</v>
      </c>
    </row>
    <row r="18535" spans="1:2" x14ac:dyDescent="0.25">
      <c r="A18535">
        <v>44123100241</v>
      </c>
      <c r="B18535" t="s">
        <v>7817</v>
      </c>
    </row>
    <row r="18536" spans="1:2" x14ac:dyDescent="0.25">
      <c r="A18536">
        <v>44123100242</v>
      </c>
      <c r="B18536" t="s">
        <v>7818</v>
      </c>
    </row>
    <row r="18537" spans="1:2" x14ac:dyDescent="0.25">
      <c r="A18537">
        <v>44123100243</v>
      </c>
      <c r="B18537" t="s">
        <v>7819</v>
      </c>
    </row>
    <row r="18538" spans="1:2" x14ac:dyDescent="0.25">
      <c r="A18538">
        <v>44123100290</v>
      </c>
      <c r="B18538" t="s">
        <v>57</v>
      </c>
    </row>
    <row r="18539" spans="1:2" x14ac:dyDescent="0.25">
      <c r="A18539">
        <v>441231009</v>
      </c>
      <c r="B18539" t="s">
        <v>57</v>
      </c>
    </row>
    <row r="18540" spans="1:2" x14ac:dyDescent="0.25">
      <c r="A18540">
        <v>4412310091</v>
      </c>
      <c r="B18540" t="s">
        <v>7820</v>
      </c>
    </row>
    <row r="18541" spans="1:2" x14ac:dyDescent="0.25">
      <c r="A18541">
        <v>44123100911</v>
      </c>
      <c r="B18541" t="s">
        <v>7821</v>
      </c>
    </row>
    <row r="18542" spans="1:2" x14ac:dyDescent="0.25">
      <c r="A18542">
        <v>44123100912</v>
      </c>
      <c r="B18542" t="s">
        <v>7822</v>
      </c>
    </row>
    <row r="18543" spans="1:2" x14ac:dyDescent="0.25">
      <c r="A18543">
        <v>44123100913</v>
      </c>
      <c r="B18543" t="s">
        <v>7823</v>
      </c>
    </row>
    <row r="18544" spans="1:2" x14ac:dyDescent="0.25">
      <c r="A18544">
        <v>44123100914</v>
      </c>
      <c r="B18544" t="s">
        <v>7824</v>
      </c>
    </row>
    <row r="18545" spans="1:2" x14ac:dyDescent="0.25">
      <c r="A18545">
        <v>44123100915</v>
      </c>
      <c r="B18545" t="s">
        <v>7825</v>
      </c>
    </row>
    <row r="18546" spans="1:2" x14ac:dyDescent="0.25">
      <c r="A18546">
        <v>44123100916</v>
      </c>
      <c r="B18546" t="s">
        <v>7851</v>
      </c>
    </row>
    <row r="18547" spans="1:2" x14ac:dyDescent="0.25">
      <c r="A18547">
        <v>44123100917</v>
      </c>
      <c r="B18547" t="s">
        <v>7827</v>
      </c>
    </row>
    <row r="18548" spans="1:2" x14ac:dyDescent="0.25">
      <c r="A18548">
        <v>44123100918</v>
      </c>
      <c r="B18548" t="s">
        <v>7828</v>
      </c>
    </row>
    <row r="18549" spans="1:2" x14ac:dyDescent="0.25">
      <c r="A18549">
        <v>44123100919</v>
      </c>
      <c r="B18549" t="s">
        <v>7829</v>
      </c>
    </row>
    <row r="18550" spans="1:2" x14ac:dyDescent="0.25">
      <c r="A18550">
        <v>4412310092</v>
      </c>
      <c r="B18550" t="s">
        <v>7830</v>
      </c>
    </row>
    <row r="18551" spans="1:2" x14ac:dyDescent="0.25">
      <c r="A18551">
        <v>44123100921</v>
      </c>
      <c r="B18551" t="s">
        <v>7831</v>
      </c>
    </row>
    <row r="18552" spans="1:2" x14ac:dyDescent="0.25">
      <c r="A18552">
        <v>44123100922</v>
      </c>
      <c r="B18552" t="s">
        <v>7832</v>
      </c>
    </row>
    <row r="18553" spans="1:2" x14ac:dyDescent="0.25">
      <c r="A18553">
        <v>44123100923</v>
      </c>
      <c r="B18553" t="s">
        <v>7833</v>
      </c>
    </row>
    <row r="18554" spans="1:2" x14ac:dyDescent="0.25">
      <c r="A18554">
        <v>44123100924</v>
      </c>
      <c r="B18554" t="s">
        <v>7834</v>
      </c>
    </row>
    <row r="18555" spans="1:2" x14ac:dyDescent="0.25">
      <c r="A18555">
        <v>44123100925</v>
      </c>
      <c r="B18555" t="s">
        <v>7835</v>
      </c>
    </row>
    <row r="18556" spans="1:2" x14ac:dyDescent="0.25">
      <c r="A18556">
        <v>44123100926</v>
      </c>
      <c r="B18556" t="s">
        <v>7836</v>
      </c>
    </row>
    <row r="18557" spans="1:2" x14ac:dyDescent="0.25">
      <c r="A18557">
        <v>44123100927</v>
      </c>
      <c r="B18557" t="s">
        <v>7837</v>
      </c>
    </row>
    <row r="18558" spans="1:2" x14ac:dyDescent="0.25">
      <c r="A18558">
        <v>44123100928</v>
      </c>
      <c r="B18558" t="s">
        <v>7838</v>
      </c>
    </row>
    <row r="18559" spans="1:2" x14ac:dyDescent="0.25">
      <c r="A18559">
        <v>44123100929</v>
      </c>
      <c r="B18559" t="s">
        <v>7839</v>
      </c>
    </row>
    <row r="18560" spans="1:2" x14ac:dyDescent="0.25">
      <c r="A18560">
        <v>4412310093</v>
      </c>
      <c r="B18560" t="s">
        <v>7852</v>
      </c>
    </row>
    <row r="18561" spans="1:2" x14ac:dyDescent="0.25">
      <c r="A18561">
        <v>44123100931</v>
      </c>
      <c r="B18561" t="s">
        <v>7841</v>
      </c>
    </row>
    <row r="18562" spans="1:2" x14ac:dyDescent="0.25">
      <c r="A18562">
        <v>44123100932</v>
      </c>
      <c r="B18562" t="s">
        <v>7842</v>
      </c>
    </row>
    <row r="18563" spans="1:2" x14ac:dyDescent="0.25">
      <c r="A18563">
        <v>44123100933</v>
      </c>
      <c r="B18563" t="s">
        <v>7843</v>
      </c>
    </row>
    <row r="18564" spans="1:2" x14ac:dyDescent="0.25">
      <c r="A18564">
        <v>44123100934</v>
      </c>
      <c r="B18564" t="s">
        <v>7844</v>
      </c>
    </row>
    <row r="18565" spans="1:2" x14ac:dyDescent="0.25">
      <c r="A18565">
        <v>44123100935</v>
      </c>
      <c r="B18565" t="s">
        <v>7845</v>
      </c>
    </row>
    <row r="18566" spans="1:2" x14ac:dyDescent="0.25">
      <c r="A18566">
        <v>44123100936</v>
      </c>
      <c r="B18566" t="s">
        <v>7846</v>
      </c>
    </row>
    <row r="18567" spans="1:2" x14ac:dyDescent="0.25">
      <c r="A18567">
        <v>44123100937</v>
      </c>
      <c r="B18567" t="s">
        <v>7847</v>
      </c>
    </row>
    <row r="18568" spans="1:2" x14ac:dyDescent="0.25">
      <c r="A18568">
        <v>44123100938</v>
      </c>
      <c r="B18568" t="s">
        <v>7848</v>
      </c>
    </row>
    <row r="18569" spans="1:2" x14ac:dyDescent="0.25">
      <c r="A18569">
        <v>44123100939</v>
      </c>
      <c r="B18569" t="s">
        <v>7849</v>
      </c>
    </row>
    <row r="18570" spans="1:2" x14ac:dyDescent="0.25">
      <c r="A18570">
        <v>4412310094</v>
      </c>
      <c r="B18570" t="s">
        <v>7853</v>
      </c>
    </row>
    <row r="18571" spans="1:2" x14ac:dyDescent="0.25">
      <c r="A18571">
        <v>44123100941</v>
      </c>
      <c r="B18571" t="s">
        <v>7854</v>
      </c>
    </row>
    <row r="18572" spans="1:2" x14ac:dyDescent="0.25">
      <c r="A18572">
        <v>44123100942</v>
      </c>
      <c r="B18572" t="s">
        <v>7855</v>
      </c>
    </row>
    <row r="18573" spans="1:2" x14ac:dyDescent="0.25">
      <c r="A18573">
        <v>44123100943</v>
      </c>
      <c r="B18573" t="s">
        <v>7856</v>
      </c>
    </row>
    <row r="18574" spans="1:2" x14ac:dyDescent="0.25">
      <c r="A18574">
        <v>44123100944</v>
      </c>
      <c r="B18574" t="s">
        <v>7817</v>
      </c>
    </row>
    <row r="18575" spans="1:2" x14ac:dyDescent="0.25">
      <c r="A18575">
        <v>44123100945</v>
      </c>
      <c r="B18575" t="s">
        <v>7818</v>
      </c>
    </row>
    <row r="18576" spans="1:2" x14ac:dyDescent="0.25">
      <c r="A18576">
        <v>44123100946</v>
      </c>
      <c r="B18576" t="s">
        <v>7819</v>
      </c>
    </row>
    <row r="18577" spans="1:2" x14ac:dyDescent="0.25">
      <c r="A18577">
        <v>44123100990</v>
      </c>
      <c r="B18577" t="s">
        <v>57</v>
      </c>
    </row>
    <row r="18578" spans="1:2" x14ac:dyDescent="0.25">
      <c r="A18578">
        <v>44123300</v>
      </c>
      <c r="B18578" t="s">
        <v>7857</v>
      </c>
    </row>
    <row r="18579" spans="1:2" x14ac:dyDescent="0.25">
      <c r="A18579">
        <v>441233001</v>
      </c>
      <c r="B18579" t="s">
        <v>6560</v>
      </c>
    </row>
    <row r="18580" spans="1:2" x14ac:dyDescent="0.25">
      <c r="A18580">
        <v>4412330011</v>
      </c>
      <c r="B18580" t="s">
        <v>7820</v>
      </c>
    </row>
    <row r="18581" spans="1:2" x14ac:dyDescent="0.25">
      <c r="A18581">
        <v>44123300111</v>
      </c>
      <c r="B18581" t="s">
        <v>7858</v>
      </c>
    </row>
    <row r="18582" spans="1:2" x14ac:dyDescent="0.25">
      <c r="A18582">
        <v>44123300112</v>
      </c>
      <c r="B18582" t="s">
        <v>7859</v>
      </c>
    </row>
    <row r="18583" spans="1:2" x14ac:dyDescent="0.25">
      <c r="A18583">
        <v>44123300113</v>
      </c>
      <c r="B18583" t="s">
        <v>7860</v>
      </c>
    </row>
    <row r="18584" spans="1:2" x14ac:dyDescent="0.25">
      <c r="A18584">
        <v>44123300114</v>
      </c>
      <c r="B18584" t="s">
        <v>7861</v>
      </c>
    </row>
    <row r="18585" spans="1:2" x14ac:dyDescent="0.25">
      <c r="A18585">
        <v>44123300115</v>
      </c>
      <c r="B18585" t="s">
        <v>7862</v>
      </c>
    </row>
    <row r="18586" spans="1:2" x14ac:dyDescent="0.25">
      <c r="A18586">
        <v>44123300116</v>
      </c>
      <c r="B18586" t="s">
        <v>7863</v>
      </c>
    </row>
    <row r="18587" spans="1:2" x14ac:dyDescent="0.25">
      <c r="A18587">
        <v>44123300117</v>
      </c>
      <c r="B18587" t="s">
        <v>7864</v>
      </c>
    </row>
    <row r="18588" spans="1:2" x14ac:dyDescent="0.25">
      <c r="A18588">
        <v>44123300118</v>
      </c>
      <c r="B18588" t="s">
        <v>7865</v>
      </c>
    </row>
    <row r="18589" spans="1:2" x14ac:dyDescent="0.25">
      <c r="A18589">
        <v>44123300119</v>
      </c>
      <c r="B18589" t="s">
        <v>7866</v>
      </c>
    </row>
    <row r="18590" spans="1:2" x14ac:dyDescent="0.25">
      <c r="A18590">
        <v>4412330012</v>
      </c>
      <c r="B18590" t="s">
        <v>7830</v>
      </c>
    </row>
    <row r="18591" spans="1:2" x14ac:dyDescent="0.25">
      <c r="A18591">
        <v>44123300121</v>
      </c>
      <c r="B18591" t="s">
        <v>7867</v>
      </c>
    </row>
    <row r="18592" spans="1:2" x14ac:dyDescent="0.25">
      <c r="A18592">
        <v>44123300122</v>
      </c>
      <c r="B18592" t="s">
        <v>7868</v>
      </c>
    </row>
    <row r="18593" spans="1:2" x14ac:dyDescent="0.25">
      <c r="A18593">
        <v>44123300123</v>
      </c>
      <c r="B18593" t="s">
        <v>7869</v>
      </c>
    </row>
    <row r="18594" spans="1:2" x14ac:dyDescent="0.25">
      <c r="A18594">
        <v>44123300124</v>
      </c>
      <c r="B18594" t="s">
        <v>7870</v>
      </c>
    </row>
    <row r="18595" spans="1:2" x14ac:dyDescent="0.25">
      <c r="A18595">
        <v>44123300125</v>
      </c>
      <c r="B18595" t="s">
        <v>7871</v>
      </c>
    </row>
    <row r="18596" spans="1:2" x14ac:dyDescent="0.25">
      <c r="A18596">
        <v>44123300126</v>
      </c>
      <c r="B18596" t="s">
        <v>7872</v>
      </c>
    </row>
    <row r="18597" spans="1:2" x14ac:dyDescent="0.25">
      <c r="A18597">
        <v>44123300127</v>
      </c>
      <c r="B18597" t="s">
        <v>7873</v>
      </c>
    </row>
    <row r="18598" spans="1:2" x14ac:dyDescent="0.25">
      <c r="A18598">
        <v>44123300128</v>
      </c>
      <c r="B18598" t="s">
        <v>7874</v>
      </c>
    </row>
    <row r="18599" spans="1:2" x14ac:dyDescent="0.25">
      <c r="A18599">
        <v>44123300129</v>
      </c>
      <c r="B18599" t="s">
        <v>7875</v>
      </c>
    </row>
    <row r="18600" spans="1:2" x14ac:dyDescent="0.25">
      <c r="A18600">
        <v>4412330013</v>
      </c>
      <c r="B18600" t="s">
        <v>7876</v>
      </c>
    </row>
    <row r="18601" spans="1:2" x14ac:dyDescent="0.25">
      <c r="A18601">
        <v>44123300131</v>
      </c>
      <c r="B18601" t="s">
        <v>7877</v>
      </c>
    </row>
    <row r="18602" spans="1:2" x14ac:dyDescent="0.25">
      <c r="A18602">
        <v>44123300132</v>
      </c>
      <c r="B18602" t="s">
        <v>7878</v>
      </c>
    </row>
    <row r="18603" spans="1:2" x14ac:dyDescent="0.25">
      <c r="A18603">
        <v>44123300133</v>
      </c>
      <c r="B18603" t="s">
        <v>7879</v>
      </c>
    </row>
    <row r="18604" spans="1:2" x14ac:dyDescent="0.25">
      <c r="A18604">
        <v>44123300134</v>
      </c>
      <c r="B18604" t="s">
        <v>7880</v>
      </c>
    </row>
    <row r="18605" spans="1:2" x14ac:dyDescent="0.25">
      <c r="A18605">
        <v>44123300135</v>
      </c>
      <c r="B18605" t="s">
        <v>7881</v>
      </c>
    </row>
    <row r="18606" spans="1:2" x14ac:dyDescent="0.25">
      <c r="A18606">
        <v>44123300136</v>
      </c>
      <c r="B18606" t="s">
        <v>7882</v>
      </c>
    </row>
    <row r="18607" spans="1:2" x14ac:dyDescent="0.25">
      <c r="A18607">
        <v>44123300137</v>
      </c>
      <c r="B18607" t="s">
        <v>7883</v>
      </c>
    </row>
    <row r="18608" spans="1:2" x14ac:dyDescent="0.25">
      <c r="A18608">
        <v>44123300138</v>
      </c>
      <c r="B18608" t="s">
        <v>7884</v>
      </c>
    </row>
    <row r="18609" spans="1:2" x14ac:dyDescent="0.25">
      <c r="A18609">
        <v>44123300139</v>
      </c>
      <c r="B18609" t="s">
        <v>7885</v>
      </c>
    </row>
    <row r="18610" spans="1:2" x14ac:dyDescent="0.25">
      <c r="A18610">
        <v>4412330014</v>
      </c>
      <c r="B18610" t="s">
        <v>7886</v>
      </c>
    </row>
    <row r="18611" spans="1:2" x14ac:dyDescent="0.25">
      <c r="A18611">
        <v>44123300141</v>
      </c>
      <c r="B18611" t="s">
        <v>7887</v>
      </c>
    </row>
    <row r="18612" spans="1:2" x14ac:dyDescent="0.25">
      <c r="A18612">
        <v>44123300142</v>
      </c>
      <c r="B18612" t="s">
        <v>7888</v>
      </c>
    </row>
    <row r="18613" spans="1:2" x14ac:dyDescent="0.25">
      <c r="A18613">
        <v>44123300143</v>
      </c>
      <c r="B18613" t="s">
        <v>7889</v>
      </c>
    </row>
    <row r="18614" spans="1:2" x14ac:dyDescent="0.25">
      <c r="A18614">
        <v>44123300144</v>
      </c>
      <c r="B18614" t="s">
        <v>7890</v>
      </c>
    </row>
    <row r="18615" spans="1:2" x14ac:dyDescent="0.25">
      <c r="A18615">
        <v>44123300145</v>
      </c>
      <c r="B18615" t="s">
        <v>7891</v>
      </c>
    </row>
    <row r="18616" spans="1:2" x14ac:dyDescent="0.25">
      <c r="A18616">
        <v>44123300146</v>
      </c>
      <c r="B18616" t="s">
        <v>7892</v>
      </c>
    </row>
    <row r="18617" spans="1:2" x14ac:dyDescent="0.25">
      <c r="A18617">
        <v>44123300150</v>
      </c>
      <c r="B18617" t="s">
        <v>57</v>
      </c>
    </row>
    <row r="18618" spans="1:2" x14ac:dyDescent="0.25">
      <c r="A18618">
        <v>441233002</v>
      </c>
      <c r="B18618" t="s">
        <v>7893</v>
      </c>
    </row>
    <row r="18619" spans="1:2" x14ac:dyDescent="0.25">
      <c r="A18619">
        <v>4412330021</v>
      </c>
      <c r="B18619" t="s">
        <v>7820</v>
      </c>
    </row>
    <row r="18620" spans="1:2" x14ac:dyDescent="0.25">
      <c r="A18620">
        <v>44123300211</v>
      </c>
      <c r="B18620" t="s">
        <v>7858</v>
      </c>
    </row>
    <row r="18621" spans="1:2" x14ac:dyDescent="0.25">
      <c r="A18621">
        <v>44123300212</v>
      </c>
      <c r="B18621" t="s">
        <v>7859</v>
      </c>
    </row>
    <row r="18622" spans="1:2" x14ac:dyDescent="0.25">
      <c r="A18622">
        <v>44123300213</v>
      </c>
      <c r="B18622" t="s">
        <v>7860</v>
      </c>
    </row>
    <row r="18623" spans="1:2" x14ac:dyDescent="0.25">
      <c r="A18623">
        <v>44123300214</v>
      </c>
      <c r="B18623" t="s">
        <v>7861</v>
      </c>
    </row>
    <row r="18624" spans="1:2" x14ac:dyDescent="0.25">
      <c r="A18624">
        <v>44123300215</v>
      </c>
      <c r="B18624" t="s">
        <v>7862</v>
      </c>
    </row>
    <row r="18625" spans="1:2" x14ac:dyDescent="0.25">
      <c r="A18625">
        <v>44123300216</v>
      </c>
      <c r="B18625" t="s">
        <v>7863</v>
      </c>
    </row>
    <row r="18626" spans="1:2" x14ac:dyDescent="0.25">
      <c r="A18626">
        <v>44123300217</v>
      </c>
      <c r="B18626" t="s">
        <v>7864</v>
      </c>
    </row>
    <row r="18627" spans="1:2" x14ac:dyDescent="0.25">
      <c r="A18627">
        <v>44123300218</v>
      </c>
      <c r="B18627" t="s">
        <v>7865</v>
      </c>
    </row>
    <row r="18628" spans="1:2" x14ac:dyDescent="0.25">
      <c r="A18628">
        <v>44123300219</v>
      </c>
      <c r="B18628" t="s">
        <v>7866</v>
      </c>
    </row>
    <row r="18629" spans="1:2" x14ac:dyDescent="0.25">
      <c r="A18629">
        <v>4412330022</v>
      </c>
      <c r="B18629" t="s">
        <v>7830</v>
      </c>
    </row>
    <row r="18630" spans="1:2" x14ac:dyDescent="0.25">
      <c r="A18630">
        <v>44123300221</v>
      </c>
      <c r="B18630" t="s">
        <v>7867</v>
      </c>
    </row>
    <row r="18631" spans="1:2" x14ac:dyDescent="0.25">
      <c r="A18631">
        <v>44123300222</v>
      </c>
      <c r="B18631" t="s">
        <v>7868</v>
      </c>
    </row>
    <row r="18632" spans="1:2" x14ac:dyDescent="0.25">
      <c r="A18632">
        <v>44123300223</v>
      </c>
      <c r="B18632" t="s">
        <v>7869</v>
      </c>
    </row>
    <row r="18633" spans="1:2" x14ac:dyDescent="0.25">
      <c r="A18633">
        <v>44123300224</v>
      </c>
      <c r="B18633" t="s">
        <v>7870</v>
      </c>
    </row>
    <row r="18634" spans="1:2" x14ac:dyDescent="0.25">
      <c r="A18634">
        <v>44123300225</v>
      </c>
      <c r="B18634" t="s">
        <v>7871</v>
      </c>
    </row>
    <row r="18635" spans="1:2" x14ac:dyDescent="0.25">
      <c r="A18635">
        <v>44123300226</v>
      </c>
      <c r="B18635" t="s">
        <v>7872</v>
      </c>
    </row>
    <row r="18636" spans="1:2" x14ac:dyDescent="0.25">
      <c r="A18636">
        <v>44123300227</v>
      </c>
      <c r="B18636" t="s">
        <v>7873</v>
      </c>
    </row>
    <row r="18637" spans="1:2" x14ac:dyDescent="0.25">
      <c r="A18637">
        <v>44123300228</v>
      </c>
      <c r="B18637" t="s">
        <v>7874</v>
      </c>
    </row>
    <row r="18638" spans="1:2" x14ac:dyDescent="0.25">
      <c r="A18638">
        <v>44123300229</v>
      </c>
      <c r="B18638" t="s">
        <v>7875</v>
      </c>
    </row>
    <row r="18639" spans="1:2" x14ac:dyDescent="0.25">
      <c r="A18639">
        <v>4412330023</v>
      </c>
      <c r="B18639" t="s">
        <v>7876</v>
      </c>
    </row>
    <row r="18640" spans="1:2" x14ac:dyDescent="0.25">
      <c r="A18640">
        <v>44123300231</v>
      </c>
      <c r="B18640" t="s">
        <v>7877</v>
      </c>
    </row>
    <row r="18641" spans="1:2" x14ac:dyDescent="0.25">
      <c r="A18641">
        <v>44123300232</v>
      </c>
      <c r="B18641" t="s">
        <v>7878</v>
      </c>
    </row>
    <row r="18642" spans="1:2" x14ac:dyDescent="0.25">
      <c r="A18642">
        <v>44123300233</v>
      </c>
      <c r="B18642" t="s">
        <v>7879</v>
      </c>
    </row>
    <row r="18643" spans="1:2" x14ac:dyDescent="0.25">
      <c r="A18643">
        <v>44123300234</v>
      </c>
      <c r="B18643" t="s">
        <v>7880</v>
      </c>
    </row>
    <row r="18644" spans="1:2" x14ac:dyDescent="0.25">
      <c r="A18644">
        <v>44123300235</v>
      </c>
      <c r="B18644" t="s">
        <v>7881</v>
      </c>
    </row>
    <row r="18645" spans="1:2" x14ac:dyDescent="0.25">
      <c r="A18645">
        <v>44123300236</v>
      </c>
      <c r="B18645" t="s">
        <v>7882</v>
      </c>
    </row>
    <row r="18646" spans="1:2" x14ac:dyDescent="0.25">
      <c r="A18646">
        <v>44123300237</v>
      </c>
      <c r="B18646" t="s">
        <v>7883</v>
      </c>
    </row>
    <row r="18647" spans="1:2" x14ac:dyDescent="0.25">
      <c r="A18647">
        <v>44123300238</v>
      </c>
      <c r="B18647" t="s">
        <v>7884</v>
      </c>
    </row>
    <row r="18648" spans="1:2" x14ac:dyDescent="0.25">
      <c r="A18648">
        <v>44123300239</v>
      </c>
      <c r="B18648" t="s">
        <v>7885</v>
      </c>
    </row>
    <row r="18649" spans="1:2" x14ac:dyDescent="0.25">
      <c r="A18649">
        <v>4412330024</v>
      </c>
      <c r="B18649" t="s">
        <v>7886</v>
      </c>
    </row>
    <row r="18650" spans="1:2" x14ac:dyDescent="0.25">
      <c r="A18650">
        <v>44123300241</v>
      </c>
      <c r="B18650" t="s">
        <v>7887</v>
      </c>
    </row>
    <row r="18651" spans="1:2" x14ac:dyDescent="0.25">
      <c r="A18651">
        <v>44123300242</v>
      </c>
      <c r="B18651" t="s">
        <v>7888</v>
      </c>
    </row>
    <row r="18652" spans="1:2" x14ac:dyDescent="0.25">
      <c r="A18652">
        <v>44123300243</v>
      </c>
      <c r="B18652" t="s">
        <v>7889</v>
      </c>
    </row>
    <row r="18653" spans="1:2" x14ac:dyDescent="0.25">
      <c r="A18653">
        <v>44123300244</v>
      </c>
      <c r="B18653" t="s">
        <v>7894</v>
      </c>
    </row>
    <row r="18654" spans="1:2" x14ac:dyDescent="0.25">
      <c r="A18654">
        <v>44123300245</v>
      </c>
      <c r="B18654" t="s">
        <v>7891</v>
      </c>
    </row>
    <row r="18655" spans="1:2" x14ac:dyDescent="0.25">
      <c r="A18655">
        <v>44123300246</v>
      </c>
      <c r="B18655" t="s">
        <v>7892</v>
      </c>
    </row>
    <row r="18656" spans="1:2" x14ac:dyDescent="0.25">
      <c r="A18656">
        <v>44123300250</v>
      </c>
      <c r="B18656" t="s">
        <v>57</v>
      </c>
    </row>
    <row r="18657" spans="1:2" x14ac:dyDescent="0.25">
      <c r="A18657">
        <v>441233003</v>
      </c>
      <c r="B18657" t="s">
        <v>7895</v>
      </c>
    </row>
    <row r="18658" spans="1:2" x14ac:dyDescent="0.25">
      <c r="A18658">
        <v>4412330031</v>
      </c>
      <c r="B18658" t="s">
        <v>7820</v>
      </c>
    </row>
    <row r="18659" spans="1:2" x14ac:dyDescent="0.25">
      <c r="A18659">
        <v>44123300311</v>
      </c>
      <c r="B18659" t="s">
        <v>7858</v>
      </c>
    </row>
    <row r="18660" spans="1:2" x14ac:dyDescent="0.25">
      <c r="A18660">
        <v>44123300312</v>
      </c>
      <c r="B18660" t="s">
        <v>7859</v>
      </c>
    </row>
    <row r="18661" spans="1:2" x14ac:dyDescent="0.25">
      <c r="A18661">
        <v>44123300313</v>
      </c>
      <c r="B18661" t="s">
        <v>7860</v>
      </c>
    </row>
    <row r="18662" spans="1:2" x14ac:dyDescent="0.25">
      <c r="A18662">
        <v>44123300314</v>
      </c>
      <c r="B18662" t="s">
        <v>7861</v>
      </c>
    </row>
    <row r="18663" spans="1:2" x14ac:dyDescent="0.25">
      <c r="A18663">
        <v>44123300315</v>
      </c>
      <c r="B18663" t="s">
        <v>7862</v>
      </c>
    </row>
    <row r="18664" spans="1:2" x14ac:dyDescent="0.25">
      <c r="A18664">
        <v>44123300316</v>
      </c>
      <c r="B18664" t="s">
        <v>7863</v>
      </c>
    </row>
    <row r="18665" spans="1:2" x14ac:dyDescent="0.25">
      <c r="A18665">
        <v>44123300317</v>
      </c>
      <c r="B18665" t="s">
        <v>7864</v>
      </c>
    </row>
    <row r="18666" spans="1:2" x14ac:dyDescent="0.25">
      <c r="A18666">
        <v>44123300318</v>
      </c>
      <c r="B18666" t="s">
        <v>7865</v>
      </c>
    </row>
    <row r="18667" spans="1:2" x14ac:dyDescent="0.25">
      <c r="A18667">
        <v>44123300319</v>
      </c>
      <c r="B18667" t="s">
        <v>7866</v>
      </c>
    </row>
    <row r="18668" spans="1:2" x14ac:dyDescent="0.25">
      <c r="A18668">
        <v>4412330032</v>
      </c>
      <c r="B18668" t="s">
        <v>7830</v>
      </c>
    </row>
    <row r="18669" spans="1:2" x14ac:dyDescent="0.25">
      <c r="A18669">
        <v>44123300321</v>
      </c>
      <c r="B18669" t="s">
        <v>7867</v>
      </c>
    </row>
    <row r="18670" spans="1:2" x14ac:dyDescent="0.25">
      <c r="A18670">
        <v>44123300322</v>
      </c>
      <c r="B18670" t="s">
        <v>7868</v>
      </c>
    </row>
    <row r="18671" spans="1:2" x14ac:dyDescent="0.25">
      <c r="A18671">
        <v>44123300323</v>
      </c>
      <c r="B18671" t="s">
        <v>7869</v>
      </c>
    </row>
    <row r="18672" spans="1:2" x14ac:dyDescent="0.25">
      <c r="A18672">
        <v>44123300324</v>
      </c>
      <c r="B18672" t="s">
        <v>7870</v>
      </c>
    </row>
    <row r="18673" spans="1:2" x14ac:dyDescent="0.25">
      <c r="A18673">
        <v>44123300325</v>
      </c>
      <c r="B18673" t="s">
        <v>7871</v>
      </c>
    </row>
    <row r="18674" spans="1:2" x14ac:dyDescent="0.25">
      <c r="A18674">
        <v>44123300326</v>
      </c>
      <c r="B18674" t="s">
        <v>7872</v>
      </c>
    </row>
    <row r="18675" spans="1:2" x14ac:dyDescent="0.25">
      <c r="A18675">
        <v>44123300327</v>
      </c>
      <c r="B18675" t="s">
        <v>7873</v>
      </c>
    </row>
    <row r="18676" spans="1:2" x14ac:dyDescent="0.25">
      <c r="A18676">
        <v>44123300328</v>
      </c>
      <c r="B18676" t="s">
        <v>7874</v>
      </c>
    </row>
    <row r="18677" spans="1:2" x14ac:dyDescent="0.25">
      <c r="A18677">
        <v>44123300329</v>
      </c>
      <c r="B18677" t="s">
        <v>7875</v>
      </c>
    </row>
    <row r="18678" spans="1:2" x14ac:dyDescent="0.25">
      <c r="A18678">
        <v>4412330033</v>
      </c>
      <c r="B18678" t="s">
        <v>7876</v>
      </c>
    </row>
    <row r="18679" spans="1:2" x14ac:dyDescent="0.25">
      <c r="A18679">
        <v>44123300331</v>
      </c>
      <c r="B18679" t="s">
        <v>7877</v>
      </c>
    </row>
    <row r="18680" spans="1:2" x14ac:dyDescent="0.25">
      <c r="A18680">
        <v>44123300332</v>
      </c>
      <c r="B18680" t="s">
        <v>7878</v>
      </c>
    </row>
    <row r="18681" spans="1:2" x14ac:dyDescent="0.25">
      <c r="A18681">
        <v>44123300333</v>
      </c>
      <c r="B18681" t="s">
        <v>7879</v>
      </c>
    </row>
    <row r="18682" spans="1:2" x14ac:dyDescent="0.25">
      <c r="A18682">
        <v>44123300334</v>
      </c>
      <c r="B18682" t="s">
        <v>7880</v>
      </c>
    </row>
    <row r="18683" spans="1:2" x14ac:dyDescent="0.25">
      <c r="A18683">
        <v>44123300335</v>
      </c>
      <c r="B18683" t="s">
        <v>7881</v>
      </c>
    </row>
    <row r="18684" spans="1:2" x14ac:dyDescent="0.25">
      <c r="A18684">
        <v>44123300336</v>
      </c>
      <c r="B18684" t="s">
        <v>7882</v>
      </c>
    </row>
    <row r="18685" spans="1:2" x14ac:dyDescent="0.25">
      <c r="A18685">
        <v>44123300337</v>
      </c>
      <c r="B18685" t="s">
        <v>7883</v>
      </c>
    </row>
    <row r="18686" spans="1:2" x14ac:dyDescent="0.25">
      <c r="A18686">
        <v>44123300338</v>
      </c>
      <c r="B18686" t="s">
        <v>7884</v>
      </c>
    </row>
    <row r="18687" spans="1:2" x14ac:dyDescent="0.25">
      <c r="A18687">
        <v>44123300339</v>
      </c>
      <c r="B18687" t="s">
        <v>7885</v>
      </c>
    </row>
    <row r="18688" spans="1:2" x14ac:dyDescent="0.25">
      <c r="A18688">
        <v>4412330034</v>
      </c>
      <c r="B18688" t="s">
        <v>7886</v>
      </c>
    </row>
    <row r="18689" spans="1:2" x14ac:dyDescent="0.25">
      <c r="A18689">
        <v>44123300341</v>
      </c>
      <c r="B18689" t="s">
        <v>7887</v>
      </c>
    </row>
    <row r="18690" spans="1:2" x14ac:dyDescent="0.25">
      <c r="A18690">
        <v>44123300342</v>
      </c>
      <c r="B18690" t="s">
        <v>7888</v>
      </c>
    </row>
    <row r="18691" spans="1:2" x14ac:dyDescent="0.25">
      <c r="A18691">
        <v>44123300343</v>
      </c>
      <c r="B18691" t="s">
        <v>7889</v>
      </c>
    </row>
    <row r="18692" spans="1:2" x14ac:dyDescent="0.25">
      <c r="A18692">
        <v>44123300344</v>
      </c>
      <c r="B18692" t="s">
        <v>7894</v>
      </c>
    </row>
    <row r="18693" spans="1:2" x14ac:dyDescent="0.25">
      <c r="A18693">
        <v>44123300345</v>
      </c>
      <c r="B18693" t="s">
        <v>7891</v>
      </c>
    </row>
    <row r="18694" spans="1:2" x14ac:dyDescent="0.25">
      <c r="A18694">
        <v>44123300346</v>
      </c>
      <c r="B18694" t="s">
        <v>7892</v>
      </c>
    </row>
    <row r="18695" spans="1:2" x14ac:dyDescent="0.25">
      <c r="A18695">
        <v>44123300350</v>
      </c>
      <c r="B18695" t="s">
        <v>57</v>
      </c>
    </row>
    <row r="18696" spans="1:2" x14ac:dyDescent="0.25">
      <c r="A18696">
        <v>44123300900</v>
      </c>
      <c r="B18696" t="s">
        <v>57</v>
      </c>
    </row>
    <row r="18697" spans="1:2" x14ac:dyDescent="0.25">
      <c r="A18697">
        <v>44123400</v>
      </c>
      <c r="B18697" t="s">
        <v>7896</v>
      </c>
    </row>
    <row r="18698" spans="1:2" x14ac:dyDescent="0.25">
      <c r="A18698">
        <v>441234001</v>
      </c>
      <c r="B18698" t="s">
        <v>6560</v>
      </c>
    </row>
    <row r="18699" spans="1:2" x14ac:dyDescent="0.25">
      <c r="A18699">
        <v>4412340011</v>
      </c>
      <c r="B18699" t="s">
        <v>7820</v>
      </c>
    </row>
    <row r="18700" spans="1:2" x14ac:dyDescent="0.25">
      <c r="A18700">
        <v>44123400111</v>
      </c>
      <c r="B18700" t="s">
        <v>7821</v>
      </c>
    </row>
    <row r="18701" spans="1:2" x14ac:dyDescent="0.25">
      <c r="A18701">
        <v>44123400112</v>
      </c>
      <c r="B18701" t="s">
        <v>7822</v>
      </c>
    </row>
    <row r="18702" spans="1:2" x14ac:dyDescent="0.25">
      <c r="A18702">
        <v>44123400113</v>
      </c>
      <c r="B18702" t="s">
        <v>7823</v>
      </c>
    </row>
    <row r="18703" spans="1:2" x14ac:dyDescent="0.25">
      <c r="A18703">
        <v>44123400114</v>
      </c>
      <c r="B18703" t="s">
        <v>7824</v>
      </c>
    </row>
    <row r="18704" spans="1:2" x14ac:dyDescent="0.25">
      <c r="A18704">
        <v>44123400115</v>
      </c>
      <c r="B18704" t="s">
        <v>7825</v>
      </c>
    </row>
    <row r="18705" spans="1:2" x14ac:dyDescent="0.25">
      <c r="A18705">
        <v>44123400116</v>
      </c>
      <c r="B18705" t="s">
        <v>7897</v>
      </c>
    </row>
    <row r="18706" spans="1:2" x14ac:dyDescent="0.25">
      <c r="A18706">
        <v>44123400117</v>
      </c>
      <c r="B18706" t="s">
        <v>7827</v>
      </c>
    </row>
    <row r="18707" spans="1:2" x14ac:dyDescent="0.25">
      <c r="A18707">
        <v>44123400118</v>
      </c>
      <c r="B18707" t="s">
        <v>7828</v>
      </c>
    </row>
    <row r="18708" spans="1:2" x14ac:dyDescent="0.25">
      <c r="A18708">
        <v>44123400119</v>
      </c>
      <c r="B18708" t="s">
        <v>7829</v>
      </c>
    </row>
    <row r="18709" spans="1:2" x14ac:dyDescent="0.25">
      <c r="A18709">
        <v>4412340012</v>
      </c>
      <c r="B18709" t="s">
        <v>7830</v>
      </c>
    </row>
    <row r="18710" spans="1:2" x14ac:dyDescent="0.25">
      <c r="A18710">
        <v>44123400121</v>
      </c>
      <c r="B18710" t="s">
        <v>7831</v>
      </c>
    </row>
    <row r="18711" spans="1:2" x14ac:dyDescent="0.25">
      <c r="A18711">
        <v>44123400122</v>
      </c>
      <c r="B18711" t="s">
        <v>7832</v>
      </c>
    </row>
    <row r="18712" spans="1:2" x14ac:dyDescent="0.25">
      <c r="A18712">
        <v>44123400123</v>
      </c>
      <c r="B18712" t="s">
        <v>7833</v>
      </c>
    </row>
    <row r="18713" spans="1:2" x14ac:dyDescent="0.25">
      <c r="A18713">
        <v>44123400124</v>
      </c>
      <c r="B18713" t="s">
        <v>7834</v>
      </c>
    </row>
    <row r="18714" spans="1:2" x14ac:dyDescent="0.25">
      <c r="A18714">
        <v>44123400125</v>
      </c>
      <c r="B18714" t="s">
        <v>7835</v>
      </c>
    </row>
    <row r="18715" spans="1:2" x14ac:dyDescent="0.25">
      <c r="A18715">
        <v>44123400126</v>
      </c>
      <c r="B18715" t="s">
        <v>7898</v>
      </c>
    </row>
    <row r="18716" spans="1:2" x14ac:dyDescent="0.25">
      <c r="A18716">
        <v>44123400127</v>
      </c>
      <c r="B18716" t="s">
        <v>7837</v>
      </c>
    </row>
    <row r="18717" spans="1:2" x14ac:dyDescent="0.25">
      <c r="A18717">
        <v>44123400128</v>
      </c>
      <c r="B18717" t="s">
        <v>7838</v>
      </c>
    </row>
    <row r="18718" spans="1:2" x14ac:dyDescent="0.25">
      <c r="A18718">
        <v>44123400129</v>
      </c>
      <c r="B18718" t="s">
        <v>7839</v>
      </c>
    </row>
    <row r="18719" spans="1:2" x14ac:dyDescent="0.25">
      <c r="A18719">
        <v>4412340013</v>
      </c>
      <c r="B18719" t="s">
        <v>7876</v>
      </c>
    </row>
    <row r="18720" spans="1:2" x14ac:dyDescent="0.25">
      <c r="A18720">
        <v>44123400131</v>
      </c>
      <c r="B18720" t="s">
        <v>7841</v>
      </c>
    </row>
    <row r="18721" spans="1:2" x14ac:dyDescent="0.25">
      <c r="A18721">
        <v>44123400132</v>
      </c>
      <c r="B18721" t="s">
        <v>7842</v>
      </c>
    </row>
    <row r="18722" spans="1:2" x14ac:dyDescent="0.25">
      <c r="A18722">
        <v>44123400133</v>
      </c>
      <c r="B18722" t="s">
        <v>7843</v>
      </c>
    </row>
    <row r="18723" spans="1:2" x14ac:dyDescent="0.25">
      <c r="A18723">
        <v>44123400134</v>
      </c>
      <c r="B18723" t="s">
        <v>7844</v>
      </c>
    </row>
    <row r="18724" spans="1:2" x14ac:dyDescent="0.25">
      <c r="A18724">
        <v>44123400135</v>
      </c>
      <c r="B18724" t="s">
        <v>7845</v>
      </c>
    </row>
    <row r="18725" spans="1:2" x14ac:dyDescent="0.25">
      <c r="A18725">
        <v>44123400136</v>
      </c>
      <c r="B18725" t="s">
        <v>7846</v>
      </c>
    </row>
    <row r="18726" spans="1:2" x14ac:dyDescent="0.25">
      <c r="A18726">
        <v>44123400137</v>
      </c>
      <c r="B18726" t="s">
        <v>7847</v>
      </c>
    </row>
    <row r="18727" spans="1:2" x14ac:dyDescent="0.25">
      <c r="A18727">
        <v>44123400138</v>
      </c>
      <c r="B18727" t="s">
        <v>7848</v>
      </c>
    </row>
    <row r="18728" spans="1:2" x14ac:dyDescent="0.25">
      <c r="A18728">
        <v>44123400139</v>
      </c>
      <c r="B18728" t="s">
        <v>7849</v>
      </c>
    </row>
    <row r="18729" spans="1:2" x14ac:dyDescent="0.25">
      <c r="A18729">
        <v>4412340014</v>
      </c>
      <c r="B18729" t="s">
        <v>7886</v>
      </c>
    </row>
    <row r="18730" spans="1:2" x14ac:dyDescent="0.25">
      <c r="A18730">
        <v>44123400141</v>
      </c>
      <c r="B18730" t="s">
        <v>7854</v>
      </c>
    </row>
    <row r="18731" spans="1:2" x14ac:dyDescent="0.25">
      <c r="A18731">
        <v>44123400142</v>
      </c>
      <c r="B18731" t="s">
        <v>7855</v>
      </c>
    </row>
    <row r="18732" spans="1:2" x14ac:dyDescent="0.25">
      <c r="A18732">
        <v>44123400143</v>
      </c>
      <c r="B18732" t="s">
        <v>7856</v>
      </c>
    </row>
    <row r="18733" spans="1:2" x14ac:dyDescent="0.25">
      <c r="A18733">
        <v>44123400144</v>
      </c>
      <c r="B18733" t="s">
        <v>7817</v>
      </c>
    </row>
    <row r="18734" spans="1:2" x14ac:dyDescent="0.25">
      <c r="A18734">
        <v>44123400145</v>
      </c>
      <c r="B18734" t="s">
        <v>7818</v>
      </c>
    </row>
    <row r="18735" spans="1:2" x14ac:dyDescent="0.25">
      <c r="A18735">
        <v>44123400146</v>
      </c>
      <c r="B18735" t="s">
        <v>7819</v>
      </c>
    </row>
    <row r="18736" spans="1:2" x14ac:dyDescent="0.25">
      <c r="A18736">
        <v>44123400150</v>
      </c>
      <c r="B18736" t="s">
        <v>57</v>
      </c>
    </row>
    <row r="18737" spans="1:2" x14ac:dyDescent="0.25">
      <c r="A18737">
        <v>441234002</v>
      </c>
      <c r="B18737" t="s">
        <v>7893</v>
      </c>
    </row>
    <row r="18738" spans="1:2" x14ac:dyDescent="0.25">
      <c r="A18738">
        <v>4412340021</v>
      </c>
      <c r="B18738" t="s">
        <v>7820</v>
      </c>
    </row>
    <row r="18739" spans="1:2" x14ac:dyDescent="0.25">
      <c r="A18739">
        <v>44123400211</v>
      </c>
      <c r="B18739" t="s">
        <v>7858</v>
      </c>
    </row>
    <row r="18740" spans="1:2" x14ac:dyDescent="0.25">
      <c r="A18740">
        <v>44123400212</v>
      </c>
      <c r="B18740" t="s">
        <v>7859</v>
      </c>
    </row>
    <row r="18741" spans="1:2" x14ac:dyDescent="0.25">
      <c r="A18741">
        <v>44123400213</v>
      </c>
      <c r="B18741" t="s">
        <v>7860</v>
      </c>
    </row>
    <row r="18742" spans="1:2" x14ac:dyDescent="0.25">
      <c r="A18742">
        <v>44123400214</v>
      </c>
      <c r="B18742" t="s">
        <v>7861</v>
      </c>
    </row>
    <row r="18743" spans="1:2" x14ac:dyDescent="0.25">
      <c r="A18743">
        <v>44123400215</v>
      </c>
      <c r="B18743" t="s">
        <v>7862</v>
      </c>
    </row>
    <row r="18744" spans="1:2" x14ac:dyDescent="0.25">
      <c r="A18744">
        <v>44123400216</v>
      </c>
      <c r="B18744" t="s">
        <v>7863</v>
      </c>
    </row>
    <row r="18745" spans="1:2" x14ac:dyDescent="0.25">
      <c r="A18745">
        <v>44123400217</v>
      </c>
      <c r="B18745" t="s">
        <v>7864</v>
      </c>
    </row>
    <row r="18746" spans="1:2" x14ac:dyDescent="0.25">
      <c r="A18746">
        <v>44123400218</v>
      </c>
      <c r="B18746" t="s">
        <v>7865</v>
      </c>
    </row>
    <row r="18747" spans="1:2" x14ac:dyDescent="0.25">
      <c r="A18747">
        <v>44123400219</v>
      </c>
      <c r="B18747" t="s">
        <v>7866</v>
      </c>
    </row>
    <row r="18748" spans="1:2" x14ac:dyDescent="0.25">
      <c r="A18748">
        <v>4412340022</v>
      </c>
      <c r="B18748" t="s">
        <v>7830</v>
      </c>
    </row>
    <row r="18749" spans="1:2" x14ac:dyDescent="0.25">
      <c r="A18749">
        <v>44123400221</v>
      </c>
      <c r="B18749" t="s">
        <v>7867</v>
      </c>
    </row>
    <row r="18750" spans="1:2" x14ac:dyDescent="0.25">
      <c r="A18750">
        <v>44123400222</v>
      </c>
      <c r="B18750" t="s">
        <v>7868</v>
      </c>
    </row>
    <row r="18751" spans="1:2" x14ac:dyDescent="0.25">
      <c r="A18751">
        <v>44123400223</v>
      </c>
      <c r="B18751" t="s">
        <v>7869</v>
      </c>
    </row>
    <row r="18752" spans="1:2" x14ac:dyDescent="0.25">
      <c r="A18752">
        <v>44123400224</v>
      </c>
      <c r="B18752" t="s">
        <v>7870</v>
      </c>
    </row>
    <row r="18753" spans="1:2" x14ac:dyDescent="0.25">
      <c r="A18753">
        <v>44123400225</v>
      </c>
      <c r="B18753" t="s">
        <v>7871</v>
      </c>
    </row>
    <row r="18754" spans="1:2" x14ac:dyDescent="0.25">
      <c r="A18754">
        <v>44123400226</v>
      </c>
      <c r="B18754" t="s">
        <v>7872</v>
      </c>
    </row>
    <row r="18755" spans="1:2" x14ac:dyDescent="0.25">
      <c r="A18755">
        <v>44123400227</v>
      </c>
      <c r="B18755" t="s">
        <v>7873</v>
      </c>
    </row>
    <row r="18756" spans="1:2" x14ac:dyDescent="0.25">
      <c r="A18756">
        <v>44123400228</v>
      </c>
      <c r="B18756" t="s">
        <v>7874</v>
      </c>
    </row>
    <row r="18757" spans="1:2" x14ac:dyDescent="0.25">
      <c r="A18757">
        <v>44123400229</v>
      </c>
      <c r="B18757" t="s">
        <v>7875</v>
      </c>
    </row>
    <row r="18758" spans="1:2" x14ac:dyDescent="0.25">
      <c r="A18758">
        <v>4412340023</v>
      </c>
      <c r="B18758" t="s">
        <v>7876</v>
      </c>
    </row>
    <row r="18759" spans="1:2" x14ac:dyDescent="0.25">
      <c r="A18759">
        <v>44123400231</v>
      </c>
      <c r="B18759" t="s">
        <v>7877</v>
      </c>
    </row>
    <row r="18760" spans="1:2" x14ac:dyDescent="0.25">
      <c r="A18760">
        <v>44123400232</v>
      </c>
      <c r="B18760" t="s">
        <v>7878</v>
      </c>
    </row>
    <row r="18761" spans="1:2" x14ac:dyDescent="0.25">
      <c r="A18761">
        <v>44123400233</v>
      </c>
      <c r="B18761" t="s">
        <v>7879</v>
      </c>
    </row>
    <row r="18762" spans="1:2" x14ac:dyDescent="0.25">
      <c r="A18762">
        <v>44123400234</v>
      </c>
      <c r="B18762" t="s">
        <v>7880</v>
      </c>
    </row>
    <row r="18763" spans="1:2" x14ac:dyDescent="0.25">
      <c r="A18763">
        <v>44123400235</v>
      </c>
      <c r="B18763" t="s">
        <v>7881</v>
      </c>
    </row>
    <row r="18764" spans="1:2" x14ac:dyDescent="0.25">
      <c r="A18764">
        <v>44123400236</v>
      </c>
      <c r="B18764" t="s">
        <v>7882</v>
      </c>
    </row>
    <row r="18765" spans="1:2" x14ac:dyDescent="0.25">
      <c r="A18765">
        <v>44123400237</v>
      </c>
      <c r="B18765" t="s">
        <v>7883</v>
      </c>
    </row>
    <row r="18766" spans="1:2" x14ac:dyDescent="0.25">
      <c r="A18766">
        <v>44123400238</v>
      </c>
      <c r="B18766" t="s">
        <v>7884</v>
      </c>
    </row>
    <row r="18767" spans="1:2" x14ac:dyDescent="0.25">
      <c r="A18767">
        <v>44123400239</v>
      </c>
      <c r="B18767" t="s">
        <v>7885</v>
      </c>
    </row>
    <row r="18768" spans="1:2" x14ac:dyDescent="0.25">
      <c r="A18768">
        <v>4412340024</v>
      </c>
      <c r="B18768" t="s">
        <v>7886</v>
      </c>
    </row>
    <row r="18769" spans="1:2" x14ac:dyDescent="0.25">
      <c r="A18769">
        <v>44123400241</v>
      </c>
      <c r="B18769" t="s">
        <v>7887</v>
      </c>
    </row>
    <row r="18770" spans="1:2" x14ac:dyDescent="0.25">
      <c r="A18770">
        <v>44123400242</v>
      </c>
      <c r="B18770" t="s">
        <v>7888</v>
      </c>
    </row>
    <row r="18771" spans="1:2" x14ac:dyDescent="0.25">
      <c r="A18771">
        <v>44123400243</v>
      </c>
      <c r="B18771" t="s">
        <v>7889</v>
      </c>
    </row>
    <row r="18772" spans="1:2" x14ac:dyDescent="0.25">
      <c r="A18772">
        <v>44123400244</v>
      </c>
      <c r="B18772" t="s">
        <v>7894</v>
      </c>
    </row>
    <row r="18773" spans="1:2" x14ac:dyDescent="0.25">
      <c r="A18773">
        <v>44123400245</v>
      </c>
      <c r="B18773" t="s">
        <v>7891</v>
      </c>
    </row>
    <row r="18774" spans="1:2" x14ac:dyDescent="0.25">
      <c r="A18774">
        <v>44123400246</v>
      </c>
      <c r="B18774" t="s">
        <v>7892</v>
      </c>
    </row>
    <row r="18775" spans="1:2" x14ac:dyDescent="0.25">
      <c r="A18775">
        <v>44123400250</v>
      </c>
      <c r="B18775" t="s">
        <v>57</v>
      </c>
    </row>
    <row r="18776" spans="1:2" x14ac:dyDescent="0.25">
      <c r="A18776">
        <v>441234003</v>
      </c>
      <c r="B18776" t="s">
        <v>7895</v>
      </c>
    </row>
    <row r="18777" spans="1:2" x14ac:dyDescent="0.25">
      <c r="A18777">
        <v>4412340031</v>
      </c>
      <c r="B18777" t="s">
        <v>7820</v>
      </c>
    </row>
    <row r="18778" spans="1:2" x14ac:dyDescent="0.25">
      <c r="A18778">
        <v>44123400311</v>
      </c>
      <c r="B18778" t="s">
        <v>7858</v>
      </c>
    </row>
    <row r="18779" spans="1:2" x14ac:dyDescent="0.25">
      <c r="A18779">
        <v>44123400312</v>
      </c>
      <c r="B18779" t="s">
        <v>7859</v>
      </c>
    </row>
    <row r="18780" spans="1:2" x14ac:dyDescent="0.25">
      <c r="A18780">
        <v>44123400313</v>
      </c>
      <c r="B18780" t="s">
        <v>7860</v>
      </c>
    </row>
    <row r="18781" spans="1:2" x14ac:dyDescent="0.25">
      <c r="A18781">
        <v>44123400314</v>
      </c>
      <c r="B18781" t="s">
        <v>7861</v>
      </c>
    </row>
    <row r="18782" spans="1:2" x14ac:dyDescent="0.25">
      <c r="A18782">
        <v>44123400315</v>
      </c>
      <c r="B18782" t="s">
        <v>7862</v>
      </c>
    </row>
    <row r="18783" spans="1:2" x14ac:dyDescent="0.25">
      <c r="A18783">
        <v>44123400316</v>
      </c>
      <c r="B18783" t="s">
        <v>7863</v>
      </c>
    </row>
    <row r="18784" spans="1:2" x14ac:dyDescent="0.25">
      <c r="A18784">
        <v>44123400317</v>
      </c>
      <c r="B18784" t="s">
        <v>7864</v>
      </c>
    </row>
    <row r="18785" spans="1:2" x14ac:dyDescent="0.25">
      <c r="A18785">
        <v>44123400318</v>
      </c>
      <c r="B18785" t="s">
        <v>7865</v>
      </c>
    </row>
    <row r="18786" spans="1:2" x14ac:dyDescent="0.25">
      <c r="A18786">
        <v>44123400319</v>
      </c>
      <c r="B18786" t="s">
        <v>7866</v>
      </c>
    </row>
    <row r="18787" spans="1:2" x14ac:dyDescent="0.25">
      <c r="A18787">
        <v>4412340032</v>
      </c>
      <c r="B18787" t="s">
        <v>7830</v>
      </c>
    </row>
    <row r="18788" spans="1:2" x14ac:dyDescent="0.25">
      <c r="A18788">
        <v>44123400321</v>
      </c>
      <c r="B18788" t="s">
        <v>7867</v>
      </c>
    </row>
    <row r="18789" spans="1:2" x14ac:dyDescent="0.25">
      <c r="A18789">
        <v>44123400322</v>
      </c>
      <c r="B18789" t="s">
        <v>7868</v>
      </c>
    </row>
    <row r="18790" spans="1:2" x14ac:dyDescent="0.25">
      <c r="A18790">
        <v>44123400323</v>
      </c>
      <c r="B18790" t="s">
        <v>7869</v>
      </c>
    </row>
    <row r="18791" spans="1:2" x14ac:dyDescent="0.25">
      <c r="A18791">
        <v>44123400324</v>
      </c>
      <c r="B18791" t="s">
        <v>7870</v>
      </c>
    </row>
    <row r="18792" spans="1:2" x14ac:dyDescent="0.25">
      <c r="A18792">
        <v>44123400325</v>
      </c>
      <c r="B18792" t="s">
        <v>7871</v>
      </c>
    </row>
    <row r="18793" spans="1:2" x14ac:dyDescent="0.25">
      <c r="A18793">
        <v>44123400326</v>
      </c>
      <c r="B18793" t="s">
        <v>7872</v>
      </c>
    </row>
    <row r="18794" spans="1:2" x14ac:dyDescent="0.25">
      <c r="A18794">
        <v>44123400327</v>
      </c>
      <c r="B18794" t="s">
        <v>7873</v>
      </c>
    </row>
    <row r="18795" spans="1:2" x14ac:dyDescent="0.25">
      <c r="A18795">
        <v>44123400328</v>
      </c>
      <c r="B18795" t="s">
        <v>7874</v>
      </c>
    </row>
    <row r="18796" spans="1:2" x14ac:dyDescent="0.25">
      <c r="A18796">
        <v>44123400329</v>
      </c>
      <c r="B18796" t="s">
        <v>7875</v>
      </c>
    </row>
    <row r="18797" spans="1:2" x14ac:dyDescent="0.25">
      <c r="A18797">
        <v>4412340033</v>
      </c>
      <c r="B18797" t="s">
        <v>7876</v>
      </c>
    </row>
    <row r="18798" spans="1:2" x14ac:dyDescent="0.25">
      <c r="A18798">
        <v>44123400331</v>
      </c>
      <c r="B18798" t="s">
        <v>7877</v>
      </c>
    </row>
    <row r="18799" spans="1:2" x14ac:dyDescent="0.25">
      <c r="A18799">
        <v>44123400332</v>
      </c>
      <c r="B18799" t="s">
        <v>7878</v>
      </c>
    </row>
    <row r="18800" spans="1:2" x14ac:dyDescent="0.25">
      <c r="A18800">
        <v>44123400333</v>
      </c>
      <c r="B18800" t="s">
        <v>7899</v>
      </c>
    </row>
    <row r="18801" spans="1:2" x14ac:dyDescent="0.25">
      <c r="A18801">
        <v>44123400334</v>
      </c>
      <c r="B18801" t="s">
        <v>7880</v>
      </c>
    </row>
    <row r="18802" spans="1:2" x14ac:dyDescent="0.25">
      <c r="A18802">
        <v>44123400335</v>
      </c>
      <c r="B18802" t="s">
        <v>7881</v>
      </c>
    </row>
    <row r="18803" spans="1:2" x14ac:dyDescent="0.25">
      <c r="A18803">
        <v>44123400336</v>
      </c>
      <c r="B18803" t="s">
        <v>7882</v>
      </c>
    </row>
    <row r="18804" spans="1:2" x14ac:dyDescent="0.25">
      <c r="A18804">
        <v>44123400337</v>
      </c>
      <c r="B18804" t="s">
        <v>7883</v>
      </c>
    </row>
    <row r="18805" spans="1:2" x14ac:dyDescent="0.25">
      <c r="A18805">
        <v>44123400338</v>
      </c>
      <c r="B18805" t="s">
        <v>7884</v>
      </c>
    </row>
    <row r="18806" spans="1:2" x14ac:dyDescent="0.25">
      <c r="A18806">
        <v>44123400339</v>
      </c>
      <c r="B18806" t="s">
        <v>7885</v>
      </c>
    </row>
    <row r="18807" spans="1:2" x14ac:dyDescent="0.25">
      <c r="A18807">
        <v>4412340034</v>
      </c>
      <c r="B18807" t="s">
        <v>7886</v>
      </c>
    </row>
    <row r="18808" spans="1:2" x14ac:dyDescent="0.25">
      <c r="A18808">
        <v>44123400341</v>
      </c>
      <c r="B18808" t="s">
        <v>7887</v>
      </c>
    </row>
    <row r="18809" spans="1:2" x14ac:dyDescent="0.25">
      <c r="A18809">
        <v>44123400342</v>
      </c>
      <c r="B18809" t="s">
        <v>7888</v>
      </c>
    </row>
    <row r="18810" spans="1:2" x14ac:dyDescent="0.25">
      <c r="A18810">
        <v>44123400343</v>
      </c>
      <c r="B18810" t="s">
        <v>7889</v>
      </c>
    </row>
    <row r="18811" spans="1:2" x14ac:dyDescent="0.25">
      <c r="A18811">
        <v>44123400344</v>
      </c>
      <c r="B18811" t="s">
        <v>7894</v>
      </c>
    </row>
    <row r="18812" spans="1:2" x14ac:dyDescent="0.25">
      <c r="A18812">
        <v>44123400345</v>
      </c>
      <c r="B18812" t="s">
        <v>7891</v>
      </c>
    </row>
    <row r="18813" spans="1:2" x14ac:dyDescent="0.25">
      <c r="A18813">
        <v>44123400346</v>
      </c>
      <c r="B18813" t="s">
        <v>7892</v>
      </c>
    </row>
    <row r="18814" spans="1:2" x14ac:dyDescent="0.25">
      <c r="A18814">
        <v>44123400350</v>
      </c>
      <c r="B18814" t="s">
        <v>57</v>
      </c>
    </row>
    <row r="18815" spans="1:2" x14ac:dyDescent="0.25">
      <c r="A18815">
        <v>44123400900</v>
      </c>
      <c r="B18815" t="s">
        <v>57</v>
      </c>
    </row>
    <row r="18816" spans="1:2" x14ac:dyDescent="0.25">
      <c r="A18816">
        <v>44123900</v>
      </c>
      <c r="B18816" t="e">
        <f>- - las demas. Con las dos Hojas externas de madera de coniferas</f>
        <v>#NAME?</v>
      </c>
    </row>
    <row r="18817" spans="1:2" x14ac:dyDescent="0.25">
      <c r="A18817">
        <v>441239001</v>
      </c>
      <c r="B18817" t="s">
        <v>7820</v>
      </c>
    </row>
    <row r="18818" spans="1:2" x14ac:dyDescent="0.25">
      <c r="A18818">
        <v>44123900110</v>
      </c>
      <c r="B18818" t="s">
        <v>7821</v>
      </c>
    </row>
    <row r="18819" spans="1:2" x14ac:dyDescent="0.25">
      <c r="A18819">
        <v>44123900120</v>
      </c>
      <c r="B18819" t="s">
        <v>7822</v>
      </c>
    </row>
    <row r="18820" spans="1:2" x14ac:dyDescent="0.25">
      <c r="A18820">
        <v>44123900130</v>
      </c>
      <c r="B18820" t="s">
        <v>7823</v>
      </c>
    </row>
    <row r="18821" spans="1:2" x14ac:dyDescent="0.25">
      <c r="A18821">
        <v>44123900140</v>
      </c>
      <c r="B18821" t="s">
        <v>7824</v>
      </c>
    </row>
    <row r="18822" spans="1:2" x14ac:dyDescent="0.25">
      <c r="A18822">
        <v>44123900150</v>
      </c>
      <c r="B18822" t="s">
        <v>7825</v>
      </c>
    </row>
    <row r="18823" spans="1:2" x14ac:dyDescent="0.25">
      <c r="A18823">
        <v>44123900160</v>
      </c>
      <c r="B18823" t="s">
        <v>7897</v>
      </c>
    </row>
    <row r="18824" spans="1:2" x14ac:dyDescent="0.25">
      <c r="A18824">
        <v>44123900170</v>
      </c>
      <c r="B18824" t="s">
        <v>7827</v>
      </c>
    </row>
    <row r="18825" spans="1:2" x14ac:dyDescent="0.25">
      <c r="A18825">
        <v>44123900180</v>
      </c>
      <c r="B18825" t="s">
        <v>7828</v>
      </c>
    </row>
    <row r="18826" spans="1:2" x14ac:dyDescent="0.25">
      <c r="A18826">
        <v>44123900190</v>
      </c>
      <c r="B18826" t="s">
        <v>7829</v>
      </c>
    </row>
    <row r="18827" spans="1:2" x14ac:dyDescent="0.25">
      <c r="A18827">
        <v>441239002</v>
      </c>
      <c r="B18827" t="s">
        <v>7830</v>
      </c>
    </row>
    <row r="18828" spans="1:2" x14ac:dyDescent="0.25">
      <c r="A18828">
        <v>44123900210</v>
      </c>
      <c r="B18828" t="s">
        <v>7831</v>
      </c>
    </row>
    <row r="18829" spans="1:2" x14ac:dyDescent="0.25">
      <c r="A18829">
        <v>44123900220</v>
      </c>
      <c r="B18829" t="s">
        <v>7832</v>
      </c>
    </row>
    <row r="18830" spans="1:2" x14ac:dyDescent="0.25">
      <c r="A18830">
        <v>44123900230</v>
      </c>
      <c r="B18830" t="s">
        <v>7833</v>
      </c>
    </row>
    <row r="18831" spans="1:2" x14ac:dyDescent="0.25">
      <c r="A18831">
        <v>44123900240</v>
      </c>
      <c r="B18831" t="s">
        <v>7834</v>
      </c>
    </row>
    <row r="18832" spans="1:2" x14ac:dyDescent="0.25">
      <c r="A18832">
        <v>44123900250</v>
      </c>
      <c r="B18832" t="s">
        <v>7835</v>
      </c>
    </row>
    <row r="18833" spans="1:2" x14ac:dyDescent="0.25">
      <c r="A18833">
        <v>44123900260</v>
      </c>
      <c r="B18833" t="s">
        <v>7836</v>
      </c>
    </row>
    <row r="18834" spans="1:2" x14ac:dyDescent="0.25">
      <c r="A18834">
        <v>44123900270</v>
      </c>
      <c r="B18834" t="s">
        <v>7837</v>
      </c>
    </row>
    <row r="18835" spans="1:2" x14ac:dyDescent="0.25">
      <c r="A18835">
        <v>44123900280</v>
      </c>
      <c r="B18835" t="s">
        <v>7838</v>
      </c>
    </row>
    <row r="18836" spans="1:2" x14ac:dyDescent="0.25">
      <c r="A18836">
        <v>44123900290</v>
      </c>
      <c r="B18836" t="s">
        <v>7839</v>
      </c>
    </row>
    <row r="18837" spans="1:2" x14ac:dyDescent="0.25">
      <c r="A18837">
        <v>441239003</v>
      </c>
      <c r="B18837" t="s">
        <v>7852</v>
      </c>
    </row>
    <row r="18838" spans="1:2" x14ac:dyDescent="0.25">
      <c r="A18838">
        <v>44123900310</v>
      </c>
      <c r="B18838" t="s">
        <v>7841</v>
      </c>
    </row>
    <row r="18839" spans="1:2" x14ac:dyDescent="0.25">
      <c r="A18839">
        <v>44123900320</v>
      </c>
      <c r="B18839" t="s">
        <v>7842</v>
      </c>
    </row>
    <row r="18840" spans="1:2" x14ac:dyDescent="0.25">
      <c r="A18840">
        <v>44123900330</v>
      </c>
      <c r="B18840" t="s">
        <v>7843</v>
      </c>
    </row>
    <row r="18841" spans="1:2" x14ac:dyDescent="0.25">
      <c r="A18841">
        <v>44123900340</v>
      </c>
      <c r="B18841" t="s">
        <v>7844</v>
      </c>
    </row>
    <row r="18842" spans="1:2" x14ac:dyDescent="0.25">
      <c r="A18842">
        <v>44123900350</v>
      </c>
      <c r="B18842" t="s">
        <v>7845</v>
      </c>
    </row>
    <row r="18843" spans="1:2" x14ac:dyDescent="0.25">
      <c r="A18843">
        <v>44123900360</v>
      </c>
      <c r="B18843" t="s">
        <v>7846</v>
      </c>
    </row>
    <row r="18844" spans="1:2" x14ac:dyDescent="0.25">
      <c r="A18844">
        <v>44123900370</v>
      </c>
      <c r="B18844" t="s">
        <v>7847</v>
      </c>
    </row>
    <row r="18845" spans="1:2" x14ac:dyDescent="0.25">
      <c r="A18845">
        <v>44123900380</v>
      </c>
      <c r="B18845" t="s">
        <v>7848</v>
      </c>
    </row>
    <row r="18846" spans="1:2" x14ac:dyDescent="0.25">
      <c r="A18846">
        <v>44123900390</v>
      </c>
      <c r="B18846" t="s">
        <v>7849</v>
      </c>
    </row>
    <row r="18847" spans="1:2" x14ac:dyDescent="0.25">
      <c r="A18847">
        <v>441239004</v>
      </c>
      <c r="B18847" t="s">
        <v>7853</v>
      </c>
    </row>
    <row r="18848" spans="1:2" x14ac:dyDescent="0.25">
      <c r="A18848">
        <v>44123900410</v>
      </c>
      <c r="B18848" t="s">
        <v>7854</v>
      </c>
    </row>
    <row r="18849" spans="1:2" x14ac:dyDescent="0.25">
      <c r="A18849">
        <v>44123900420</v>
      </c>
      <c r="B18849" t="s">
        <v>7855</v>
      </c>
    </row>
    <row r="18850" spans="1:2" x14ac:dyDescent="0.25">
      <c r="A18850">
        <v>44123900430</v>
      </c>
      <c r="B18850" t="s">
        <v>7856</v>
      </c>
    </row>
    <row r="18851" spans="1:2" x14ac:dyDescent="0.25">
      <c r="A18851">
        <v>44123900440</v>
      </c>
      <c r="B18851" t="s">
        <v>7817</v>
      </c>
    </row>
    <row r="18852" spans="1:2" x14ac:dyDescent="0.25">
      <c r="A18852">
        <v>44123900450</v>
      </c>
      <c r="B18852" t="s">
        <v>7818</v>
      </c>
    </row>
    <row r="18853" spans="1:2" x14ac:dyDescent="0.25">
      <c r="A18853">
        <v>44123900460</v>
      </c>
      <c r="B18853" t="s">
        <v>7819</v>
      </c>
    </row>
    <row r="18854" spans="1:2" x14ac:dyDescent="0.25">
      <c r="A18854">
        <v>44123900900</v>
      </c>
      <c r="B18854" t="s">
        <v>57</v>
      </c>
    </row>
    <row r="18855" spans="1:2" x14ac:dyDescent="0.25">
      <c r="A18855">
        <v>44129</v>
      </c>
      <c r="B18855" t="s">
        <v>567</v>
      </c>
    </row>
    <row r="18856" spans="1:2" x14ac:dyDescent="0.25">
      <c r="A18856">
        <v>44129400000</v>
      </c>
      <c r="B18856" t="s">
        <v>7900</v>
      </c>
    </row>
    <row r="18857" spans="1:2" x14ac:dyDescent="0.25">
      <c r="A18857">
        <v>44129900</v>
      </c>
      <c r="B18857" t="e">
        <f>- - las demas</f>
        <v>#NAME?</v>
      </c>
    </row>
    <row r="18858" spans="1:2" x14ac:dyDescent="0.25">
      <c r="A18858">
        <v>441299001</v>
      </c>
      <c r="B18858" t="s">
        <v>7901</v>
      </c>
    </row>
    <row r="18859" spans="1:2" x14ac:dyDescent="0.25">
      <c r="A18859">
        <v>4412990012</v>
      </c>
      <c r="B18859" t="s">
        <v>7902</v>
      </c>
    </row>
    <row r="18860" spans="1:2" x14ac:dyDescent="0.25">
      <c r="A18860">
        <v>44129900121</v>
      </c>
      <c r="B18860" t="s">
        <v>7678</v>
      </c>
    </row>
    <row r="18861" spans="1:2" x14ac:dyDescent="0.25">
      <c r="A18861">
        <v>44129900122</v>
      </c>
      <c r="B18861" t="s">
        <v>7679</v>
      </c>
    </row>
    <row r="18862" spans="1:2" x14ac:dyDescent="0.25">
      <c r="A18862">
        <v>44129900123</v>
      </c>
      <c r="B18862" t="s">
        <v>7680</v>
      </c>
    </row>
    <row r="18863" spans="1:2" x14ac:dyDescent="0.25">
      <c r="A18863">
        <v>44129900124</v>
      </c>
      <c r="B18863" t="s">
        <v>7681</v>
      </c>
    </row>
    <row r="18864" spans="1:2" x14ac:dyDescent="0.25">
      <c r="A18864">
        <v>44129900125</v>
      </c>
      <c r="B18864" t="s">
        <v>7682</v>
      </c>
    </row>
    <row r="18865" spans="1:2" x14ac:dyDescent="0.25">
      <c r="A18865">
        <v>44129900126</v>
      </c>
      <c r="B18865" t="s">
        <v>7683</v>
      </c>
    </row>
    <row r="18866" spans="1:2" x14ac:dyDescent="0.25">
      <c r="A18866">
        <v>44129900129</v>
      </c>
      <c r="B18866" t="s">
        <v>57</v>
      </c>
    </row>
    <row r="18867" spans="1:2" x14ac:dyDescent="0.25">
      <c r="A18867">
        <v>4412990013</v>
      </c>
      <c r="B18867" t="s">
        <v>7903</v>
      </c>
    </row>
    <row r="18868" spans="1:2" x14ac:dyDescent="0.25">
      <c r="A18868">
        <v>44129900131</v>
      </c>
      <c r="B18868" t="s">
        <v>7678</v>
      </c>
    </row>
    <row r="18869" spans="1:2" x14ac:dyDescent="0.25">
      <c r="A18869">
        <v>44129900132</v>
      </c>
      <c r="B18869" t="s">
        <v>7679</v>
      </c>
    </row>
    <row r="18870" spans="1:2" x14ac:dyDescent="0.25">
      <c r="A18870">
        <v>44129900133</v>
      </c>
      <c r="B18870" t="s">
        <v>7680</v>
      </c>
    </row>
    <row r="18871" spans="1:2" x14ac:dyDescent="0.25">
      <c r="A18871">
        <v>44129900134</v>
      </c>
      <c r="B18871" t="s">
        <v>7681</v>
      </c>
    </row>
    <row r="18872" spans="1:2" x14ac:dyDescent="0.25">
      <c r="A18872">
        <v>44129900135</v>
      </c>
      <c r="B18872" t="s">
        <v>7682</v>
      </c>
    </row>
    <row r="18873" spans="1:2" x14ac:dyDescent="0.25">
      <c r="A18873">
        <v>44129900136</v>
      </c>
      <c r="B18873" t="s">
        <v>7683</v>
      </c>
    </row>
    <row r="18874" spans="1:2" x14ac:dyDescent="0.25">
      <c r="A18874">
        <v>44129900139</v>
      </c>
      <c r="B18874" t="s">
        <v>57</v>
      </c>
    </row>
    <row r="18875" spans="1:2" x14ac:dyDescent="0.25">
      <c r="A18875">
        <v>441299009</v>
      </c>
      <c r="B18875" t="s">
        <v>57</v>
      </c>
    </row>
    <row r="18876" spans="1:2" x14ac:dyDescent="0.25">
      <c r="A18876">
        <v>4412990091</v>
      </c>
      <c r="B18876" t="s">
        <v>7904</v>
      </c>
    </row>
    <row r="18877" spans="1:2" x14ac:dyDescent="0.25">
      <c r="A18877">
        <v>44129900911</v>
      </c>
      <c r="B18877" t="s">
        <v>7678</v>
      </c>
    </row>
    <row r="18878" spans="1:2" x14ac:dyDescent="0.25">
      <c r="A18878">
        <v>44129900912</v>
      </c>
      <c r="B18878" t="s">
        <v>7679</v>
      </c>
    </row>
    <row r="18879" spans="1:2" x14ac:dyDescent="0.25">
      <c r="A18879">
        <v>44129900913</v>
      </c>
      <c r="B18879" t="s">
        <v>7680</v>
      </c>
    </row>
    <row r="18880" spans="1:2" x14ac:dyDescent="0.25">
      <c r="A18880">
        <v>44129900914</v>
      </c>
      <c r="B18880" t="s">
        <v>7681</v>
      </c>
    </row>
    <row r="18881" spans="1:2" x14ac:dyDescent="0.25">
      <c r="A18881">
        <v>44129900915</v>
      </c>
      <c r="B18881" t="s">
        <v>7682</v>
      </c>
    </row>
    <row r="18882" spans="1:2" x14ac:dyDescent="0.25">
      <c r="A18882">
        <v>44129900916</v>
      </c>
      <c r="B18882" t="s">
        <v>7683</v>
      </c>
    </row>
    <row r="18883" spans="1:2" x14ac:dyDescent="0.25">
      <c r="A18883">
        <v>44129900919</v>
      </c>
      <c r="B18883" t="s">
        <v>57</v>
      </c>
    </row>
    <row r="18884" spans="1:2" x14ac:dyDescent="0.25">
      <c r="A18884">
        <v>4412990099</v>
      </c>
      <c r="B18884" t="s">
        <v>57</v>
      </c>
    </row>
    <row r="18885" spans="1:2" x14ac:dyDescent="0.25">
      <c r="A18885">
        <v>44129900991</v>
      </c>
      <c r="B18885" t="s">
        <v>7678</v>
      </c>
    </row>
    <row r="18886" spans="1:2" x14ac:dyDescent="0.25">
      <c r="A18886">
        <v>44129900992</v>
      </c>
      <c r="B18886" t="s">
        <v>7679</v>
      </c>
    </row>
    <row r="18887" spans="1:2" x14ac:dyDescent="0.25">
      <c r="A18887">
        <v>44129900993</v>
      </c>
      <c r="B18887" t="s">
        <v>7680</v>
      </c>
    </row>
    <row r="18888" spans="1:2" x14ac:dyDescent="0.25">
      <c r="A18888">
        <v>44129900994</v>
      </c>
      <c r="B18888" t="s">
        <v>7681</v>
      </c>
    </row>
    <row r="18889" spans="1:2" x14ac:dyDescent="0.25">
      <c r="A18889">
        <v>44129900995</v>
      </c>
      <c r="B18889" t="s">
        <v>7682</v>
      </c>
    </row>
    <row r="18890" spans="1:2" x14ac:dyDescent="0.25">
      <c r="A18890">
        <v>44129900996</v>
      </c>
      <c r="B18890" t="s">
        <v>7683</v>
      </c>
    </row>
    <row r="18891" spans="1:2" x14ac:dyDescent="0.25">
      <c r="A18891">
        <v>44129900999</v>
      </c>
      <c r="B18891" t="s">
        <v>57</v>
      </c>
    </row>
    <row r="18892" spans="1:2" x14ac:dyDescent="0.25">
      <c r="A18892">
        <v>44130000000</v>
      </c>
      <c r="B18892" t="s">
        <v>7905</v>
      </c>
    </row>
    <row r="18893" spans="1:2" x14ac:dyDescent="0.25">
      <c r="A18893">
        <v>44140000000</v>
      </c>
      <c r="B18893" t="s">
        <v>7906</v>
      </c>
    </row>
    <row r="18894" spans="1:2" x14ac:dyDescent="0.25">
      <c r="A18894">
        <v>4415</v>
      </c>
      <c r="B18894" t="s">
        <v>7907</v>
      </c>
    </row>
    <row r="18895" spans="1:2" x14ac:dyDescent="0.25">
      <c r="A18895">
        <v>44151000</v>
      </c>
      <c r="B18895" t="e">
        <f>- cajones. Cajas. jaulas. tambores y envases similares, carretes para cables</f>
        <v>#NAME?</v>
      </c>
    </row>
    <row r="18896" spans="1:2" x14ac:dyDescent="0.25">
      <c r="A18896">
        <v>441510001</v>
      </c>
      <c r="B18896" t="s">
        <v>7908</v>
      </c>
    </row>
    <row r="18897" spans="1:2" x14ac:dyDescent="0.25">
      <c r="A18897">
        <v>44151000110</v>
      </c>
      <c r="B18897" t="s">
        <v>6648</v>
      </c>
    </row>
    <row r="18898" spans="1:2" x14ac:dyDescent="0.25">
      <c r="A18898">
        <v>44151000190</v>
      </c>
      <c r="B18898" t="s">
        <v>10</v>
      </c>
    </row>
    <row r="18899" spans="1:2" x14ac:dyDescent="0.25">
      <c r="A18899">
        <v>44151000200</v>
      </c>
      <c r="B18899" t="s">
        <v>7909</v>
      </c>
    </row>
    <row r="18900" spans="1:2" x14ac:dyDescent="0.25">
      <c r="A18900">
        <v>44152000</v>
      </c>
      <c r="B18900" t="e">
        <f>- paletas. Paletas caja y demas plataformas para carga, collarines para Paletas</f>
        <v>#NAME?</v>
      </c>
    </row>
    <row r="18901" spans="1:2" x14ac:dyDescent="0.25">
      <c r="A18901">
        <v>44152000100</v>
      </c>
      <c r="B18901" t="s">
        <v>7910</v>
      </c>
    </row>
    <row r="18902" spans="1:2" x14ac:dyDescent="0.25">
      <c r="A18902">
        <v>44152000900</v>
      </c>
      <c r="B18902" t="s">
        <v>57</v>
      </c>
    </row>
    <row r="18903" spans="1:2" x14ac:dyDescent="0.25">
      <c r="A18903">
        <v>441600</v>
      </c>
      <c r="B18903" t="s">
        <v>7911</v>
      </c>
    </row>
    <row r="18904" spans="1:2" x14ac:dyDescent="0.25">
      <c r="A18904">
        <v>44160010</v>
      </c>
      <c r="B18904" t="s">
        <v>7912</v>
      </c>
    </row>
    <row r="18905" spans="1:2" x14ac:dyDescent="0.25">
      <c r="A18905">
        <v>44160010100</v>
      </c>
      <c r="B18905" t="s">
        <v>7913</v>
      </c>
    </row>
    <row r="18906" spans="1:2" x14ac:dyDescent="0.25">
      <c r="A18906">
        <v>44160010900</v>
      </c>
      <c r="B18906" t="s">
        <v>57</v>
      </c>
    </row>
    <row r="18907" spans="1:2" x14ac:dyDescent="0.25">
      <c r="A18907">
        <v>44160090</v>
      </c>
      <c r="B18907" t="s">
        <v>57</v>
      </c>
    </row>
    <row r="18908" spans="1:2" x14ac:dyDescent="0.25">
      <c r="A18908">
        <v>44160090100</v>
      </c>
      <c r="B18908" t="s">
        <v>7913</v>
      </c>
    </row>
    <row r="18909" spans="1:2" x14ac:dyDescent="0.25">
      <c r="A18909">
        <v>44160090900</v>
      </c>
      <c r="B18909" t="s">
        <v>57</v>
      </c>
    </row>
    <row r="18910" spans="1:2" x14ac:dyDescent="0.25">
      <c r="A18910">
        <v>441700</v>
      </c>
      <c r="B18910" t="s">
        <v>7914</v>
      </c>
    </row>
    <row r="18911" spans="1:2" x14ac:dyDescent="0.25">
      <c r="A18911">
        <v>44170010000</v>
      </c>
      <c r="B18911" t="s">
        <v>7915</v>
      </c>
    </row>
    <row r="18912" spans="1:2" x14ac:dyDescent="0.25">
      <c r="A18912">
        <v>44170020000</v>
      </c>
      <c r="B18912" t="s">
        <v>7916</v>
      </c>
    </row>
    <row r="18913" spans="1:2" x14ac:dyDescent="0.25">
      <c r="A18913">
        <v>44170090000</v>
      </c>
      <c r="B18913" t="s">
        <v>10</v>
      </c>
    </row>
    <row r="18914" spans="1:2" x14ac:dyDescent="0.25">
      <c r="A18914">
        <v>4418</v>
      </c>
      <c r="B18914" t="s">
        <v>7917</v>
      </c>
    </row>
    <row r="18915" spans="1:2" x14ac:dyDescent="0.25">
      <c r="A18915">
        <v>44181000000</v>
      </c>
      <c r="B18915" t="e">
        <f>-ventanas. puertas vidriera. y sus marcos y contramarcos</f>
        <v>#NAME?</v>
      </c>
    </row>
    <row r="18916" spans="1:2" x14ac:dyDescent="0.25">
      <c r="A18916">
        <v>44182000000</v>
      </c>
      <c r="B18916" t="e">
        <f>-puertas y sus marcos. contramarcos y umbrales</f>
        <v>#NAME?</v>
      </c>
    </row>
    <row r="18917" spans="1:2" x14ac:dyDescent="0.25">
      <c r="A18917">
        <v>44184000000</v>
      </c>
      <c r="B18917" t="e">
        <f>-Encofrados para hormigon</f>
        <v>#NAME?</v>
      </c>
    </row>
    <row r="18918" spans="1:2" x14ac:dyDescent="0.25">
      <c r="A18918">
        <v>44185000000</v>
      </c>
      <c r="B18918" t="s">
        <v>7918</v>
      </c>
    </row>
    <row r="18919" spans="1:2" x14ac:dyDescent="0.25">
      <c r="A18919">
        <v>44186000000</v>
      </c>
      <c r="B18919" t="e">
        <f>-Postes y vigas</f>
        <v>#NAME?</v>
      </c>
    </row>
    <row r="18920" spans="1:2" x14ac:dyDescent="0.25">
      <c r="A18920">
        <v>44187</v>
      </c>
      <c r="B18920" t="s">
        <v>7919</v>
      </c>
    </row>
    <row r="18921" spans="1:2" x14ac:dyDescent="0.25">
      <c r="A18921">
        <v>44187300000</v>
      </c>
      <c r="B18921" t="e">
        <f>--de Bambu o que tengan por lo menos la capa superior de Bambu</f>
        <v>#NAME?</v>
      </c>
    </row>
    <row r="18922" spans="1:2" x14ac:dyDescent="0.25">
      <c r="A18922">
        <v>44187400000</v>
      </c>
      <c r="B18922" t="e">
        <f>--Los demas. para suelos En mosaico</f>
        <v>#NAME?</v>
      </c>
    </row>
    <row r="18923" spans="1:2" x14ac:dyDescent="0.25">
      <c r="A18923">
        <v>44187500000</v>
      </c>
      <c r="B18923" t="e">
        <f>--Los demas. multicapas</f>
        <v>#NAME?</v>
      </c>
    </row>
    <row r="18924" spans="1:2" x14ac:dyDescent="0.25">
      <c r="A18924">
        <v>44187900000</v>
      </c>
      <c r="B18924" t="e">
        <f>--Los demas</f>
        <v>#NAME?</v>
      </c>
    </row>
    <row r="18925" spans="1:2" x14ac:dyDescent="0.25">
      <c r="A18925">
        <v>44189</v>
      </c>
      <c r="B18925" t="s">
        <v>28</v>
      </c>
    </row>
    <row r="18926" spans="1:2" x14ac:dyDescent="0.25">
      <c r="A18926">
        <v>44189100000</v>
      </c>
      <c r="B18926" t="e">
        <f>--de Bambu</f>
        <v>#NAME?</v>
      </c>
    </row>
    <row r="18927" spans="1:2" x14ac:dyDescent="0.25">
      <c r="A18927">
        <v>44189900000</v>
      </c>
      <c r="B18927" t="e">
        <f>--Los demas</f>
        <v>#NAME?</v>
      </c>
    </row>
    <row r="18928" spans="1:2" x14ac:dyDescent="0.25">
      <c r="A18928">
        <v>4419</v>
      </c>
      <c r="B18928" t="s">
        <v>7920</v>
      </c>
    </row>
    <row r="18929" spans="1:2" x14ac:dyDescent="0.25">
      <c r="A18929">
        <v>44191</v>
      </c>
      <c r="B18929" t="s">
        <v>7921</v>
      </c>
    </row>
    <row r="18930" spans="1:2" x14ac:dyDescent="0.25">
      <c r="A18930">
        <v>44191100000</v>
      </c>
      <c r="B18930" t="e">
        <f>--Tablas para pan. Tablas para cortar y Articulos similares</f>
        <v>#NAME?</v>
      </c>
    </row>
    <row r="18931" spans="1:2" x14ac:dyDescent="0.25">
      <c r="A18931">
        <v>44191200000</v>
      </c>
      <c r="B18931" t="e">
        <f>--Palillos</f>
        <v>#NAME?</v>
      </c>
    </row>
    <row r="18932" spans="1:2" x14ac:dyDescent="0.25">
      <c r="A18932">
        <v>44191900</v>
      </c>
      <c r="B18932" t="e">
        <f>- - Los demas</f>
        <v>#NAME?</v>
      </c>
    </row>
    <row r="18933" spans="1:2" x14ac:dyDescent="0.25">
      <c r="A18933">
        <v>44191900100</v>
      </c>
      <c r="B18933" t="s">
        <v>6648</v>
      </c>
    </row>
    <row r="18934" spans="1:2" x14ac:dyDescent="0.25">
      <c r="A18934">
        <v>44191900900</v>
      </c>
      <c r="B18934" t="s">
        <v>10</v>
      </c>
    </row>
    <row r="18935" spans="1:2" x14ac:dyDescent="0.25">
      <c r="A18935">
        <v>44199000</v>
      </c>
      <c r="B18935" t="e">
        <f>- Los demas</f>
        <v>#NAME?</v>
      </c>
    </row>
    <row r="18936" spans="1:2" x14ac:dyDescent="0.25">
      <c r="A18936">
        <v>44199000100</v>
      </c>
      <c r="B18936" t="s">
        <v>6648</v>
      </c>
    </row>
    <row r="18937" spans="1:2" x14ac:dyDescent="0.25">
      <c r="A18937">
        <v>44199000900</v>
      </c>
      <c r="B18937" t="s">
        <v>10</v>
      </c>
    </row>
    <row r="18938" spans="1:2" x14ac:dyDescent="0.25">
      <c r="A18938">
        <v>4420</v>
      </c>
      <c r="B18938" t="s">
        <v>7922</v>
      </c>
    </row>
    <row r="18939" spans="1:2" x14ac:dyDescent="0.25">
      <c r="A18939">
        <v>44201000</v>
      </c>
      <c r="B18939" t="e">
        <f>- Estatuillas y demas objetos de adorno. de madera</f>
        <v>#NAME?</v>
      </c>
    </row>
    <row r="18940" spans="1:2" x14ac:dyDescent="0.25">
      <c r="A18940">
        <v>44201000100</v>
      </c>
      <c r="B18940" t="s">
        <v>5635</v>
      </c>
    </row>
    <row r="18941" spans="1:2" x14ac:dyDescent="0.25">
      <c r="A18941">
        <v>44201000900</v>
      </c>
      <c r="B18941" t="s">
        <v>10</v>
      </c>
    </row>
    <row r="18942" spans="1:2" x14ac:dyDescent="0.25">
      <c r="A18942">
        <v>44209000</v>
      </c>
      <c r="B18942" t="e">
        <f>- Los demas</f>
        <v>#NAME?</v>
      </c>
    </row>
    <row r="18943" spans="1:2" x14ac:dyDescent="0.25">
      <c r="A18943">
        <v>44209000100</v>
      </c>
      <c r="B18943" t="s">
        <v>5635</v>
      </c>
    </row>
    <row r="18944" spans="1:2" x14ac:dyDescent="0.25">
      <c r="A18944">
        <v>44209000200</v>
      </c>
      <c r="B18944" t="s">
        <v>6648</v>
      </c>
    </row>
    <row r="18945" spans="1:2" x14ac:dyDescent="0.25">
      <c r="A18945">
        <v>44209000900</v>
      </c>
      <c r="B18945" t="s">
        <v>10</v>
      </c>
    </row>
    <row r="18946" spans="1:2" x14ac:dyDescent="0.25">
      <c r="A18946">
        <v>4421</v>
      </c>
      <c r="B18946" t="s">
        <v>7923</v>
      </c>
    </row>
    <row r="18947" spans="1:2" x14ac:dyDescent="0.25">
      <c r="A18947">
        <v>44211000</v>
      </c>
      <c r="B18947" t="e">
        <f>- Perchas para Prendas de vestir</f>
        <v>#NAME?</v>
      </c>
    </row>
    <row r="18948" spans="1:2" x14ac:dyDescent="0.25">
      <c r="A18948">
        <v>44211000100</v>
      </c>
      <c r="B18948" t="s">
        <v>7924</v>
      </c>
    </row>
    <row r="18949" spans="1:2" x14ac:dyDescent="0.25">
      <c r="A18949">
        <v>44211000900</v>
      </c>
      <c r="B18949" t="s">
        <v>57</v>
      </c>
    </row>
    <row r="18950" spans="1:2" x14ac:dyDescent="0.25">
      <c r="A18950">
        <v>44219</v>
      </c>
      <c r="B18950" t="s">
        <v>567</v>
      </c>
    </row>
    <row r="18951" spans="1:2" x14ac:dyDescent="0.25">
      <c r="A18951">
        <v>44219100000</v>
      </c>
      <c r="B18951" t="e">
        <f>--de Bambu</f>
        <v>#NAME?</v>
      </c>
    </row>
    <row r="18952" spans="1:2" x14ac:dyDescent="0.25">
      <c r="A18952">
        <v>44219900</v>
      </c>
      <c r="B18952" t="e">
        <f>- - las demas</f>
        <v>#NAME?</v>
      </c>
    </row>
    <row r="18953" spans="1:2" x14ac:dyDescent="0.25">
      <c r="A18953">
        <v>44219900100</v>
      </c>
      <c r="B18953" t="s">
        <v>7925</v>
      </c>
    </row>
    <row r="18954" spans="1:2" x14ac:dyDescent="0.25">
      <c r="A18954">
        <v>44219900200</v>
      </c>
      <c r="B18954" t="s">
        <v>7926</v>
      </c>
    </row>
    <row r="18955" spans="1:2" x14ac:dyDescent="0.25">
      <c r="A18955">
        <v>44219900300</v>
      </c>
      <c r="B18955" t="s">
        <v>5635</v>
      </c>
    </row>
    <row r="18956" spans="1:2" x14ac:dyDescent="0.25">
      <c r="A18956">
        <v>44219900400</v>
      </c>
      <c r="B18956" t="s">
        <v>7927</v>
      </c>
    </row>
    <row r="18957" spans="1:2" x14ac:dyDescent="0.25">
      <c r="A18957">
        <v>44219900500</v>
      </c>
      <c r="B18957" t="s">
        <v>7928</v>
      </c>
    </row>
    <row r="18958" spans="1:2" x14ac:dyDescent="0.25">
      <c r="A18958">
        <v>44219900900</v>
      </c>
      <c r="B18958" t="s">
        <v>10</v>
      </c>
    </row>
    <row r="18959" spans="1:2" x14ac:dyDescent="0.25">
      <c r="A18959">
        <v>4501</v>
      </c>
      <c r="B18959" t="s">
        <v>7929</v>
      </c>
    </row>
    <row r="18960" spans="1:2" x14ac:dyDescent="0.25">
      <c r="A18960">
        <v>45011000000</v>
      </c>
      <c r="B18960" t="e">
        <f>-Corcho natural En bruto o Simplemente preparado</f>
        <v>#NAME?</v>
      </c>
    </row>
    <row r="18961" spans="1:2" x14ac:dyDescent="0.25">
      <c r="A18961">
        <v>45019000000</v>
      </c>
      <c r="B18961" t="e">
        <f>-Los demas</f>
        <v>#NAME?</v>
      </c>
    </row>
    <row r="18962" spans="1:2" x14ac:dyDescent="0.25">
      <c r="A18962">
        <v>45020000</v>
      </c>
      <c r="B18962" t="s">
        <v>7930</v>
      </c>
    </row>
    <row r="18963" spans="1:2" x14ac:dyDescent="0.25">
      <c r="A18963">
        <v>45020000100</v>
      </c>
      <c r="B18963" t="s">
        <v>7931</v>
      </c>
    </row>
    <row r="18964" spans="1:2" x14ac:dyDescent="0.25">
      <c r="A18964">
        <v>45020000200</v>
      </c>
      <c r="B18964" t="s">
        <v>7932</v>
      </c>
    </row>
    <row r="18965" spans="1:2" x14ac:dyDescent="0.25">
      <c r="A18965">
        <v>45020000900</v>
      </c>
      <c r="B18965" t="s">
        <v>10</v>
      </c>
    </row>
    <row r="18966" spans="1:2" x14ac:dyDescent="0.25">
      <c r="A18966">
        <v>4503</v>
      </c>
      <c r="B18966" t="s">
        <v>7933</v>
      </c>
    </row>
    <row r="18967" spans="1:2" x14ac:dyDescent="0.25">
      <c r="A18967">
        <v>45031000000</v>
      </c>
      <c r="B18967" t="e">
        <f>-Tapones</f>
        <v>#NAME?</v>
      </c>
    </row>
    <row r="18968" spans="1:2" x14ac:dyDescent="0.25">
      <c r="A18968">
        <v>45039000</v>
      </c>
      <c r="B18968" t="e">
        <f>- las demas</f>
        <v>#NAME?</v>
      </c>
    </row>
    <row r="18969" spans="1:2" x14ac:dyDescent="0.25">
      <c r="A18969">
        <v>45039000100</v>
      </c>
      <c r="B18969" t="s">
        <v>7028</v>
      </c>
    </row>
    <row r="18970" spans="1:2" x14ac:dyDescent="0.25">
      <c r="A18970">
        <v>45039000200</v>
      </c>
      <c r="B18970" t="s">
        <v>6661</v>
      </c>
    </row>
    <row r="18971" spans="1:2" x14ac:dyDescent="0.25">
      <c r="A18971">
        <v>45039000900</v>
      </c>
      <c r="B18971" t="s">
        <v>57</v>
      </c>
    </row>
    <row r="18972" spans="1:2" x14ac:dyDescent="0.25">
      <c r="A18972">
        <v>4504</v>
      </c>
      <c r="B18972" t="s">
        <v>7934</v>
      </c>
    </row>
    <row r="18973" spans="1:2" x14ac:dyDescent="0.25">
      <c r="A18973">
        <v>45041000</v>
      </c>
      <c r="B18973" t="e">
        <f>- bloques. Placas. Hojas y tiras, baldosas y Revestimientos similares de pared. de cualquier forma, cilindros macizos. incluidos Los discos</f>
        <v>#NAME?</v>
      </c>
    </row>
    <row r="18974" spans="1:2" x14ac:dyDescent="0.25">
      <c r="A18974">
        <v>45041000100</v>
      </c>
      <c r="B18974" t="s">
        <v>7935</v>
      </c>
    </row>
    <row r="18975" spans="1:2" x14ac:dyDescent="0.25">
      <c r="A18975">
        <v>45041000900</v>
      </c>
      <c r="B18975" t="s">
        <v>10</v>
      </c>
    </row>
    <row r="18976" spans="1:2" x14ac:dyDescent="0.25">
      <c r="A18976">
        <v>45049000</v>
      </c>
      <c r="B18976" t="e">
        <f>- las demas</f>
        <v>#NAME?</v>
      </c>
    </row>
    <row r="18977" spans="1:2" x14ac:dyDescent="0.25">
      <c r="A18977">
        <v>450490001</v>
      </c>
      <c r="B18977" t="s">
        <v>7935</v>
      </c>
    </row>
    <row r="18978" spans="1:2" x14ac:dyDescent="0.25">
      <c r="A18978">
        <v>45049000110</v>
      </c>
      <c r="B18978" t="s">
        <v>7936</v>
      </c>
    </row>
    <row r="18979" spans="1:2" x14ac:dyDescent="0.25">
      <c r="A18979">
        <v>45049000120</v>
      </c>
      <c r="B18979" t="s">
        <v>7937</v>
      </c>
    </row>
    <row r="18980" spans="1:2" x14ac:dyDescent="0.25">
      <c r="A18980">
        <v>45049000130</v>
      </c>
      <c r="B18980" t="s">
        <v>6661</v>
      </c>
    </row>
    <row r="18981" spans="1:2" x14ac:dyDescent="0.25">
      <c r="A18981">
        <v>45049000190</v>
      </c>
      <c r="B18981" t="s">
        <v>10</v>
      </c>
    </row>
    <row r="18982" spans="1:2" x14ac:dyDescent="0.25">
      <c r="A18982">
        <v>450490009</v>
      </c>
      <c r="B18982" t="s">
        <v>10</v>
      </c>
    </row>
    <row r="18983" spans="1:2" x14ac:dyDescent="0.25">
      <c r="A18983">
        <v>45049000910</v>
      </c>
      <c r="B18983" t="s">
        <v>6648</v>
      </c>
    </row>
    <row r="18984" spans="1:2" x14ac:dyDescent="0.25">
      <c r="A18984">
        <v>45049000920</v>
      </c>
      <c r="B18984" t="s">
        <v>6661</v>
      </c>
    </row>
    <row r="18985" spans="1:2" x14ac:dyDescent="0.25">
      <c r="A18985">
        <v>45049000990</v>
      </c>
      <c r="B18985" t="s">
        <v>10</v>
      </c>
    </row>
    <row r="18986" spans="1:2" x14ac:dyDescent="0.25">
      <c r="A18986">
        <v>4601</v>
      </c>
      <c r="B18986" t="s">
        <v>7938</v>
      </c>
    </row>
    <row r="18987" spans="1:2" x14ac:dyDescent="0.25">
      <c r="A18987">
        <v>46012</v>
      </c>
      <c r="B18987" t="s">
        <v>7939</v>
      </c>
    </row>
    <row r="18988" spans="1:2" x14ac:dyDescent="0.25">
      <c r="A18988">
        <v>46012100000</v>
      </c>
      <c r="B18988" t="e">
        <f>--de Bambu</f>
        <v>#NAME?</v>
      </c>
    </row>
    <row r="18989" spans="1:2" x14ac:dyDescent="0.25">
      <c r="A18989">
        <v>46012200000</v>
      </c>
      <c r="B18989" t="s">
        <v>7940</v>
      </c>
    </row>
    <row r="18990" spans="1:2" x14ac:dyDescent="0.25">
      <c r="A18990">
        <v>46012900000</v>
      </c>
      <c r="B18990" t="e">
        <f>--Los demas</f>
        <v>#NAME?</v>
      </c>
    </row>
    <row r="18991" spans="1:2" x14ac:dyDescent="0.25">
      <c r="A18991">
        <v>46019</v>
      </c>
      <c r="B18991" t="s">
        <v>28</v>
      </c>
    </row>
    <row r="18992" spans="1:2" x14ac:dyDescent="0.25">
      <c r="A18992">
        <v>46019200000</v>
      </c>
      <c r="B18992" t="e">
        <f>--de Bambu</f>
        <v>#NAME?</v>
      </c>
    </row>
    <row r="18993" spans="1:2" x14ac:dyDescent="0.25">
      <c r="A18993">
        <v>46019300000</v>
      </c>
      <c r="B18993" t="s">
        <v>7940</v>
      </c>
    </row>
    <row r="18994" spans="1:2" x14ac:dyDescent="0.25">
      <c r="A18994">
        <v>46019400000</v>
      </c>
      <c r="B18994" t="e">
        <f>--de las demas materias vegetales</f>
        <v>#NAME?</v>
      </c>
    </row>
    <row r="18995" spans="1:2" x14ac:dyDescent="0.25">
      <c r="A18995">
        <v>46019900000</v>
      </c>
      <c r="B18995" t="e">
        <f>--Los demas</f>
        <v>#NAME?</v>
      </c>
    </row>
    <row r="18996" spans="1:2" x14ac:dyDescent="0.25">
      <c r="A18996">
        <v>4602</v>
      </c>
      <c r="B18996" t="s">
        <v>7941</v>
      </c>
    </row>
    <row r="18997" spans="1:2" x14ac:dyDescent="0.25">
      <c r="A18997">
        <v>46021</v>
      </c>
      <c r="B18997" t="s">
        <v>7942</v>
      </c>
    </row>
    <row r="18998" spans="1:2" x14ac:dyDescent="0.25">
      <c r="A18998">
        <v>46021100000</v>
      </c>
      <c r="B18998" t="e">
        <f>--de Bambu</f>
        <v>#NAME?</v>
      </c>
    </row>
    <row r="18999" spans="1:2" x14ac:dyDescent="0.25">
      <c r="A18999">
        <v>46021200000</v>
      </c>
      <c r="B18999" t="e">
        <f>--de Roten (ratan)</f>
        <v>#NAME?</v>
      </c>
    </row>
    <row r="19000" spans="1:2" x14ac:dyDescent="0.25">
      <c r="A19000">
        <v>46021900000</v>
      </c>
      <c r="B19000" t="e">
        <f>--Los demas</f>
        <v>#NAME?</v>
      </c>
    </row>
    <row r="19001" spans="1:2" x14ac:dyDescent="0.25">
      <c r="A19001">
        <v>46029000000</v>
      </c>
      <c r="B19001" t="e">
        <f>-Los demas</f>
        <v>#NAME?</v>
      </c>
    </row>
    <row r="19002" spans="1:2" x14ac:dyDescent="0.25">
      <c r="A19002">
        <v>47010000</v>
      </c>
      <c r="B19002" t="s">
        <v>7943</v>
      </c>
    </row>
    <row r="19003" spans="1:2" x14ac:dyDescent="0.25">
      <c r="A19003">
        <v>47010000100</v>
      </c>
      <c r="B19003" t="s">
        <v>7944</v>
      </c>
    </row>
    <row r="19004" spans="1:2" x14ac:dyDescent="0.25">
      <c r="A19004">
        <v>47010000200</v>
      </c>
      <c r="B19004" t="s">
        <v>7945</v>
      </c>
    </row>
    <row r="19005" spans="1:2" x14ac:dyDescent="0.25">
      <c r="A19005">
        <v>47010000300</v>
      </c>
      <c r="B19005" t="s">
        <v>7946</v>
      </c>
    </row>
    <row r="19006" spans="1:2" x14ac:dyDescent="0.25">
      <c r="A19006">
        <v>47010000900</v>
      </c>
      <c r="B19006" t="s">
        <v>57</v>
      </c>
    </row>
    <row r="19007" spans="1:2" x14ac:dyDescent="0.25">
      <c r="A19007">
        <v>47020000</v>
      </c>
      <c r="B19007" t="s">
        <v>7947</v>
      </c>
    </row>
    <row r="19008" spans="1:2" x14ac:dyDescent="0.25">
      <c r="A19008">
        <v>47020000100</v>
      </c>
      <c r="B19008" t="s">
        <v>7944</v>
      </c>
    </row>
    <row r="19009" spans="1:2" x14ac:dyDescent="0.25">
      <c r="A19009">
        <v>47020000200</v>
      </c>
      <c r="B19009" t="s">
        <v>7945</v>
      </c>
    </row>
    <row r="19010" spans="1:2" x14ac:dyDescent="0.25">
      <c r="A19010">
        <v>47020000300</v>
      </c>
      <c r="B19010" t="s">
        <v>604</v>
      </c>
    </row>
    <row r="19011" spans="1:2" x14ac:dyDescent="0.25">
      <c r="A19011">
        <v>47020000900</v>
      </c>
      <c r="B19011" t="s">
        <v>57</v>
      </c>
    </row>
    <row r="19012" spans="1:2" x14ac:dyDescent="0.25">
      <c r="A19012">
        <v>4703</v>
      </c>
      <c r="B19012" t="s">
        <v>7948</v>
      </c>
    </row>
    <row r="19013" spans="1:2" x14ac:dyDescent="0.25">
      <c r="A19013">
        <v>47031</v>
      </c>
      <c r="B19013" t="s">
        <v>7949</v>
      </c>
    </row>
    <row r="19014" spans="1:2" x14ac:dyDescent="0.25">
      <c r="A19014">
        <v>47031100</v>
      </c>
      <c r="B19014" t="e">
        <f>- - de coniferas</f>
        <v>#NAME?</v>
      </c>
    </row>
    <row r="19015" spans="1:2" x14ac:dyDescent="0.25">
      <c r="A19015">
        <v>47031100100</v>
      </c>
      <c r="B19015" t="s">
        <v>7944</v>
      </c>
    </row>
    <row r="19016" spans="1:2" x14ac:dyDescent="0.25">
      <c r="A19016">
        <v>47031100200</v>
      </c>
      <c r="B19016" t="s">
        <v>7945</v>
      </c>
    </row>
    <row r="19017" spans="1:2" x14ac:dyDescent="0.25">
      <c r="A19017">
        <v>47031100300</v>
      </c>
      <c r="B19017" t="s">
        <v>7946</v>
      </c>
    </row>
    <row r="19018" spans="1:2" x14ac:dyDescent="0.25">
      <c r="A19018">
        <v>47031100900</v>
      </c>
      <c r="B19018" t="s">
        <v>57</v>
      </c>
    </row>
    <row r="19019" spans="1:2" x14ac:dyDescent="0.25">
      <c r="A19019">
        <v>47031900</v>
      </c>
      <c r="B19019" t="e">
        <f>- - Distinta de la de coniferas</f>
        <v>#NAME?</v>
      </c>
    </row>
    <row r="19020" spans="1:2" x14ac:dyDescent="0.25">
      <c r="A19020">
        <v>47031900100</v>
      </c>
      <c r="B19020" t="s">
        <v>7950</v>
      </c>
    </row>
    <row r="19021" spans="1:2" x14ac:dyDescent="0.25">
      <c r="A19021">
        <v>47031900200</v>
      </c>
      <c r="B19021" t="s">
        <v>604</v>
      </c>
    </row>
    <row r="19022" spans="1:2" x14ac:dyDescent="0.25">
      <c r="A19022">
        <v>47031900900</v>
      </c>
      <c r="B19022" t="s">
        <v>57</v>
      </c>
    </row>
    <row r="19023" spans="1:2" x14ac:dyDescent="0.25">
      <c r="A19023">
        <v>47032</v>
      </c>
      <c r="B19023" t="s">
        <v>7951</v>
      </c>
    </row>
    <row r="19024" spans="1:2" x14ac:dyDescent="0.25">
      <c r="A19024">
        <v>47032100</v>
      </c>
      <c r="B19024" t="e">
        <f>- - de coniferas</f>
        <v>#NAME?</v>
      </c>
    </row>
    <row r="19025" spans="1:2" x14ac:dyDescent="0.25">
      <c r="A19025">
        <v>47032100100</v>
      </c>
      <c r="B19025" t="s">
        <v>7944</v>
      </c>
    </row>
    <row r="19026" spans="1:2" x14ac:dyDescent="0.25">
      <c r="A19026">
        <v>47032100200</v>
      </c>
      <c r="B19026" t="s">
        <v>7945</v>
      </c>
    </row>
    <row r="19027" spans="1:2" x14ac:dyDescent="0.25">
      <c r="A19027">
        <v>47032100300</v>
      </c>
      <c r="B19027" t="s">
        <v>7946</v>
      </c>
    </row>
    <row r="19028" spans="1:2" x14ac:dyDescent="0.25">
      <c r="A19028">
        <v>47032100900</v>
      </c>
      <c r="B19028" t="s">
        <v>57</v>
      </c>
    </row>
    <row r="19029" spans="1:2" x14ac:dyDescent="0.25">
      <c r="A19029">
        <v>47032900</v>
      </c>
      <c r="B19029" t="e">
        <f>- - Distinta de la de coniferas</f>
        <v>#NAME?</v>
      </c>
    </row>
    <row r="19030" spans="1:2" x14ac:dyDescent="0.25">
      <c r="A19030">
        <v>47032900100</v>
      </c>
      <c r="B19030" t="s">
        <v>7950</v>
      </c>
    </row>
    <row r="19031" spans="1:2" x14ac:dyDescent="0.25">
      <c r="A19031">
        <v>47032900200</v>
      </c>
      <c r="B19031" t="s">
        <v>604</v>
      </c>
    </row>
    <row r="19032" spans="1:2" x14ac:dyDescent="0.25">
      <c r="A19032">
        <v>47032900900</v>
      </c>
      <c r="B19032" t="s">
        <v>57</v>
      </c>
    </row>
    <row r="19033" spans="1:2" x14ac:dyDescent="0.25">
      <c r="A19033">
        <v>4704</v>
      </c>
      <c r="B19033" t="s">
        <v>7952</v>
      </c>
    </row>
    <row r="19034" spans="1:2" x14ac:dyDescent="0.25">
      <c r="A19034">
        <v>47041</v>
      </c>
      <c r="B19034" t="s">
        <v>7949</v>
      </c>
    </row>
    <row r="19035" spans="1:2" x14ac:dyDescent="0.25">
      <c r="A19035">
        <v>47041100</v>
      </c>
      <c r="B19035" t="e">
        <f>- - de coniferas</f>
        <v>#NAME?</v>
      </c>
    </row>
    <row r="19036" spans="1:2" x14ac:dyDescent="0.25">
      <c r="A19036">
        <v>47041100100</v>
      </c>
      <c r="B19036" t="s">
        <v>7944</v>
      </c>
    </row>
    <row r="19037" spans="1:2" x14ac:dyDescent="0.25">
      <c r="A19037">
        <v>47041100200</v>
      </c>
      <c r="B19037" t="s">
        <v>7945</v>
      </c>
    </row>
    <row r="19038" spans="1:2" x14ac:dyDescent="0.25">
      <c r="A19038">
        <v>47041100300</v>
      </c>
      <c r="B19038" t="s">
        <v>7946</v>
      </c>
    </row>
    <row r="19039" spans="1:2" x14ac:dyDescent="0.25">
      <c r="A19039">
        <v>47041100900</v>
      </c>
      <c r="B19039" t="s">
        <v>57</v>
      </c>
    </row>
    <row r="19040" spans="1:2" x14ac:dyDescent="0.25">
      <c r="A19040">
        <v>47041900</v>
      </c>
      <c r="B19040" t="e">
        <f>- - Distinta de la de coniferas</f>
        <v>#NAME?</v>
      </c>
    </row>
    <row r="19041" spans="1:2" x14ac:dyDescent="0.25">
      <c r="A19041">
        <v>47041900100</v>
      </c>
      <c r="B19041" t="s">
        <v>7950</v>
      </c>
    </row>
    <row r="19042" spans="1:2" x14ac:dyDescent="0.25">
      <c r="A19042">
        <v>47041900200</v>
      </c>
      <c r="B19042" t="s">
        <v>604</v>
      </c>
    </row>
    <row r="19043" spans="1:2" x14ac:dyDescent="0.25">
      <c r="A19043">
        <v>47041900900</v>
      </c>
      <c r="B19043" t="s">
        <v>57</v>
      </c>
    </row>
    <row r="19044" spans="1:2" x14ac:dyDescent="0.25">
      <c r="A19044">
        <v>47042</v>
      </c>
      <c r="B19044" t="s">
        <v>7951</v>
      </c>
    </row>
    <row r="19045" spans="1:2" x14ac:dyDescent="0.25">
      <c r="A19045">
        <v>47042100</v>
      </c>
      <c r="B19045" t="e">
        <f>- - de coniferas</f>
        <v>#NAME?</v>
      </c>
    </row>
    <row r="19046" spans="1:2" x14ac:dyDescent="0.25">
      <c r="A19046">
        <v>47042100100</v>
      </c>
      <c r="B19046" t="s">
        <v>7944</v>
      </c>
    </row>
    <row r="19047" spans="1:2" x14ac:dyDescent="0.25">
      <c r="A19047">
        <v>47042100200</v>
      </c>
      <c r="B19047" t="s">
        <v>7945</v>
      </c>
    </row>
    <row r="19048" spans="1:2" x14ac:dyDescent="0.25">
      <c r="A19048">
        <v>47042100300</v>
      </c>
      <c r="B19048" t="s">
        <v>7946</v>
      </c>
    </row>
    <row r="19049" spans="1:2" x14ac:dyDescent="0.25">
      <c r="A19049">
        <v>47042100900</v>
      </c>
      <c r="B19049" t="s">
        <v>57</v>
      </c>
    </row>
    <row r="19050" spans="1:2" x14ac:dyDescent="0.25">
      <c r="A19050">
        <v>47042900</v>
      </c>
      <c r="B19050" t="e">
        <f>- - Distinta de la de coniferas</f>
        <v>#NAME?</v>
      </c>
    </row>
    <row r="19051" spans="1:2" x14ac:dyDescent="0.25">
      <c r="A19051">
        <v>47042900100</v>
      </c>
      <c r="B19051" t="s">
        <v>7950</v>
      </c>
    </row>
    <row r="19052" spans="1:2" x14ac:dyDescent="0.25">
      <c r="A19052">
        <v>47042900200</v>
      </c>
      <c r="B19052" t="s">
        <v>604</v>
      </c>
    </row>
    <row r="19053" spans="1:2" x14ac:dyDescent="0.25">
      <c r="A19053">
        <v>47042900900</v>
      </c>
      <c r="B19053" t="s">
        <v>57</v>
      </c>
    </row>
    <row r="19054" spans="1:2" x14ac:dyDescent="0.25">
      <c r="A19054">
        <v>47050000000</v>
      </c>
      <c r="B19054" t="s">
        <v>7953</v>
      </c>
    </row>
    <row r="19055" spans="1:2" x14ac:dyDescent="0.25">
      <c r="A19055">
        <v>4706</v>
      </c>
      <c r="B19055" t="s">
        <v>7954</v>
      </c>
    </row>
    <row r="19056" spans="1:2" x14ac:dyDescent="0.25">
      <c r="A19056">
        <v>47061000000</v>
      </c>
      <c r="B19056" t="e">
        <f>-pasta de linter de algodon</f>
        <v>#NAME?</v>
      </c>
    </row>
    <row r="19057" spans="1:2" x14ac:dyDescent="0.25">
      <c r="A19057">
        <v>47062000000</v>
      </c>
      <c r="B19057" t="e">
        <f>-pasta de fibras obtenidas de papel o carton reciclado (desperdicios y desechos)</f>
        <v>#NAME?</v>
      </c>
    </row>
    <row r="19058" spans="1:2" x14ac:dyDescent="0.25">
      <c r="A19058">
        <v>47063000000</v>
      </c>
      <c r="B19058" t="e">
        <f>-las demas. de Bambu</f>
        <v>#NAME?</v>
      </c>
    </row>
    <row r="19059" spans="1:2" x14ac:dyDescent="0.25">
      <c r="A19059">
        <v>47069</v>
      </c>
      <c r="B19059" t="s">
        <v>567</v>
      </c>
    </row>
    <row r="19060" spans="1:2" x14ac:dyDescent="0.25">
      <c r="A19060">
        <v>47069100</v>
      </c>
      <c r="B19060" t="e">
        <f>- - Mecanicas</f>
        <v>#NAME?</v>
      </c>
    </row>
    <row r="19061" spans="1:2" x14ac:dyDescent="0.25">
      <c r="A19061">
        <v>47069100100</v>
      </c>
      <c r="B19061" t="s">
        <v>7955</v>
      </c>
    </row>
    <row r="19062" spans="1:2" x14ac:dyDescent="0.25">
      <c r="A19062">
        <v>47069100200</v>
      </c>
      <c r="B19062" t="s">
        <v>7956</v>
      </c>
    </row>
    <row r="19063" spans="1:2" x14ac:dyDescent="0.25">
      <c r="A19063">
        <v>47069100900</v>
      </c>
      <c r="B19063" t="s">
        <v>57</v>
      </c>
    </row>
    <row r="19064" spans="1:2" x14ac:dyDescent="0.25">
      <c r="A19064">
        <v>47069200</v>
      </c>
      <c r="B19064" t="e">
        <f>- - quimicas</f>
        <v>#NAME?</v>
      </c>
    </row>
    <row r="19065" spans="1:2" x14ac:dyDescent="0.25">
      <c r="A19065">
        <v>47069200100</v>
      </c>
      <c r="B19065" t="s">
        <v>7957</v>
      </c>
    </row>
    <row r="19066" spans="1:2" x14ac:dyDescent="0.25">
      <c r="A19066">
        <v>47069200900</v>
      </c>
      <c r="B19066" t="s">
        <v>57</v>
      </c>
    </row>
    <row r="19067" spans="1:2" x14ac:dyDescent="0.25">
      <c r="A19067">
        <v>47069300000</v>
      </c>
      <c r="B19067" t="e">
        <f>--obtenidas por la combinacion de procedimientos mecanico y quimico</f>
        <v>#NAME?</v>
      </c>
    </row>
    <row r="19068" spans="1:2" x14ac:dyDescent="0.25">
      <c r="A19068">
        <v>4707</v>
      </c>
      <c r="B19068" t="s">
        <v>7958</v>
      </c>
    </row>
    <row r="19069" spans="1:2" x14ac:dyDescent="0.25">
      <c r="A19069">
        <v>47071000000</v>
      </c>
      <c r="B19069" t="e">
        <f>-papel o carton Kraft crudo o papel o carton corrugado</f>
        <v>#NAME?</v>
      </c>
    </row>
    <row r="19070" spans="1:2" x14ac:dyDescent="0.25">
      <c r="A19070">
        <v>47072000000</v>
      </c>
      <c r="B19070" t="e">
        <f>-Los demas papeles o cartones obtenidos principalmente a partir de pasta quimica blanqueada sin colorear En la masa</f>
        <v>#NAME?</v>
      </c>
    </row>
    <row r="19071" spans="1:2" x14ac:dyDescent="0.25">
      <c r="A19071">
        <v>47073000000</v>
      </c>
      <c r="B19071" t="e">
        <f>-papel o carton obtenido principalmente a partir de pasta mecanica (por ejemplo: diarios. periodicos e impresos similares)</f>
        <v>#NAME?</v>
      </c>
    </row>
    <row r="19072" spans="1:2" x14ac:dyDescent="0.25">
      <c r="A19072">
        <v>47079000000</v>
      </c>
      <c r="B19072" t="e">
        <f>-Los demas. incluidos Los desperdicios y desechos sin clasificar</f>
        <v>#NAME?</v>
      </c>
    </row>
    <row r="19073" spans="1:2" x14ac:dyDescent="0.25">
      <c r="A19073">
        <v>480100</v>
      </c>
      <c r="B19073" t="s">
        <v>7959</v>
      </c>
    </row>
    <row r="19074" spans="1:2" x14ac:dyDescent="0.25">
      <c r="A19074">
        <v>48010020000</v>
      </c>
      <c r="B19074" t="s">
        <v>7960</v>
      </c>
    </row>
    <row r="19075" spans="1:2" x14ac:dyDescent="0.25">
      <c r="A19075">
        <v>48010030000</v>
      </c>
      <c r="B19075" t="s">
        <v>7961</v>
      </c>
    </row>
    <row r="19076" spans="1:2" x14ac:dyDescent="0.25">
      <c r="A19076">
        <v>48010090000</v>
      </c>
      <c r="B19076" t="s">
        <v>10</v>
      </c>
    </row>
    <row r="19077" spans="1:2" x14ac:dyDescent="0.25">
      <c r="A19077">
        <v>4802</v>
      </c>
      <c r="B19077" t="s">
        <v>7962</v>
      </c>
    </row>
    <row r="19078" spans="1:2" x14ac:dyDescent="0.25">
      <c r="A19078">
        <v>48021000000</v>
      </c>
      <c r="B19078" t="e">
        <f>-papel y carton hechos a mano (hoja a hoja)</f>
        <v>#NAME?</v>
      </c>
    </row>
    <row r="19079" spans="1:2" x14ac:dyDescent="0.25">
      <c r="A19079">
        <v>480220</v>
      </c>
      <c r="B19079" t="e">
        <f>- papel y carton soporte para papel o carton fotosensible. termosensible o electrosensible</f>
        <v>#NAME?</v>
      </c>
    </row>
    <row r="19080" spans="1:2" x14ac:dyDescent="0.25">
      <c r="A19080">
        <v>48022010</v>
      </c>
      <c r="B19080" t="s">
        <v>7963</v>
      </c>
    </row>
    <row r="19081" spans="1:2" x14ac:dyDescent="0.25">
      <c r="A19081">
        <v>48022010100</v>
      </c>
      <c r="B19081" t="s">
        <v>7964</v>
      </c>
    </row>
    <row r="19082" spans="1:2" x14ac:dyDescent="0.25">
      <c r="A19082">
        <v>48022010900</v>
      </c>
      <c r="B19082" t="s">
        <v>10</v>
      </c>
    </row>
    <row r="19083" spans="1:2" x14ac:dyDescent="0.25">
      <c r="A19083">
        <v>48022090000</v>
      </c>
      <c r="B19083" t="s">
        <v>10</v>
      </c>
    </row>
    <row r="19084" spans="1:2" x14ac:dyDescent="0.25">
      <c r="A19084">
        <v>480240</v>
      </c>
      <c r="B19084" t="e">
        <f>- papel soporte para papeles de decorar paredes</f>
        <v>#NAME?</v>
      </c>
    </row>
    <row r="19085" spans="1:2" x14ac:dyDescent="0.25">
      <c r="A19085">
        <v>48024010</v>
      </c>
      <c r="B19085" t="s">
        <v>7965</v>
      </c>
    </row>
    <row r="19086" spans="1:2" x14ac:dyDescent="0.25">
      <c r="A19086">
        <v>480240101</v>
      </c>
      <c r="B19086" t="s">
        <v>7964</v>
      </c>
    </row>
    <row r="19087" spans="1:2" x14ac:dyDescent="0.25">
      <c r="A19087">
        <v>48024010110</v>
      </c>
      <c r="B19087" t="s">
        <v>7966</v>
      </c>
    </row>
    <row r="19088" spans="1:2" x14ac:dyDescent="0.25">
      <c r="A19088">
        <v>48024010190</v>
      </c>
      <c r="B19088" t="s">
        <v>10</v>
      </c>
    </row>
    <row r="19089" spans="1:2" x14ac:dyDescent="0.25">
      <c r="A19089">
        <v>48024010900</v>
      </c>
      <c r="B19089" t="s">
        <v>10</v>
      </c>
    </row>
    <row r="19090" spans="1:2" x14ac:dyDescent="0.25">
      <c r="A19090">
        <v>48024090</v>
      </c>
      <c r="B19090" t="s">
        <v>10</v>
      </c>
    </row>
    <row r="19091" spans="1:2" x14ac:dyDescent="0.25">
      <c r="A19091">
        <v>48024090100</v>
      </c>
      <c r="B19091" t="s">
        <v>7966</v>
      </c>
    </row>
    <row r="19092" spans="1:2" x14ac:dyDescent="0.25">
      <c r="A19092">
        <v>48024090900</v>
      </c>
      <c r="B19092" t="s">
        <v>10</v>
      </c>
    </row>
    <row r="19093" spans="1:2" x14ac:dyDescent="0.25">
      <c r="A19093">
        <v>48025</v>
      </c>
      <c r="B19093" t="s">
        <v>7967</v>
      </c>
    </row>
    <row r="19094" spans="1:2" x14ac:dyDescent="0.25">
      <c r="A19094">
        <v>480254</v>
      </c>
      <c r="B19094" t="s">
        <v>7968</v>
      </c>
    </row>
    <row r="19095" spans="1:2" x14ac:dyDescent="0.25">
      <c r="A19095">
        <v>48025410</v>
      </c>
      <c r="B19095" t="s">
        <v>7963</v>
      </c>
    </row>
    <row r="19096" spans="1:2" x14ac:dyDescent="0.25">
      <c r="A19096">
        <v>480254101</v>
      </c>
      <c r="B19096" t="s">
        <v>7969</v>
      </c>
    </row>
    <row r="19097" spans="1:2" x14ac:dyDescent="0.25">
      <c r="A19097">
        <v>48025410110</v>
      </c>
      <c r="B19097" t="s">
        <v>7970</v>
      </c>
    </row>
    <row r="19098" spans="1:2" x14ac:dyDescent="0.25">
      <c r="A19098">
        <v>48025410120</v>
      </c>
      <c r="B19098" t="s">
        <v>7971</v>
      </c>
    </row>
    <row r="19099" spans="1:2" x14ac:dyDescent="0.25">
      <c r="A19099">
        <v>48025410130</v>
      </c>
      <c r="B19099" t="s">
        <v>7972</v>
      </c>
    </row>
    <row r="19100" spans="1:2" x14ac:dyDescent="0.25">
      <c r="A19100">
        <v>48025410190</v>
      </c>
      <c r="B19100" t="s">
        <v>10</v>
      </c>
    </row>
    <row r="19101" spans="1:2" x14ac:dyDescent="0.25">
      <c r="A19101">
        <v>48025410900</v>
      </c>
      <c r="B19101" t="s">
        <v>10</v>
      </c>
    </row>
    <row r="19102" spans="1:2" x14ac:dyDescent="0.25">
      <c r="A19102">
        <v>4802549</v>
      </c>
      <c r="B19102" t="s">
        <v>10</v>
      </c>
    </row>
    <row r="19103" spans="1:2" x14ac:dyDescent="0.25">
      <c r="A19103">
        <v>48025491000</v>
      </c>
      <c r="B19103" t="s">
        <v>7973</v>
      </c>
    </row>
    <row r="19104" spans="1:2" x14ac:dyDescent="0.25">
      <c r="A19104">
        <v>48025499000</v>
      </c>
      <c r="B19104" t="s">
        <v>10</v>
      </c>
    </row>
    <row r="19105" spans="1:2" x14ac:dyDescent="0.25">
      <c r="A19105">
        <v>480255</v>
      </c>
      <c r="B19105" t="s">
        <v>7974</v>
      </c>
    </row>
    <row r="19106" spans="1:2" x14ac:dyDescent="0.25">
      <c r="A19106">
        <v>48025510</v>
      </c>
      <c r="B19106" t="s">
        <v>7975</v>
      </c>
    </row>
    <row r="19107" spans="1:2" x14ac:dyDescent="0.25">
      <c r="A19107">
        <v>480255101</v>
      </c>
      <c r="B19107" t="s">
        <v>7969</v>
      </c>
    </row>
    <row r="19108" spans="1:2" x14ac:dyDescent="0.25">
      <c r="A19108">
        <v>48025510110</v>
      </c>
      <c r="B19108" t="s">
        <v>7976</v>
      </c>
    </row>
    <row r="19109" spans="1:2" x14ac:dyDescent="0.25">
      <c r="A19109">
        <v>48025510190</v>
      </c>
      <c r="B19109" t="s">
        <v>10</v>
      </c>
    </row>
    <row r="19110" spans="1:2" x14ac:dyDescent="0.25">
      <c r="A19110">
        <v>480255109</v>
      </c>
      <c r="B19110" t="s">
        <v>10</v>
      </c>
    </row>
    <row r="19111" spans="1:2" x14ac:dyDescent="0.25">
      <c r="A19111">
        <v>48025510910</v>
      </c>
      <c r="B19111" t="s">
        <v>7976</v>
      </c>
    </row>
    <row r="19112" spans="1:2" x14ac:dyDescent="0.25">
      <c r="A19112">
        <v>48025510990</v>
      </c>
      <c r="B19112" t="s">
        <v>10</v>
      </c>
    </row>
    <row r="19113" spans="1:2" x14ac:dyDescent="0.25">
      <c r="A19113">
        <v>4802559</v>
      </c>
      <c r="B19113" t="s">
        <v>10</v>
      </c>
    </row>
    <row r="19114" spans="1:2" x14ac:dyDescent="0.25">
      <c r="A19114">
        <v>48025591</v>
      </c>
      <c r="B19114" t="s">
        <v>7977</v>
      </c>
    </row>
    <row r="19115" spans="1:2" x14ac:dyDescent="0.25">
      <c r="A19115">
        <v>48025591100</v>
      </c>
      <c r="B19115" t="s">
        <v>7964</v>
      </c>
    </row>
    <row r="19116" spans="1:2" x14ac:dyDescent="0.25">
      <c r="A19116">
        <v>48025591900</v>
      </c>
      <c r="B19116" t="s">
        <v>10</v>
      </c>
    </row>
    <row r="19117" spans="1:2" x14ac:dyDescent="0.25">
      <c r="A19117">
        <v>48025592</v>
      </c>
      <c r="B19117" t="s">
        <v>7978</v>
      </c>
    </row>
    <row r="19118" spans="1:2" x14ac:dyDescent="0.25">
      <c r="A19118">
        <v>480255921</v>
      </c>
      <c r="B19118" t="s">
        <v>7969</v>
      </c>
    </row>
    <row r="19119" spans="1:2" x14ac:dyDescent="0.25">
      <c r="A19119">
        <v>48025592110</v>
      </c>
      <c r="B19119" t="s">
        <v>7979</v>
      </c>
    </row>
    <row r="19120" spans="1:2" x14ac:dyDescent="0.25">
      <c r="A19120">
        <v>48025592120</v>
      </c>
      <c r="B19120" t="s">
        <v>7980</v>
      </c>
    </row>
    <row r="19121" spans="1:2" x14ac:dyDescent="0.25">
      <c r="A19121">
        <v>48025592190</v>
      </c>
      <c r="B19121" t="s">
        <v>10</v>
      </c>
    </row>
    <row r="19122" spans="1:2" x14ac:dyDescent="0.25">
      <c r="A19122">
        <v>480255929</v>
      </c>
      <c r="B19122" t="s">
        <v>10</v>
      </c>
    </row>
    <row r="19123" spans="1:2" x14ac:dyDescent="0.25">
      <c r="A19123">
        <v>48025592910</v>
      </c>
      <c r="B19123" t="s">
        <v>7979</v>
      </c>
    </row>
    <row r="19124" spans="1:2" x14ac:dyDescent="0.25">
      <c r="A19124">
        <v>48025592920</v>
      </c>
      <c r="B19124" t="s">
        <v>7980</v>
      </c>
    </row>
    <row r="19125" spans="1:2" x14ac:dyDescent="0.25">
      <c r="A19125">
        <v>48025592990</v>
      </c>
      <c r="B19125" t="s">
        <v>10</v>
      </c>
    </row>
    <row r="19126" spans="1:2" x14ac:dyDescent="0.25">
      <c r="A19126">
        <v>48025599</v>
      </c>
      <c r="B19126" t="s">
        <v>10</v>
      </c>
    </row>
    <row r="19127" spans="1:2" x14ac:dyDescent="0.25">
      <c r="A19127">
        <v>48025599100</v>
      </c>
      <c r="B19127" t="s">
        <v>7969</v>
      </c>
    </row>
    <row r="19128" spans="1:2" x14ac:dyDescent="0.25">
      <c r="A19128">
        <v>48025599900</v>
      </c>
      <c r="B19128" t="s">
        <v>10</v>
      </c>
    </row>
    <row r="19129" spans="1:2" x14ac:dyDescent="0.25">
      <c r="A19129">
        <v>480256</v>
      </c>
      <c r="B19129" t="s">
        <v>7981</v>
      </c>
    </row>
    <row r="19130" spans="1:2" x14ac:dyDescent="0.25">
      <c r="A19130">
        <v>48025610</v>
      </c>
      <c r="B19130" t="s">
        <v>7982</v>
      </c>
    </row>
    <row r="19131" spans="1:2" x14ac:dyDescent="0.25">
      <c r="A19131">
        <v>480256101</v>
      </c>
      <c r="B19131" t="s">
        <v>7969</v>
      </c>
    </row>
    <row r="19132" spans="1:2" x14ac:dyDescent="0.25">
      <c r="A19132">
        <v>48025610110</v>
      </c>
      <c r="B19132" t="s">
        <v>7970</v>
      </c>
    </row>
    <row r="19133" spans="1:2" x14ac:dyDescent="0.25">
      <c r="A19133">
        <v>48025610120</v>
      </c>
      <c r="B19133" t="s">
        <v>7971</v>
      </c>
    </row>
    <row r="19134" spans="1:2" x14ac:dyDescent="0.25">
      <c r="A19134">
        <v>48025610130</v>
      </c>
      <c r="B19134" t="s">
        <v>7972</v>
      </c>
    </row>
    <row r="19135" spans="1:2" x14ac:dyDescent="0.25">
      <c r="A19135">
        <v>48025610190</v>
      </c>
      <c r="B19135" t="s">
        <v>10</v>
      </c>
    </row>
    <row r="19136" spans="1:2" x14ac:dyDescent="0.25">
      <c r="A19136">
        <v>48025610900</v>
      </c>
      <c r="B19136" t="s">
        <v>10</v>
      </c>
    </row>
    <row r="19137" spans="1:2" x14ac:dyDescent="0.25">
      <c r="A19137">
        <v>4802569</v>
      </c>
      <c r="B19137" t="s">
        <v>10</v>
      </c>
    </row>
    <row r="19138" spans="1:2" x14ac:dyDescent="0.25">
      <c r="A19138">
        <v>48025691000</v>
      </c>
      <c r="B19138" t="s">
        <v>7983</v>
      </c>
    </row>
    <row r="19139" spans="1:2" x14ac:dyDescent="0.25">
      <c r="A19139">
        <v>48025692</v>
      </c>
      <c r="B19139" t="s">
        <v>7977</v>
      </c>
    </row>
    <row r="19140" spans="1:2" x14ac:dyDescent="0.25">
      <c r="A19140">
        <v>48025692100</v>
      </c>
      <c r="B19140" t="s">
        <v>7964</v>
      </c>
    </row>
    <row r="19141" spans="1:2" x14ac:dyDescent="0.25">
      <c r="A19141">
        <v>48025692900</v>
      </c>
      <c r="B19141" t="s">
        <v>10</v>
      </c>
    </row>
    <row r="19142" spans="1:2" x14ac:dyDescent="0.25">
      <c r="A19142">
        <v>48025693</v>
      </c>
      <c r="B19142" t="s">
        <v>7978</v>
      </c>
    </row>
    <row r="19143" spans="1:2" x14ac:dyDescent="0.25">
      <c r="A19143">
        <v>480256931</v>
      </c>
      <c r="B19143" t="s">
        <v>7969</v>
      </c>
    </row>
    <row r="19144" spans="1:2" x14ac:dyDescent="0.25">
      <c r="A19144">
        <v>48025693110</v>
      </c>
      <c r="B19144" t="s">
        <v>7976</v>
      </c>
    </row>
    <row r="19145" spans="1:2" x14ac:dyDescent="0.25">
      <c r="A19145">
        <v>48025693190</v>
      </c>
      <c r="B19145" t="s">
        <v>10</v>
      </c>
    </row>
    <row r="19146" spans="1:2" x14ac:dyDescent="0.25">
      <c r="A19146">
        <v>480256939</v>
      </c>
      <c r="B19146" t="s">
        <v>10</v>
      </c>
    </row>
    <row r="19147" spans="1:2" x14ac:dyDescent="0.25">
      <c r="A19147">
        <v>48025693910</v>
      </c>
      <c r="B19147" t="s">
        <v>7976</v>
      </c>
    </row>
    <row r="19148" spans="1:2" x14ac:dyDescent="0.25">
      <c r="A19148">
        <v>48025693990</v>
      </c>
      <c r="B19148" t="s">
        <v>10</v>
      </c>
    </row>
    <row r="19149" spans="1:2" x14ac:dyDescent="0.25">
      <c r="A19149">
        <v>48025699</v>
      </c>
      <c r="B19149" t="s">
        <v>10</v>
      </c>
    </row>
    <row r="19150" spans="1:2" x14ac:dyDescent="0.25">
      <c r="A19150">
        <v>48025699100</v>
      </c>
      <c r="B19150" t="s">
        <v>7969</v>
      </c>
    </row>
    <row r="19151" spans="1:2" x14ac:dyDescent="0.25">
      <c r="A19151">
        <v>48025699900</v>
      </c>
      <c r="B19151" t="s">
        <v>10</v>
      </c>
    </row>
    <row r="19152" spans="1:2" x14ac:dyDescent="0.25">
      <c r="A19152">
        <v>480257</v>
      </c>
      <c r="B19152" t="s">
        <v>7984</v>
      </c>
    </row>
    <row r="19153" spans="1:2" x14ac:dyDescent="0.25">
      <c r="A19153">
        <v>48025710</v>
      </c>
      <c r="B19153" t="s">
        <v>7985</v>
      </c>
    </row>
    <row r="19154" spans="1:2" x14ac:dyDescent="0.25">
      <c r="A19154">
        <v>48025710100</v>
      </c>
      <c r="B19154" t="s">
        <v>7969</v>
      </c>
    </row>
    <row r="19155" spans="1:2" x14ac:dyDescent="0.25">
      <c r="A19155">
        <v>48025710900</v>
      </c>
      <c r="B19155" t="s">
        <v>10</v>
      </c>
    </row>
    <row r="19156" spans="1:2" x14ac:dyDescent="0.25">
      <c r="A19156">
        <v>4802579</v>
      </c>
      <c r="B19156" t="s">
        <v>10</v>
      </c>
    </row>
    <row r="19157" spans="1:2" x14ac:dyDescent="0.25">
      <c r="A19157">
        <v>48025791000</v>
      </c>
      <c r="B19157" t="s">
        <v>7983</v>
      </c>
    </row>
    <row r="19158" spans="1:2" x14ac:dyDescent="0.25">
      <c r="A19158">
        <v>48025792</v>
      </c>
      <c r="B19158" t="s">
        <v>7977</v>
      </c>
    </row>
    <row r="19159" spans="1:2" x14ac:dyDescent="0.25">
      <c r="A19159">
        <v>48025792100</v>
      </c>
      <c r="B19159" t="s">
        <v>7986</v>
      </c>
    </row>
    <row r="19160" spans="1:2" x14ac:dyDescent="0.25">
      <c r="A19160">
        <v>48025792900</v>
      </c>
      <c r="B19160" t="s">
        <v>10</v>
      </c>
    </row>
    <row r="19161" spans="1:2" x14ac:dyDescent="0.25">
      <c r="A19161">
        <v>48025793</v>
      </c>
      <c r="B19161" t="s">
        <v>7978</v>
      </c>
    </row>
    <row r="19162" spans="1:2" x14ac:dyDescent="0.25">
      <c r="A19162">
        <v>480257931</v>
      </c>
      <c r="B19162" t="s">
        <v>7969</v>
      </c>
    </row>
    <row r="19163" spans="1:2" x14ac:dyDescent="0.25">
      <c r="A19163">
        <v>48025793110</v>
      </c>
      <c r="B19163" t="s">
        <v>7979</v>
      </c>
    </row>
    <row r="19164" spans="1:2" x14ac:dyDescent="0.25">
      <c r="A19164">
        <v>48025793120</v>
      </c>
      <c r="B19164" t="s">
        <v>7980</v>
      </c>
    </row>
    <row r="19165" spans="1:2" x14ac:dyDescent="0.25">
      <c r="A19165">
        <v>48025793190</v>
      </c>
      <c r="B19165" t="s">
        <v>10</v>
      </c>
    </row>
    <row r="19166" spans="1:2" x14ac:dyDescent="0.25">
      <c r="A19166">
        <v>480257939</v>
      </c>
      <c r="B19166" t="s">
        <v>10</v>
      </c>
    </row>
    <row r="19167" spans="1:2" x14ac:dyDescent="0.25">
      <c r="A19167">
        <v>48025793910</v>
      </c>
      <c r="B19167" t="s">
        <v>7979</v>
      </c>
    </row>
    <row r="19168" spans="1:2" x14ac:dyDescent="0.25">
      <c r="A19168">
        <v>48025793920</v>
      </c>
      <c r="B19168" t="s">
        <v>7980</v>
      </c>
    </row>
    <row r="19169" spans="1:2" x14ac:dyDescent="0.25">
      <c r="A19169">
        <v>48025793990</v>
      </c>
      <c r="B19169" t="s">
        <v>10</v>
      </c>
    </row>
    <row r="19170" spans="1:2" x14ac:dyDescent="0.25">
      <c r="A19170">
        <v>48025799</v>
      </c>
      <c r="B19170" t="s">
        <v>10</v>
      </c>
    </row>
    <row r="19171" spans="1:2" x14ac:dyDescent="0.25">
      <c r="A19171">
        <v>48025799100</v>
      </c>
      <c r="B19171" t="s">
        <v>7969</v>
      </c>
    </row>
    <row r="19172" spans="1:2" x14ac:dyDescent="0.25">
      <c r="A19172">
        <v>48025799900</v>
      </c>
      <c r="B19172" t="s">
        <v>10</v>
      </c>
    </row>
    <row r="19173" spans="1:2" x14ac:dyDescent="0.25">
      <c r="A19173">
        <v>480258</v>
      </c>
      <c r="B19173" t="s">
        <v>7987</v>
      </c>
    </row>
    <row r="19174" spans="1:2" x14ac:dyDescent="0.25">
      <c r="A19174">
        <v>48025810</v>
      </c>
      <c r="B19174" t="s">
        <v>7963</v>
      </c>
    </row>
    <row r="19175" spans="1:2" x14ac:dyDescent="0.25">
      <c r="A19175">
        <v>480258101</v>
      </c>
      <c r="B19175" t="s">
        <v>7969</v>
      </c>
    </row>
    <row r="19176" spans="1:2" x14ac:dyDescent="0.25">
      <c r="A19176">
        <v>48025810110</v>
      </c>
      <c r="B19176" t="s">
        <v>7970</v>
      </c>
    </row>
    <row r="19177" spans="1:2" x14ac:dyDescent="0.25">
      <c r="A19177">
        <v>48025810120</v>
      </c>
      <c r="B19177" t="s">
        <v>7971</v>
      </c>
    </row>
    <row r="19178" spans="1:2" x14ac:dyDescent="0.25">
      <c r="A19178">
        <v>48025810130</v>
      </c>
      <c r="B19178" t="s">
        <v>7972</v>
      </c>
    </row>
    <row r="19179" spans="1:2" x14ac:dyDescent="0.25">
      <c r="A19179">
        <v>48025810190</v>
      </c>
      <c r="B19179" t="s">
        <v>10</v>
      </c>
    </row>
    <row r="19180" spans="1:2" x14ac:dyDescent="0.25">
      <c r="A19180">
        <v>48025810900</v>
      </c>
      <c r="B19180" t="s">
        <v>10</v>
      </c>
    </row>
    <row r="19181" spans="1:2" x14ac:dyDescent="0.25">
      <c r="A19181">
        <v>4802589</v>
      </c>
      <c r="B19181" t="s">
        <v>10</v>
      </c>
    </row>
    <row r="19182" spans="1:2" x14ac:dyDescent="0.25">
      <c r="A19182">
        <v>48025891</v>
      </c>
      <c r="B19182" t="s">
        <v>7977</v>
      </c>
    </row>
    <row r="19183" spans="1:2" x14ac:dyDescent="0.25">
      <c r="A19183">
        <v>48025891100</v>
      </c>
      <c r="B19183" t="s">
        <v>7986</v>
      </c>
    </row>
    <row r="19184" spans="1:2" x14ac:dyDescent="0.25">
      <c r="A19184">
        <v>48025891900</v>
      </c>
      <c r="B19184" t="s">
        <v>10</v>
      </c>
    </row>
    <row r="19185" spans="1:2" x14ac:dyDescent="0.25">
      <c r="A19185">
        <v>48025892</v>
      </c>
      <c r="B19185" t="s">
        <v>7978</v>
      </c>
    </row>
    <row r="19186" spans="1:2" x14ac:dyDescent="0.25">
      <c r="A19186">
        <v>480258921</v>
      </c>
      <c r="B19186" t="s">
        <v>7969</v>
      </c>
    </row>
    <row r="19187" spans="1:2" x14ac:dyDescent="0.25">
      <c r="A19187">
        <v>48025892110</v>
      </c>
      <c r="B19187" t="s">
        <v>7988</v>
      </c>
    </row>
    <row r="19188" spans="1:2" x14ac:dyDescent="0.25">
      <c r="A19188">
        <v>48025892190</v>
      </c>
      <c r="B19188" t="s">
        <v>10</v>
      </c>
    </row>
    <row r="19189" spans="1:2" x14ac:dyDescent="0.25">
      <c r="A19189">
        <v>480258929</v>
      </c>
      <c r="B19189" t="s">
        <v>10</v>
      </c>
    </row>
    <row r="19190" spans="1:2" x14ac:dyDescent="0.25">
      <c r="A19190">
        <v>48025892910</v>
      </c>
      <c r="B19190" t="s">
        <v>7988</v>
      </c>
    </row>
    <row r="19191" spans="1:2" x14ac:dyDescent="0.25">
      <c r="A19191">
        <v>48025892990</v>
      </c>
      <c r="B19191" t="s">
        <v>10</v>
      </c>
    </row>
    <row r="19192" spans="1:2" x14ac:dyDescent="0.25">
      <c r="A19192">
        <v>48025899</v>
      </c>
      <c r="B19192" t="s">
        <v>10</v>
      </c>
    </row>
    <row r="19193" spans="1:2" x14ac:dyDescent="0.25">
      <c r="A19193">
        <v>480258991</v>
      </c>
      <c r="B19193" t="s">
        <v>7969</v>
      </c>
    </row>
    <row r="19194" spans="1:2" x14ac:dyDescent="0.25">
      <c r="A19194">
        <v>48025899110</v>
      </c>
      <c r="B19194" t="s">
        <v>7988</v>
      </c>
    </row>
    <row r="19195" spans="1:2" x14ac:dyDescent="0.25">
      <c r="A19195">
        <v>48025899190</v>
      </c>
      <c r="B19195" t="s">
        <v>10</v>
      </c>
    </row>
    <row r="19196" spans="1:2" x14ac:dyDescent="0.25">
      <c r="A19196">
        <v>480258999</v>
      </c>
      <c r="B19196" t="s">
        <v>10</v>
      </c>
    </row>
    <row r="19197" spans="1:2" x14ac:dyDescent="0.25">
      <c r="A19197">
        <v>48025899910</v>
      </c>
      <c r="B19197" t="s">
        <v>7988</v>
      </c>
    </row>
    <row r="19198" spans="1:2" x14ac:dyDescent="0.25">
      <c r="A19198">
        <v>48025899990</v>
      </c>
      <c r="B19198" t="s">
        <v>10</v>
      </c>
    </row>
    <row r="19199" spans="1:2" x14ac:dyDescent="0.25">
      <c r="A19199">
        <v>48026</v>
      </c>
      <c r="B19199" t="s">
        <v>7989</v>
      </c>
    </row>
    <row r="19200" spans="1:2" x14ac:dyDescent="0.25">
      <c r="A19200">
        <v>480261</v>
      </c>
      <c r="B19200" t="e">
        <f>- - En bobinas (rollos)</f>
        <v>#NAME?</v>
      </c>
    </row>
    <row r="19201" spans="1:2" x14ac:dyDescent="0.25">
      <c r="A19201">
        <v>48026110</v>
      </c>
      <c r="B19201" t="s">
        <v>7975</v>
      </c>
    </row>
    <row r="19202" spans="1:2" x14ac:dyDescent="0.25">
      <c r="A19202">
        <v>48026110100</v>
      </c>
      <c r="B19202" t="s">
        <v>7969</v>
      </c>
    </row>
    <row r="19203" spans="1:2" x14ac:dyDescent="0.25">
      <c r="A19203">
        <v>48026110900</v>
      </c>
      <c r="B19203" t="s">
        <v>10</v>
      </c>
    </row>
    <row r="19204" spans="1:2" x14ac:dyDescent="0.25">
      <c r="A19204">
        <v>4802619</v>
      </c>
      <c r="B19204" t="s">
        <v>10</v>
      </c>
    </row>
    <row r="19205" spans="1:2" x14ac:dyDescent="0.25">
      <c r="A19205">
        <v>48026191000</v>
      </c>
      <c r="B19205" t="s">
        <v>7990</v>
      </c>
    </row>
    <row r="19206" spans="1:2" x14ac:dyDescent="0.25">
      <c r="A19206">
        <v>48026192000</v>
      </c>
      <c r="B19206" t="s">
        <v>7978</v>
      </c>
    </row>
    <row r="19207" spans="1:2" x14ac:dyDescent="0.25">
      <c r="A19207">
        <v>48026199</v>
      </c>
      <c r="B19207" t="s">
        <v>10</v>
      </c>
    </row>
    <row r="19208" spans="1:2" x14ac:dyDescent="0.25">
      <c r="A19208">
        <v>48026199100</v>
      </c>
      <c r="B19208" t="s">
        <v>7991</v>
      </c>
    </row>
    <row r="19209" spans="1:2" x14ac:dyDescent="0.25">
      <c r="A19209">
        <v>48026199200</v>
      </c>
      <c r="B19209" t="s">
        <v>7992</v>
      </c>
    </row>
    <row r="19210" spans="1:2" x14ac:dyDescent="0.25">
      <c r="A19210">
        <v>48026199300</v>
      </c>
      <c r="B19210" t="s">
        <v>7993</v>
      </c>
    </row>
    <row r="19211" spans="1:2" x14ac:dyDescent="0.25">
      <c r="A19211">
        <v>48026199900</v>
      </c>
      <c r="B19211" t="s">
        <v>10</v>
      </c>
    </row>
    <row r="19212" spans="1:2" x14ac:dyDescent="0.25">
      <c r="A19212">
        <v>480262</v>
      </c>
      <c r="B19212" t="s">
        <v>7994</v>
      </c>
    </row>
    <row r="19213" spans="1:2" x14ac:dyDescent="0.25">
      <c r="A19213">
        <v>48026210</v>
      </c>
      <c r="B19213" t="s">
        <v>7982</v>
      </c>
    </row>
    <row r="19214" spans="1:2" x14ac:dyDescent="0.25">
      <c r="A19214">
        <v>480262101</v>
      </c>
      <c r="B19214" t="s">
        <v>7969</v>
      </c>
    </row>
    <row r="19215" spans="1:2" x14ac:dyDescent="0.25">
      <c r="A19215">
        <v>48026210110</v>
      </c>
      <c r="B19215" t="s">
        <v>7970</v>
      </c>
    </row>
    <row r="19216" spans="1:2" x14ac:dyDescent="0.25">
      <c r="A19216">
        <v>48026210120</v>
      </c>
      <c r="B19216" t="s">
        <v>7971</v>
      </c>
    </row>
    <row r="19217" spans="1:2" x14ac:dyDescent="0.25">
      <c r="A19217">
        <v>48026210130</v>
      </c>
      <c r="B19217" t="s">
        <v>7972</v>
      </c>
    </row>
    <row r="19218" spans="1:2" x14ac:dyDescent="0.25">
      <c r="A19218">
        <v>48026210190</v>
      </c>
      <c r="B19218" t="s">
        <v>10</v>
      </c>
    </row>
    <row r="19219" spans="1:2" x14ac:dyDescent="0.25">
      <c r="A19219">
        <v>48026210900</v>
      </c>
      <c r="B19219" t="s">
        <v>10</v>
      </c>
    </row>
    <row r="19220" spans="1:2" x14ac:dyDescent="0.25">
      <c r="A19220">
        <v>4802629</v>
      </c>
      <c r="B19220" t="s">
        <v>10</v>
      </c>
    </row>
    <row r="19221" spans="1:2" x14ac:dyDescent="0.25">
      <c r="A19221">
        <v>48026291000</v>
      </c>
      <c r="B19221" t="s">
        <v>7990</v>
      </c>
    </row>
    <row r="19222" spans="1:2" x14ac:dyDescent="0.25">
      <c r="A19222">
        <v>48026292000</v>
      </c>
      <c r="B19222" t="s">
        <v>7978</v>
      </c>
    </row>
    <row r="19223" spans="1:2" x14ac:dyDescent="0.25">
      <c r="A19223">
        <v>48026299</v>
      </c>
      <c r="B19223" t="s">
        <v>10</v>
      </c>
    </row>
    <row r="19224" spans="1:2" x14ac:dyDescent="0.25">
      <c r="A19224">
        <v>48026299100</v>
      </c>
      <c r="B19224" t="s">
        <v>7991</v>
      </c>
    </row>
    <row r="19225" spans="1:2" x14ac:dyDescent="0.25">
      <c r="A19225">
        <v>48026299200</v>
      </c>
      <c r="B19225" t="s">
        <v>7992</v>
      </c>
    </row>
    <row r="19226" spans="1:2" x14ac:dyDescent="0.25">
      <c r="A19226">
        <v>48026299300</v>
      </c>
      <c r="B19226" t="s">
        <v>7993</v>
      </c>
    </row>
    <row r="19227" spans="1:2" x14ac:dyDescent="0.25">
      <c r="A19227">
        <v>48026299900</v>
      </c>
      <c r="B19227" t="s">
        <v>10</v>
      </c>
    </row>
    <row r="19228" spans="1:2" x14ac:dyDescent="0.25">
      <c r="A19228">
        <v>480269</v>
      </c>
      <c r="B19228" t="e">
        <f>- - Los demas</f>
        <v>#NAME?</v>
      </c>
    </row>
    <row r="19229" spans="1:2" x14ac:dyDescent="0.25">
      <c r="A19229">
        <v>48026910</v>
      </c>
      <c r="B19229" t="s">
        <v>7985</v>
      </c>
    </row>
    <row r="19230" spans="1:2" x14ac:dyDescent="0.25">
      <c r="A19230">
        <v>48026910100</v>
      </c>
      <c r="B19230" t="s">
        <v>7969</v>
      </c>
    </row>
    <row r="19231" spans="1:2" x14ac:dyDescent="0.25">
      <c r="A19231">
        <v>48026910900</v>
      </c>
      <c r="B19231" t="s">
        <v>10</v>
      </c>
    </row>
    <row r="19232" spans="1:2" x14ac:dyDescent="0.25">
      <c r="A19232">
        <v>4802699</v>
      </c>
      <c r="B19232" t="s">
        <v>10</v>
      </c>
    </row>
    <row r="19233" spans="1:2" x14ac:dyDescent="0.25">
      <c r="A19233">
        <v>48026991000</v>
      </c>
      <c r="B19233" t="s">
        <v>7990</v>
      </c>
    </row>
    <row r="19234" spans="1:2" x14ac:dyDescent="0.25">
      <c r="A19234">
        <v>48026992000</v>
      </c>
      <c r="B19234" t="s">
        <v>7978</v>
      </c>
    </row>
    <row r="19235" spans="1:2" x14ac:dyDescent="0.25">
      <c r="A19235">
        <v>48026999</v>
      </c>
      <c r="B19235" t="s">
        <v>10</v>
      </c>
    </row>
    <row r="19236" spans="1:2" x14ac:dyDescent="0.25">
      <c r="A19236">
        <v>48026999100</v>
      </c>
      <c r="B19236" t="s">
        <v>7991</v>
      </c>
    </row>
    <row r="19237" spans="1:2" x14ac:dyDescent="0.25">
      <c r="A19237">
        <v>48026999200</v>
      </c>
      <c r="B19237" t="s">
        <v>7992</v>
      </c>
    </row>
    <row r="19238" spans="1:2" x14ac:dyDescent="0.25">
      <c r="A19238">
        <v>48026999300</v>
      </c>
      <c r="B19238" t="s">
        <v>7993</v>
      </c>
    </row>
    <row r="19239" spans="1:2" x14ac:dyDescent="0.25">
      <c r="A19239">
        <v>48026999900</v>
      </c>
      <c r="B19239" t="s">
        <v>10</v>
      </c>
    </row>
    <row r="19240" spans="1:2" x14ac:dyDescent="0.25">
      <c r="A19240">
        <v>480300</v>
      </c>
      <c r="B19240" t="s">
        <v>7995</v>
      </c>
    </row>
    <row r="19241" spans="1:2" x14ac:dyDescent="0.25">
      <c r="A19241">
        <v>48030010000</v>
      </c>
      <c r="B19241" t="s">
        <v>7996</v>
      </c>
    </row>
    <row r="19242" spans="1:2" x14ac:dyDescent="0.25">
      <c r="A19242">
        <v>48030090</v>
      </c>
      <c r="B19242" t="s">
        <v>10</v>
      </c>
    </row>
    <row r="19243" spans="1:2" x14ac:dyDescent="0.25">
      <c r="A19243">
        <v>48030090100</v>
      </c>
      <c r="B19243" t="s">
        <v>7997</v>
      </c>
    </row>
    <row r="19244" spans="1:2" x14ac:dyDescent="0.25">
      <c r="A19244">
        <v>48030090200</v>
      </c>
      <c r="B19244" t="s">
        <v>7998</v>
      </c>
    </row>
    <row r="19245" spans="1:2" x14ac:dyDescent="0.25">
      <c r="A19245">
        <v>48030090300</v>
      </c>
      <c r="B19245" t="s">
        <v>7999</v>
      </c>
    </row>
    <row r="19246" spans="1:2" x14ac:dyDescent="0.25">
      <c r="A19246">
        <v>48030090900</v>
      </c>
      <c r="B19246" t="s">
        <v>10</v>
      </c>
    </row>
    <row r="19247" spans="1:2" x14ac:dyDescent="0.25">
      <c r="A19247">
        <v>4804</v>
      </c>
      <c r="B19247" t="s">
        <v>8000</v>
      </c>
    </row>
    <row r="19248" spans="1:2" x14ac:dyDescent="0.25">
      <c r="A19248">
        <v>48041</v>
      </c>
      <c r="B19248" t="s">
        <v>8001</v>
      </c>
    </row>
    <row r="19249" spans="1:2" x14ac:dyDescent="0.25">
      <c r="A19249">
        <v>48041100000</v>
      </c>
      <c r="B19249" t="e">
        <f>--crudos</f>
        <v>#NAME?</v>
      </c>
    </row>
    <row r="19250" spans="1:2" x14ac:dyDescent="0.25">
      <c r="A19250">
        <v>48041900000</v>
      </c>
      <c r="B19250" t="e">
        <f>--Los demas</f>
        <v>#NAME?</v>
      </c>
    </row>
    <row r="19251" spans="1:2" x14ac:dyDescent="0.25">
      <c r="A19251">
        <v>48042</v>
      </c>
      <c r="B19251" t="s">
        <v>8002</v>
      </c>
    </row>
    <row r="19252" spans="1:2" x14ac:dyDescent="0.25">
      <c r="A19252">
        <v>48042100000</v>
      </c>
      <c r="B19252" t="e">
        <f>--crudo</f>
        <v>#NAME?</v>
      </c>
    </row>
    <row r="19253" spans="1:2" x14ac:dyDescent="0.25">
      <c r="A19253">
        <v>48042900000</v>
      </c>
      <c r="B19253" t="e">
        <f>--Los demas</f>
        <v>#NAME?</v>
      </c>
    </row>
    <row r="19254" spans="1:2" x14ac:dyDescent="0.25">
      <c r="A19254">
        <v>48043</v>
      </c>
      <c r="B19254" t="s">
        <v>8003</v>
      </c>
    </row>
    <row r="19255" spans="1:2" x14ac:dyDescent="0.25">
      <c r="A19255">
        <v>480431</v>
      </c>
      <c r="B19255" t="e">
        <f>- - crudos</f>
        <v>#NAME?</v>
      </c>
    </row>
    <row r="19256" spans="1:2" x14ac:dyDescent="0.25">
      <c r="A19256">
        <v>48043110000</v>
      </c>
      <c r="B19256" t="s">
        <v>8004</v>
      </c>
    </row>
    <row r="19257" spans="1:2" x14ac:dyDescent="0.25">
      <c r="A19257">
        <v>48043190000</v>
      </c>
      <c r="B19257" t="s">
        <v>10</v>
      </c>
    </row>
    <row r="19258" spans="1:2" x14ac:dyDescent="0.25">
      <c r="A19258">
        <v>480439</v>
      </c>
      <c r="B19258" t="e">
        <f>- - Los demas</f>
        <v>#NAME?</v>
      </c>
    </row>
    <row r="19259" spans="1:2" x14ac:dyDescent="0.25">
      <c r="A19259">
        <v>48043910000</v>
      </c>
      <c r="B19259" t="s">
        <v>8005</v>
      </c>
    </row>
    <row r="19260" spans="1:2" x14ac:dyDescent="0.25">
      <c r="A19260">
        <v>48043990</v>
      </c>
      <c r="B19260" t="s">
        <v>10</v>
      </c>
    </row>
    <row r="19261" spans="1:2" x14ac:dyDescent="0.25">
      <c r="A19261">
        <v>48043990100</v>
      </c>
      <c r="B19261" t="s">
        <v>8006</v>
      </c>
    </row>
    <row r="19262" spans="1:2" x14ac:dyDescent="0.25">
      <c r="A19262">
        <v>48043990900</v>
      </c>
      <c r="B19262" t="s">
        <v>10</v>
      </c>
    </row>
    <row r="19263" spans="1:2" x14ac:dyDescent="0.25">
      <c r="A19263">
        <v>48044</v>
      </c>
      <c r="B19263" t="s">
        <v>8007</v>
      </c>
    </row>
    <row r="19264" spans="1:2" x14ac:dyDescent="0.25">
      <c r="A19264">
        <v>48044100000</v>
      </c>
      <c r="B19264" t="e">
        <f>--crudos</f>
        <v>#NAME?</v>
      </c>
    </row>
    <row r="19265" spans="1:2" x14ac:dyDescent="0.25">
      <c r="A19265">
        <v>48044200000</v>
      </c>
      <c r="B19265" t="s">
        <v>8008</v>
      </c>
    </row>
    <row r="19266" spans="1:2" x14ac:dyDescent="0.25">
      <c r="A19266">
        <v>48044900000</v>
      </c>
      <c r="B19266" t="e">
        <f>--Los demas</f>
        <v>#NAME?</v>
      </c>
    </row>
    <row r="19267" spans="1:2" x14ac:dyDescent="0.25">
      <c r="A19267">
        <v>48045</v>
      </c>
      <c r="B19267" t="s">
        <v>8009</v>
      </c>
    </row>
    <row r="19268" spans="1:2" x14ac:dyDescent="0.25">
      <c r="A19268">
        <v>48045100000</v>
      </c>
      <c r="B19268" t="e">
        <f>--crudos</f>
        <v>#NAME?</v>
      </c>
    </row>
    <row r="19269" spans="1:2" x14ac:dyDescent="0.25">
      <c r="A19269">
        <v>48045200000</v>
      </c>
      <c r="B19269" t="s">
        <v>8008</v>
      </c>
    </row>
    <row r="19270" spans="1:2" x14ac:dyDescent="0.25">
      <c r="A19270">
        <v>480459</v>
      </c>
      <c r="B19270" t="e">
        <f>- - Los demas</f>
        <v>#NAME?</v>
      </c>
    </row>
    <row r="19271" spans="1:2" x14ac:dyDescent="0.25">
      <c r="A19271">
        <v>48045910000</v>
      </c>
      <c r="B19271" t="s">
        <v>8010</v>
      </c>
    </row>
    <row r="19272" spans="1:2" x14ac:dyDescent="0.25">
      <c r="A19272">
        <v>48045990000</v>
      </c>
      <c r="B19272" t="s">
        <v>10</v>
      </c>
    </row>
    <row r="19273" spans="1:2" x14ac:dyDescent="0.25">
      <c r="A19273">
        <v>4805</v>
      </c>
      <c r="B19273" t="s">
        <v>8011</v>
      </c>
    </row>
    <row r="19274" spans="1:2" x14ac:dyDescent="0.25">
      <c r="A19274">
        <v>48051</v>
      </c>
      <c r="B19274" t="s">
        <v>8012</v>
      </c>
    </row>
    <row r="19275" spans="1:2" x14ac:dyDescent="0.25">
      <c r="A19275">
        <v>48051100000</v>
      </c>
      <c r="B19275" t="e">
        <f>--papel semiquimico para acanalar</f>
        <v>#NAME?</v>
      </c>
    </row>
    <row r="19276" spans="1:2" x14ac:dyDescent="0.25">
      <c r="A19276">
        <v>48051200</v>
      </c>
      <c r="B19276" t="e">
        <f>- - papel Paja para acanalar</f>
        <v>#NAME?</v>
      </c>
    </row>
    <row r="19277" spans="1:2" x14ac:dyDescent="0.25">
      <c r="A19277">
        <v>480512001</v>
      </c>
      <c r="B19277" t="s">
        <v>8013</v>
      </c>
    </row>
    <row r="19278" spans="1:2" x14ac:dyDescent="0.25">
      <c r="A19278">
        <v>48051200110</v>
      </c>
      <c r="B19278" t="s">
        <v>8014</v>
      </c>
    </row>
    <row r="19279" spans="1:2" x14ac:dyDescent="0.25">
      <c r="A19279">
        <v>48051200190</v>
      </c>
      <c r="B19279" t="s">
        <v>10</v>
      </c>
    </row>
    <row r="19280" spans="1:2" x14ac:dyDescent="0.25">
      <c r="A19280">
        <v>480512009</v>
      </c>
      <c r="B19280" t="s">
        <v>10</v>
      </c>
    </row>
    <row r="19281" spans="1:2" x14ac:dyDescent="0.25">
      <c r="A19281">
        <v>48051200910</v>
      </c>
      <c r="B19281" t="s">
        <v>8014</v>
      </c>
    </row>
    <row r="19282" spans="1:2" x14ac:dyDescent="0.25">
      <c r="A19282">
        <v>48051200990</v>
      </c>
      <c r="B19282" t="s">
        <v>10</v>
      </c>
    </row>
    <row r="19283" spans="1:2" x14ac:dyDescent="0.25">
      <c r="A19283">
        <v>48051900</v>
      </c>
      <c r="B19283" t="e">
        <f>- - Los demas</f>
        <v>#NAME?</v>
      </c>
    </row>
    <row r="19284" spans="1:2" x14ac:dyDescent="0.25">
      <c r="A19284">
        <v>480519001</v>
      </c>
      <c r="B19284" t="s">
        <v>8013</v>
      </c>
    </row>
    <row r="19285" spans="1:2" x14ac:dyDescent="0.25">
      <c r="A19285">
        <v>48051900110</v>
      </c>
      <c r="B19285" t="s">
        <v>8014</v>
      </c>
    </row>
    <row r="19286" spans="1:2" x14ac:dyDescent="0.25">
      <c r="A19286">
        <v>48051900190</v>
      </c>
      <c r="B19286" t="s">
        <v>10</v>
      </c>
    </row>
    <row r="19287" spans="1:2" x14ac:dyDescent="0.25">
      <c r="A19287">
        <v>480519009</v>
      </c>
      <c r="B19287" t="s">
        <v>10</v>
      </c>
    </row>
    <row r="19288" spans="1:2" x14ac:dyDescent="0.25">
      <c r="A19288">
        <v>48051900910</v>
      </c>
      <c r="B19288" t="s">
        <v>8014</v>
      </c>
    </row>
    <row r="19289" spans="1:2" x14ac:dyDescent="0.25">
      <c r="A19289">
        <v>48051900990</v>
      </c>
      <c r="B19289" t="s">
        <v>10</v>
      </c>
    </row>
    <row r="19290" spans="1:2" x14ac:dyDescent="0.25">
      <c r="A19290">
        <v>48052</v>
      </c>
      <c r="B19290" t="s">
        <v>8015</v>
      </c>
    </row>
    <row r="19291" spans="1:2" x14ac:dyDescent="0.25">
      <c r="A19291">
        <v>48052400</v>
      </c>
      <c r="B19291" t="s">
        <v>8016</v>
      </c>
    </row>
    <row r="19292" spans="1:2" x14ac:dyDescent="0.25">
      <c r="A19292">
        <v>48052400100</v>
      </c>
      <c r="B19292" t="s">
        <v>8017</v>
      </c>
    </row>
    <row r="19293" spans="1:2" x14ac:dyDescent="0.25">
      <c r="A19293">
        <v>48052400200</v>
      </c>
      <c r="B19293" t="s">
        <v>8018</v>
      </c>
    </row>
    <row r="19294" spans="1:2" x14ac:dyDescent="0.25">
      <c r="A19294">
        <v>48052400300</v>
      </c>
      <c r="B19294" t="s">
        <v>8019</v>
      </c>
    </row>
    <row r="19295" spans="1:2" x14ac:dyDescent="0.25">
      <c r="A19295">
        <v>48052400900</v>
      </c>
      <c r="B19295" t="s">
        <v>10</v>
      </c>
    </row>
    <row r="19296" spans="1:2" x14ac:dyDescent="0.25">
      <c r="A19296">
        <v>48052500</v>
      </c>
      <c r="B19296" t="s">
        <v>7987</v>
      </c>
    </row>
    <row r="19297" spans="1:2" x14ac:dyDescent="0.25">
      <c r="A19297">
        <v>48052500100</v>
      </c>
      <c r="B19297" t="s">
        <v>8017</v>
      </c>
    </row>
    <row r="19298" spans="1:2" x14ac:dyDescent="0.25">
      <c r="A19298">
        <v>48052500200</v>
      </c>
      <c r="B19298" t="s">
        <v>8018</v>
      </c>
    </row>
    <row r="19299" spans="1:2" x14ac:dyDescent="0.25">
      <c r="A19299">
        <v>48052500300</v>
      </c>
      <c r="B19299" t="s">
        <v>8019</v>
      </c>
    </row>
    <row r="19300" spans="1:2" x14ac:dyDescent="0.25">
      <c r="A19300">
        <v>48052500900</v>
      </c>
      <c r="B19300" t="s">
        <v>10</v>
      </c>
    </row>
    <row r="19301" spans="1:2" x14ac:dyDescent="0.25">
      <c r="A19301">
        <v>48053000000</v>
      </c>
      <c r="B19301" t="e">
        <f>-papel sulfito para envolver</f>
        <v>#NAME?</v>
      </c>
    </row>
    <row r="19302" spans="1:2" x14ac:dyDescent="0.25">
      <c r="A19302">
        <v>480540</v>
      </c>
      <c r="B19302" t="e">
        <f>- papel y carton filtro</f>
        <v>#NAME?</v>
      </c>
    </row>
    <row r="19303" spans="1:2" x14ac:dyDescent="0.25">
      <c r="A19303">
        <v>48054010000</v>
      </c>
      <c r="B19303" t="s">
        <v>8020</v>
      </c>
    </row>
    <row r="19304" spans="1:2" x14ac:dyDescent="0.25">
      <c r="A19304">
        <v>48054090</v>
      </c>
      <c r="B19304" t="s">
        <v>10</v>
      </c>
    </row>
    <row r="19305" spans="1:2" x14ac:dyDescent="0.25">
      <c r="A19305">
        <v>48054090100</v>
      </c>
      <c r="B19305" t="s">
        <v>8021</v>
      </c>
    </row>
    <row r="19306" spans="1:2" x14ac:dyDescent="0.25">
      <c r="A19306">
        <v>48054090200</v>
      </c>
      <c r="B19306" t="s">
        <v>8022</v>
      </c>
    </row>
    <row r="19307" spans="1:2" x14ac:dyDescent="0.25">
      <c r="A19307">
        <v>48054090300</v>
      </c>
      <c r="B19307" t="s">
        <v>6661</v>
      </c>
    </row>
    <row r="19308" spans="1:2" x14ac:dyDescent="0.25">
      <c r="A19308">
        <v>48054090900</v>
      </c>
      <c r="B19308" t="s">
        <v>10</v>
      </c>
    </row>
    <row r="19309" spans="1:2" x14ac:dyDescent="0.25">
      <c r="A19309">
        <v>48055000000</v>
      </c>
      <c r="B19309" t="e">
        <f>-papel y carton fieltro, papel y carton lana</f>
        <v>#NAME?</v>
      </c>
    </row>
    <row r="19310" spans="1:2" x14ac:dyDescent="0.25">
      <c r="A19310">
        <v>48059</v>
      </c>
      <c r="B19310" t="s">
        <v>28</v>
      </c>
    </row>
    <row r="19311" spans="1:2" x14ac:dyDescent="0.25">
      <c r="A19311">
        <v>48059100</v>
      </c>
      <c r="B19311" t="s">
        <v>8016</v>
      </c>
    </row>
    <row r="19312" spans="1:2" x14ac:dyDescent="0.25">
      <c r="A19312">
        <v>48059100100</v>
      </c>
      <c r="B19312" t="s">
        <v>8017</v>
      </c>
    </row>
    <row r="19313" spans="1:2" x14ac:dyDescent="0.25">
      <c r="A19313">
        <v>48059100200</v>
      </c>
      <c r="B19313" t="s">
        <v>8018</v>
      </c>
    </row>
    <row r="19314" spans="1:2" x14ac:dyDescent="0.25">
      <c r="A19314">
        <v>48059100300</v>
      </c>
      <c r="B19314" t="s">
        <v>8019</v>
      </c>
    </row>
    <row r="19315" spans="1:2" x14ac:dyDescent="0.25">
      <c r="A19315">
        <v>48059100900</v>
      </c>
      <c r="B19315" t="s">
        <v>10</v>
      </c>
    </row>
    <row r="19316" spans="1:2" x14ac:dyDescent="0.25">
      <c r="A19316">
        <v>480592</v>
      </c>
      <c r="B19316" t="s">
        <v>8023</v>
      </c>
    </row>
    <row r="19317" spans="1:2" x14ac:dyDescent="0.25">
      <c r="A19317">
        <v>48059210000</v>
      </c>
      <c r="B19317" t="s">
        <v>8024</v>
      </c>
    </row>
    <row r="19318" spans="1:2" x14ac:dyDescent="0.25">
      <c r="A19318">
        <v>48059290</v>
      </c>
      <c r="B19318" t="s">
        <v>10</v>
      </c>
    </row>
    <row r="19319" spans="1:2" x14ac:dyDescent="0.25">
      <c r="A19319">
        <v>48059290100</v>
      </c>
      <c r="B19319" t="s">
        <v>8017</v>
      </c>
    </row>
    <row r="19320" spans="1:2" x14ac:dyDescent="0.25">
      <c r="A19320">
        <v>48059290200</v>
      </c>
      <c r="B19320" t="s">
        <v>8018</v>
      </c>
    </row>
    <row r="19321" spans="1:2" x14ac:dyDescent="0.25">
      <c r="A19321">
        <v>48059290300</v>
      </c>
      <c r="B19321" t="s">
        <v>8019</v>
      </c>
    </row>
    <row r="19322" spans="1:2" x14ac:dyDescent="0.25">
      <c r="A19322">
        <v>48059290900</v>
      </c>
      <c r="B19322" t="s">
        <v>10</v>
      </c>
    </row>
    <row r="19323" spans="1:2" x14ac:dyDescent="0.25">
      <c r="A19323">
        <v>48059300</v>
      </c>
      <c r="B19323" t="s">
        <v>8025</v>
      </c>
    </row>
    <row r="19324" spans="1:2" x14ac:dyDescent="0.25">
      <c r="A19324">
        <v>48059300100</v>
      </c>
      <c r="B19324" t="s">
        <v>8017</v>
      </c>
    </row>
    <row r="19325" spans="1:2" x14ac:dyDescent="0.25">
      <c r="A19325">
        <v>48059300200</v>
      </c>
      <c r="B19325" t="s">
        <v>8018</v>
      </c>
    </row>
    <row r="19326" spans="1:2" x14ac:dyDescent="0.25">
      <c r="A19326">
        <v>48059300300</v>
      </c>
      <c r="B19326" t="s">
        <v>8019</v>
      </c>
    </row>
    <row r="19327" spans="1:2" x14ac:dyDescent="0.25">
      <c r="A19327">
        <v>48059300900</v>
      </c>
      <c r="B19327" t="s">
        <v>10</v>
      </c>
    </row>
    <row r="19328" spans="1:2" x14ac:dyDescent="0.25">
      <c r="A19328">
        <v>4806</v>
      </c>
      <c r="B19328" t="s">
        <v>8026</v>
      </c>
    </row>
    <row r="19329" spans="1:2" x14ac:dyDescent="0.25">
      <c r="A19329">
        <v>48061000000</v>
      </c>
      <c r="B19329" t="e">
        <f>-papel y carton sulfurizados (pergamino vegetal)</f>
        <v>#NAME?</v>
      </c>
    </row>
    <row r="19330" spans="1:2" x14ac:dyDescent="0.25">
      <c r="A19330">
        <v>48062000000</v>
      </c>
      <c r="B19330" t="s">
        <v>8027</v>
      </c>
    </row>
    <row r="19331" spans="1:2" x14ac:dyDescent="0.25">
      <c r="A19331">
        <v>48063000000</v>
      </c>
      <c r="B19331" t="e">
        <f>-papel vegetal (papel calco)</f>
        <v>#NAME?</v>
      </c>
    </row>
    <row r="19332" spans="1:2" x14ac:dyDescent="0.25">
      <c r="A19332">
        <v>48064000</v>
      </c>
      <c r="B19332" t="e">
        <f>- papel cristal y demas papeles calandrados transparentes o traslucidos</f>
        <v>#NAME?</v>
      </c>
    </row>
    <row r="19333" spans="1:2" x14ac:dyDescent="0.25">
      <c r="A19333">
        <v>48064000100</v>
      </c>
      <c r="B19333" t="s">
        <v>8028</v>
      </c>
    </row>
    <row r="19334" spans="1:2" x14ac:dyDescent="0.25">
      <c r="A19334">
        <v>48064000900</v>
      </c>
      <c r="B19334" t="s">
        <v>823</v>
      </c>
    </row>
    <row r="19335" spans="1:2" x14ac:dyDescent="0.25">
      <c r="A19335">
        <v>48070000000</v>
      </c>
      <c r="B19335" t="s">
        <v>8029</v>
      </c>
    </row>
    <row r="19336" spans="1:2" x14ac:dyDescent="0.25">
      <c r="A19336">
        <v>4808</v>
      </c>
      <c r="B19336" t="s">
        <v>8030</v>
      </c>
    </row>
    <row r="19337" spans="1:2" x14ac:dyDescent="0.25">
      <c r="A19337">
        <v>48081000000</v>
      </c>
      <c r="B19337" t="e">
        <f>-papel y carton corrugados. incluso perforados</f>
        <v>#NAME?</v>
      </c>
    </row>
    <row r="19338" spans="1:2" x14ac:dyDescent="0.25">
      <c r="A19338">
        <v>48084000000</v>
      </c>
      <c r="B19338" t="s">
        <v>8031</v>
      </c>
    </row>
    <row r="19339" spans="1:2" x14ac:dyDescent="0.25">
      <c r="A19339">
        <v>48089000000</v>
      </c>
      <c r="B19339" t="e">
        <f>-Los demas</f>
        <v>#NAME?</v>
      </c>
    </row>
    <row r="19340" spans="1:2" x14ac:dyDescent="0.25">
      <c r="A19340">
        <v>4809</v>
      </c>
      <c r="B19340" t="s">
        <v>8032</v>
      </c>
    </row>
    <row r="19341" spans="1:2" x14ac:dyDescent="0.25">
      <c r="A19341">
        <v>48092000000</v>
      </c>
      <c r="B19341" t="e">
        <f>-papel autocopia</f>
        <v>#NAME?</v>
      </c>
    </row>
    <row r="19342" spans="1:2" x14ac:dyDescent="0.25">
      <c r="A19342">
        <v>48099000000</v>
      </c>
      <c r="B19342" t="e">
        <f>-Los demas</f>
        <v>#NAME?</v>
      </c>
    </row>
    <row r="19343" spans="1:2" x14ac:dyDescent="0.25">
      <c r="A19343">
        <v>4810</v>
      </c>
      <c r="B19343" t="s">
        <v>8033</v>
      </c>
    </row>
    <row r="19344" spans="1:2" x14ac:dyDescent="0.25">
      <c r="A19344">
        <v>48101</v>
      </c>
      <c r="B19344" t="s">
        <v>8034</v>
      </c>
    </row>
    <row r="19345" spans="1:2" x14ac:dyDescent="0.25">
      <c r="A19345">
        <v>481013</v>
      </c>
      <c r="B19345" t="e">
        <f>- - En bobinas (rollos)</f>
        <v>#NAME?</v>
      </c>
    </row>
    <row r="19346" spans="1:2" x14ac:dyDescent="0.25">
      <c r="A19346">
        <v>48101310</v>
      </c>
      <c r="B19346" t="s">
        <v>7975</v>
      </c>
    </row>
    <row r="19347" spans="1:2" x14ac:dyDescent="0.25">
      <c r="A19347">
        <v>48101310100</v>
      </c>
      <c r="B19347" t="s">
        <v>7964</v>
      </c>
    </row>
    <row r="19348" spans="1:2" x14ac:dyDescent="0.25">
      <c r="A19348">
        <v>48101310900</v>
      </c>
      <c r="B19348" t="s">
        <v>10</v>
      </c>
    </row>
    <row r="19349" spans="1:2" x14ac:dyDescent="0.25">
      <c r="A19349">
        <v>4810138</v>
      </c>
      <c r="B19349" t="s">
        <v>8035</v>
      </c>
    </row>
    <row r="19350" spans="1:2" x14ac:dyDescent="0.25">
      <c r="A19350">
        <v>48101381000</v>
      </c>
      <c r="B19350" t="s">
        <v>6884</v>
      </c>
    </row>
    <row r="19351" spans="1:2" x14ac:dyDescent="0.25">
      <c r="A19351">
        <v>48101382000</v>
      </c>
      <c r="B19351" t="s">
        <v>8036</v>
      </c>
    </row>
    <row r="19352" spans="1:2" x14ac:dyDescent="0.25">
      <c r="A19352">
        <v>48101389</v>
      </c>
      <c r="B19352" t="s">
        <v>10</v>
      </c>
    </row>
    <row r="19353" spans="1:2" x14ac:dyDescent="0.25">
      <c r="A19353">
        <v>481013891</v>
      </c>
      <c r="B19353" t="s">
        <v>8037</v>
      </c>
    </row>
    <row r="19354" spans="1:2" x14ac:dyDescent="0.25">
      <c r="A19354">
        <v>48101389110</v>
      </c>
      <c r="B19354" t="s">
        <v>8038</v>
      </c>
    </row>
    <row r="19355" spans="1:2" x14ac:dyDescent="0.25">
      <c r="A19355">
        <v>48101389190</v>
      </c>
      <c r="B19355" t="s">
        <v>10</v>
      </c>
    </row>
    <row r="19356" spans="1:2" x14ac:dyDescent="0.25">
      <c r="A19356">
        <v>481013892</v>
      </c>
      <c r="B19356" t="s">
        <v>8039</v>
      </c>
    </row>
    <row r="19357" spans="1:2" x14ac:dyDescent="0.25">
      <c r="A19357">
        <v>48101389210</v>
      </c>
      <c r="B19357" t="s">
        <v>8040</v>
      </c>
    </row>
    <row r="19358" spans="1:2" x14ac:dyDescent="0.25">
      <c r="A19358">
        <v>48101389290</v>
      </c>
      <c r="B19358" t="s">
        <v>10</v>
      </c>
    </row>
    <row r="19359" spans="1:2" x14ac:dyDescent="0.25">
      <c r="A19359">
        <v>481013899</v>
      </c>
      <c r="B19359" t="s">
        <v>10</v>
      </c>
    </row>
    <row r="19360" spans="1:2" x14ac:dyDescent="0.25">
      <c r="A19360">
        <v>48101389910</v>
      </c>
      <c r="B19360" t="s">
        <v>8038</v>
      </c>
    </row>
    <row r="19361" spans="1:2" x14ac:dyDescent="0.25">
      <c r="A19361">
        <v>48101389990</v>
      </c>
      <c r="B19361" t="s">
        <v>10</v>
      </c>
    </row>
    <row r="19362" spans="1:2" x14ac:dyDescent="0.25">
      <c r="A19362">
        <v>4810139</v>
      </c>
      <c r="B19362" t="s">
        <v>10</v>
      </c>
    </row>
    <row r="19363" spans="1:2" x14ac:dyDescent="0.25">
      <c r="A19363">
        <v>48101391000</v>
      </c>
      <c r="B19363" t="s">
        <v>8041</v>
      </c>
    </row>
    <row r="19364" spans="1:2" x14ac:dyDescent="0.25">
      <c r="A19364">
        <v>48101399</v>
      </c>
      <c r="B19364" t="s">
        <v>10</v>
      </c>
    </row>
    <row r="19365" spans="1:2" x14ac:dyDescent="0.25">
      <c r="A19365">
        <v>48101399100</v>
      </c>
      <c r="B19365" t="s">
        <v>8042</v>
      </c>
    </row>
    <row r="19366" spans="1:2" x14ac:dyDescent="0.25">
      <c r="A19366">
        <v>481013999</v>
      </c>
      <c r="B19366" t="s">
        <v>10</v>
      </c>
    </row>
    <row r="19367" spans="1:2" x14ac:dyDescent="0.25">
      <c r="A19367">
        <v>48101399910</v>
      </c>
      <c r="B19367" t="s">
        <v>8043</v>
      </c>
    </row>
    <row r="19368" spans="1:2" x14ac:dyDescent="0.25">
      <c r="A19368">
        <v>4810139999</v>
      </c>
      <c r="B19368" t="s">
        <v>10</v>
      </c>
    </row>
    <row r="19369" spans="1:2" x14ac:dyDescent="0.25">
      <c r="A19369">
        <v>48101399991</v>
      </c>
      <c r="B19369" t="s">
        <v>8044</v>
      </c>
    </row>
    <row r="19370" spans="1:2" x14ac:dyDescent="0.25">
      <c r="A19370">
        <v>48101399999</v>
      </c>
      <c r="B19370" t="s">
        <v>10</v>
      </c>
    </row>
    <row r="19371" spans="1:2" x14ac:dyDescent="0.25">
      <c r="A19371">
        <v>481014</v>
      </c>
      <c r="B19371" t="s">
        <v>7994</v>
      </c>
    </row>
    <row r="19372" spans="1:2" x14ac:dyDescent="0.25">
      <c r="A19372">
        <v>48101410</v>
      </c>
      <c r="B19372" t="s">
        <v>7982</v>
      </c>
    </row>
    <row r="19373" spans="1:2" x14ac:dyDescent="0.25">
      <c r="A19373">
        <v>481014101</v>
      </c>
      <c r="B19373" t="s">
        <v>7964</v>
      </c>
    </row>
    <row r="19374" spans="1:2" x14ac:dyDescent="0.25">
      <c r="A19374">
        <v>48101410110</v>
      </c>
      <c r="B19374" t="s">
        <v>7970</v>
      </c>
    </row>
    <row r="19375" spans="1:2" x14ac:dyDescent="0.25">
      <c r="A19375">
        <v>48101410120</v>
      </c>
      <c r="B19375" t="s">
        <v>7971</v>
      </c>
    </row>
    <row r="19376" spans="1:2" x14ac:dyDescent="0.25">
      <c r="A19376">
        <v>48101410130</v>
      </c>
      <c r="B19376" t="s">
        <v>7972</v>
      </c>
    </row>
    <row r="19377" spans="1:2" x14ac:dyDescent="0.25">
      <c r="A19377">
        <v>48101410190</v>
      </c>
      <c r="B19377" t="s">
        <v>10</v>
      </c>
    </row>
    <row r="19378" spans="1:2" x14ac:dyDescent="0.25">
      <c r="A19378">
        <v>48101410900</v>
      </c>
      <c r="B19378" t="s">
        <v>10</v>
      </c>
    </row>
    <row r="19379" spans="1:2" x14ac:dyDescent="0.25">
      <c r="A19379">
        <v>4810148</v>
      </c>
      <c r="B19379" t="s">
        <v>8035</v>
      </c>
    </row>
    <row r="19380" spans="1:2" x14ac:dyDescent="0.25">
      <c r="A19380">
        <v>48101481000</v>
      </c>
      <c r="B19380" t="s">
        <v>6884</v>
      </c>
    </row>
    <row r="19381" spans="1:2" x14ac:dyDescent="0.25">
      <c r="A19381">
        <v>48101482000</v>
      </c>
      <c r="B19381" t="s">
        <v>8036</v>
      </c>
    </row>
    <row r="19382" spans="1:2" x14ac:dyDescent="0.25">
      <c r="A19382">
        <v>48101489</v>
      </c>
      <c r="B19382" t="s">
        <v>10</v>
      </c>
    </row>
    <row r="19383" spans="1:2" x14ac:dyDescent="0.25">
      <c r="A19383">
        <v>481014891</v>
      </c>
      <c r="B19383" t="s">
        <v>8037</v>
      </c>
    </row>
    <row r="19384" spans="1:2" x14ac:dyDescent="0.25">
      <c r="A19384">
        <v>48101489110</v>
      </c>
      <c r="B19384" t="s">
        <v>8038</v>
      </c>
    </row>
    <row r="19385" spans="1:2" x14ac:dyDescent="0.25">
      <c r="A19385">
        <v>48101489190</v>
      </c>
      <c r="B19385" t="s">
        <v>10</v>
      </c>
    </row>
    <row r="19386" spans="1:2" x14ac:dyDescent="0.25">
      <c r="A19386">
        <v>481014892</v>
      </c>
      <c r="B19386" t="s">
        <v>8045</v>
      </c>
    </row>
    <row r="19387" spans="1:2" x14ac:dyDescent="0.25">
      <c r="A19387">
        <v>48101489210</v>
      </c>
      <c r="B19387" t="s">
        <v>8040</v>
      </c>
    </row>
    <row r="19388" spans="1:2" x14ac:dyDescent="0.25">
      <c r="A19388">
        <v>48101489290</v>
      </c>
      <c r="B19388" t="s">
        <v>10</v>
      </c>
    </row>
    <row r="19389" spans="1:2" x14ac:dyDescent="0.25">
      <c r="A19389">
        <v>481014899</v>
      </c>
      <c r="B19389" t="s">
        <v>10</v>
      </c>
    </row>
    <row r="19390" spans="1:2" x14ac:dyDescent="0.25">
      <c r="A19390">
        <v>48101489910</v>
      </c>
      <c r="B19390" t="s">
        <v>8038</v>
      </c>
    </row>
    <row r="19391" spans="1:2" x14ac:dyDescent="0.25">
      <c r="A19391">
        <v>48101489990</v>
      </c>
      <c r="B19391" t="s">
        <v>10</v>
      </c>
    </row>
    <row r="19392" spans="1:2" x14ac:dyDescent="0.25">
      <c r="A19392">
        <v>48101490</v>
      </c>
      <c r="B19392" t="s">
        <v>10</v>
      </c>
    </row>
    <row r="19393" spans="1:2" x14ac:dyDescent="0.25">
      <c r="A19393">
        <v>48101490100</v>
      </c>
      <c r="B19393" t="s">
        <v>8046</v>
      </c>
    </row>
    <row r="19394" spans="1:2" x14ac:dyDescent="0.25">
      <c r="A19394">
        <v>48101490900</v>
      </c>
      <c r="B19394" t="s">
        <v>10</v>
      </c>
    </row>
    <row r="19395" spans="1:2" x14ac:dyDescent="0.25">
      <c r="A19395">
        <v>481019</v>
      </c>
      <c r="B19395" t="e">
        <f>- - Los demas</f>
        <v>#NAME?</v>
      </c>
    </row>
    <row r="19396" spans="1:2" x14ac:dyDescent="0.25">
      <c r="A19396">
        <v>48101910</v>
      </c>
      <c r="B19396" t="s">
        <v>7985</v>
      </c>
    </row>
    <row r="19397" spans="1:2" x14ac:dyDescent="0.25">
      <c r="A19397">
        <v>48101910100</v>
      </c>
      <c r="B19397" t="s">
        <v>7964</v>
      </c>
    </row>
    <row r="19398" spans="1:2" x14ac:dyDescent="0.25">
      <c r="A19398">
        <v>48101910900</v>
      </c>
      <c r="B19398" t="s">
        <v>10</v>
      </c>
    </row>
    <row r="19399" spans="1:2" x14ac:dyDescent="0.25">
      <c r="A19399">
        <v>4810198</v>
      </c>
      <c r="B19399" t="s">
        <v>8035</v>
      </c>
    </row>
    <row r="19400" spans="1:2" x14ac:dyDescent="0.25">
      <c r="A19400">
        <v>48101981000</v>
      </c>
      <c r="B19400" t="s">
        <v>6884</v>
      </c>
    </row>
    <row r="19401" spans="1:2" x14ac:dyDescent="0.25">
      <c r="A19401">
        <v>48101982000</v>
      </c>
      <c r="B19401" t="s">
        <v>8036</v>
      </c>
    </row>
    <row r="19402" spans="1:2" x14ac:dyDescent="0.25">
      <c r="A19402">
        <v>48101989</v>
      </c>
      <c r="B19402" t="s">
        <v>10</v>
      </c>
    </row>
    <row r="19403" spans="1:2" x14ac:dyDescent="0.25">
      <c r="A19403">
        <v>481019891</v>
      </c>
      <c r="B19403" t="s">
        <v>8037</v>
      </c>
    </row>
    <row r="19404" spans="1:2" x14ac:dyDescent="0.25">
      <c r="A19404">
        <v>48101989110</v>
      </c>
      <c r="B19404" t="s">
        <v>8038</v>
      </c>
    </row>
    <row r="19405" spans="1:2" x14ac:dyDescent="0.25">
      <c r="A19405">
        <v>48101989190</v>
      </c>
      <c r="B19405" t="s">
        <v>10</v>
      </c>
    </row>
    <row r="19406" spans="1:2" x14ac:dyDescent="0.25">
      <c r="A19406">
        <v>481019892</v>
      </c>
      <c r="B19406" t="s">
        <v>8039</v>
      </c>
    </row>
    <row r="19407" spans="1:2" x14ac:dyDescent="0.25">
      <c r="A19407">
        <v>48101989210</v>
      </c>
      <c r="B19407" t="s">
        <v>8038</v>
      </c>
    </row>
    <row r="19408" spans="1:2" x14ac:dyDescent="0.25">
      <c r="A19408">
        <v>48101989290</v>
      </c>
      <c r="B19408" t="s">
        <v>10</v>
      </c>
    </row>
    <row r="19409" spans="1:2" x14ac:dyDescent="0.25">
      <c r="A19409">
        <v>481019899</v>
      </c>
      <c r="B19409" t="s">
        <v>10</v>
      </c>
    </row>
    <row r="19410" spans="1:2" x14ac:dyDescent="0.25">
      <c r="A19410">
        <v>48101989910</v>
      </c>
      <c r="B19410" t="s">
        <v>8038</v>
      </c>
    </row>
    <row r="19411" spans="1:2" x14ac:dyDescent="0.25">
      <c r="A19411">
        <v>48101989990</v>
      </c>
      <c r="B19411" t="s">
        <v>10</v>
      </c>
    </row>
    <row r="19412" spans="1:2" x14ac:dyDescent="0.25">
      <c r="A19412">
        <v>4810199</v>
      </c>
      <c r="B19412" t="s">
        <v>10</v>
      </c>
    </row>
    <row r="19413" spans="1:2" x14ac:dyDescent="0.25">
      <c r="A19413">
        <v>48101991000</v>
      </c>
      <c r="B19413" t="s">
        <v>8041</v>
      </c>
    </row>
    <row r="19414" spans="1:2" x14ac:dyDescent="0.25">
      <c r="A19414">
        <v>48101999</v>
      </c>
      <c r="B19414" t="s">
        <v>10</v>
      </c>
    </row>
    <row r="19415" spans="1:2" x14ac:dyDescent="0.25">
      <c r="A19415">
        <v>48101999100</v>
      </c>
      <c r="B19415" t="s">
        <v>8047</v>
      </c>
    </row>
    <row r="19416" spans="1:2" x14ac:dyDescent="0.25">
      <c r="A19416">
        <v>48101999200</v>
      </c>
      <c r="B19416" t="s">
        <v>8048</v>
      </c>
    </row>
    <row r="19417" spans="1:2" x14ac:dyDescent="0.25">
      <c r="A19417">
        <v>481019999</v>
      </c>
      <c r="B19417" t="s">
        <v>10</v>
      </c>
    </row>
    <row r="19418" spans="1:2" x14ac:dyDescent="0.25">
      <c r="A19418">
        <v>48101999910</v>
      </c>
      <c r="B19418" t="s">
        <v>8043</v>
      </c>
    </row>
    <row r="19419" spans="1:2" x14ac:dyDescent="0.25">
      <c r="A19419">
        <v>4810199999</v>
      </c>
    </row>
    <row r="19420" spans="1:2" x14ac:dyDescent="0.25">
      <c r="A19420">
        <v>48101999991</v>
      </c>
      <c r="B19420" t="s">
        <v>8044</v>
      </c>
    </row>
    <row r="19421" spans="1:2" x14ac:dyDescent="0.25">
      <c r="A19421">
        <v>48101999999</v>
      </c>
      <c r="B19421" t="s">
        <v>10</v>
      </c>
    </row>
    <row r="19422" spans="1:2" x14ac:dyDescent="0.25">
      <c r="A19422">
        <v>48102</v>
      </c>
      <c r="B19422" t="s">
        <v>8049</v>
      </c>
    </row>
    <row r="19423" spans="1:2" x14ac:dyDescent="0.25">
      <c r="A19423">
        <v>481022</v>
      </c>
      <c r="B19423" t="s">
        <v>8050</v>
      </c>
    </row>
    <row r="19424" spans="1:2" x14ac:dyDescent="0.25">
      <c r="A19424">
        <v>48102210</v>
      </c>
      <c r="B19424" t="s">
        <v>7963</v>
      </c>
    </row>
    <row r="19425" spans="1:2" x14ac:dyDescent="0.25">
      <c r="A19425">
        <v>481022101</v>
      </c>
      <c r="B19425" t="s">
        <v>7964</v>
      </c>
    </row>
    <row r="19426" spans="1:2" x14ac:dyDescent="0.25">
      <c r="A19426">
        <v>48102210110</v>
      </c>
      <c r="B19426" t="s">
        <v>7970</v>
      </c>
    </row>
    <row r="19427" spans="1:2" x14ac:dyDescent="0.25">
      <c r="A19427">
        <v>48102210120</v>
      </c>
      <c r="B19427" t="s">
        <v>7971</v>
      </c>
    </row>
    <row r="19428" spans="1:2" x14ac:dyDescent="0.25">
      <c r="A19428">
        <v>48102210130</v>
      </c>
      <c r="B19428" t="s">
        <v>7972</v>
      </c>
    </row>
    <row r="19429" spans="1:2" x14ac:dyDescent="0.25">
      <c r="A19429">
        <v>48102210190</v>
      </c>
      <c r="B19429" t="s">
        <v>10</v>
      </c>
    </row>
    <row r="19430" spans="1:2" x14ac:dyDescent="0.25">
      <c r="A19430">
        <v>48102210900</v>
      </c>
      <c r="B19430" t="s">
        <v>10</v>
      </c>
    </row>
    <row r="19431" spans="1:2" x14ac:dyDescent="0.25">
      <c r="A19431">
        <v>48102290</v>
      </c>
      <c r="B19431" t="s">
        <v>10</v>
      </c>
    </row>
    <row r="19432" spans="1:2" x14ac:dyDescent="0.25">
      <c r="A19432">
        <v>48102290100</v>
      </c>
      <c r="B19432" t="s">
        <v>8051</v>
      </c>
    </row>
    <row r="19433" spans="1:2" x14ac:dyDescent="0.25">
      <c r="A19433">
        <v>48102290900</v>
      </c>
      <c r="B19433" t="s">
        <v>10</v>
      </c>
    </row>
    <row r="19434" spans="1:2" x14ac:dyDescent="0.25">
      <c r="A19434">
        <v>481029</v>
      </c>
      <c r="B19434" t="e">
        <f>- - Los demas</f>
        <v>#NAME?</v>
      </c>
    </row>
    <row r="19435" spans="1:2" x14ac:dyDescent="0.25">
      <c r="A19435">
        <v>48102910</v>
      </c>
      <c r="B19435" t="s">
        <v>7963</v>
      </c>
    </row>
    <row r="19436" spans="1:2" x14ac:dyDescent="0.25">
      <c r="A19436">
        <v>481029101</v>
      </c>
      <c r="B19436" t="s">
        <v>7964</v>
      </c>
    </row>
    <row r="19437" spans="1:2" x14ac:dyDescent="0.25">
      <c r="A19437">
        <v>48102910110</v>
      </c>
      <c r="B19437" t="s">
        <v>7970</v>
      </c>
    </row>
    <row r="19438" spans="1:2" x14ac:dyDescent="0.25">
      <c r="A19438">
        <v>48102910120</v>
      </c>
      <c r="B19438" t="s">
        <v>7971</v>
      </c>
    </row>
    <row r="19439" spans="1:2" x14ac:dyDescent="0.25">
      <c r="A19439">
        <v>48102910130</v>
      </c>
      <c r="B19439" t="s">
        <v>7972</v>
      </c>
    </row>
    <row r="19440" spans="1:2" x14ac:dyDescent="0.25">
      <c r="A19440">
        <v>48102910190</v>
      </c>
      <c r="B19440" t="s">
        <v>10</v>
      </c>
    </row>
    <row r="19441" spans="1:2" x14ac:dyDescent="0.25">
      <c r="A19441">
        <v>48102910900</v>
      </c>
      <c r="B19441" t="s">
        <v>10</v>
      </c>
    </row>
    <row r="19442" spans="1:2" x14ac:dyDescent="0.25">
      <c r="A19442">
        <v>48102990</v>
      </c>
      <c r="B19442" t="s">
        <v>10</v>
      </c>
    </row>
    <row r="19443" spans="1:2" x14ac:dyDescent="0.25">
      <c r="A19443">
        <v>481029901</v>
      </c>
      <c r="B19443" t="s">
        <v>8052</v>
      </c>
    </row>
    <row r="19444" spans="1:2" x14ac:dyDescent="0.25">
      <c r="A19444">
        <v>48102990110</v>
      </c>
      <c r="B19444" t="s">
        <v>8053</v>
      </c>
    </row>
    <row r="19445" spans="1:2" x14ac:dyDescent="0.25">
      <c r="A19445">
        <v>48102990190</v>
      </c>
      <c r="B19445" t="s">
        <v>10</v>
      </c>
    </row>
    <row r="19446" spans="1:2" x14ac:dyDescent="0.25">
      <c r="A19446">
        <v>481029902</v>
      </c>
      <c r="B19446" t="s">
        <v>8054</v>
      </c>
    </row>
    <row r="19447" spans="1:2" x14ac:dyDescent="0.25">
      <c r="A19447">
        <v>48102990210</v>
      </c>
      <c r="B19447" t="s">
        <v>8055</v>
      </c>
    </row>
    <row r="19448" spans="1:2" x14ac:dyDescent="0.25">
      <c r="A19448">
        <v>48102990290</v>
      </c>
      <c r="B19448" t="s">
        <v>10</v>
      </c>
    </row>
    <row r="19449" spans="1:2" x14ac:dyDescent="0.25">
      <c r="A19449">
        <v>481029909</v>
      </c>
      <c r="B19449" t="s">
        <v>10</v>
      </c>
    </row>
    <row r="19450" spans="1:2" x14ac:dyDescent="0.25">
      <c r="A19450">
        <v>48102990910</v>
      </c>
      <c r="B19450" t="s">
        <v>8038</v>
      </c>
    </row>
    <row r="19451" spans="1:2" x14ac:dyDescent="0.25">
      <c r="A19451">
        <v>48102990990</v>
      </c>
      <c r="B19451" t="s">
        <v>10</v>
      </c>
    </row>
    <row r="19452" spans="1:2" x14ac:dyDescent="0.25">
      <c r="A19452">
        <v>48103</v>
      </c>
      <c r="B19452" t="s">
        <v>8056</v>
      </c>
    </row>
    <row r="19453" spans="1:2" x14ac:dyDescent="0.25">
      <c r="A19453">
        <v>481031</v>
      </c>
      <c r="B19453" t="s">
        <v>8057</v>
      </c>
    </row>
    <row r="19454" spans="1:2" x14ac:dyDescent="0.25">
      <c r="A19454">
        <v>48103110000</v>
      </c>
      <c r="B19454" t="s">
        <v>7963</v>
      </c>
    </row>
    <row r="19455" spans="1:2" x14ac:dyDescent="0.25">
      <c r="A19455">
        <v>48103190000</v>
      </c>
      <c r="B19455" t="s">
        <v>10</v>
      </c>
    </row>
    <row r="19456" spans="1:2" x14ac:dyDescent="0.25">
      <c r="A19456">
        <v>481032</v>
      </c>
      <c r="B19456" t="s">
        <v>8058</v>
      </c>
    </row>
    <row r="19457" spans="1:2" x14ac:dyDescent="0.25">
      <c r="A19457">
        <v>48103210000</v>
      </c>
      <c r="B19457" t="s">
        <v>7963</v>
      </c>
    </row>
    <row r="19458" spans="1:2" x14ac:dyDescent="0.25">
      <c r="A19458">
        <v>48103290000</v>
      </c>
      <c r="B19458" t="s">
        <v>10</v>
      </c>
    </row>
    <row r="19459" spans="1:2" x14ac:dyDescent="0.25">
      <c r="A19459">
        <v>481039</v>
      </c>
      <c r="B19459" t="e">
        <f>- - Los demas</f>
        <v>#NAME?</v>
      </c>
    </row>
    <row r="19460" spans="1:2" x14ac:dyDescent="0.25">
      <c r="A19460">
        <v>48103910000</v>
      </c>
      <c r="B19460" t="s">
        <v>7963</v>
      </c>
    </row>
    <row r="19461" spans="1:2" x14ac:dyDescent="0.25">
      <c r="A19461">
        <v>48103990</v>
      </c>
      <c r="B19461" t="s">
        <v>10</v>
      </c>
    </row>
    <row r="19462" spans="1:2" x14ac:dyDescent="0.25">
      <c r="A19462">
        <v>481039901</v>
      </c>
      <c r="B19462" t="s">
        <v>8059</v>
      </c>
    </row>
    <row r="19463" spans="1:2" x14ac:dyDescent="0.25">
      <c r="A19463">
        <v>48103990110</v>
      </c>
      <c r="B19463" t="s">
        <v>8038</v>
      </c>
    </row>
    <row r="19464" spans="1:2" x14ac:dyDescent="0.25">
      <c r="A19464">
        <v>48103990190</v>
      </c>
      <c r="B19464" t="s">
        <v>10</v>
      </c>
    </row>
    <row r="19465" spans="1:2" x14ac:dyDescent="0.25">
      <c r="A19465">
        <v>481039909</v>
      </c>
      <c r="B19465" t="s">
        <v>10</v>
      </c>
    </row>
    <row r="19466" spans="1:2" x14ac:dyDescent="0.25">
      <c r="A19466">
        <v>48103990910</v>
      </c>
      <c r="B19466" t="s">
        <v>8038</v>
      </c>
    </row>
    <row r="19467" spans="1:2" x14ac:dyDescent="0.25">
      <c r="A19467">
        <v>48103990990</v>
      </c>
      <c r="B19467" t="s">
        <v>10</v>
      </c>
    </row>
    <row r="19468" spans="1:2" x14ac:dyDescent="0.25">
      <c r="A19468">
        <v>48109</v>
      </c>
      <c r="B19468" t="s">
        <v>8060</v>
      </c>
    </row>
    <row r="19469" spans="1:2" x14ac:dyDescent="0.25">
      <c r="A19469">
        <v>481092</v>
      </c>
      <c r="B19469" t="e">
        <f>- - multicapas</f>
        <v>#NAME?</v>
      </c>
    </row>
    <row r="19470" spans="1:2" x14ac:dyDescent="0.25">
      <c r="A19470">
        <v>48109210000</v>
      </c>
      <c r="B19470" t="s">
        <v>7963</v>
      </c>
    </row>
    <row r="19471" spans="1:2" x14ac:dyDescent="0.25">
      <c r="A19471">
        <v>48109290</v>
      </c>
      <c r="B19471" t="s">
        <v>10</v>
      </c>
    </row>
    <row r="19472" spans="1:2" x14ac:dyDescent="0.25">
      <c r="A19472">
        <v>48109290100</v>
      </c>
      <c r="B19472" t="s">
        <v>8038</v>
      </c>
    </row>
    <row r="19473" spans="1:2" x14ac:dyDescent="0.25">
      <c r="A19473">
        <v>48109290900</v>
      </c>
      <c r="B19473" t="s">
        <v>10</v>
      </c>
    </row>
    <row r="19474" spans="1:2" x14ac:dyDescent="0.25">
      <c r="A19474">
        <v>481099</v>
      </c>
      <c r="B19474" t="e">
        <f>- - Los demas</f>
        <v>#NAME?</v>
      </c>
    </row>
    <row r="19475" spans="1:2" x14ac:dyDescent="0.25">
      <c r="A19475">
        <v>48109910000</v>
      </c>
      <c r="B19475" t="s">
        <v>7963</v>
      </c>
    </row>
    <row r="19476" spans="1:2" x14ac:dyDescent="0.25">
      <c r="A19476">
        <v>48109990</v>
      </c>
      <c r="B19476" t="s">
        <v>10</v>
      </c>
    </row>
    <row r="19477" spans="1:2" x14ac:dyDescent="0.25">
      <c r="A19477">
        <v>48109990100</v>
      </c>
      <c r="B19477" t="s">
        <v>8038</v>
      </c>
    </row>
    <row r="19478" spans="1:2" x14ac:dyDescent="0.25">
      <c r="A19478">
        <v>48109990900</v>
      </c>
      <c r="B19478" t="s">
        <v>10</v>
      </c>
    </row>
    <row r="19479" spans="1:2" x14ac:dyDescent="0.25">
      <c r="A19479">
        <v>4811</v>
      </c>
      <c r="B19479" t="s">
        <v>8061</v>
      </c>
    </row>
    <row r="19480" spans="1:2" x14ac:dyDescent="0.25">
      <c r="A19480">
        <v>481110</v>
      </c>
      <c r="B19480" t="e">
        <f>- papel y carton alquitranados. embetunados o asfaltados</f>
        <v>#NAME?</v>
      </c>
    </row>
    <row r="19481" spans="1:2" x14ac:dyDescent="0.25">
      <c r="A19481">
        <v>48111010000</v>
      </c>
      <c r="B19481" t="s">
        <v>7963</v>
      </c>
    </row>
    <row r="19482" spans="1:2" x14ac:dyDescent="0.25">
      <c r="A19482">
        <v>48111090</v>
      </c>
      <c r="B19482" t="s">
        <v>10</v>
      </c>
    </row>
    <row r="19483" spans="1:2" x14ac:dyDescent="0.25">
      <c r="A19483">
        <v>48111090100</v>
      </c>
      <c r="B19483" t="s">
        <v>8062</v>
      </c>
    </row>
    <row r="19484" spans="1:2" x14ac:dyDescent="0.25">
      <c r="A19484">
        <v>48111090900</v>
      </c>
      <c r="B19484" t="s">
        <v>10</v>
      </c>
    </row>
    <row r="19485" spans="1:2" x14ac:dyDescent="0.25">
      <c r="A19485">
        <v>48114</v>
      </c>
      <c r="B19485" t="s">
        <v>8063</v>
      </c>
    </row>
    <row r="19486" spans="1:2" x14ac:dyDescent="0.25">
      <c r="A19486">
        <v>481141</v>
      </c>
      <c r="B19486" t="e">
        <f>- - Autoadhesivos</f>
        <v>#NAME?</v>
      </c>
    </row>
    <row r="19487" spans="1:2" x14ac:dyDescent="0.25">
      <c r="A19487">
        <v>48114110</v>
      </c>
      <c r="B19487" t="s">
        <v>7963</v>
      </c>
    </row>
    <row r="19488" spans="1:2" x14ac:dyDescent="0.25">
      <c r="A19488">
        <v>481141101</v>
      </c>
      <c r="B19488" t="s">
        <v>8064</v>
      </c>
    </row>
    <row r="19489" spans="1:2" x14ac:dyDescent="0.25">
      <c r="A19489">
        <v>48114110110</v>
      </c>
      <c r="B19489" t="s">
        <v>8065</v>
      </c>
    </row>
    <row r="19490" spans="1:2" x14ac:dyDescent="0.25">
      <c r="A19490">
        <v>48114110120</v>
      </c>
      <c r="B19490" t="s">
        <v>8066</v>
      </c>
    </row>
    <row r="19491" spans="1:2" x14ac:dyDescent="0.25">
      <c r="A19491">
        <v>48114110130</v>
      </c>
      <c r="B19491" t="s">
        <v>8067</v>
      </c>
    </row>
    <row r="19492" spans="1:2" x14ac:dyDescent="0.25">
      <c r="A19492">
        <v>48114110190</v>
      </c>
      <c r="B19492" t="s">
        <v>10</v>
      </c>
    </row>
    <row r="19493" spans="1:2" x14ac:dyDescent="0.25">
      <c r="A19493">
        <v>481141102</v>
      </c>
      <c r="B19493" t="s">
        <v>8068</v>
      </c>
    </row>
    <row r="19494" spans="1:2" x14ac:dyDescent="0.25">
      <c r="A19494">
        <v>48114110210</v>
      </c>
      <c r="B19494" t="s">
        <v>8065</v>
      </c>
    </row>
    <row r="19495" spans="1:2" x14ac:dyDescent="0.25">
      <c r="A19495">
        <v>48114110220</v>
      </c>
      <c r="B19495" t="s">
        <v>8066</v>
      </c>
    </row>
    <row r="19496" spans="1:2" x14ac:dyDescent="0.25">
      <c r="A19496">
        <v>48114110230</v>
      </c>
      <c r="B19496" t="s">
        <v>8067</v>
      </c>
    </row>
    <row r="19497" spans="1:2" x14ac:dyDescent="0.25">
      <c r="A19497">
        <v>48114110290</v>
      </c>
      <c r="B19497" t="s">
        <v>10</v>
      </c>
    </row>
    <row r="19498" spans="1:2" x14ac:dyDescent="0.25">
      <c r="A19498">
        <v>48114190000</v>
      </c>
      <c r="B19498" t="s">
        <v>10</v>
      </c>
    </row>
    <row r="19499" spans="1:2" x14ac:dyDescent="0.25">
      <c r="A19499">
        <v>481149</v>
      </c>
      <c r="B19499" t="e">
        <f>- - Los demas</f>
        <v>#NAME?</v>
      </c>
    </row>
    <row r="19500" spans="1:2" x14ac:dyDescent="0.25">
      <c r="A19500">
        <v>48114910000</v>
      </c>
      <c r="B19500" t="s">
        <v>7963</v>
      </c>
    </row>
    <row r="19501" spans="1:2" x14ac:dyDescent="0.25">
      <c r="A19501">
        <v>48114990000</v>
      </c>
      <c r="B19501" t="s">
        <v>10</v>
      </c>
    </row>
    <row r="19502" spans="1:2" x14ac:dyDescent="0.25">
      <c r="A19502">
        <v>48115</v>
      </c>
      <c r="B19502" t="s">
        <v>8069</v>
      </c>
    </row>
    <row r="19503" spans="1:2" x14ac:dyDescent="0.25">
      <c r="A19503">
        <v>481151</v>
      </c>
      <c r="B19503" t="s">
        <v>8070</v>
      </c>
    </row>
    <row r="19504" spans="1:2" x14ac:dyDescent="0.25">
      <c r="A19504">
        <v>48115110</v>
      </c>
      <c r="B19504" t="s">
        <v>7963</v>
      </c>
    </row>
    <row r="19505" spans="1:2" x14ac:dyDescent="0.25">
      <c r="A19505">
        <v>48115110100</v>
      </c>
      <c r="B19505" t="s">
        <v>6648</v>
      </c>
    </row>
    <row r="19506" spans="1:2" x14ac:dyDescent="0.25">
      <c r="A19506">
        <v>48115110900</v>
      </c>
      <c r="B19506" t="s">
        <v>10</v>
      </c>
    </row>
    <row r="19507" spans="1:2" x14ac:dyDescent="0.25">
      <c r="A19507">
        <v>4811512</v>
      </c>
      <c r="B19507" t="s">
        <v>8071</v>
      </c>
    </row>
    <row r="19508" spans="1:2" x14ac:dyDescent="0.25">
      <c r="A19508">
        <v>48115121000</v>
      </c>
      <c r="B19508" t="s">
        <v>8072</v>
      </c>
    </row>
    <row r="19509" spans="1:2" x14ac:dyDescent="0.25">
      <c r="A19509">
        <v>48115122</v>
      </c>
      <c r="B19509" t="s">
        <v>8073</v>
      </c>
    </row>
    <row r="19510" spans="1:2" x14ac:dyDescent="0.25">
      <c r="A19510">
        <v>48115122100</v>
      </c>
      <c r="B19510" t="s">
        <v>6648</v>
      </c>
    </row>
    <row r="19511" spans="1:2" x14ac:dyDescent="0.25">
      <c r="A19511">
        <v>48115122900</v>
      </c>
      <c r="B19511" t="s">
        <v>10</v>
      </c>
    </row>
    <row r="19512" spans="1:2" x14ac:dyDescent="0.25">
      <c r="A19512">
        <v>48115123000</v>
      </c>
      <c r="B19512" t="s">
        <v>8074</v>
      </c>
    </row>
    <row r="19513" spans="1:2" x14ac:dyDescent="0.25">
      <c r="A19513">
        <v>48115128000</v>
      </c>
      <c r="B19513" t="s">
        <v>8075</v>
      </c>
    </row>
    <row r="19514" spans="1:2" x14ac:dyDescent="0.25">
      <c r="A19514">
        <v>48115129</v>
      </c>
      <c r="B19514" t="s">
        <v>10</v>
      </c>
    </row>
    <row r="19515" spans="1:2" x14ac:dyDescent="0.25">
      <c r="A19515">
        <v>48115129100</v>
      </c>
      <c r="B19515" t="s">
        <v>6648</v>
      </c>
    </row>
    <row r="19516" spans="1:2" x14ac:dyDescent="0.25">
      <c r="A19516">
        <v>48115129900</v>
      </c>
      <c r="B19516" t="s">
        <v>10</v>
      </c>
    </row>
    <row r="19517" spans="1:2" x14ac:dyDescent="0.25">
      <c r="A19517">
        <v>48115130</v>
      </c>
      <c r="B19517" t="s">
        <v>8076</v>
      </c>
    </row>
    <row r="19518" spans="1:2" x14ac:dyDescent="0.25">
      <c r="A19518">
        <v>48115130100</v>
      </c>
      <c r="B19518" t="s">
        <v>6648</v>
      </c>
    </row>
    <row r="19519" spans="1:2" x14ac:dyDescent="0.25">
      <c r="A19519">
        <v>48115130900</v>
      </c>
      <c r="B19519" t="s">
        <v>10</v>
      </c>
    </row>
    <row r="19520" spans="1:2" x14ac:dyDescent="0.25">
      <c r="A19520">
        <v>481159</v>
      </c>
      <c r="B19520" t="e">
        <f>- - Los demas</f>
        <v>#NAME?</v>
      </c>
    </row>
    <row r="19521" spans="1:2" x14ac:dyDescent="0.25">
      <c r="A19521">
        <v>48115910</v>
      </c>
      <c r="B19521" t="s">
        <v>7963</v>
      </c>
    </row>
    <row r="19522" spans="1:2" x14ac:dyDescent="0.25">
      <c r="A19522">
        <v>48115910100</v>
      </c>
      <c r="B19522" t="s">
        <v>6648</v>
      </c>
    </row>
    <row r="19523" spans="1:2" x14ac:dyDescent="0.25">
      <c r="A19523">
        <v>48115910900</v>
      </c>
      <c r="B19523" t="s">
        <v>10</v>
      </c>
    </row>
    <row r="19524" spans="1:2" x14ac:dyDescent="0.25">
      <c r="A19524">
        <v>4811592</v>
      </c>
      <c r="B19524" t="s">
        <v>8071</v>
      </c>
    </row>
    <row r="19525" spans="1:2" x14ac:dyDescent="0.25">
      <c r="A19525">
        <v>48115921000</v>
      </c>
      <c r="B19525" t="s">
        <v>8074</v>
      </c>
    </row>
    <row r="19526" spans="1:2" x14ac:dyDescent="0.25">
      <c r="A19526">
        <v>48115922000</v>
      </c>
      <c r="B19526" t="s">
        <v>8072</v>
      </c>
    </row>
    <row r="19527" spans="1:2" x14ac:dyDescent="0.25">
      <c r="A19527">
        <v>48115923</v>
      </c>
      <c r="B19527" t="s">
        <v>8073</v>
      </c>
    </row>
    <row r="19528" spans="1:2" x14ac:dyDescent="0.25">
      <c r="A19528">
        <v>48115923100</v>
      </c>
      <c r="B19528" t="s">
        <v>6648</v>
      </c>
    </row>
    <row r="19529" spans="1:2" x14ac:dyDescent="0.25">
      <c r="A19529">
        <v>48115923900</v>
      </c>
      <c r="B19529" t="s">
        <v>10</v>
      </c>
    </row>
    <row r="19530" spans="1:2" x14ac:dyDescent="0.25">
      <c r="A19530">
        <v>48115929</v>
      </c>
      <c r="B19530" t="s">
        <v>10</v>
      </c>
    </row>
    <row r="19531" spans="1:2" x14ac:dyDescent="0.25">
      <c r="A19531">
        <v>481159291</v>
      </c>
      <c r="B19531" t="s">
        <v>8077</v>
      </c>
    </row>
    <row r="19532" spans="1:2" x14ac:dyDescent="0.25">
      <c r="A19532">
        <v>48115929110</v>
      </c>
      <c r="B19532" t="s">
        <v>6648</v>
      </c>
    </row>
    <row r="19533" spans="1:2" x14ac:dyDescent="0.25">
      <c r="A19533">
        <v>48115929190</v>
      </c>
      <c r="B19533" t="s">
        <v>10</v>
      </c>
    </row>
    <row r="19534" spans="1:2" x14ac:dyDescent="0.25">
      <c r="A19534">
        <v>481159292</v>
      </c>
      <c r="B19534" t="s">
        <v>8078</v>
      </c>
    </row>
    <row r="19535" spans="1:2" x14ac:dyDescent="0.25">
      <c r="A19535">
        <v>48115929210</v>
      </c>
      <c r="B19535" t="s">
        <v>6648</v>
      </c>
    </row>
    <row r="19536" spans="1:2" x14ac:dyDescent="0.25">
      <c r="A19536">
        <v>48115929290</v>
      </c>
      <c r="B19536" t="s">
        <v>10</v>
      </c>
    </row>
    <row r="19537" spans="1:2" x14ac:dyDescent="0.25">
      <c r="A19537">
        <v>481159293</v>
      </c>
      <c r="B19537" t="s">
        <v>8079</v>
      </c>
    </row>
    <row r="19538" spans="1:2" x14ac:dyDescent="0.25">
      <c r="A19538">
        <v>48115929310</v>
      </c>
      <c r="B19538" t="s">
        <v>6648</v>
      </c>
    </row>
    <row r="19539" spans="1:2" x14ac:dyDescent="0.25">
      <c r="A19539">
        <v>48115929390</v>
      </c>
      <c r="B19539" t="s">
        <v>10</v>
      </c>
    </row>
    <row r="19540" spans="1:2" x14ac:dyDescent="0.25">
      <c r="A19540">
        <v>481159299</v>
      </c>
      <c r="B19540" t="s">
        <v>10</v>
      </c>
    </row>
    <row r="19541" spans="1:2" x14ac:dyDescent="0.25">
      <c r="A19541">
        <v>48115929910</v>
      </c>
      <c r="B19541" t="s">
        <v>6648</v>
      </c>
    </row>
    <row r="19542" spans="1:2" x14ac:dyDescent="0.25">
      <c r="A19542">
        <v>48115929990</v>
      </c>
      <c r="B19542" t="s">
        <v>10</v>
      </c>
    </row>
    <row r="19543" spans="1:2" x14ac:dyDescent="0.25">
      <c r="A19543">
        <v>48115930</v>
      </c>
      <c r="B19543" t="s">
        <v>8076</v>
      </c>
    </row>
    <row r="19544" spans="1:2" x14ac:dyDescent="0.25">
      <c r="A19544">
        <v>48115930100</v>
      </c>
      <c r="B19544" t="s">
        <v>6648</v>
      </c>
    </row>
    <row r="19545" spans="1:2" x14ac:dyDescent="0.25">
      <c r="A19545">
        <v>48115930900</v>
      </c>
      <c r="B19545" t="s">
        <v>10</v>
      </c>
    </row>
    <row r="19546" spans="1:2" x14ac:dyDescent="0.25">
      <c r="A19546">
        <v>481160</v>
      </c>
      <c r="B19546" t="e">
        <f>- papel y carton recubiertos. impregnados o revestidos de cera. parafina. estearina. Aceite o Glicerol</f>
        <v>#NAME?</v>
      </c>
    </row>
    <row r="19547" spans="1:2" x14ac:dyDescent="0.25">
      <c r="A19547">
        <v>48116010000</v>
      </c>
      <c r="B19547" t="s">
        <v>7963</v>
      </c>
    </row>
    <row r="19548" spans="1:2" x14ac:dyDescent="0.25">
      <c r="A19548">
        <v>48116090</v>
      </c>
      <c r="B19548" t="s">
        <v>10</v>
      </c>
    </row>
    <row r="19549" spans="1:2" x14ac:dyDescent="0.25">
      <c r="A19549">
        <v>48116090100</v>
      </c>
      <c r="B19549" t="s">
        <v>8080</v>
      </c>
    </row>
    <row r="19550" spans="1:2" x14ac:dyDescent="0.25">
      <c r="A19550">
        <v>48116090200</v>
      </c>
      <c r="B19550" t="s">
        <v>8081</v>
      </c>
    </row>
    <row r="19551" spans="1:2" x14ac:dyDescent="0.25">
      <c r="A19551">
        <v>48116090300</v>
      </c>
      <c r="B19551" t="s">
        <v>8082</v>
      </c>
    </row>
    <row r="19552" spans="1:2" x14ac:dyDescent="0.25">
      <c r="A19552">
        <v>48116090900</v>
      </c>
      <c r="B19552" t="s">
        <v>10</v>
      </c>
    </row>
    <row r="19553" spans="1:2" x14ac:dyDescent="0.25">
      <c r="A19553">
        <v>481190</v>
      </c>
      <c r="B19553" t="e">
        <f>- Los demas papeles. cartones. guata de celulosa y napa de fibras de celulosa</f>
        <v>#NAME?</v>
      </c>
    </row>
    <row r="19554" spans="1:2" x14ac:dyDescent="0.25">
      <c r="A19554">
        <v>48119010000</v>
      </c>
      <c r="B19554" t="s">
        <v>7963</v>
      </c>
    </row>
    <row r="19555" spans="1:2" x14ac:dyDescent="0.25">
      <c r="A19555">
        <v>48119090</v>
      </c>
      <c r="B19555" t="s">
        <v>10</v>
      </c>
    </row>
    <row r="19556" spans="1:2" x14ac:dyDescent="0.25">
      <c r="A19556">
        <v>48119090100</v>
      </c>
      <c r="B19556" t="s">
        <v>8083</v>
      </c>
    </row>
    <row r="19557" spans="1:2" x14ac:dyDescent="0.25">
      <c r="A19557">
        <v>481190902</v>
      </c>
      <c r="B19557" t="s">
        <v>8084</v>
      </c>
    </row>
    <row r="19558" spans="1:2" x14ac:dyDescent="0.25">
      <c r="A19558">
        <v>48119090210</v>
      </c>
      <c r="B19558" t="s">
        <v>8085</v>
      </c>
    </row>
    <row r="19559" spans="1:2" x14ac:dyDescent="0.25">
      <c r="A19559">
        <v>48119090290</v>
      </c>
      <c r="B19559" t="s">
        <v>10</v>
      </c>
    </row>
    <row r="19560" spans="1:2" x14ac:dyDescent="0.25">
      <c r="A19560">
        <v>48119090300</v>
      </c>
      <c r="B19560" t="s">
        <v>8086</v>
      </c>
    </row>
    <row r="19561" spans="1:2" x14ac:dyDescent="0.25">
      <c r="A19561">
        <v>481190909</v>
      </c>
      <c r="B19561" t="s">
        <v>10</v>
      </c>
    </row>
    <row r="19562" spans="1:2" x14ac:dyDescent="0.25">
      <c r="A19562">
        <v>48119090910</v>
      </c>
      <c r="B19562" t="s">
        <v>8087</v>
      </c>
    </row>
    <row r="19563" spans="1:2" x14ac:dyDescent="0.25">
      <c r="A19563">
        <v>48119090990</v>
      </c>
      <c r="B19563" t="s">
        <v>10</v>
      </c>
    </row>
    <row r="19564" spans="1:2" x14ac:dyDescent="0.25">
      <c r="A19564">
        <v>48120000</v>
      </c>
      <c r="B19564" t="s">
        <v>8088</v>
      </c>
    </row>
    <row r="19565" spans="1:2" x14ac:dyDescent="0.25">
      <c r="A19565">
        <v>48120000100</v>
      </c>
      <c r="B19565" t="s">
        <v>6648</v>
      </c>
    </row>
    <row r="19566" spans="1:2" x14ac:dyDescent="0.25">
      <c r="A19566">
        <v>48120000900</v>
      </c>
      <c r="B19566" t="s">
        <v>10</v>
      </c>
    </row>
    <row r="19567" spans="1:2" x14ac:dyDescent="0.25">
      <c r="A19567">
        <v>4813</v>
      </c>
      <c r="B19567" t="s">
        <v>8089</v>
      </c>
    </row>
    <row r="19568" spans="1:2" x14ac:dyDescent="0.25">
      <c r="A19568">
        <v>48131000</v>
      </c>
      <c r="B19568" t="e">
        <f>- En librillos o En Tubos</f>
        <v>#NAME?</v>
      </c>
    </row>
    <row r="19569" spans="1:2" x14ac:dyDescent="0.25">
      <c r="A19569">
        <v>48131000100</v>
      </c>
      <c r="B19569" t="s">
        <v>8090</v>
      </c>
    </row>
    <row r="19570" spans="1:2" x14ac:dyDescent="0.25">
      <c r="A19570">
        <v>48131000200</v>
      </c>
      <c r="B19570" t="s">
        <v>8091</v>
      </c>
    </row>
    <row r="19571" spans="1:2" x14ac:dyDescent="0.25">
      <c r="A19571">
        <v>48132000000</v>
      </c>
      <c r="B19571" t="s">
        <v>8092</v>
      </c>
    </row>
    <row r="19572" spans="1:2" x14ac:dyDescent="0.25">
      <c r="A19572">
        <v>48139000000</v>
      </c>
      <c r="B19572" t="e">
        <f>-Los demas</f>
        <v>#NAME?</v>
      </c>
    </row>
    <row r="19573" spans="1:2" x14ac:dyDescent="0.25">
      <c r="A19573">
        <v>4814</v>
      </c>
      <c r="B19573" t="s">
        <v>8093</v>
      </c>
    </row>
    <row r="19574" spans="1:2" x14ac:dyDescent="0.25">
      <c r="A19574">
        <v>48142000</v>
      </c>
      <c r="B19574" t="e">
        <f>- papel para decorar y Revestimientos similares de paredes. constituidos por papel recubierto o revestido. En la cara vista. Con una capa de plastico graneada. gofrada. coloreada. impresa Con motivos o decorada de otro modo</f>
        <v>#NAME?</v>
      </c>
    </row>
    <row r="19575" spans="1:2" x14ac:dyDescent="0.25">
      <c r="A19575">
        <v>48142000100</v>
      </c>
      <c r="B19575" t="s">
        <v>8094</v>
      </c>
    </row>
    <row r="19576" spans="1:2" x14ac:dyDescent="0.25">
      <c r="A19576">
        <v>48142000900</v>
      </c>
      <c r="B19576" t="s">
        <v>10</v>
      </c>
    </row>
    <row r="19577" spans="1:2" x14ac:dyDescent="0.25">
      <c r="A19577">
        <v>48149000</v>
      </c>
      <c r="B19577" t="e">
        <f>- Los demas</f>
        <v>#NAME?</v>
      </c>
    </row>
    <row r="19578" spans="1:2" x14ac:dyDescent="0.25">
      <c r="A19578">
        <v>481490001</v>
      </c>
      <c r="B19578" t="s">
        <v>8095</v>
      </c>
    </row>
    <row r="19579" spans="1:2" x14ac:dyDescent="0.25">
      <c r="A19579">
        <v>48149000110</v>
      </c>
      <c r="B19579" t="s">
        <v>8096</v>
      </c>
    </row>
    <row r="19580" spans="1:2" x14ac:dyDescent="0.25">
      <c r="A19580">
        <v>48149000190</v>
      </c>
      <c r="B19580" t="s">
        <v>10</v>
      </c>
    </row>
    <row r="19581" spans="1:2" x14ac:dyDescent="0.25">
      <c r="A19581">
        <v>481490002</v>
      </c>
      <c r="B19581" t="s">
        <v>8094</v>
      </c>
    </row>
    <row r="19582" spans="1:2" x14ac:dyDescent="0.25">
      <c r="A19582">
        <v>48149000210</v>
      </c>
      <c r="B19582" t="s">
        <v>8096</v>
      </c>
    </row>
    <row r="19583" spans="1:2" x14ac:dyDescent="0.25">
      <c r="A19583">
        <v>48149000290</v>
      </c>
      <c r="B19583" t="s">
        <v>10</v>
      </c>
    </row>
    <row r="19584" spans="1:2" x14ac:dyDescent="0.25">
      <c r="A19584">
        <v>481490003</v>
      </c>
      <c r="B19584" t="s">
        <v>8097</v>
      </c>
    </row>
    <row r="19585" spans="1:2" x14ac:dyDescent="0.25">
      <c r="A19585">
        <v>48149000310</v>
      </c>
      <c r="B19585" t="s">
        <v>8096</v>
      </c>
    </row>
    <row r="19586" spans="1:2" x14ac:dyDescent="0.25">
      <c r="A19586">
        <v>48149000390</v>
      </c>
      <c r="B19586" t="s">
        <v>10</v>
      </c>
    </row>
    <row r="19587" spans="1:2" x14ac:dyDescent="0.25">
      <c r="A19587">
        <v>481490004</v>
      </c>
      <c r="B19587" t="s">
        <v>8098</v>
      </c>
    </row>
    <row r="19588" spans="1:2" x14ac:dyDescent="0.25">
      <c r="A19588">
        <v>48149000410</v>
      </c>
      <c r="B19588" t="s">
        <v>8096</v>
      </c>
    </row>
    <row r="19589" spans="1:2" x14ac:dyDescent="0.25">
      <c r="A19589">
        <v>48149000490</v>
      </c>
      <c r="B19589" t="s">
        <v>10</v>
      </c>
    </row>
    <row r="19590" spans="1:2" x14ac:dyDescent="0.25">
      <c r="A19590">
        <v>481490009</v>
      </c>
      <c r="B19590" t="s">
        <v>10</v>
      </c>
    </row>
    <row r="19591" spans="1:2" x14ac:dyDescent="0.25">
      <c r="A19591">
        <v>48149000910</v>
      </c>
      <c r="B19591" t="s">
        <v>8096</v>
      </c>
    </row>
    <row r="19592" spans="1:2" x14ac:dyDescent="0.25">
      <c r="A19592">
        <v>48149000990</v>
      </c>
      <c r="B19592" t="s">
        <v>10</v>
      </c>
    </row>
    <row r="19593" spans="1:2" x14ac:dyDescent="0.25">
      <c r="A19593">
        <v>4816</v>
      </c>
      <c r="B19593" t="s">
        <v>8099</v>
      </c>
    </row>
    <row r="19594" spans="1:2" x14ac:dyDescent="0.25">
      <c r="A19594">
        <v>48162000000</v>
      </c>
      <c r="B19594" t="e">
        <f>-papel autocopia</f>
        <v>#NAME?</v>
      </c>
    </row>
    <row r="19595" spans="1:2" x14ac:dyDescent="0.25">
      <c r="A19595">
        <v>481690</v>
      </c>
      <c r="B19595" t="e">
        <f>- Los demas</f>
        <v>#NAME?</v>
      </c>
    </row>
    <row r="19596" spans="1:2" x14ac:dyDescent="0.25">
      <c r="A19596">
        <v>48169010000</v>
      </c>
      <c r="B19596" t="s">
        <v>8100</v>
      </c>
    </row>
    <row r="19597" spans="1:2" x14ac:dyDescent="0.25">
      <c r="A19597">
        <v>48169090000</v>
      </c>
      <c r="B19597" t="s">
        <v>10</v>
      </c>
    </row>
    <row r="19598" spans="1:2" x14ac:dyDescent="0.25">
      <c r="A19598">
        <v>4817</v>
      </c>
      <c r="B19598" t="s">
        <v>8101</v>
      </c>
    </row>
    <row r="19599" spans="1:2" x14ac:dyDescent="0.25">
      <c r="A19599">
        <v>48171000</v>
      </c>
      <c r="B19599" t="e">
        <f>- Sobres</f>
        <v>#NAME?</v>
      </c>
    </row>
    <row r="19600" spans="1:2" x14ac:dyDescent="0.25">
      <c r="A19600">
        <v>481710001</v>
      </c>
      <c r="B19600" t="s">
        <v>8096</v>
      </c>
    </row>
    <row r="19601" spans="1:2" x14ac:dyDescent="0.25">
      <c r="A19601">
        <v>48171000110</v>
      </c>
      <c r="B19601" t="s">
        <v>8102</v>
      </c>
    </row>
    <row r="19602" spans="1:2" x14ac:dyDescent="0.25">
      <c r="A19602">
        <v>48171000120</v>
      </c>
      <c r="B19602" t="s">
        <v>8103</v>
      </c>
    </row>
    <row r="19603" spans="1:2" x14ac:dyDescent="0.25">
      <c r="A19603">
        <v>48171000190</v>
      </c>
      <c r="B19603" t="s">
        <v>10</v>
      </c>
    </row>
    <row r="19604" spans="1:2" x14ac:dyDescent="0.25">
      <c r="A19604">
        <v>48171000900</v>
      </c>
      <c r="B19604" t="s">
        <v>10</v>
      </c>
    </row>
    <row r="19605" spans="1:2" x14ac:dyDescent="0.25">
      <c r="A19605">
        <v>48172000</v>
      </c>
      <c r="B19605" t="e">
        <f>- Sobres carta. tarjetas postales sin ilustrar y tarjetas para correspondencia</f>
        <v>#NAME?</v>
      </c>
    </row>
    <row r="19606" spans="1:2" x14ac:dyDescent="0.25">
      <c r="A19606">
        <v>48172000100</v>
      </c>
      <c r="B19606" t="s">
        <v>8104</v>
      </c>
    </row>
    <row r="19607" spans="1:2" x14ac:dyDescent="0.25">
      <c r="A19607">
        <v>48172000200</v>
      </c>
      <c r="B19607" t="s">
        <v>8105</v>
      </c>
    </row>
    <row r="19608" spans="1:2" x14ac:dyDescent="0.25">
      <c r="A19608">
        <v>48172000300</v>
      </c>
      <c r="B19608" t="s">
        <v>8106</v>
      </c>
    </row>
    <row r="19609" spans="1:2" x14ac:dyDescent="0.25">
      <c r="A19609">
        <v>48173000</v>
      </c>
      <c r="B19609" t="e">
        <f>- Cajas. bolsas y presentaciones similares. de papel o carton. Con un surtido de Articulos de correspondencia</f>
        <v>#NAME?</v>
      </c>
    </row>
    <row r="19610" spans="1:2" x14ac:dyDescent="0.25">
      <c r="A19610">
        <v>48173000100</v>
      </c>
      <c r="B19610" t="s">
        <v>8107</v>
      </c>
    </row>
    <row r="19611" spans="1:2" x14ac:dyDescent="0.25">
      <c r="A19611">
        <v>48173000200</v>
      </c>
      <c r="B19611" t="s">
        <v>7636</v>
      </c>
    </row>
    <row r="19612" spans="1:2" x14ac:dyDescent="0.25">
      <c r="A19612">
        <v>48173000900</v>
      </c>
      <c r="B19612" t="s">
        <v>10</v>
      </c>
    </row>
    <row r="19613" spans="1:2" x14ac:dyDescent="0.25">
      <c r="A19613">
        <v>4818</v>
      </c>
      <c r="B19613" t="s">
        <v>8108</v>
      </c>
    </row>
    <row r="19614" spans="1:2" x14ac:dyDescent="0.25">
      <c r="A19614">
        <v>48181000</v>
      </c>
      <c r="B19614" t="e">
        <f>- papel higienico</f>
        <v>#NAME?</v>
      </c>
    </row>
    <row r="19615" spans="1:2" x14ac:dyDescent="0.25">
      <c r="A19615">
        <v>48181000100</v>
      </c>
      <c r="B19615" t="s">
        <v>8109</v>
      </c>
    </row>
    <row r="19616" spans="1:2" x14ac:dyDescent="0.25">
      <c r="A19616">
        <v>48181000900</v>
      </c>
      <c r="B19616" t="s">
        <v>10</v>
      </c>
    </row>
    <row r="19617" spans="1:2" x14ac:dyDescent="0.25">
      <c r="A19617">
        <v>48182000</v>
      </c>
      <c r="B19617" t="e">
        <f>- Pañuelos. toallitas de desmaquillar y toallas</f>
        <v>#NAME?</v>
      </c>
    </row>
    <row r="19618" spans="1:2" x14ac:dyDescent="0.25">
      <c r="A19618">
        <v>48182000100</v>
      </c>
      <c r="B19618" t="s">
        <v>8110</v>
      </c>
    </row>
    <row r="19619" spans="1:2" x14ac:dyDescent="0.25">
      <c r="A19619">
        <v>48182000200</v>
      </c>
      <c r="B19619" t="s">
        <v>8111</v>
      </c>
    </row>
    <row r="19620" spans="1:2" x14ac:dyDescent="0.25">
      <c r="A19620">
        <v>48182000300</v>
      </c>
      <c r="B19620" t="s">
        <v>8112</v>
      </c>
    </row>
    <row r="19621" spans="1:2" x14ac:dyDescent="0.25">
      <c r="A19621">
        <v>48183000</v>
      </c>
      <c r="B19621" t="e">
        <f>- Manteles y servilletas</f>
        <v>#NAME?</v>
      </c>
    </row>
    <row r="19622" spans="1:2" x14ac:dyDescent="0.25">
      <c r="A19622">
        <v>481830001</v>
      </c>
      <c r="B19622" t="s">
        <v>8113</v>
      </c>
    </row>
    <row r="19623" spans="1:2" x14ac:dyDescent="0.25">
      <c r="A19623">
        <v>48183000110</v>
      </c>
      <c r="B19623" t="s">
        <v>8114</v>
      </c>
    </row>
    <row r="19624" spans="1:2" x14ac:dyDescent="0.25">
      <c r="A19624">
        <v>48183000120</v>
      </c>
      <c r="B19624" t="s">
        <v>8115</v>
      </c>
    </row>
    <row r="19625" spans="1:2" x14ac:dyDescent="0.25">
      <c r="A19625">
        <v>48183000130</v>
      </c>
      <c r="B19625" t="s">
        <v>8116</v>
      </c>
    </row>
    <row r="19626" spans="1:2" x14ac:dyDescent="0.25">
      <c r="A19626">
        <v>48183000190</v>
      </c>
      <c r="B19626" t="s">
        <v>10</v>
      </c>
    </row>
    <row r="19627" spans="1:2" x14ac:dyDescent="0.25">
      <c r="A19627">
        <v>48183000200</v>
      </c>
      <c r="B19627" t="s">
        <v>8117</v>
      </c>
    </row>
    <row r="19628" spans="1:2" x14ac:dyDescent="0.25">
      <c r="A19628">
        <v>48185000</v>
      </c>
      <c r="B19628" t="s">
        <v>7657</v>
      </c>
    </row>
    <row r="19629" spans="1:2" x14ac:dyDescent="0.25">
      <c r="A19629">
        <v>48185000100</v>
      </c>
      <c r="B19629" t="s">
        <v>7658</v>
      </c>
    </row>
    <row r="19630" spans="1:2" x14ac:dyDescent="0.25">
      <c r="A19630">
        <v>48185000200</v>
      </c>
      <c r="B19630" t="s">
        <v>8118</v>
      </c>
    </row>
    <row r="19631" spans="1:2" x14ac:dyDescent="0.25">
      <c r="A19631">
        <v>481890</v>
      </c>
      <c r="B19631" t="e">
        <f>- Los demas</f>
        <v>#NAME?</v>
      </c>
    </row>
    <row r="19632" spans="1:2" x14ac:dyDescent="0.25">
      <c r="A19632">
        <v>48189010000</v>
      </c>
      <c r="B19632" t="s">
        <v>8119</v>
      </c>
    </row>
    <row r="19633" spans="1:2" x14ac:dyDescent="0.25">
      <c r="A19633">
        <v>48189090</v>
      </c>
      <c r="B19633" t="s">
        <v>10</v>
      </c>
    </row>
    <row r="19634" spans="1:2" x14ac:dyDescent="0.25">
      <c r="A19634">
        <v>48189090100</v>
      </c>
      <c r="B19634" t="s">
        <v>6648</v>
      </c>
    </row>
    <row r="19635" spans="1:2" x14ac:dyDescent="0.25">
      <c r="A19635">
        <v>48189090900</v>
      </c>
      <c r="B19635" t="s">
        <v>10</v>
      </c>
    </row>
    <row r="19636" spans="1:2" x14ac:dyDescent="0.25">
      <c r="A19636">
        <v>4819</v>
      </c>
      <c r="B19636" t="s">
        <v>8120</v>
      </c>
    </row>
    <row r="19637" spans="1:2" x14ac:dyDescent="0.25">
      <c r="A19637">
        <v>48191000</v>
      </c>
      <c r="B19637" t="e">
        <f>- Cajas de papel o carton corrugado</f>
        <v>#NAME?</v>
      </c>
    </row>
    <row r="19638" spans="1:2" x14ac:dyDescent="0.25">
      <c r="A19638">
        <v>481910001</v>
      </c>
      <c r="B19638" t="s">
        <v>8121</v>
      </c>
    </row>
    <row r="19639" spans="1:2" x14ac:dyDescent="0.25">
      <c r="A19639">
        <v>48191000110</v>
      </c>
      <c r="B19639" t="s">
        <v>8122</v>
      </c>
    </row>
    <row r="19640" spans="1:2" x14ac:dyDescent="0.25">
      <c r="A19640">
        <v>48191000120</v>
      </c>
      <c r="B19640" t="s">
        <v>8123</v>
      </c>
    </row>
    <row r="19641" spans="1:2" x14ac:dyDescent="0.25">
      <c r="A19641">
        <v>48191000190</v>
      </c>
      <c r="B19641" t="s">
        <v>57</v>
      </c>
    </row>
    <row r="19642" spans="1:2" x14ac:dyDescent="0.25">
      <c r="A19642">
        <v>481910009</v>
      </c>
      <c r="B19642" t="s">
        <v>57</v>
      </c>
    </row>
    <row r="19643" spans="1:2" x14ac:dyDescent="0.25">
      <c r="A19643">
        <v>48191000910</v>
      </c>
      <c r="B19643" t="s">
        <v>8122</v>
      </c>
    </row>
    <row r="19644" spans="1:2" x14ac:dyDescent="0.25">
      <c r="A19644">
        <v>48191000920</v>
      </c>
      <c r="B19644" t="s">
        <v>8123</v>
      </c>
    </row>
    <row r="19645" spans="1:2" x14ac:dyDescent="0.25">
      <c r="A19645">
        <v>48191000990</v>
      </c>
      <c r="B19645" t="s">
        <v>57</v>
      </c>
    </row>
    <row r="19646" spans="1:2" x14ac:dyDescent="0.25">
      <c r="A19646">
        <v>48192000</v>
      </c>
      <c r="B19646" t="e">
        <f>- Cajas y cartonajes. plegables. de papel o carton. sin corrugar</f>
        <v>#NAME?</v>
      </c>
    </row>
    <row r="19647" spans="1:2" x14ac:dyDescent="0.25">
      <c r="A19647">
        <v>481920001</v>
      </c>
      <c r="B19647" t="s">
        <v>8107</v>
      </c>
    </row>
    <row r="19648" spans="1:2" x14ac:dyDescent="0.25">
      <c r="A19648">
        <v>4819200011</v>
      </c>
      <c r="B19648" t="s">
        <v>6684</v>
      </c>
    </row>
    <row r="19649" spans="1:2" x14ac:dyDescent="0.25">
      <c r="A19649">
        <v>48192000111</v>
      </c>
      <c r="B19649" t="s">
        <v>8124</v>
      </c>
    </row>
    <row r="19650" spans="1:2" x14ac:dyDescent="0.25">
      <c r="A19650">
        <v>48192000119</v>
      </c>
      <c r="B19650" t="s">
        <v>10</v>
      </c>
    </row>
    <row r="19651" spans="1:2" x14ac:dyDescent="0.25">
      <c r="A19651">
        <v>48192000190</v>
      </c>
      <c r="B19651" t="s">
        <v>57</v>
      </c>
    </row>
    <row r="19652" spans="1:2" x14ac:dyDescent="0.25">
      <c r="A19652">
        <v>481920002</v>
      </c>
      <c r="B19652" t="s">
        <v>8125</v>
      </c>
    </row>
    <row r="19653" spans="1:2" x14ac:dyDescent="0.25">
      <c r="A19653">
        <v>4819200021</v>
      </c>
      <c r="B19653" t="s">
        <v>8096</v>
      </c>
    </row>
    <row r="19654" spans="1:2" x14ac:dyDescent="0.25">
      <c r="A19654">
        <v>48192000211</v>
      </c>
      <c r="B19654" t="s">
        <v>8124</v>
      </c>
    </row>
    <row r="19655" spans="1:2" x14ac:dyDescent="0.25">
      <c r="A19655">
        <v>48192000219</v>
      </c>
      <c r="B19655" t="s">
        <v>10</v>
      </c>
    </row>
    <row r="19656" spans="1:2" x14ac:dyDescent="0.25">
      <c r="A19656">
        <v>48192000290</v>
      </c>
      <c r="B19656" t="s">
        <v>10</v>
      </c>
    </row>
    <row r="19657" spans="1:2" x14ac:dyDescent="0.25">
      <c r="A19657">
        <v>48193000</v>
      </c>
      <c r="B19657" t="s">
        <v>8126</v>
      </c>
    </row>
    <row r="19658" spans="1:2" x14ac:dyDescent="0.25">
      <c r="A19658">
        <v>48193000100</v>
      </c>
      <c r="B19658" t="s">
        <v>8127</v>
      </c>
    </row>
    <row r="19659" spans="1:2" x14ac:dyDescent="0.25">
      <c r="A19659">
        <v>481930008</v>
      </c>
      <c r="B19659" t="s">
        <v>8128</v>
      </c>
    </row>
    <row r="19660" spans="1:2" x14ac:dyDescent="0.25">
      <c r="A19660">
        <v>4819300081</v>
      </c>
      <c r="B19660" t="s">
        <v>8129</v>
      </c>
    </row>
    <row r="19661" spans="1:2" x14ac:dyDescent="0.25">
      <c r="A19661">
        <v>48193000811</v>
      </c>
      <c r="B19661" t="s">
        <v>8130</v>
      </c>
    </row>
    <row r="19662" spans="1:2" x14ac:dyDescent="0.25">
      <c r="A19662">
        <v>48193000812</v>
      </c>
      <c r="B19662" t="s">
        <v>8131</v>
      </c>
    </row>
    <row r="19663" spans="1:2" x14ac:dyDescent="0.25">
      <c r="A19663">
        <v>48193000813</v>
      </c>
      <c r="B19663" t="s">
        <v>8132</v>
      </c>
    </row>
    <row r="19664" spans="1:2" x14ac:dyDescent="0.25">
      <c r="A19664">
        <v>48193000819</v>
      </c>
      <c r="B19664" t="s">
        <v>10</v>
      </c>
    </row>
    <row r="19665" spans="1:2" x14ac:dyDescent="0.25">
      <c r="A19665">
        <v>48193000890</v>
      </c>
      <c r="B19665" t="s">
        <v>10</v>
      </c>
    </row>
    <row r="19666" spans="1:2" x14ac:dyDescent="0.25">
      <c r="A19666">
        <v>481930009</v>
      </c>
      <c r="B19666" t="s">
        <v>10</v>
      </c>
    </row>
    <row r="19667" spans="1:2" x14ac:dyDescent="0.25">
      <c r="A19667">
        <v>4819300091</v>
      </c>
      <c r="B19667" t="s">
        <v>8129</v>
      </c>
    </row>
    <row r="19668" spans="1:2" x14ac:dyDescent="0.25">
      <c r="A19668">
        <v>48193000911</v>
      </c>
      <c r="B19668" t="s">
        <v>8130</v>
      </c>
    </row>
    <row r="19669" spans="1:2" x14ac:dyDescent="0.25">
      <c r="A19669">
        <v>48193000912</v>
      </c>
      <c r="B19669" t="s">
        <v>8131</v>
      </c>
    </row>
    <row r="19670" spans="1:2" x14ac:dyDescent="0.25">
      <c r="A19670">
        <v>48193000913</v>
      </c>
      <c r="B19670" t="s">
        <v>8132</v>
      </c>
    </row>
    <row r="19671" spans="1:2" x14ac:dyDescent="0.25">
      <c r="A19671">
        <v>48193000919</v>
      </c>
      <c r="B19671" t="s">
        <v>10</v>
      </c>
    </row>
    <row r="19672" spans="1:2" x14ac:dyDescent="0.25">
      <c r="A19672">
        <v>48193000990</v>
      </c>
      <c r="B19672" t="s">
        <v>10</v>
      </c>
    </row>
    <row r="19673" spans="1:2" x14ac:dyDescent="0.25">
      <c r="A19673">
        <v>48194000</v>
      </c>
      <c r="B19673" t="e">
        <f>- Los demas Sacos (bolsas), bolsitas y cucuruchos</f>
        <v>#NAME?</v>
      </c>
    </row>
    <row r="19674" spans="1:2" x14ac:dyDescent="0.25">
      <c r="A19674">
        <v>48194000100</v>
      </c>
      <c r="B19674" t="s">
        <v>8133</v>
      </c>
    </row>
    <row r="19675" spans="1:2" x14ac:dyDescent="0.25">
      <c r="A19675">
        <v>481940008</v>
      </c>
      <c r="B19675" t="s">
        <v>8128</v>
      </c>
    </row>
    <row r="19676" spans="1:2" x14ac:dyDescent="0.25">
      <c r="A19676">
        <v>4819400081</v>
      </c>
      <c r="B19676" t="s">
        <v>8129</v>
      </c>
    </row>
    <row r="19677" spans="1:2" x14ac:dyDescent="0.25">
      <c r="A19677">
        <v>48194000811</v>
      </c>
      <c r="B19677" t="s">
        <v>8130</v>
      </c>
    </row>
    <row r="19678" spans="1:2" x14ac:dyDescent="0.25">
      <c r="A19678">
        <v>48194000812</v>
      </c>
      <c r="B19678" t="s">
        <v>8131</v>
      </c>
    </row>
    <row r="19679" spans="1:2" x14ac:dyDescent="0.25">
      <c r="A19679">
        <v>48194000813</v>
      </c>
      <c r="B19679" t="s">
        <v>8132</v>
      </c>
    </row>
    <row r="19680" spans="1:2" x14ac:dyDescent="0.25">
      <c r="A19680">
        <v>48194000819</v>
      </c>
      <c r="B19680" t="s">
        <v>10</v>
      </c>
    </row>
    <row r="19681" spans="1:2" x14ac:dyDescent="0.25">
      <c r="A19681">
        <v>48194000890</v>
      </c>
      <c r="B19681" t="s">
        <v>10</v>
      </c>
    </row>
    <row r="19682" spans="1:2" x14ac:dyDescent="0.25">
      <c r="A19682">
        <v>481940009</v>
      </c>
      <c r="B19682" t="s">
        <v>10</v>
      </c>
    </row>
    <row r="19683" spans="1:2" x14ac:dyDescent="0.25">
      <c r="A19683">
        <v>4819400091</v>
      </c>
      <c r="B19683" t="s">
        <v>8129</v>
      </c>
    </row>
    <row r="19684" spans="1:2" x14ac:dyDescent="0.25">
      <c r="A19684">
        <v>48194000911</v>
      </c>
      <c r="B19684" t="s">
        <v>8130</v>
      </c>
    </row>
    <row r="19685" spans="1:2" x14ac:dyDescent="0.25">
      <c r="A19685">
        <v>48194000912</v>
      </c>
      <c r="B19685" t="s">
        <v>8131</v>
      </c>
    </row>
    <row r="19686" spans="1:2" x14ac:dyDescent="0.25">
      <c r="A19686">
        <v>48194000913</v>
      </c>
      <c r="B19686" t="s">
        <v>8132</v>
      </c>
    </row>
    <row r="19687" spans="1:2" x14ac:dyDescent="0.25">
      <c r="A19687">
        <v>48194000919</v>
      </c>
      <c r="B19687" t="s">
        <v>10</v>
      </c>
    </row>
    <row r="19688" spans="1:2" x14ac:dyDescent="0.25">
      <c r="A19688">
        <v>48194000990</v>
      </c>
      <c r="B19688" t="s">
        <v>10</v>
      </c>
    </row>
    <row r="19689" spans="1:2" x14ac:dyDescent="0.25">
      <c r="A19689">
        <v>48195000</v>
      </c>
      <c r="B19689" t="e">
        <f>- Los demas envases. incluidas las fundas para discos</f>
        <v>#NAME?</v>
      </c>
    </row>
    <row r="19690" spans="1:2" x14ac:dyDescent="0.25">
      <c r="A19690">
        <v>48195000100</v>
      </c>
      <c r="B19690" t="s">
        <v>8096</v>
      </c>
    </row>
    <row r="19691" spans="1:2" x14ac:dyDescent="0.25">
      <c r="A19691">
        <v>48195000900</v>
      </c>
      <c r="B19691" t="s">
        <v>10</v>
      </c>
    </row>
    <row r="19692" spans="1:2" x14ac:dyDescent="0.25">
      <c r="A19692">
        <v>48196000</v>
      </c>
      <c r="B19692" t="e">
        <f>- Cartonajes de oficina. tienda o similares</f>
        <v>#NAME?</v>
      </c>
    </row>
    <row r="19693" spans="1:2" x14ac:dyDescent="0.25">
      <c r="A19693">
        <v>48196000100</v>
      </c>
      <c r="B19693" t="s">
        <v>8134</v>
      </c>
    </row>
    <row r="19694" spans="1:2" x14ac:dyDescent="0.25">
      <c r="A19694">
        <v>48196000200</v>
      </c>
      <c r="B19694" t="s">
        <v>8135</v>
      </c>
    </row>
    <row r="19695" spans="1:2" x14ac:dyDescent="0.25">
      <c r="A19695">
        <v>48196000300</v>
      </c>
      <c r="B19695" t="s">
        <v>8136</v>
      </c>
    </row>
    <row r="19696" spans="1:2" x14ac:dyDescent="0.25">
      <c r="A19696">
        <v>48196000400</v>
      </c>
      <c r="B19696" t="s">
        <v>8137</v>
      </c>
    </row>
    <row r="19697" spans="1:2" x14ac:dyDescent="0.25">
      <c r="A19697">
        <v>48196000900</v>
      </c>
      <c r="B19697" t="s">
        <v>10</v>
      </c>
    </row>
    <row r="19698" spans="1:2" x14ac:dyDescent="0.25">
      <c r="A19698">
        <v>4820</v>
      </c>
      <c r="B19698" t="s">
        <v>8138</v>
      </c>
    </row>
    <row r="19699" spans="1:2" x14ac:dyDescent="0.25">
      <c r="A19699">
        <v>48201000</v>
      </c>
      <c r="B19699" t="s">
        <v>8139</v>
      </c>
    </row>
    <row r="19700" spans="1:2" x14ac:dyDescent="0.25">
      <c r="A19700">
        <v>48201000100</v>
      </c>
      <c r="B19700" t="s">
        <v>8140</v>
      </c>
    </row>
    <row r="19701" spans="1:2" x14ac:dyDescent="0.25">
      <c r="A19701">
        <v>48201000200</v>
      </c>
      <c r="B19701" t="s">
        <v>8141</v>
      </c>
    </row>
    <row r="19702" spans="1:2" x14ac:dyDescent="0.25">
      <c r="A19702">
        <v>48201000300</v>
      </c>
      <c r="B19702" t="s">
        <v>8142</v>
      </c>
    </row>
    <row r="19703" spans="1:2" x14ac:dyDescent="0.25">
      <c r="A19703">
        <v>48201000400</v>
      </c>
      <c r="B19703" t="s">
        <v>8143</v>
      </c>
    </row>
    <row r="19704" spans="1:2" x14ac:dyDescent="0.25">
      <c r="A19704">
        <v>48201000500</v>
      </c>
      <c r="B19704" t="s">
        <v>8144</v>
      </c>
    </row>
    <row r="19705" spans="1:2" x14ac:dyDescent="0.25">
      <c r="A19705">
        <v>482010006</v>
      </c>
      <c r="B19705" t="s">
        <v>8145</v>
      </c>
    </row>
    <row r="19706" spans="1:2" x14ac:dyDescent="0.25">
      <c r="A19706">
        <v>4820100061</v>
      </c>
      <c r="B19706" t="s">
        <v>8146</v>
      </c>
    </row>
    <row r="19707" spans="1:2" x14ac:dyDescent="0.25">
      <c r="A19707">
        <v>48201000611</v>
      </c>
      <c r="B19707" t="s">
        <v>8147</v>
      </c>
    </row>
    <row r="19708" spans="1:2" x14ac:dyDescent="0.25">
      <c r="A19708">
        <v>48201000612</v>
      </c>
      <c r="B19708" t="s">
        <v>8148</v>
      </c>
    </row>
    <row r="19709" spans="1:2" x14ac:dyDescent="0.25">
      <c r="A19709">
        <v>48201000613</v>
      </c>
      <c r="B19709" t="s">
        <v>8149</v>
      </c>
    </row>
    <row r="19710" spans="1:2" x14ac:dyDescent="0.25">
      <c r="A19710">
        <v>48201000614</v>
      </c>
      <c r="B19710" t="s">
        <v>8150</v>
      </c>
    </row>
    <row r="19711" spans="1:2" x14ac:dyDescent="0.25">
      <c r="A19711">
        <v>48201000619</v>
      </c>
      <c r="B19711" t="s">
        <v>57</v>
      </c>
    </row>
    <row r="19712" spans="1:2" x14ac:dyDescent="0.25">
      <c r="A19712">
        <v>4820100062</v>
      </c>
      <c r="B19712" t="s">
        <v>8151</v>
      </c>
    </row>
    <row r="19713" spans="1:2" x14ac:dyDescent="0.25">
      <c r="A19713">
        <v>48201000621</v>
      </c>
      <c r="B19713" t="s">
        <v>8147</v>
      </c>
    </row>
    <row r="19714" spans="1:2" x14ac:dyDescent="0.25">
      <c r="A19714">
        <v>48201000622</v>
      </c>
      <c r="B19714" t="s">
        <v>8148</v>
      </c>
    </row>
    <row r="19715" spans="1:2" x14ac:dyDescent="0.25">
      <c r="A19715">
        <v>48201000623</v>
      </c>
      <c r="B19715" t="s">
        <v>8149</v>
      </c>
    </row>
    <row r="19716" spans="1:2" x14ac:dyDescent="0.25">
      <c r="A19716">
        <v>48201000624</v>
      </c>
      <c r="B19716" t="s">
        <v>8150</v>
      </c>
    </row>
    <row r="19717" spans="1:2" x14ac:dyDescent="0.25">
      <c r="A19717">
        <v>48201000629</v>
      </c>
      <c r="B19717" t="s">
        <v>57</v>
      </c>
    </row>
    <row r="19718" spans="1:2" x14ac:dyDescent="0.25">
      <c r="A19718">
        <v>4820100063</v>
      </c>
      <c r="B19718" t="s">
        <v>8152</v>
      </c>
    </row>
    <row r="19719" spans="1:2" x14ac:dyDescent="0.25">
      <c r="A19719">
        <v>48201000631</v>
      </c>
      <c r="B19719" t="s">
        <v>8147</v>
      </c>
    </row>
    <row r="19720" spans="1:2" x14ac:dyDescent="0.25">
      <c r="A19720">
        <v>48201000632</v>
      </c>
      <c r="B19720" t="s">
        <v>8148</v>
      </c>
    </row>
    <row r="19721" spans="1:2" x14ac:dyDescent="0.25">
      <c r="A19721">
        <v>48201000633</v>
      </c>
      <c r="B19721" t="s">
        <v>8149</v>
      </c>
    </row>
    <row r="19722" spans="1:2" x14ac:dyDescent="0.25">
      <c r="A19722">
        <v>48201000634</v>
      </c>
      <c r="B19722" t="s">
        <v>8150</v>
      </c>
    </row>
    <row r="19723" spans="1:2" x14ac:dyDescent="0.25">
      <c r="A19723">
        <v>48201000639</v>
      </c>
      <c r="B19723" t="s">
        <v>57</v>
      </c>
    </row>
    <row r="19724" spans="1:2" x14ac:dyDescent="0.25">
      <c r="A19724">
        <v>4820100069</v>
      </c>
      <c r="B19724" t="s">
        <v>57</v>
      </c>
    </row>
    <row r="19725" spans="1:2" x14ac:dyDescent="0.25">
      <c r="A19725">
        <v>48201000691</v>
      </c>
      <c r="B19725" t="s">
        <v>8147</v>
      </c>
    </row>
    <row r="19726" spans="1:2" x14ac:dyDescent="0.25">
      <c r="A19726">
        <v>48201000692</v>
      </c>
      <c r="B19726" t="s">
        <v>8148</v>
      </c>
    </row>
    <row r="19727" spans="1:2" x14ac:dyDescent="0.25">
      <c r="A19727">
        <v>48201000693</v>
      </c>
      <c r="B19727" t="s">
        <v>8149</v>
      </c>
    </row>
    <row r="19728" spans="1:2" x14ac:dyDescent="0.25">
      <c r="A19728">
        <v>48201000694</v>
      </c>
      <c r="B19728" t="s">
        <v>8150</v>
      </c>
    </row>
    <row r="19729" spans="1:2" x14ac:dyDescent="0.25">
      <c r="A19729">
        <v>48201000699</v>
      </c>
      <c r="B19729" t="s">
        <v>57</v>
      </c>
    </row>
    <row r="19730" spans="1:2" x14ac:dyDescent="0.25">
      <c r="A19730">
        <v>48201000900</v>
      </c>
      <c r="B19730" t="s">
        <v>10</v>
      </c>
    </row>
    <row r="19731" spans="1:2" x14ac:dyDescent="0.25">
      <c r="A19731">
        <v>48202000</v>
      </c>
      <c r="B19731" t="e">
        <f>- Cuadernos</f>
        <v>#NAME?</v>
      </c>
    </row>
    <row r="19732" spans="1:2" x14ac:dyDescent="0.25">
      <c r="A19732">
        <v>482020001</v>
      </c>
      <c r="B19732" t="s">
        <v>8153</v>
      </c>
    </row>
    <row r="19733" spans="1:2" x14ac:dyDescent="0.25">
      <c r="A19733">
        <v>4820200011</v>
      </c>
      <c r="B19733" t="s">
        <v>8154</v>
      </c>
    </row>
    <row r="19734" spans="1:2" x14ac:dyDescent="0.25">
      <c r="A19734">
        <v>48202000111</v>
      </c>
      <c r="B19734" t="s">
        <v>8155</v>
      </c>
    </row>
    <row r="19735" spans="1:2" x14ac:dyDescent="0.25">
      <c r="A19735">
        <v>48202000112</v>
      </c>
      <c r="B19735" t="s">
        <v>8156</v>
      </c>
    </row>
    <row r="19736" spans="1:2" x14ac:dyDescent="0.25">
      <c r="A19736">
        <v>48202000113</v>
      </c>
      <c r="B19736" t="s">
        <v>8157</v>
      </c>
    </row>
    <row r="19737" spans="1:2" x14ac:dyDescent="0.25">
      <c r="A19737">
        <v>48202000119</v>
      </c>
      <c r="B19737" t="s">
        <v>10</v>
      </c>
    </row>
    <row r="19738" spans="1:2" x14ac:dyDescent="0.25">
      <c r="A19738">
        <v>4820200012</v>
      </c>
      <c r="B19738" t="s">
        <v>8158</v>
      </c>
    </row>
    <row r="19739" spans="1:2" x14ac:dyDescent="0.25">
      <c r="A19739">
        <v>48202000121</v>
      </c>
      <c r="B19739" t="s">
        <v>8155</v>
      </c>
    </row>
    <row r="19740" spans="1:2" x14ac:dyDescent="0.25">
      <c r="A19740">
        <v>48202000122</v>
      </c>
      <c r="B19740" t="s">
        <v>8156</v>
      </c>
    </row>
    <row r="19741" spans="1:2" x14ac:dyDescent="0.25">
      <c r="A19741">
        <v>48202000123</v>
      </c>
      <c r="B19741" t="s">
        <v>8157</v>
      </c>
    </row>
    <row r="19742" spans="1:2" x14ac:dyDescent="0.25">
      <c r="A19742">
        <v>48202000129</v>
      </c>
      <c r="B19742" t="s">
        <v>10</v>
      </c>
    </row>
    <row r="19743" spans="1:2" x14ac:dyDescent="0.25">
      <c r="A19743">
        <v>4820200019</v>
      </c>
      <c r="B19743" t="s">
        <v>10</v>
      </c>
    </row>
    <row r="19744" spans="1:2" x14ac:dyDescent="0.25">
      <c r="A19744">
        <v>48202000191</v>
      </c>
      <c r="B19744" t="s">
        <v>8155</v>
      </c>
    </row>
    <row r="19745" spans="1:2" x14ac:dyDescent="0.25">
      <c r="A19745">
        <v>48202000192</v>
      </c>
      <c r="B19745" t="s">
        <v>8156</v>
      </c>
    </row>
    <row r="19746" spans="1:2" x14ac:dyDescent="0.25">
      <c r="A19746">
        <v>48202000193</v>
      </c>
      <c r="B19746" t="s">
        <v>8157</v>
      </c>
    </row>
    <row r="19747" spans="1:2" x14ac:dyDescent="0.25">
      <c r="A19747">
        <v>48202000199</v>
      </c>
      <c r="B19747" t="s">
        <v>10</v>
      </c>
    </row>
    <row r="19748" spans="1:2" x14ac:dyDescent="0.25">
      <c r="A19748">
        <v>482020002</v>
      </c>
      <c r="B19748" t="s">
        <v>8159</v>
      </c>
    </row>
    <row r="19749" spans="1:2" x14ac:dyDescent="0.25">
      <c r="A19749">
        <v>4820200021</v>
      </c>
      <c r="B19749" t="s">
        <v>8147</v>
      </c>
    </row>
    <row r="19750" spans="1:2" x14ac:dyDescent="0.25">
      <c r="A19750">
        <v>48202000211</v>
      </c>
      <c r="B19750" t="s">
        <v>8155</v>
      </c>
    </row>
    <row r="19751" spans="1:2" x14ac:dyDescent="0.25">
      <c r="A19751">
        <v>48202000212</v>
      </c>
      <c r="B19751" t="s">
        <v>8156</v>
      </c>
    </row>
    <row r="19752" spans="1:2" x14ac:dyDescent="0.25">
      <c r="A19752">
        <v>48202000213</v>
      </c>
      <c r="B19752" t="s">
        <v>8157</v>
      </c>
    </row>
    <row r="19753" spans="1:2" x14ac:dyDescent="0.25">
      <c r="A19753">
        <v>48202000219</v>
      </c>
      <c r="B19753" t="s">
        <v>10</v>
      </c>
    </row>
    <row r="19754" spans="1:2" x14ac:dyDescent="0.25">
      <c r="A19754">
        <v>4820200022</v>
      </c>
      <c r="B19754" t="s">
        <v>8158</v>
      </c>
    </row>
    <row r="19755" spans="1:2" x14ac:dyDescent="0.25">
      <c r="A19755">
        <v>48202000221</v>
      </c>
      <c r="B19755" t="s">
        <v>8155</v>
      </c>
    </row>
    <row r="19756" spans="1:2" x14ac:dyDescent="0.25">
      <c r="A19756">
        <v>48202000222</v>
      </c>
      <c r="B19756" t="s">
        <v>8156</v>
      </c>
    </row>
    <row r="19757" spans="1:2" x14ac:dyDescent="0.25">
      <c r="A19757">
        <v>48202000223</v>
      </c>
      <c r="B19757" t="s">
        <v>8157</v>
      </c>
    </row>
    <row r="19758" spans="1:2" x14ac:dyDescent="0.25">
      <c r="A19758">
        <v>48202000229</v>
      </c>
      <c r="B19758" t="s">
        <v>10</v>
      </c>
    </row>
    <row r="19759" spans="1:2" x14ac:dyDescent="0.25">
      <c r="A19759">
        <v>4820200029</v>
      </c>
      <c r="B19759" t="s">
        <v>10</v>
      </c>
    </row>
    <row r="19760" spans="1:2" x14ac:dyDescent="0.25">
      <c r="A19760">
        <v>48202000291</v>
      </c>
      <c r="B19760" t="s">
        <v>8155</v>
      </c>
    </row>
    <row r="19761" spans="1:2" x14ac:dyDescent="0.25">
      <c r="A19761">
        <v>48202000292</v>
      </c>
      <c r="B19761" t="s">
        <v>8156</v>
      </c>
    </row>
    <row r="19762" spans="1:2" x14ac:dyDescent="0.25">
      <c r="A19762">
        <v>48202000293</v>
      </c>
      <c r="B19762" t="s">
        <v>8157</v>
      </c>
    </row>
    <row r="19763" spans="1:2" x14ac:dyDescent="0.25">
      <c r="A19763">
        <v>48202000299</v>
      </c>
      <c r="B19763" t="s">
        <v>10</v>
      </c>
    </row>
    <row r="19764" spans="1:2" x14ac:dyDescent="0.25">
      <c r="A19764">
        <v>482020009</v>
      </c>
      <c r="B19764" t="s">
        <v>10</v>
      </c>
    </row>
    <row r="19765" spans="1:2" x14ac:dyDescent="0.25">
      <c r="A19765">
        <v>4820200091</v>
      </c>
      <c r="B19765" t="s">
        <v>8160</v>
      </c>
    </row>
    <row r="19766" spans="1:2" x14ac:dyDescent="0.25">
      <c r="A19766">
        <v>48202000911</v>
      </c>
      <c r="B19766" t="s">
        <v>8155</v>
      </c>
    </row>
    <row r="19767" spans="1:2" x14ac:dyDescent="0.25">
      <c r="A19767">
        <v>48202000912</v>
      </c>
      <c r="B19767" t="s">
        <v>8156</v>
      </c>
    </row>
    <row r="19768" spans="1:2" x14ac:dyDescent="0.25">
      <c r="A19768">
        <v>48202000913</v>
      </c>
      <c r="B19768" t="s">
        <v>8157</v>
      </c>
    </row>
    <row r="19769" spans="1:2" x14ac:dyDescent="0.25">
      <c r="A19769">
        <v>48202000919</v>
      </c>
      <c r="B19769" t="s">
        <v>10</v>
      </c>
    </row>
    <row r="19770" spans="1:2" x14ac:dyDescent="0.25">
      <c r="A19770">
        <v>4820200092</v>
      </c>
      <c r="B19770" t="s">
        <v>8158</v>
      </c>
    </row>
    <row r="19771" spans="1:2" x14ac:dyDescent="0.25">
      <c r="A19771">
        <v>48202000921</v>
      </c>
      <c r="B19771" t="s">
        <v>8155</v>
      </c>
    </row>
    <row r="19772" spans="1:2" x14ac:dyDescent="0.25">
      <c r="A19772">
        <v>48202000922</v>
      </c>
      <c r="B19772" t="s">
        <v>8156</v>
      </c>
    </row>
    <row r="19773" spans="1:2" x14ac:dyDescent="0.25">
      <c r="A19773">
        <v>48202000923</v>
      </c>
      <c r="B19773" t="s">
        <v>8157</v>
      </c>
    </row>
    <row r="19774" spans="1:2" x14ac:dyDescent="0.25">
      <c r="A19774">
        <v>48202000929</v>
      </c>
      <c r="B19774" t="s">
        <v>10</v>
      </c>
    </row>
    <row r="19775" spans="1:2" x14ac:dyDescent="0.25">
      <c r="A19775">
        <v>4820200099</v>
      </c>
      <c r="B19775" t="s">
        <v>10</v>
      </c>
    </row>
    <row r="19776" spans="1:2" x14ac:dyDescent="0.25">
      <c r="A19776">
        <v>48202000991</v>
      </c>
      <c r="B19776" t="s">
        <v>8155</v>
      </c>
    </row>
    <row r="19777" spans="1:2" x14ac:dyDescent="0.25">
      <c r="A19777">
        <v>48202000992</v>
      </c>
      <c r="B19777" t="s">
        <v>8156</v>
      </c>
    </row>
    <row r="19778" spans="1:2" x14ac:dyDescent="0.25">
      <c r="A19778">
        <v>48202000993</v>
      </c>
      <c r="B19778" t="s">
        <v>8157</v>
      </c>
    </row>
    <row r="19779" spans="1:2" x14ac:dyDescent="0.25">
      <c r="A19779">
        <v>48202000999</v>
      </c>
      <c r="B19779" t="s">
        <v>10</v>
      </c>
    </row>
    <row r="19780" spans="1:2" x14ac:dyDescent="0.25">
      <c r="A19780">
        <v>48203000</v>
      </c>
      <c r="B19780" t="s">
        <v>8161</v>
      </c>
    </row>
    <row r="19781" spans="1:2" x14ac:dyDescent="0.25">
      <c r="A19781">
        <v>48203000100</v>
      </c>
      <c r="B19781" t="s">
        <v>8162</v>
      </c>
    </row>
    <row r="19782" spans="1:2" x14ac:dyDescent="0.25">
      <c r="A19782">
        <v>48203000200</v>
      </c>
      <c r="B19782" t="s">
        <v>8163</v>
      </c>
    </row>
    <row r="19783" spans="1:2" x14ac:dyDescent="0.25">
      <c r="A19783">
        <v>48203000300</v>
      </c>
      <c r="B19783" t="s">
        <v>8164</v>
      </c>
    </row>
    <row r="19784" spans="1:2" x14ac:dyDescent="0.25">
      <c r="A19784">
        <v>48203000400</v>
      </c>
      <c r="B19784" t="s">
        <v>8165</v>
      </c>
    </row>
    <row r="19785" spans="1:2" x14ac:dyDescent="0.25">
      <c r="A19785">
        <v>48204000</v>
      </c>
      <c r="B19785" t="s">
        <v>8166</v>
      </c>
    </row>
    <row r="19786" spans="1:2" x14ac:dyDescent="0.25">
      <c r="A19786">
        <v>48204000100</v>
      </c>
      <c r="B19786" t="s">
        <v>8167</v>
      </c>
    </row>
    <row r="19787" spans="1:2" x14ac:dyDescent="0.25">
      <c r="A19787">
        <v>48204000200</v>
      </c>
      <c r="B19787" t="s">
        <v>8168</v>
      </c>
    </row>
    <row r="19788" spans="1:2" x14ac:dyDescent="0.25">
      <c r="A19788">
        <v>482040009</v>
      </c>
      <c r="B19788" t="s">
        <v>10</v>
      </c>
    </row>
    <row r="19789" spans="1:2" x14ac:dyDescent="0.25">
      <c r="A19789">
        <v>48204000910</v>
      </c>
      <c r="B19789" t="s">
        <v>8169</v>
      </c>
    </row>
    <row r="19790" spans="1:2" x14ac:dyDescent="0.25">
      <c r="A19790">
        <v>48204000920</v>
      </c>
      <c r="B19790" t="s">
        <v>8170</v>
      </c>
    </row>
    <row r="19791" spans="1:2" x14ac:dyDescent="0.25">
      <c r="A19791">
        <v>48204000990</v>
      </c>
      <c r="B19791" t="s">
        <v>10</v>
      </c>
    </row>
    <row r="19792" spans="1:2" x14ac:dyDescent="0.25">
      <c r="A19792">
        <v>48205000</v>
      </c>
      <c r="B19792" t="e">
        <f>- albumes para muestras o para colecciones</f>
        <v>#NAME?</v>
      </c>
    </row>
    <row r="19793" spans="1:2" x14ac:dyDescent="0.25">
      <c r="A19793">
        <v>48205000100</v>
      </c>
      <c r="B19793" t="s">
        <v>8171</v>
      </c>
    </row>
    <row r="19794" spans="1:2" x14ac:dyDescent="0.25">
      <c r="A19794">
        <v>48205000200</v>
      </c>
      <c r="B19794" t="s">
        <v>8172</v>
      </c>
    </row>
    <row r="19795" spans="1:2" x14ac:dyDescent="0.25">
      <c r="A19795">
        <v>48205000300</v>
      </c>
      <c r="B19795" t="s">
        <v>8173</v>
      </c>
    </row>
    <row r="19796" spans="1:2" x14ac:dyDescent="0.25">
      <c r="A19796">
        <v>48205000900</v>
      </c>
      <c r="B19796" t="s">
        <v>10</v>
      </c>
    </row>
    <row r="19797" spans="1:2" x14ac:dyDescent="0.25">
      <c r="A19797">
        <v>48209000</v>
      </c>
      <c r="B19797" t="e">
        <f>- Los demas</f>
        <v>#NAME?</v>
      </c>
    </row>
    <row r="19798" spans="1:2" x14ac:dyDescent="0.25">
      <c r="A19798">
        <v>48209000100</v>
      </c>
      <c r="B19798" t="s">
        <v>8174</v>
      </c>
    </row>
    <row r="19799" spans="1:2" x14ac:dyDescent="0.25">
      <c r="A19799">
        <v>48209000900</v>
      </c>
      <c r="B19799" t="s">
        <v>10</v>
      </c>
    </row>
    <row r="19800" spans="1:2" x14ac:dyDescent="0.25">
      <c r="A19800">
        <v>4821</v>
      </c>
      <c r="B19800" t="s">
        <v>8175</v>
      </c>
    </row>
    <row r="19801" spans="1:2" x14ac:dyDescent="0.25">
      <c r="A19801">
        <v>48211000</v>
      </c>
      <c r="B19801" t="e">
        <f>- Impresas</f>
        <v>#NAME?</v>
      </c>
    </row>
    <row r="19802" spans="1:2" x14ac:dyDescent="0.25">
      <c r="A19802">
        <v>482110001</v>
      </c>
      <c r="B19802" t="s">
        <v>8176</v>
      </c>
    </row>
    <row r="19803" spans="1:2" x14ac:dyDescent="0.25">
      <c r="A19803">
        <v>48211000110</v>
      </c>
      <c r="B19803" t="s">
        <v>8177</v>
      </c>
    </row>
    <row r="19804" spans="1:2" x14ac:dyDescent="0.25">
      <c r="A19804">
        <v>48211000120</v>
      </c>
      <c r="B19804" t="s">
        <v>8178</v>
      </c>
    </row>
    <row r="19805" spans="1:2" x14ac:dyDescent="0.25">
      <c r="A19805">
        <v>4821100019</v>
      </c>
      <c r="B19805" t="s">
        <v>57</v>
      </c>
    </row>
    <row r="19806" spans="1:2" x14ac:dyDescent="0.25">
      <c r="A19806">
        <v>48211000191</v>
      </c>
      <c r="B19806" t="s">
        <v>7028</v>
      </c>
    </row>
    <row r="19807" spans="1:2" x14ac:dyDescent="0.25">
      <c r="A19807">
        <v>48211000199</v>
      </c>
      <c r="B19807" t="s">
        <v>10</v>
      </c>
    </row>
    <row r="19808" spans="1:2" x14ac:dyDescent="0.25">
      <c r="A19808">
        <v>482110009</v>
      </c>
      <c r="B19808" t="s">
        <v>57</v>
      </c>
    </row>
    <row r="19809" spans="1:2" x14ac:dyDescent="0.25">
      <c r="A19809">
        <v>48211000910</v>
      </c>
      <c r="B19809" t="s">
        <v>8177</v>
      </c>
    </row>
    <row r="19810" spans="1:2" x14ac:dyDescent="0.25">
      <c r="A19810">
        <v>48211000920</v>
      </c>
      <c r="B19810" t="s">
        <v>7028</v>
      </c>
    </row>
    <row r="19811" spans="1:2" x14ac:dyDescent="0.25">
      <c r="A19811">
        <v>4821100099</v>
      </c>
      <c r="B19811" t="s">
        <v>57</v>
      </c>
    </row>
    <row r="19812" spans="1:2" x14ac:dyDescent="0.25">
      <c r="A19812">
        <v>48211000991</v>
      </c>
      <c r="B19812" t="s">
        <v>8179</v>
      </c>
    </row>
    <row r="19813" spans="1:2" x14ac:dyDescent="0.25">
      <c r="A19813">
        <v>48211000999</v>
      </c>
      <c r="B19813" t="s">
        <v>10</v>
      </c>
    </row>
    <row r="19814" spans="1:2" x14ac:dyDescent="0.25">
      <c r="A19814">
        <v>48219000</v>
      </c>
      <c r="B19814" t="e">
        <f>- las demas</f>
        <v>#NAME?</v>
      </c>
    </row>
    <row r="19815" spans="1:2" x14ac:dyDescent="0.25">
      <c r="A19815">
        <v>482190001</v>
      </c>
      <c r="B19815" t="s">
        <v>8176</v>
      </c>
    </row>
    <row r="19816" spans="1:2" x14ac:dyDescent="0.25">
      <c r="A19816">
        <v>48219000110</v>
      </c>
      <c r="B19816" t="s">
        <v>7028</v>
      </c>
    </row>
    <row r="19817" spans="1:2" x14ac:dyDescent="0.25">
      <c r="A19817">
        <v>48219000190</v>
      </c>
      <c r="B19817" t="s">
        <v>10</v>
      </c>
    </row>
    <row r="19818" spans="1:2" x14ac:dyDescent="0.25">
      <c r="A19818">
        <v>482190009</v>
      </c>
      <c r="B19818" t="s">
        <v>57</v>
      </c>
    </row>
    <row r="19819" spans="1:2" x14ac:dyDescent="0.25">
      <c r="A19819">
        <v>48219000910</v>
      </c>
      <c r="B19819" t="s">
        <v>7028</v>
      </c>
    </row>
    <row r="19820" spans="1:2" x14ac:dyDescent="0.25">
      <c r="A19820">
        <v>48219000990</v>
      </c>
      <c r="B19820" t="s">
        <v>10</v>
      </c>
    </row>
    <row r="19821" spans="1:2" x14ac:dyDescent="0.25">
      <c r="A19821">
        <v>4822</v>
      </c>
      <c r="B19821" t="s">
        <v>8180</v>
      </c>
    </row>
    <row r="19822" spans="1:2" x14ac:dyDescent="0.25">
      <c r="A19822">
        <v>48221000000</v>
      </c>
      <c r="B19822" t="e">
        <f>-de Los tipos utilizados para el bobinado de hilados textiles</f>
        <v>#NAME?</v>
      </c>
    </row>
    <row r="19823" spans="1:2" x14ac:dyDescent="0.25">
      <c r="A19823">
        <v>48229000000</v>
      </c>
      <c r="B19823" t="e">
        <f>-Los demas</f>
        <v>#NAME?</v>
      </c>
    </row>
    <row r="19824" spans="1:2" x14ac:dyDescent="0.25">
      <c r="A19824">
        <v>4823</v>
      </c>
      <c r="B19824" t="s">
        <v>8181</v>
      </c>
    </row>
    <row r="19825" spans="1:2" x14ac:dyDescent="0.25">
      <c r="A19825">
        <v>482320</v>
      </c>
      <c r="B19825" t="e">
        <f>- papel y carton filtro</f>
        <v>#NAME?</v>
      </c>
    </row>
    <row r="19826" spans="1:2" x14ac:dyDescent="0.25">
      <c r="A19826">
        <v>48232010</v>
      </c>
      <c r="B19826" t="s">
        <v>8182</v>
      </c>
    </row>
    <row r="19827" spans="1:2" x14ac:dyDescent="0.25">
      <c r="A19827">
        <v>48232010100</v>
      </c>
      <c r="B19827" t="s">
        <v>6648</v>
      </c>
    </row>
    <row r="19828" spans="1:2" x14ac:dyDescent="0.25">
      <c r="A19828">
        <v>48232010900</v>
      </c>
      <c r="B19828" t="s">
        <v>10</v>
      </c>
    </row>
    <row r="19829" spans="1:2" x14ac:dyDescent="0.25">
      <c r="A19829">
        <v>4823209</v>
      </c>
      <c r="B19829" t="s">
        <v>10</v>
      </c>
    </row>
    <row r="19830" spans="1:2" x14ac:dyDescent="0.25">
      <c r="A19830">
        <v>48232091000</v>
      </c>
      <c r="B19830" t="s">
        <v>8183</v>
      </c>
    </row>
    <row r="19831" spans="1:2" x14ac:dyDescent="0.25">
      <c r="A19831">
        <v>48232099</v>
      </c>
      <c r="B19831" t="s">
        <v>10</v>
      </c>
    </row>
    <row r="19832" spans="1:2" x14ac:dyDescent="0.25">
      <c r="A19832">
        <v>48232099100</v>
      </c>
      <c r="B19832" t="s">
        <v>8021</v>
      </c>
    </row>
    <row r="19833" spans="1:2" x14ac:dyDescent="0.25">
      <c r="A19833">
        <v>48232099200</v>
      </c>
      <c r="B19833" t="s">
        <v>8022</v>
      </c>
    </row>
    <row r="19834" spans="1:2" x14ac:dyDescent="0.25">
      <c r="A19834">
        <v>482320999</v>
      </c>
      <c r="B19834" t="s">
        <v>10</v>
      </c>
    </row>
    <row r="19835" spans="1:2" x14ac:dyDescent="0.25">
      <c r="A19835">
        <v>48232099910</v>
      </c>
      <c r="B19835" t="s">
        <v>6648</v>
      </c>
    </row>
    <row r="19836" spans="1:2" x14ac:dyDescent="0.25">
      <c r="A19836">
        <v>48232099920</v>
      </c>
      <c r="B19836" t="s">
        <v>8184</v>
      </c>
    </row>
    <row r="19837" spans="1:2" x14ac:dyDescent="0.25">
      <c r="A19837">
        <v>48232099990</v>
      </c>
      <c r="B19837" t="s">
        <v>10</v>
      </c>
    </row>
    <row r="19838" spans="1:2" x14ac:dyDescent="0.25">
      <c r="A19838">
        <v>48234000000</v>
      </c>
      <c r="B19838" t="s">
        <v>8185</v>
      </c>
    </row>
    <row r="19839" spans="1:2" x14ac:dyDescent="0.25">
      <c r="A19839">
        <v>48236</v>
      </c>
      <c r="B19839" t="s">
        <v>8186</v>
      </c>
    </row>
    <row r="19840" spans="1:2" x14ac:dyDescent="0.25">
      <c r="A19840">
        <v>48236100</v>
      </c>
      <c r="B19840" t="e">
        <f>- - de Bambu</f>
        <v>#NAME?</v>
      </c>
    </row>
    <row r="19841" spans="1:2" x14ac:dyDescent="0.25">
      <c r="A19841">
        <v>48236100100</v>
      </c>
      <c r="B19841" t="s">
        <v>8187</v>
      </c>
    </row>
    <row r="19842" spans="1:2" x14ac:dyDescent="0.25">
      <c r="A19842">
        <v>48236100200</v>
      </c>
      <c r="B19842" t="s">
        <v>8188</v>
      </c>
    </row>
    <row r="19843" spans="1:2" x14ac:dyDescent="0.25">
      <c r="A19843">
        <v>48236100300</v>
      </c>
      <c r="B19843" t="s">
        <v>6946</v>
      </c>
    </row>
    <row r="19844" spans="1:2" x14ac:dyDescent="0.25">
      <c r="A19844">
        <v>48236100400</v>
      </c>
      <c r="B19844" t="s">
        <v>6948</v>
      </c>
    </row>
    <row r="19845" spans="1:2" x14ac:dyDescent="0.25">
      <c r="A19845">
        <v>48236100500</v>
      </c>
      <c r="B19845" t="s">
        <v>6949</v>
      </c>
    </row>
    <row r="19846" spans="1:2" x14ac:dyDescent="0.25">
      <c r="A19846">
        <v>48236100900</v>
      </c>
      <c r="B19846" t="s">
        <v>10</v>
      </c>
    </row>
    <row r="19847" spans="1:2" x14ac:dyDescent="0.25">
      <c r="A19847">
        <v>48236900</v>
      </c>
      <c r="B19847" t="e">
        <f>- - Los demas</f>
        <v>#NAME?</v>
      </c>
    </row>
    <row r="19848" spans="1:2" x14ac:dyDescent="0.25">
      <c r="A19848">
        <v>48236900100</v>
      </c>
      <c r="B19848" t="s">
        <v>8187</v>
      </c>
    </row>
    <row r="19849" spans="1:2" x14ac:dyDescent="0.25">
      <c r="A19849">
        <v>48236900200</v>
      </c>
      <c r="B19849" t="s">
        <v>8188</v>
      </c>
    </row>
    <row r="19850" spans="1:2" x14ac:dyDescent="0.25">
      <c r="A19850">
        <v>48236900300</v>
      </c>
      <c r="B19850" t="s">
        <v>6946</v>
      </c>
    </row>
    <row r="19851" spans="1:2" x14ac:dyDescent="0.25">
      <c r="A19851">
        <v>48236900400</v>
      </c>
      <c r="B19851" t="s">
        <v>6948</v>
      </c>
    </row>
    <row r="19852" spans="1:2" x14ac:dyDescent="0.25">
      <c r="A19852">
        <v>48236900500</v>
      </c>
      <c r="B19852" t="s">
        <v>6949</v>
      </c>
    </row>
    <row r="19853" spans="1:2" x14ac:dyDescent="0.25">
      <c r="A19853">
        <v>48236900900</v>
      </c>
      <c r="B19853" t="s">
        <v>10</v>
      </c>
    </row>
    <row r="19854" spans="1:2" x14ac:dyDescent="0.25">
      <c r="A19854">
        <v>48237000</v>
      </c>
      <c r="B19854" t="e">
        <f>- Articulos moldeados o prensados. de pasta de papel</f>
        <v>#NAME?</v>
      </c>
    </row>
    <row r="19855" spans="1:2" x14ac:dyDescent="0.25">
      <c r="A19855">
        <v>48237000100</v>
      </c>
      <c r="B19855" t="s">
        <v>8189</v>
      </c>
    </row>
    <row r="19856" spans="1:2" x14ac:dyDescent="0.25">
      <c r="A19856">
        <v>48237000200</v>
      </c>
      <c r="B19856" t="s">
        <v>8190</v>
      </c>
    </row>
    <row r="19857" spans="1:2" x14ac:dyDescent="0.25">
      <c r="A19857">
        <v>482370009</v>
      </c>
      <c r="B19857" t="s">
        <v>10</v>
      </c>
    </row>
    <row r="19858" spans="1:2" x14ac:dyDescent="0.25">
      <c r="A19858">
        <v>48237000910</v>
      </c>
      <c r="B19858" t="s">
        <v>6648</v>
      </c>
    </row>
    <row r="19859" spans="1:2" x14ac:dyDescent="0.25">
      <c r="A19859">
        <v>48237000990</v>
      </c>
      <c r="B19859" t="s">
        <v>10</v>
      </c>
    </row>
    <row r="19860" spans="1:2" x14ac:dyDescent="0.25">
      <c r="A19860">
        <v>482390</v>
      </c>
      <c r="B19860" t="e">
        <f>- Los demas</f>
        <v>#NAME?</v>
      </c>
    </row>
    <row r="19861" spans="1:2" x14ac:dyDescent="0.25">
      <c r="A19861">
        <v>48239010000</v>
      </c>
      <c r="B19861" t="s">
        <v>8191</v>
      </c>
    </row>
    <row r="19862" spans="1:2" x14ac:dyDescent="0.25">
      <c r="A19862">
        <v>48239020000</v>
      </c>
      <c r="B19862" t="s">
        <v>8192</v>
      </c>
    </row>
    <row r="19863" spans="1:2" x14ac:dyDescent="0.25">
      <c r="A19863">
        <v>4823909</v>
      </c>
      <c r="B19863" t="s">
        <v>10</v>
      </c>
    </row>
    <row r="19864" spans="1:2" x14ac:dyDescent="0.25">
      <c r="A19864">
        <v>48239091000</v>
      </c>
      <c r="B19864" t="s">
        <v>8183</v>
      </c>
    </row>
    <row r="19865" spans="1:2" x14ac:dyDescent="0.25">
      <c r="A19865">
        <v>48239099</v>
      </c>
      <c r="B19865" t="s">
        <v>10</v>
      </c>
    </row>
    <row r="19866" spans="1:2" x14ac:dyDescent="0.25">
      <c r="A19866">
        <v>482390991</v>
      </c>
      <c r="B19866" t="s">
        <v>7964</v>
      </c>
    </row>
    <row r="19867" spans="1:2" x14ac:dyDescent="0.25">
      <c r="A19867">
        <v>48239099110</v>
      </c>
      <c r="B19867" t="s">
        <v>8193</v>
      </c>
    </row>
    <row r="19868" spans="1:2" x14ac:dyDescent="0.25">
      <c r="A19868">
        <v>48239099120</v>
      </c>
      <c r="B19868" t="s">
        <v>8194</v>
      </c>
    </row>
    <row r="19869" spans="1:2" x14ac:dyDescent="0.25">
      <c r="A19869">
        <v>4823909919</v>
      </c>
      <c r="B19869" t="s">
        <v>10</v>
      </c>
    </row>
    <row r="19870" spans="1:2" x14ac:dyDescent="0.25">
      <c r="A19870">
        <v>48239099191</v>
      </c>
      <c r="B19870" t="s">
        <v>6648</v>
      </c>
    </row>
    <row r="19871" spans="1:2" x14ac:dyDescent="0.25">
      <c r="A19871">
        <v>48239099199</v>
      </c>
      <c r="B19871" t="s">
        <v>10</v>
      </c>
    </row>
    <row r="19872" spans="1:2" x14ac:dyDescent="0.25">
      <c r="A19872">
        <v>482390999</v>
      </c>
      <c r="B19872" t="s">
        <v>10</v>
      </c>
    </row>
    <row r="19873" spans="1:2" x14ac:dyDescent="0.25">
      <c r="A19873">
        <v>48239099910</v>
      </c>
      <c r="B19873" t="s">
        <v>8195</v>
      </c>
    </row>
    <row r="19874" spans="1:2" x14ac:dyDescent="0.25">
      <c r="A19874">
        <v>48239099920</v>
      </c>
      <c r="B19874" t="s">
        <v>8196</v>
      </c>
    </row>
    <row r="19875" spans="1:2" x14ac:dyDescent="0.25">
      <c r="A19875">
        <v>48239099930</v>
      </c>
      <c r="B19875" t="s">
        <v>6672</v>
      </c>
    </row>
    <row r="19876" spans="1:2" x14ac:dyDescent="0.25">
      <c r="A19876">
        <v>48239099940</v>
      </c>
      <c r="B19876" t="s">
        <v>5635</v>
      </c>
    </row>
    <row r="19877" spans="1:2" x14ac:dyDescent="0.25">
      <c r="A19877">
        <v>4823909999</v>
      </c>
      <c r="B19877" t="s">
        <v>10</v>
      </c>
    </row>
    <row r="19878" spans="1:2" x14ac:dyDescent="0.25">
      <c r="A19878">
        <v>48239099991</v>
      </c>
      <c r="B19878" t="s">
        <v>6648</v>
      </c>
    </row>
    <row r="19879" spans="1:2" x14ac:dyDescent="0.25">
      <c r="A19879">
        <v>48239099999</v>
      </c>
      <c r="B19879" t="s">
        <v>10</v>
      </c>
    </row>
    <row r="19880" spans="1:2" x14ac:dyDescent="0.25">
      <c r="A19880">
        <v>4901</v>
      </c>
      <c r="B19880" t="s">
        <v>8197</v>
      </c>
    </row>
    <row r="19881" spans="1:2" x14ac:dyDescent="0.25">
      <c r="A19881">
        <v>49011000</v>
      </c>
      <c r="B19881" t="e">
        <f>- En Hojas sueltas. incluso plegadas</f>
        <v>#NAME?</v>
      </c>
    </row>
    <row r="19882" spans="1:2" x14ac:dyDescent="0.25">
      <c r="A19882">
        <v>490110001</v>
      </c>
      <c r="B19882" t="s">
        <v>8198</v>
      </c>
    </row>
    <row r="19883" spans="1:2" x14ac:dyDescent="0.25">
      <c r="A19883">
        <v>49011000110</v>
      </c>
      <c r="B19883" t="s">
        <v>8199</v>
      </c>
    </row>
    <row r="19884" spans="1:2" x14ac:dyDescent="0.25">
      <c r="A19884">
        <v>49011000120</v>
      </c>
      <c r="B19884" t="s">
        <v>8200</v>
      </c>
    </row>
    <row r="19885" spans="1:2" x14ac:dyDescent="0.25">
      <c r="A19885">
        <v>49011000190</v>
      </c>
      <c r="B19885" t="s">
        <v>10</v>
      </c>
    </row>
    <row r="19886" spans="1:2" x14ac:dyDescent="0.25">
      <c r="A19886">
        <v>49011000900</v>
      </c>
      <c r="B19886" t="s">
        <v>10</v>
      </c>
    </row>
    <row r="19887" spans="1:2" x14ac:dyDescent="0.25">
      <c r="A19887">
        <v>49019</v>
      </c>
      <c r="B19887" t="s">
        <v>28</v>
      </c>
    </row>
    <row r="19888" spans="1:2" x14ac:dyDescent="0.25">
      <c r="A19888">
        <v>49019100</v>
      </c>
      <c r="B19888" t="e">
        <f>- - Diccionarios y enciclopedias. incluso En fasciculos</f>
        <v>#NAME?</v>
      </c>
    </row>
    <row r="19889" spans="1:2" x14ac:dyDescent="0.25">
      <c r="A19889">
        <v>490191001</v>
      </c>
      <c r="B19889" t="s">
        <v>8198</v>
      </c>
    </row>
    <row r="19890" spans="1:2" x14ac:dyDescent="0.25">
      <c r="A19890">
        <v>49019100110</v>
      </c>
      <c r="B19890" t="s">
        <v>8199</v>
      </c>
    </row>
    <row r="19891" spans="1:2" x14ac:dyDescent="0.25">
      <c r="A19891">
        <v>49019100120</v>
      </c>
      <c r="B19891" t="s">
        <v>8200</v>
      </c>
    </row>
    <row r="19892" spans="1:2" x14ac:dyDescent="0.25">
      <c r="A19892">
        <v>49019100190</v>
      </c>
      <c r="B19892" t="s">
        <v>10</v>
      </c>
    </row>
    <row r="19893" spans="1:2" x14ac:dyDescent="0.25">
      <c r="A19893">
        <v>49019100900</v>
      </c>
      <c r="B19893" t="s">
        <v>10</v>
      </c>
    </row>
    <row r="19894" spans="1:2" x14ac:dyDescent="0.25">
      <c r="A19894">
        <v>49019900</v>
      </c>
      <c r="B19894" t="e">
        <f>- - Los demas</f>
        <v>#NAME?</v>
      </c>
    </row>
    <row r="19895" spans="1:2" x14ac:dyDescent="0.25">
      <c r="A19895">
        <v>490199001</v>
      </c>
      <c r="B19895" t="s">
        <v>8198</v>
      </c>
    </row>
    <row r="19896" spans="1:2" x14ac:dyDescent="0.25">
      <c r="A19896">
        <v>4901990011</v>
      </c>
      <c r="B19896" t="s">
        <v>8199</v>
      </c>
    </row>
    <row r="19897" spans="1:2" x14ac:dyDescent="0.25">
      <c r="A19897">
        <v>49019900111</v>
      </c>
      <c r="B19897" t="s">
        <v>6310</v>
      </c>
    </row>
    <row r="19898" spans="1:2" x14ac:dyDescent="0.25">
      <c r="A19898">
        <v>49019900112</v>
      </c>
      <c r="B19898" t="s">
        <v>8201</v>
      </c>
    </row>
    <row r="19899" spans="1:2" x14ac:dyDescent="0.25">
      <c r="A19899">
        <v>49019900113</v>
      </c>
      <c r="B19899" t="s">
        <v>8202</v>
      </c>
    </row>
    <row r="19900" spans="1:2" x14ac:dyDescent="0.25">
      <c r="A19900">
        <v>49019900119</v>
      </c>
      <c r="B19900" t="s">
        <v>10</v>
      </c>
    </row>
    <row r="19901" spans="1:2" x14ac:dyDescent="0.25">
      <c r="A19901">
        <v>4901990012</v>
      </c>
      <c r="B19901" t="s">
        <v>8200</v>
      </c>
    </row>
    <row r="19902" spans="1:2" x14ac:dyDescent="0.25">
      <c r="A19902">
        <v>49019900121</v>
      </c>
      <c r="B19902" t="s">
        <v>6310</v>
      </c>
    </row>
    <row r="19903" spans="1:2" x14ac:dyDescent="0.25">
      <c r="A19903">
        <v>49019900122</v>
      </c>
      <c r="B19903" t="s">
        <v>8201</v>
      </c>
    </row>
    <row r="19904" spans="1:2" x14ac:dyDescent="0.25">
      <c r="A19904">
        <v>49019900123</v>
      </c>
      <c r="B19904" t="s">
        <v>8202</v>
      </c>
    </row>
    <row r="19905" spans="1:2" x14ac:dyDescent="0.25">
      <c r="A19905">
        <v>49019900129</v>
      </c>
      <c r="B19905" t="s">
        <v>10</v>
      </c>
    </row>
    <row r="19906" spans="1:2" x14ac:dyDescent="0.25">
      <c r="A19906">
        <v>49019900190</v>
      </c>
      <c r="B19906" t="s">
        <v>10</v>
      </c>
    </row>
    <row r="19907" spans="1:2" x14ac:dyDescent="0.25">
      <c r="A19907">
        <v>490199009</v>
      </c>
      <c r="B19907" t="s">
        <v>10</v>
      </c>
    </row>
    <row r="19908" spans="1:2" x14ac:dyDescent="0.25">
      <c r="A19908">
        <v>49019900910</v>
      </c>
      <c r="B19908" t="s">
        <v>8203</v>
      </c>
    </row>
    <row r="19909" spans="1:2" x14ac:dyDescent="0.25">
      <c r="A19909">
        <v>4901990092</v>
      </c>
      <c r="B19909" t="s">
        <v>8204</v>
      </c>
    </row>
    <row r="19910" spans="1:2" x14ac:dyDescent="0.25">
      <c r="A19910">
        <v>49019900921</v>
      </c>
      <c r="B19910" t="s">
        <v>8205</v>
      </c>
    </row>
    <row r="19911" spans="1:2" x14ac:dyDescent="0.25">
      <c r="A19911">
        <v>49019900929</v>
      </c>
      <c r="B19911" t="s">
        <v>57</v>
      </c>
    </row>
    <row r="19912" spans="1:2" x14ac:dyDescent="0.25">
      <c r="A19912">
        <v>49019900930</v>
      </c>
      <c r="B19912" t="s">
        <v>8206</v>
      </c>
    </row>
    <row r="19913" spans="1:2" x14ac:dyDescent="0.25">
      <c r="A19913">
        <v>49019900940</v>
      </c>
      <c r="B19913" t="s">
        <v>5635</v>
      </c>
    </row>
    <row r="19914" spans="1:2" x14ac:dyDescent="0.25">
      <c r="A19914">
        <v>49019900990</v>
      </c>
      <c r="B19914" t="s">
        <v>10</v>
      </c>
    </row>
    <row r="19915" spans="1:2" x14ac:dyDescent="0.25">
      <c r="A19915">
        <v>4902</v>
      </c>
      <c r="B19915" t="s">
        <v>8207</v>
      </c>
    </row>
    <row r="19916" spans="1:2" x14ac:dyDescent="0.25">
      <c r="A19916">
        <v>49021000</v>
      </c>
      <c r="B19916" t="e">
        <f>- que se publiquen cuatro veces por semana como minimo</f>
        <v>#NAME?</v>
      </c>
    </row>
    <row r="19917" spans="1:2" x14ac:dyDescent="0.25">
      <c r="A19917">
        <v>49021000100</v>
      </c>
      <c r="B19917" t="s">
        <v>8208</v>
      </c>
    </row>
    <row r="19918" spans="1:2" x14ac:dyDescent="0.25">
      <c r="A19918">
        <v>49021000900</v>
      </c>
      <c r="B19918" t="s">
        <v>10</v>
      </c>
    </row>
    <row r="19919" spans="1:2" x14ac:dyDescent="0.25">
      <c r="A19919">
        <v>49029000</v>
      </c>
      <c r="B19919" t="e">
        <f>- Los demas</f>
        <v>#NAME?</v>
      </c>
    </row>
    <row r="19920" spans="1:2" x14ac:dyDescent="0.25">
      <c r="A19920">
        <v>490290001</v>
      </c>
      <c r="B19920" t="s">
        <v>8209</v>
      </c>
    </row>
    <row r="19921" spans="1:2" x14ac:dyDescent="0.25">
      <c r="A19921">
        <v>4902900011</v>
      </c>
      <c r="B19921" t="s">
        <v>8210</v>
      </c>
    </row>
    <row r="19922" spans="1:2" x14ac:dyDescent="0.25">
      <c r="A19922">
        <v>49029000111</v>
      </c>
      <c r="B19922" t="s">
        <v>8202</v>
      </c>
    </row>
    <row r="19923" spans="1:2" x14ac:dyDescent="0.25">
      <c r="A19923">
        <v>49029000119</v>
      </c>
      <c r="B19923" t="s">
        <v>10</v>
      </c>
    </row>
    <row r="19924" spans="1:2" x14ac:dyDescent="0.25">
      <c r="A19924">
        <v>4902900012</v>
      </c>
      <c r="B19924" t="s">
        <v>8211</v>
      </c>
    </row>
    <row r="19925" spans="1:2" x14ac:dyDescent="0.25">
      <c r="A19925">
        <v>49029000121</v>
      </c>
      <c r="B19925" t="s">
        <v>8202</v>
      </c>
    </row>
    <row r="19926" spans="1:2" x14ac:dyDescent="0.25">
      <c r="A19926">
        <v>49029000129</v>
      </c>
      <c r="B19926" t="s">
        <v>10</v>
      </c>
    </row>
    <row r="19927" spans="1:2" x14ac:dyDescent="0.25">
      <c r="A19927">
        <v>49029000190</v>
      </c>
      <c r="B19927" t="s">
        <v>10</v>
      </c>
    </row>
    <row r="19928" spans="1:2" x14ac:dyDescent="0.25">
      <c r="A19928">
        <v>490290002</v>
      </c>
      <c r="B19928" t="s">
        <v>8212</v>
      </c>
    </row>
    <row r="19929" spans="1:2" x14ac:dyDescent="0.25">
      <c r="A19929">
        <v>4902900021</v>
      </c>
      <c r="B19929" t="s">
        <v>8210</v>
      </c>
    </row>
    <row r="19930" spans="1:2" x14ac:dyDescent="0.25">
      <c r="A19930">
        <v>49029000211</v>
      </c>
      <c r="B19930" t="s">
        <v>8202</v>
      </c>
    </row>
    <row r="19931" spans="1:2" x14ac:dyDescent="0.25">
      <c r="A19931">
        <v>49029000219</v>
      </c>
      <c r="B19931" t="s">
        <v>10</v>
      </c>
    </row>
    <row r="19932" spans="1:2" x14ac:dyDescent="0.25">
      <c r="A19932">
        <v>4902900022</v>
      </c>
      <c r="B19932" t="s">
        <v>8211</v>
      </c>
    </row>
    <row r="19933" spans="1:2" x14ac:dyDescent="0.25">
      <c r="A19933">
        <v>49029000221</v>
      </c>
      <c r="B19933" t="s">
        <v>8202</v>
      </c>
    </row>
    <row r="19934" spans="1:2" x14ac:dyDescent="0.25">
      <c r="A19934">
        <v>49029000229</v>
      </c>
      <c r="B19934" t="s">
        <v>10</v>
      </c>
    </row>
    <row r="19935" spans="1:2" x14ac:dyDescent="0.25">
      <c r="A19935">
        <v>49029000290</v>
      </c>
      <c r="B19935" t="s">
        <v>10</v>
      </c>
    </row>
    <row r="19936" spans="1:2" x14ac:dyDescent="0.25">
      <c r="A19936">
        <v>490290007</v>
      </c>
      <c r="B19936" t="s">
        <v>8213</v>
      </c>
    </row>
    <row r="19937" spans="1:2" x14ac:dyDescent="0.25">
      <c r="A19937">
        <v>4902900071</v>
      </c>
      <c r="B19937" t="s">
        <v>8210</v>
      </c>
    </row>
    <row r="19938" spans="1:2" x14ac:dyDescent="0.25">
      <c r="A19938">
        <v>49029000711</v>
      </c>
      <c r="B19938" t="s">
        <v>8202</v>
      </c>
    </row>
    <row r="19939" spans="1:2" x14ac:dyDescent="0.25">
      <c r="A19939">
        <v>49029000719</v>
      </c>
      <c r="B19939" t="s">
        <v>10</v>
      </c>
    </row>
    <row r="19940" spans="1:2" x14ac:dyDescent="0.25">
      <c r="A19940">
        <v>4902900072</v>
      </c>
      <c r="B19940" t="s">
        <v>8211</v>
      </c>
    </row>
    <row r="19941" spans="1:2" x14ac:dyDescent="0.25">
      <c r="A19941">
        <v>49029000721</v>
      </c>
      <c r="B19941" t="s">
        <v>8202</v>
      </c>
    </row>
    <row r="19942" spans="1:2" x14ac:dyDescent="0.25">
      <c r="A19942">
        <v>49029000729</v>
      </c>
      <c r="B19942" t="s">
        <v>10</v>
      </c>
    </row>
    <row r="19943" spans="1:2" x14ac:dyDescent="0.25">
      <c r="A19943">
        <v>49029000790</v>
      </c>
      <c r="B19943" t="s">
        <v>10</v>
      </c>
    </row>
    <row r="19944" spans="1:2" x14ac:dyDescent="0.25">
      <c r="A19944">
        <v>490290008</v>
      </c>
      <c r="B19944" t="s">
        <v>8214</v>
      </c>
    </row>
    <row r="19945" spans="1:2" x14ac:dyDescent="0.25">
      <c r="A19945">
        <v>4902900081</v>
      </c>
      <c r="B19945" t="s">
        <v>8210</v>
      </c>
    </row>
    <row r="19946" spans="1:2" x14ac:dyDescent="0.25">
      <c r="A19946">
        <v>49029000811</v>
      </c>
      <c r="B19946" t="s">
        <v>8202</v>
      </c>
    </row>
    <row r="19947" spans="1:2" x14ac:dyDescent="0.25">
      <c r="A19947">
        <v>49029000819</v>
      </c>
      <c r="B19947" t="s">
        <v>10</v>
      </c>
    </row>
    <row r="19948" spans="1:2" x14ac:dyDescent="0.25">
      <c r="A19948">
        <v>4902900082</v>
      </c>
      <c r="B19948" t="s">
        <v>8211</v>
      </c>
    </row>
    <row r="19949" spans="1:2" x14ac:dyDescent="0.25">
      <c r="A19949">
        <v>49029000821</v>
      </c>
      <c r="B19949" t="s">
        <v>8202</v>
      </c>
    </row>
    <row r="19950" spans="1:2" x14ac:dyDescent="0.25">
      <c r="A19950">
        <v>49029000829</v>
      </c>
      <c r="B19950" t="s">
        <v>10</v>
      </c>
    </row>
    <row r="19951" spans="1:2" x14ac:dyDescent="0.25">
      <c r="A19951">
        <v>49029000890</v>
      </c>
      <c r="B19951" t="s">
        <v>10</v>
      </c>
    </row>
    <row r="19952" spans="1:2" x14ac:dyDescent="0.25">
      <c r="A19952">
        <v>490290009</v>
      </c>
      <c r="B19952" t="s">
        <v>10</v>
      </c>
    </row>
    <row r="19953" spans="1:2" x14ac:dyDescent="0.25">
      <c r="A19953">
        <v>49029000910</v>
      </c>
      <c r="B19953" t="s">
        <v>8215</v>
      </c>
    </row>
    <row r="19954" spans="1:2" x14ac:dyDescent="0.25">
      <c r="A19954">
        <v>49029000920</v>
      </c>
      <c r="B19954" t="s">
        <v>8216</v>
      </c>
    </row>
    <row r="19955" spans="1:2" x14ac:dyDescent="0.25">
      <c r="A19955">
        <v>49029000980</v>
      </c>
      <c r="B19955" t="s">
        <v>8217</v>
      </c>
    </row>
    <row r="19956" spans="1:2" x14ac:dyDescent="0.25">
      <c r="A19956">
        <v>49029000990</v>
      </c>
      <c r="B19956" t="s">
        <v>10</v>
      </c>
    </row>
    <row r="19957" spans="1:2" x14ac:dyDescent="0.25">
      <c r="A19957">
        <v>49030000</v>
      </c>
      <c r="B19957" t="s">
        <v>8218</v>
      </c>
    </row>
    <row r="19958" spans="1:2" x14ac:dyDescent="0.25">
      <c r="A19958">
        <v>490300001</v>
      </c>
      <c r="B19958" t="s">
        <v>8198</v>
      </c>
    </row>
    <row r="19959" spans="1:2" x14ac:dyDescent="0.25">
      <c r="A19959">
        <v>4903000011</v>
      </c>
      <c r="B19959" t="s">
        <v>8210</v>
      </c>
    </row>
    <row r="19960" spans="1:2" x14ac:dyDescent="0.25">
      <c r="A19960">
        <v>49030000111</v>
      </c>
      <c r="B19960" t="s">
        <v>8202</v>
      </c>
    </row>
    <row r="19961" spans="1:2" x14ac:dyDescent="0.25">
      <c r="A19961">
        <v>49030000119</v>
      </c>
      <c r="B19961" t="s">
        <v>10</v>
      </c>
    </row>
    <row r="19962" spans="1:2" x14ac:dyDescent="0.25">
      <c r="A19962">
        <v>4903000012</v>
      </c>
      <c r="B19962" t="s">
        <v>8211</v>
      </c>
    </row>
    <row r="19963" spans="1:2" x14ac:dyDescent="0.25">
      <c r="A19963">
        <v>49030000121</v>
      </c>
      <c r="B19963" t="s">
        <v>8202</v>
      </c>
    </row>
    <row r="19964" spans="1:2" x14ac:dyDescent="0.25">
      <c r="A19964">
        <v>49030000129</v>
      </c>
      <c r="B19964" t="s">
        <v>10</v>
      </c>
    </row>
    <row r="19965" spans="1:2" x14ac:dyDescent="0.25">
      <c r="A19965">
        <v>4903000019</v>
      </c>
      <c r="B19965" t="s">
        <v>10</v>
      </c>
    </row>
    <row r="19966" spans="1:2" x14ac:dyDescent="0.25">
      <c r="A19966">
        <v>49030000191</v>
      </c>
      <c r="B19966" t="s">
        <v>8219</v>
      </c>
    </row>
    <row r="19967" spans="1:2" x14ac:dyDescent="0.25">
      <c r="A19967">
        <v>49030000199</v>
      </c>
      <c r="B19967" t="s">
        <v>10</v>
      </c>
    </row>
    <row r="19968" spans="1:2" x14ac:dyDescent="0.25">
      <c r="A19968">
        <v>490300009</v>
      </c>
      <c r="B19968" t="s">
        <v>10</v>
      </c>
    </row>
    <row r="19969" spans="1:2" x14ac:dyDescent="0.25">
      <c r="A19969">
        <v>4903000091</v>
      </c>
      <c r="B19969" t="s">
        <v>8219</v>
      </c>
    </row>
    <row r="19970" spans="1:2" x14ac:dyDescent="0.25">
      <c r="A19970">
        <v>49030000911</v>
      </c>
      <c r="B19970" t="s">
        <v>5635</v>
      </c>
    </row>
    <row r="19971" spans="1:2" x14ac:dyDescent="0.25">
      <c r="A19971">
        <v>49030000919</v>
      </c>
      <c r="B19971" t="s">
        <v>10</v>
      </c>
    </row>
    <row r="19972" spans="1:2" x14ac:dyDescent="0.25">
      <c r="A19972">
        <v>4903000099</v>
      </c>
      <c r="B19972" t="s">
        <v>10</v>
      </c>
    </row>
    <row r="19973" spans="1:2" x14ac:dyDescent="0.25">
      <c r="A19973">
        <v>49030000991</v>
      </c>
      <c r="B19973" t="s">
        <v>5635</v>
      </c>
    </row>
    <row r="19974" spans="1:2" x14ac:dyDescent="0.25">
      <c r="A19974">
        <v>49030000999</v>
      </c>
      <c r="B19974" t="s">
        <v>10</v>
      </c>
    </row>
    <row r="19975" spans="1:2" x14ac:dyDescent="0.25">
      <c r="A19975">
        <v>49040000</v>
      </c>
      <c r="B19975" t="s">
        <v>8220</v>
      </c>
    </row>
    <row r="19976" spans="1:2" x14ac:dyDescent="0.25">
      <c r="A19976">
        <v>490400001</v>
      </c>
      <c r="B19976" t="s">
        <v>8198</v>
      </c>
    </row>
    <row r="19977" spans="1:2" x14ac:dyDescent="0.25">
      <c r="A19977">
        <v>4904000011</v>
      </c>
      <c r="B19977" t="s">
        <v>8221</v>
      </c>
    </row>
    <row r="19978" spans="1:2" x14ac:dyDescent="0.25">
      <c r="A19978">
        <v>49040000111</v>
      </c>
      <c r="B19978" t="s">
        <v>8222</v>
      </c>
    </row>
    <row r="19979" spans="1:2" x14ac:dyDescent="0.25">
      <c r="A19979">
        <v>49040000119</v>
      </c>
      <c r="B19979" t="s">
        <v>10</v>
      </c>
    </row>
    <row r="19980" spans="1:2" x14ac:dyDescent="0.25">
      <c r="A19980">
        <v>49040000190</v>
      </c>
      <c r="B19980" t="s">
        <v>10</v>
      </c>
    </row>
    <row r="19981" spans="1:2" x14ac:dyDescent="0.25">
      <c r="A19981">
        <v>49040000900</v>
      </c>
      <c r="B19981" t="s">
        <v>10</v>
      </c>
    </row>
    <row r="19982" spans="1:2" x14ac:dyDescent="0.25">
      <c r="A19982">
        <v>4905</v>
      </c>
      <c r="B19982" t="s">
        <v>8223</v>
      </c>
    </row>
    <row r="19983" spans="1:2" x14ac:dyDescent="0.25">
      <c r="A19983">
        <v>49051000</v>
      </c>
      <c r="B19983" t="e">
        <f>- Esferas</f>
        <v>#NAME?</v>
      </c>
    </row>
    <row r="19984" spans="1:2" x14ac:dyDescent="0.25">
      <c r="A19984">
        <v>49051000100</v>
      </c>
      <c r="B19984" t="s">
        <v>5635</v>
      </c>
    </row>
    <row r="19985" spans="1:2" x14ac:dyDescent="0.25">
      <c r="A19985">
        <v>49051000900</v>
      </c>
      <c r="B19985" t="s">
        <v>10</v>
      </c>
    </row>
    <row r="19986" spans="1:2" x14ac:dyDescent="0.25">
      <c r="A19986">
        <v>49059</v>
      </c>
      <c r="B19986" t="s">
        <v>28</v>
      </c>
    </row>
    <row r="19987" spans="1:2" x14ac:dyDescent="0.25">
      <c r="A19987">
        <v>49059100000</v>
      </c>
      <c r="B19987" t="e">
        <f>--En formas de Libros o folletos</f>
        <v>#NAME?</v>
      </c>
    </row>
    <row r="19988" spans="1:2" x14ac:dyDescent="0.25">
      <c r="A19988">
        <v>49059900</v>
      </c>
      <c r="B19988" t="e">
        <f>- - Los demas</f>
        <v>#NAME?</v>
      </c>
    </row>
    <row r="19989" spans="1:2" x14ac:dyDescent="0.25">
      <c r="A19989">
        <v>490599001</v>
      </c>
      <c r="B19989" t="s">
        <v>8224</v>
      </c>
    </row>
    <row r="19990" spans="1:2" x14ac:dyDescent="0.25">
      <c r="A19990">
        <v>49059900110</v>
      </c>
      <c r="B19990" t="s">
        <v>8225</v>
      </c>
    </row>
    <row r="19991" spans="1:2" x14ac:dyDescent="0.25">
      <c r="A19991">
        <v>49059900120</v>
      </c>
      <c r="B19991" t="s">
        <v>8226</v>
      </c>
    </row>
    <row r="19992" spans="1:2" x14ac:dyDescent="0.25">
      <c r="A19992">
        <v>49059900190</v>
      </c>
      <c r="B19992" t="s">
        <v>10</v>
      </c>
    </row>
    <row r="19993" spans="1:2" x14ac:dyDescent="0.25">
      <c r="A19993">
        <v>49059900200</v>
      </c>
      <c r="B19993" t="s">
        <v>8227</v>
      </c>
    </row>
    <row r="19994" spans="1:2" x14ac:dyDescent="0.25">
      <c r="A19994">
        <v>49059900900</v>
      </c>
      <c r="B19994" t="s">
        <v>10</v>
      </c>
    </row>
    <row r="19995" spans="1:2" x14ac:dyDescent="0.25">
      <c r="A19995">
        <v>49060000</v>
      </c>
      <c r="B19995" t="s">
        <v>8228</v>
      </c>
    </row>
    <row r="19996" spans="1:2" x14ac:dyDescent="0.25">
      <c r="A19996">
        <v>49060000100</v>
      </c>
      <c r="B19996" t="s">
        <v>8229</v>
      </c>
    </row>
    <row r="19997" spans="1:2" x14ac:dyDescent="0.25">
      <c r="A19997">
        <v>49060000200</v>
      </c>
      <c r="B19997" t="s">
        <v>8230</v>
      </c>
    </row>
    <row r="19998" spans="1:2" x14ac:dyDescent="0.25">
      <c r="A19998">
        <v>49060000300</v>
      </c>
      <c r="B19998" t="s">
        <v>8231</v>
      </c>
    </row>
    <row r="19999" spans="1:2" x14ac:dyDescent="0.25">
      <c r="A19999">
        <v>49060000400</v>
      </c>
      <c r="B19999" t="s">
        <v>8232</v>
      </c>
    </row>
    <row r="20000" spans="1:2" x14ac:dyDescent="0.25">
      <c r="A20000">
        <v>49060000900</v>
      </c>
      <c r="B20000" t="s">
        <v>10</v>
      </c>
    </row>
    <row r="20001" spans="1:2" x14ac:dyDescent="0.25">
      <c r="A20001">
        <v>490700</v>
      </c>
      <c r="B20001" t="s">
        <v>8233</v>
      </c>
    </row>
    <row r="20002" spans="1:2" x14ac:dyDescent="0.25">
      <c r="A20002">
        <v>49070010</v>
      </c>
      <c r="B20002" t="s">
        <v>8234</v>
      </c>
    </row>
    <row r="20003" spans="1:2" x14ac:dyDescent="0.25">
      <c r="A20003">
        <v>49070010100</v>
      </c>
      <c r="B20003" t="s">
        <v>8235</v>
      </c>
    </row>
    <row r="20004" spans="1:2" x14ac:dyDescent="0.25">
      <c r="A20004">
        <v>49070010900</v>
      </c>
      <c r="B20004" t="s">
        <v>10</v>
      </c>
    </row>
    <row r="20005" spans="1:2" x14ac:dyDescent="0.25">
      <c r="A20005">
        <v>49070020</v>
      </c>
      <c r="B20005" t="s">
        <v>8236</v>
      </c>
    </row>
    <row r="20006" spans="1:2" x14ac:dyDescent="0.25">
      <c r="A20006">
        <v>49070020100</v>
      </c>
      <c r="B20006" t="s">
        <v>8237</v>
      </c>
    </row>
    <row r="20007" spans="1:2" x14ac:dyDescent="0.25">
      <c r="A20007">
        <v>49070020900</v>
      </c>
      <c r="B20007" t="s">
        <v>10</v>
      </c>
    </row>
    <row r="20008" spans="1:2" x14ac:dyDescent="0.25">
      <c r="A20008">
        <v>49070030</v>
      </c>
      <c r="B20008" t="s">
        <v>8238</v>
      </c>
    </row>
    <row r="20009" spans="1:2" x14ac:dyDescent="0.25">
      <c r="A20009">
        <v>49070030100</v>
      </c>
      <c r="B20009" t="s">
        <v>8239</v>
      </c>
    </row>
    <row r="20010" spans="1:2" x14ac:dyDescent="0.25">
      <c r="A20010">
        <v>49070030200</v>
      </c>
      <c r="B20010" t="s">
        <v>8240</v>
      </c>
    </row>
    <row r="20011" spans="1:2" x14ac:dyDescent="0.25">
      <c r="A20011">
        <v>49070030300</v>
      </c>
      <c r="B20011" t="s">
        <v>8241</v>
      </c>
    </row>
    <row r="20012" spans="1:2" x14ac:dyDescent="0.25">
      <c r="A20012">
        <v>49070030900</v>
      </c>
      <c r="B20012" t="s">
        <v>10</v>
      </c>
    </row>
    <row r="20013" spans="1:2" x14ac:dyDescent="0.25">
      <c r="A20013">
        <v>49070090</v>
      </c>
      <c r="B20013" t="s">
        <v>10</v>
      </c>
    </row>
    <row r="20014" spans="1:2" x14ac:dyDescent="0.25">
      <c r="A20014">
        <v>49070090100</v>
      </c>
      <c r="B20014" t="s">
        <v>8242</v>
      </c>
    </row>
    <row r="20015" spans="1:2" x14ac:dyDescent="0.25">
      <c r="A20015">
        <v>49070090200</v>
      </c>
      <c r="B20015" t="s">
        <v>8243</v>
      </c>
    </row>
    <row r="20016" spans="1:2" x14ac:dyDescent="0.25">
      <c r="A20016">
        <v>49070090300</v>
      </c>
      <c r="B20016" t="s">
        <v>8244</v>
      </c>
    </row>
    <row r="20017" spans="1:2" x14ac:dyDescent="0.25">
      <c r="A20017">
        <v>49070090900</v>
      </c>
      <c r="B20017" t="s">
        <v>10</v>
      </c>
    </row>
    <row r="20018" spans="1:2" x14ac:dyDescent="0.25">
      <c r="A20018">
        <v>4908</v>
      </c>
      <c r="B20018" t="s">
        <v>8245</v>
      </c>
    </row>
    <row r="20019" spans="1:2" x14ac:dyDescent="0.25">
      <c r="A20019">
        <v>49081000000</v>
      </c>
      <c r="B20019" t="e">
        <f>-Calcomanias vitrificables</f>
        <v>#NAME?</v>
      </c>
    </row>
    <row r="20020" spans="1:2" x14ac:dyDescent="0.25">
      <c r="A20020">
        <v>49089000</v>
      </c>
      <c r="B20020" t="e">
        <f>- las demas</f>
        <v>#NAME?</v>
      </c>
    </row>
    <row r="20021" spans="1:2" x14ac:dyDescent="0.25">
      <c r="A20021">
        <v>490890001</v>
      </c>
      <c r="B20021" t="s">
        <v>5635</v>
      </c>
    </row>
    <row r="20022" spans="1:2" x14ac:dyDescent="0.25">
      <c r="A20022">
        <v>49089000110</v>
      </c>
      <c r="B20022" t="s">
        <v>8246</v>
      </c>
    </row>
    <row r="20023" spans="1:2" x14ac:dyDescent="0.25">
      <c r="A20023">
        <v>49089000190</v>
      </c>
      <c r="B20023" t="s">
        <v>10</v>
      </c>
    </row>
    <row r="20024" spans="1:2" x14ac:dyDescent="0.25">
      <c r="A20024">
        <v>49089000900</v>
      </c>
      <c r="B20024" t="s">
        <v>10</v>
      </c>
    </row>
    <row r="20025" spans="1:2" x14ac:dyDescent="0.25">
      <c r="A20025">
        <v>49090000</v>
      </c>
      <c r="B20025" t="s">
        <v>8247</v>
      </c>
    </row>
    <row r="20026" spans="1:2" x14ac:dyDescent="0.25">
      <c r="A20026">
        <v>490900001</v>
      </c>
      <c r="B20026" t="s">
        <v>8248</v>
      </c>
    </row>
    <row r="20027" spans="1:2" x14ac:dyDescent="0.25">
      <c r="A20027">
        <v>49090000110</v>
      </c>
      <c r="B20027" t="s">
        <v>8249</v>
      </c>
    </row>
    <row r="20028" spans="1:2" x14ac:dyDescent="0.25">
      <c r="A20028">
        <v>49090000190</v>
      </c>
      <c r="B20028" t="s">
        <v>57</v>
      </c>
    </row>
    <row r="20029" spans="1:2" x14ac:dyDescent="0.25">
      <c r="A20029">
        <v>490900002</v>
      </c>
      <c r="B20029" t="s">
        <v>8250</v>
      </c>
    </row>
    <row r="20030" spans="1:2" x14ac:dyDescent="0.25">
      <c r="A20030">
        <v>49090000210</v>
      </c>
      <c r="B20030" t="s">
        <v>8249</v>
      </c>
    </row>
    <row r="20031" spans="1:2" x14ac:dyDescent="0.25">
      <c r="A20031">
        <v>49090000290</v>
      </c>
      <c r="B20031" t="s">
        <v>10</v>
      </c>
    </row>
    <row r="20032" spans="1:2" x14ac:dyDescent="0.25">
      <c r="A20032">
        <v>49100000</v>
      </c>
      <c r="B20032" t="s">
        <v>8251</v>
      </c>
    </row>
    <row r="20033" spans="1:2" x14ac:dyDescent="0.25">
      <c r="A20033">
        <v>491000001</v>
      </c>
      <c r="B20033" t="s">
        <v>8252</v>
      </c>
    </row>
    <row r="20034" spans="1:2" x14ac:dyDescent="0.25">
      <c r="A20034">
        <v>49100000110</v>
      </c>
      <c r="B20034" t="s">
        <v>8253</v>
      </c>
    </row>
    <row r="20035" spans="1:2" x14ac:dyDescent="0.25">
      <c r="A20035">
        <v>49100000120</v>
      </c>
      <c r="B20035" t="s">
        <v>8254</v>
      </c>
    </row>
    <row r="20036" spans="1:2" x14ac:dyDescent="0.25">
      <c r="A20036">
        <v>49100000190</v>
      </c>
      <c r="B20036" t="s">
        <v>10</v>
      </c>
    </row>
    <row r="20037" spans="1:2" x14ac:dyDescent="0.25">
      <c r="A20037">
        <v>49100000900</v>
      </c>
      <c r="B20037" t="s">
        <v>10</v>
      </c>
    </row>
    <row r="20038" spans="1:2" x14ac:dyDescent="0.25">
      <c r="A20038">
        <v>4911</v>
      </c>
      <c r="B20038" t="s">
        <v>8255</v>
      </c>
    </row>
    <row r="20039" spans="1:2" x14ac:dyDescent="0.25">
      <c r="A20039">
        <v>491110</v>
      </c>
      <c r="B20039" t="e">
        <f>- impresos publicitarios. catalogos comerciales y similares</f>
        <v>#NAME?</v>
      </c>
    </row>
    <row r="20040" spans="1:2" x14ac:dyDescent="0.25">
      <c r="A20040">
        <v>49111010000</v>
      </c>
      <c r="B20040" t="s">
        <v>8256</v>
      </c>
    </row>
    <row r="20041" spans="1:2" x14ac:dyDescent="0.25">
      <c r="A20041">
        <v>49111090</v>
      </c>
      <c r="B20041" t="s">
        <v>10</v>
      </c>
    </row>
    <row r="20042" spans="1:2" x14ac:dyDescent="0.25">
      <c r="A20042">
        <v>49111090100</v>
      </c>
      <c r="B20042" t="s">
        <v>8204</v>
      </c>
    </row>
    <row r="20043" spans="1:2" x14ac:dyDescent="0.25">
      <c r="A20043">
        <v>491110902</v>
      </c>
      <c r="B20043" t="s">
        <v>8257</v>
      </c>
    </row>
    <row r="20044" spans="1:2" x14ac:dyDescent="0.25">
      <c r="A20044">
        <v>49111090210</v>
      </c>
      <c r="B20044" t="s">
        <v>6673</v>
      </c>
    </row>
    <row r="20045" spans="1:2" x14ac:dyDescent="0.25">
      <c r="A20045">
        <v>49111090290</v>
      </c>
      <c r="B20045" t="s">
        <v>10</v>
      </c>
    </row>
    <row r="20046" spans="1:2" x14ac:dyDescent="0.25">
      <c r="A20046">
        <v>49111090900</v>
      </c>
      <c r="B20046" t="s">
        <v>10</v>
      </c>
    </row>
    <row r="20047" spans="1:2" x14ac:dyDescent="0.25">
      <c r="A20047">
        <v>49119</v>
      </c>
      <c r="B20047" t="s">
        <v>28</v>
      </c>
    </row>
    <row r="20048" spans="1:2" x14ac:dyDescent="0.25">
      <c r="A20048">
        <v>49119100</v>
      </c>
      <c r="B20048" t="e">
        <f>- - Estampas. grabados y fotografias</f>
        <v>#NAME?</v>
      </c>
    </row>
    <row r="20049" spans="1:2" x14ac:dyDescent="0.25">
      <c r="A20049">
        <v>49119100100</v>
      </c>
      <c r="B20049" t="s">
        <v>8258</v>
      </c>
    </row>
    <row r="20050" spans="1:2" x14ac:dyDescent="0.25">
      <c r="A20050">
        <v>49119100200</v>
      </c>
      <c r="B20050" t="s">
        <v>8259</v>
      </c>
    </row>
    <row r="20051" spans="1:2" x14ac:dyDescent="0.25">
      <c r="A20051">
        <v>49119100900</v>
      </c>
      <c r="B20051" t="s">
        <v>10</v>
      </c>
    </row>
    <row r="20052" spans="1:2" x14ac:dyDescent="0.25">
      <c r="A20052">
        <v>49119900</v>
      </c>
      <c r="B20052" t="e">
        <f>- - Los demas</f>
        <v>#NAME?</v>
      </c>
    </row>
    <row r="20053" spans="1:2" x14ac:dyDescent="0.25">
      <c r="A20053">
        <v>49119900100</v>
      </c>
      <c r="B20053" t="s">
        <v>8260</v>
      </c>
    </row>
    <row r="20054" spans="1:2" x14ac:dyDescent="0.25">
      <c r="A20054">
        <v>491199002</v>
      </c>
      <c r="B20054" t="s">
        <v>8261</v>
      </c>
    </row>
    <row r="20055" spans="1:2" x14ac:dyDescent="0.25">
      <c r="A20055">
        <v>49119900210</v>
      </c>
      <c r="B20055" t="s">
        <v>8262</v>
      </c>
    </row>
    <row r="20056" spans="1:2" x14ac:dyDescent="0.25">
      <c r="A20056">
        <v>49119900220</v>
      </c>
      <c r="B20056" t="s">
        <v>8263</v>
      </c>
    </row>
    <row r="20057" spans="1:2" x14ac:dyDescent="0.25">
      <c r="A20057">
        <v>49119900230</v>
      </c>
      <c r="B20057" t="s">
        <v>8264</v>
      </c>
    </row>
    <row r="20058" spans="1:2" x14ac:dyDescent="0.25">
      <c r="A20058">
        <v>49119900240</v>
      </c>
      <c r="B20058" t="s">
        <v>8265</v>
      </c>
    </row>
    <row r="20059" spans="1:2" x14ac:dyDescent="0.25">
      <c r="A20059">
        <v>491199003</v>
      </c>
      <c r="B20059" t="s">
        <v>8266</v>
      </c>
    </row>
    <row r="20060" spans="1:2" x14ac:dyDescent="0.25">
      <c r="A20060">
        <v>49119900310</v>
      </c>
      <c r="B20060" t="s">
        <v>8267</v>
      </c>
    </row>
    <row r="20061" spans="1:2" x14ac:dyDescent="0.25">
      <c r="A20061">
        <v>49119900390</v>
      </c>
      <c r="B20061" t="s">
        <v>10</v>
      </c>
    </row>
    <row r="20062" spans="1:2" x14ac:dyDescent="0.25">
      <c r="A20062">
        <v>49119900400</v>
      </c>
      <c r="B20062" t="s">
        <v>8268</v>
      </c>
    </row>
    <row r="20063" spans="1:2" x14ac:dyDescent="0.25">
      <c r="A20063">
        <v>49119900500</v>
      </c>
      <c r="B20063" t="s">
        <v>8269</v>
      </c>
    </row>
    <row r="20064" spans="1:2" x14ac:dyDescent="0.25">
      <c r="A20064">
        <v>49119900600</v>
      </c>
      <c r="B20064" t="s">
        <v>8270</v>
      </c>
    </row>
    <row r="20065" spans="1:2" x14ac:dyDescent="0.25">
      <c r="A20065">
        <v>49119900700</v>
      </c>
      <c r="B20065" t="s">
        <v>8271</v>
      </c>
    </row>
    <row r="20066" spans="1:2" x14ac:dyDescent="0.25">
      <c r="A20066">
        <v>49119900800</v>
      </c>
      <c r="B20066" t="s">
        <v>8272</v>
      </c>
    </row>
    <row r="20067" spans="1:2" x14ac:dyDescent="0.25">
      <c r="A20067">
        <v>49119900900</v>
      </c>
      <c r="B20067" t="s">
        <v>10</v>
      </c>
    </row>
    <row r="20068" spans="1:2" x14ac:dyDescent="0.25">
      <c r="A20068">
        <v>50010000000</v>
      </c>
      <c r="B20068" t="s">
        <v>8273</v>
      </c>
    </row>
    <row r="20069" spans="1:2" x14ac:dyDescent="0.25">
      <c r="A20069">
        <v>50020000000</v>
      </c>
      <c r="B20069" t="s">
        <v>8274</v>
      </c>
    </row>
    <row r="20070" spans="1:2" x14ac:dyDescent="0.25">
      <c r="A20070">
        <v>5003</v>
      </c>
      <c r="B20070" t="s">
        <v>8275</v>
      </c>
    </row>
    <row r="20071" spans="1:2" x14ac:dyDescent="0.25">
      <c r="A20071">
        <v>500300</v>
      </c>
      <c r="B20071" t="s">
        <v>8276</v>
      </c>
    </row>
    <row r="20072" spans="1:2" x14ac:dyDescent="0.25">
      <c r="A20072">
        <v>50030010000</v>
      </c>
      <c r="B20072" t="s">
        <v>8277</v>
      </c>
    </row>
    <row r="20073" spans="1:2" x14ac:dyDescent="0.25">
      <c r="A20073">
        <v>50030090000</v>
      </c>
      <c r="B20073" t="s">
        <v>10</v>
      </c>
    </row>
    <row r="20074" spans="1:2" x14ac:dyDescent="0.25">
      <c r="A20074">
        <v>50040000000</v>
      </c>
      <c r="B20074" t="s">
        <v>8278</v>
      </c>
    </row>
    <row r="20075" spans="1:2" x14ac:dyDescent="0.25">
      <c r="A20075">
        <v>50050000000</v>
      </c>
      <c r="B20075" t="s">
        <v>8279</v>
      </c>
    </row>
    <row r="20076" spans="1:2" x14ac:dyDescent="0.25">
      <c r="A20076">
        <v>50060000000</v>
      </c>
      <c r="B20076" t="s">
        <v>8280</v>
      </c>
    </row>
    <row r="20077" spans="1:2" x14ac:dyDescent="0.25">
      <c r="A20077">
        <v>5007</v>
      </c>
      <c r="B20077" t="s">
        <v>8281</v>
      </c>
    </row>
    <row r="20078" spans="1:2" x14ac:dyDescent="0.25">
      <c r="A20078">
        <v>500710</v>
      </c>
      <c r="B20078" t="e">
        <f>- tejidos de borrilla</f>
        <v>#NAME?</v>
      </c>
    </row>
    <row r="20079" spans="1:2" x14ac:dyDescent="0.25">
      <c r="A20079">
        <v>50071010000</v>
      </c>
      <c r="B20079" t="s">
        <v>8282</v>
      </c>
    </row>
    <row r="20080" spans="1:2" x14ac:dyDescent="0.25">
      <c r="A20080">
        <v>50071090000</v>
      </c>
      <c r="B20080" t="s">
        <v>10</v>
      </c>
    </row>
    <row r="20081" spans="1:2" x14ac:dyDescent="0.25">
      <c r="A20081">
        <v>500720</v>
      </c>
      <c r="B20081" t="s">
        <v>8283</v>
      </c>
    </row>
    <row r="20082" spans="1:2" x14ac:dyDescent="0.25">
      <c r="A20082">
        <v>50072010</v>
      </c>
      <c r="B20082" t="s">
        <v>8282</v>
      </c>
    </row>
    <row r="20083" spans="1:2" x14ac:dyDescent="0.25">
      <c r="A20083">
        <v>50072010100</v>
      </c>
      <c r="B20083" t="s">
        <v>8284</v>
      </c>
    </row>
    <row r="20084" spans="1:2" x14ac:dyDescent="0.25">
      <c r="A20084">
        <v>50072010200</v>
      </c>
      <c r="B20084" t="s">
        <v>8285</v>
      </c>
    </row>
    <row r="20085" spans="1:2" x14ac:dyDescent="0.25">
      <c r="A20085">
        <v>50072010900</v>
      </c>
      <c r="B20085" t="s">
        <v>10</v>
      </c>
    </row>
    <row r="20086" spans="1:2" x14ac:dyDescent="0.25">
      <c r="A20086">
        <v>50072090</v>
      </c>
      <c r="B20086" t="s">
        <v>10</v>
      </c>
    </row>
    <row r="20087" spans="1:2" x14ac:dyDescent="0.25">
      <c r="A20087">
        <v>50072090100</v>
      </c>
      <c r="B20087" t="s">
        <v>8284</v>
      </c>
    </row>
    <row r="20088" spans="1:2" x14ac:dyDescent="0.25">
      <c r="A20088">
        <v>50072090200</v>
      </c>
      <c r="B20088" t="s">
        <v>8285</v>
      </c>
    </row>
    <row r="20089" spans="1:2" x14ac:dyDescent="0.25">
      <c r="A20089">
        <v>50072090900</v>
      </c>
      <c r="B20089" t="s">
        <v>10</v>
      </c>
    </row>
    <row r="20090" spans="1:2" x14ac:dyDescent="0.25">
      <c r="A20090">
        <v>50079000</v>
      </c>
      <c r="B20090" t="e">
        <f>- Los demas tejidos</f>
        <v>#NAME?</v>
      </c>
    </row>
    <row r="20091" spans="1:2" x14ac:dyDescent="0.25">
      <c r="A20091">
        <v>50079000100</v>
      </c>
      <c r="B20091" t="s">
        <v>8286</v>
      </c>
    </row>
    <row r="20092" spans="1:2" x14ac:dyDescent="0.25">
      <c r="A20092">
        <v>50079000200</v>
      </c>
      <c r="B20092" t="s">
        <v>8287</v>
      </c>
    </row>
    <row r="20093" spans="1:2" x14ac:dyDescent="0.25">
      <c r="A20093">
        <v>50079000300</v>
      </c>
      <c r="B20093" t="s">
        <v>8288</v>
      </c>
    </row>
    <row r="20094" spans="1:2" x14ac:dyDescent="0.25">
      <c r="A20094">
        <v>50079000400</v>
      </c>
      <c r="B20094" t="s">
        <v>8289</v>
      </c>
    </row>
    <row r="20095" spans="1:2" x14ac:dyDescent="0.25">
      <c r="A20095">
        <v>50079000500</v>
      </c>
      <c r="B20095" t="s">
        <v>8290</v>
      </c>
    </row>
    <row r="20096" spans="1:2" x14ac:dyDescent="0.25">
      <c r="A20096">
        <v>50079000900</v>
      </c>
      <c r="B20096" t="s">
        <v>10</v>
      </c>
    </row>
    <row r="20097" spans="1:2" x14ac:dyDescent="0.25">
      <c r="A20097">
        <v>5101</v>
      </c>
      <c r="B20097" t="s">
        <v>8291</v>
      </c>
    </row>
    <row r="20098" spans="1:2" x14ac:dyDescent="0.25">
      <c r="A20098">
        <v>51011</v>
      </c>
      <c r="B20098" t="s">
        <v>8292</v>
      </c>
    </row>
    <row r="20099" spans="1:2" x14ac:dyDescent="0.25">
      <c r="A20099">
        <v>510111</v>
      </c>
      <c r="B20099" t="e">
        <f>- - lana esquilada</f>
        <v>#NAME?</v>
      </c>
    </row>
    <row r="20100" spans="1:2" x14ac:dyDescent="0.25">
      <c r="A20100">
        <v>51011110</v>
      </c>
      <c r="B20100" t="s">
        <v>8293</v>
      </c>
    </row>
    <row r="20101" spans="1:2" x14ac:dyDescent="0.25">
      <c r="A20101">
        <v>510111101</v>
      </c>
      <c r="B20101" t="s">
        <v>8294</v>
      </c>
    </row>
    <row r="20102" spans="1:2" x14ac:dyDescent="0.25">
      <c r="A20102">
        <v>5101111011</v>
      </c>
      <c r="B20102" t="s">
        <v>8295</v>
      </c>
    </row>
    <row r="20103" spans="1:2" x14ac:dyDescent="0.25">
      <c r="A20103">
        <v>51011110111</v>
      </c>
      <c r="B20103" t="s">
        <v>8296</v>
      </c>
    </row>
    <row r="20104" spans="1:2" x14ac:dyDescent="0.25">
      <c r="A20104">
        <v>51011110112</v>
      </c>
      <c r="B20104" t="s">
        <v>8297</v>
      </c>
    </row>
    <row r="20105" spans="1:2" x14ac:dyDescent="0.25">
      <c r="A20105">
        <v>51011110113</v>
      </c>
      <c r="B20105" t="s">
        <v>8298</v>
      </c>
    </row>
    <row r="20106" spans="1:2" x14ac:dyDescent="0.25">
      <c r="A20106">
        <v>51011110120</v>
      </c>
      <c r="B20106" t="s">
        <v>8299</v>
      </c>
    </row>
    <row r="20107" spans="1:2" x14ac:dyDescent="0.25">
      <c r="A20107">
        <v>51011110130</v>
      </c>
      <c r="B20107" t="s">
        <v>8300</v>
      </c>
    </row>
    <row r="20108" spans="1:2" x14ac:dyDescent="0.25">
      <c r="A20108">
        <v>51011110140</v>
      </c>
      <c r="B20108" t="s">
        <v>8301</v>
      </c>
    </row>
    <row r="20109" spans="1:2" x14ac:dyDescent="0.25">
      <c r="A20109">
        <v>51011110150</v>
      </c>
      <c r="B20109" t="s">
        <v>8302</v>
      </c>
    </row>
    <row r="20110" spans="1:2" x14ac:dyDescent="0.25">
      <c r="A20110">
        <v>51011110160</v>
      </c>
      <c r="B20110" t="s">
        <v>8303</v>
      </c>
    </row>
    <row r="20111" spans="1:2" x14ac:dyDescent="0.25">
      <c r="A20111">
        <v>51011110170</v>
      </c>
      <c r="B20111" t="s">
        <v>8304</v>
      </c>
    </row>
    <row r="20112" spans="1:2" x14ac:dyDescent="0.25">
      <c r="A20112">
        <v>51011110180</v>
      </c>
      <c r="B20112" t="s">
        <v>8305</v>
      </c>
    </row>
    <row r="20113" spans="1:2" x14ac:dyDescent="0.25">
      <c r="A20113">
        <v>51011110190</v>
      </c>
      <c r="B20113" t="s">
        <v>8306</v>
      </c>
    </row>
    <row r="20114" spans="1:2" x14ac:dyDescent="0.25">
      <c r="A20114">
        <v>510111102</v>
      </c>
      <c r="B20114" t="s">
        <v>8307</v>
      </c>
    </row>
    <row r="20115" spans="1:2" x14ac:dyDescent="0.25">
      <c r="A20115">
        <v>5101111021</v>
      </c>
      <c r="B20115" t="s">
        <v>8295</v>
      </c>
    </row>
    <row r="20116" spans="1:2" x14ac:dyDescent="0.25">
      <c r="A20116">
        <v>51011110211</v>
      </c>
      <c r="B20116" t="s">
        <v>8296</v>
      </c>
    </row>
    <row r="20117" spans="1:2" x14ac:dyDescent="0.25">
      <c r="A20117">
        <v>51011110212</v>
      </c>
      <c r="B20117" t="s">
        <v>8297</v>
      </c>
    </row>
    <row r="20118" spans="1:2" x14ac:dyDescent="0.25">
      <c r="A20118">
        <v>51011110213</v>
      </c>
      <c r="B20118" t="s">
        <v>8298</v>
      </c>
    </row>
    <row r="20119" spans="1:2" x14ac:dyDescent="0.25">
      <c r="A20119">
        <v>51011110220</v>
      </c>
      <c r="B20119" t="s">
        <v>8299</v>
      </c>
    </row>
    <row r="20120" spans="1:2" x14ac:dyDescent="0.25">
      <c r="A20120">
        <v>51011110230</v>
      </c>
      <c r="B20120" t="s">
        <v>8300</v>
      </c>
    </row>
    <row r="20121" spans="1:2" x14ac:dyDescent="0.25">
      <c r="A20121">
        <v>51011110240</v>
      </c>
      <c r="B20121" t="s">
        <v>8301</v>
      </c>
    </row>
    <row r="20122" spans="1:2" x14ac:dyDescent="0.25">
      <c r="A20122">
        <v>51011110250</v>
      </c>
      <c r="B20122" t="s">
        <v>8302</v>
      </c>
    </row>
    <row r="20123" spans="1:2" x14ac:dyDescent="0.25">
      <c r="A20123">
        <v>51011110260</v>
      </c>
      <c r="B20123" t="s">
        <v>8303</v>
      </c>
    </row>
    <row r="20124" spans="1:2" x14ac:dyDescent="0.25">
      <c r="A20124">
        <v>51011110270</v>
      </c>
      <c r="B20124" t="s">
        <v>8304</v>
      </c>
    </row>
    <row r="20125" spans="1:2" x14ac:dyDescent="0.25">
      <c r="A20125">
        <v>51011110280</v>
      </c>
      <c r="B20125" t="s">
        <v>8305</v>
      </c>
    </row>
    <row r="20126" spans="1:2" x14ac:dyDescent="0.25">
      <c r="A20126">
        <v>51011110290</v>
      </c>
      <c r="B20126" t="s">
        <v>8306</v>
      </c>
    </row>
    <row r="20127" spans="1:2" x14ac:dyDescent="0.25">
      <c r="A20127">
        <v>51011190</v>
      </c>
      <c r="B20127" t="s">
        <v>57</v>
      </c>
    </row>
    <row r="20128" spans="1:2" x14ac:dyDescent="0.25">
      <c r="A20128">
        <v>510111901</v>
      </c>
      <c r="B20128" t="s">
        <v>8294</v>
      </c>
    </row>
    <row r="20129" spans="1:2" x14ac:dyDescent="0.25">
      <c r="A20129">
        <v>51011190110</v>
      </c>
      <c r="B20129" t="s">
        <v>8308</v>
      </c>
    </row>
    <row r="20130" spans="1:2" x14ac:dyDescent="0.25">
      <c r="A20130">
        <v>51011190120</v>
      </c>
      <c r="B20130" t="s">
        <v>8309</v>
      </c>
    </row>
    <row r="20131" spans="1:2" x14ac:dyDescent="0.25">
      <c r="A20131">
        <v>51011190130</v>
      </c>
      <c r="B20131" t="s">
        <v>8310</v>
      </c>
    </row>
    <row r="20132" spans="1:2" x14ac:dyDescent="0.25">
      <c r="A20132">
        <v>51011190140</v>
      </c>
      <c r="B20132" t="s">
        <v>8311</v>
      </c>
    </row>
    <row r="20133" spans="1:2" x14ac:dyDescent="0.25">
      <c r="A20133">
        <v>51011190150</v>
      </c>
      <c r="B20133" t="s">
        <v>8312</v>
      </c>
    </row>
    <row r="20134" spans="1:2" x14ac:dyDescent="0.25">
      <c r="A20134">
        <v>51011190160</v>
      </c>
      <c r="B20134" t="s">
        <v>8313</v>
      </c>
    </row>
    <row r="20135" spans="1:2" x14ac:dyDescent="0.25">
      <c r="A20135">
        <v>51011190170</v>
      </c>
      <c r="B20135" t="s">
        <v>8314</v>
      </c>
    </row>
    <row r="20136" spans="1:2" x14ac:dyDescent="0.25">
      <c r="A20136">
        <v>51011190180</v>
      </c>
      <c r="B20136" t="s">
        <v>8315</v>
      </c>
    </row>
    <row r="20137" spans="1:2" x14ac:dyDescent="0.25">
      <c r="A20137">
        <v>51011190190</v>
      </c>
      <c r="B20137" t="s">
        <v>10</v>
      </c>
    </row>
    <row r="20138" spans="1:2" x14ac:dyDescent="0.25">
      <c r="A20138">
        <v>510111902</v>
      </c>
      <c r="B20138" t="s">
        <v>8307</v>
      </c>
    </row>
    <row r="20139" spans="1:2" x14ac:dyDescent="0.25">
      <c r="A20139">
        <v>51011190210</v>
      </c>
      <c r="B20139" t="s">
        <v>8316</v>
      </c>
    </row>
    <row r="20140" spans="1:2" x14ac:dyDescent="0.25">
      <c r="A20140">
        <v>51011190220</v>
      </c>
      <c r="B20140" t="s">
        <v>8313</v>
      </c>
    </row>
    <row r="20141" spans="1:2" x14ac:dyDescent="0.25">
      <c r="A20141">
        <v>51011190230</v>
      </c>
      <c r="B20141" t="s">
        <v>8314</v>
      </c>
    </row>
    <row r="20142" spans="1:2" x14ac:dyDescent="0.25">
      <c r="A20142">
        <v>51011190240</v>
      </c>
      <c r="B20142" t="s">
        <v>8317</v>
      </c>
    </row>
    <row r="20143" spans="1:2" x14ac:dyDescent="0.25">
      <c r="A20143">
        <v>51011190250</v>
      </c>
      <c r="B20143" t="s">
        <v>8318</v>
      </c>
    </row>
    <row r="20144" spans="1:2" x14ac:dyDescent="0.25">
      <c r="A20144">
        <v>51011190260</v>
      </c>
      <c r="B20144" t="s">
        <v>8319</v>
      </c>
    </row>
    <row r="20145" spans="1:2" x14ac:dyDescent="0.25">
      <c r="A20145">
        <v>51011190270</v>
      </c>
      <c r="B20145" t="s">
        <v>8320</v>
      </c>
    </row>
    <row r="20146" spans="1:2" x14ac:dyDescent="0.25">
      <c r="A20146">
        <v>51011900000</v>
      </c>
      <c r="B20146" t="e">
        <f>--las demas</f>
        <v>#NAME?</v>
      </c>
    </row>
    <row r="20147" spans="1:2" x14ac:dyDescent="0.25">
      <c r="A20147">
        <v>51012</v>
      </c>
      <c r="B20147" t="s">
        <v>8321</v>
      </c>
    </row>
    <row r="20148" spans="1:2" x14ac:dyDescent="0.25">
      <c r="A20148">
        <v>51012100000</v>
      </c>
      <c r="B20148" t="e">
        <f>--lana esquilada</f>
        <v>#NAME?</v>
      </c>
    </row>
    <row r="20149" spans="1:2" x14ac:dyDescent="0.25">
      <c r="A20149">
        <v>51012900000</v>
      </c>
      <c r="B20149" t="e">
        <f>--las demas</f>
        <v>#NAME?</v>
      </c>
    </row>
    <row r="20150" spans="1:2" x14ac:dyDescent="0.25">
      <c r="A20150">
        <v>51013000000</v>
      </c>
      <c r="B20150" t="e">
        <f>-Carbonizada</f>
        <v>#NAME?</v>
      </c>
    </row>
    <row r="20151" spans="1:2" x14ac:dyDescent="0.25">
      <c r="A20151">
        <v>5102</v>
      </c>
      <c r="B20151" t="s">
        <v>8322</v>
      </c>
    </row>
    <row r="20152" spans="1:2" x14ac:dyDescent="0.25">
      <c r="A20152">
        <v>51021</v>
      </c>
      <c r="B20152" t="s">
        <v>8323</v>
      </c>
    </row>
    <row r="20153" spans="1:2" x14ac:dyDescent="0.25">
      <c r="A20153">
        <v>51021100</v>
      </c>
      <c r="B20153" t="e">
        <f>- - de cabra de Cachemira</f>
        <v>#NAME?</v>
      </c>
    </row>
    <row r="20154" spans="1:2" x14ac:dyDescent="0.25">
      <c r="A20154">
        <v>51021100100</v>
      </c>
      <c r="B20154" t="s">
        <v>8324</v>
      </c>
    </row>
    <row r="20155" spans="1:2" x14ac:dyDescent="0.25">
      <c r="A20155">
        <v>510211002</v>
      </c>
      <c r="B20155" t="s">
        <v>8325</v>
      </c>
    </row>
    <row r="20156" spans="1:2" x14ac:dyDescent="0.25">
      <c r="A20156">
        <v>51021100210</v>
      </c>
      <c r="B20156" t="s">
        <v>8326</v>
      </c>
    </row>
    <row r="20157" spans="1:2" x14ac:dyDescent="0.25">
      <c r="A20157">
        <v>51021100220</v>
      </c>
      <c r="B20157" t="s">
        <v>8327</v>
      </c>
    </row>
    <row r="20158" spans="1:2" x14ac:dyDescent="0.25">
      <c r="A20158">
        <v>51021900</v>
      </c>
      <c r="B20158" t="e">
        <f>- - Los demas</f>
        <v>#NAME?</v>
      </c>
    </row>
    <row r="20159" spans="1:2" x14ac:dyDescent="0.25">
      <c r="A20159">
        <v>510219001</v>
      </c>
      <c r="B20159" t="s">
        <v>8328</v>
      </c>
    </row>
    <row r="20160" spans="1:2" x14ac:dyDescent="0.25">
      <c r="A20160">
        <v>5102190011</v>
      </c>
      <c r="B20160" t="s">
        <v>8324</v>
      </c>
    </row>
    <row r="20161" spans="1:2" x14ac:dyDescent="0.25">
      <c r="A20161">
        <v>51021900111</v>
      </c>
      <c r="B20161" t="s">
        <v>8329</v>
      </c>
    </row>
    <row r="20162" spans="1:2" x14ac:dyDescent="0.25">
      <c r="A20162">
        <v>51021900112</v>
      </c>
      <c r="B20162" t="s">
        <v>8330</v>
      </c>
    </row>
    <row r="20163" spans="1:2" x14ac:dyDescent="0.25">
      <c r="A20163">
        <v>51021900119</v>
      </c>
      <c r="B20163" t="s">
        <v>10</v>
      </c>
    </row>
    <row r="20164" spans="1:2" x14ac:dyDescent="0.25">
      <c r="A20164">
        <v>5102190012</v>
      </c>
      <c r="B20164" t="s">
        <v>8331</v>
      </c>
    </row>
    <row r="20165" spans="1:2" x14ac:dyDescent="0.25">
      <c r="A20165">
        <v>51021900121</v>
      </c>
      <c r="B20165" t="s">
        <v>8329</v>
      </c>
    </row>
    <row r="20166" spans="1:2" x14ac:dyDescent="0.25">
      <c r="A20166">
        <v>51021900122</v>
      </c>
      <c r="B20166" t="s">
        <v>8330</v>
      </c>
    </row>
    <row r="20167" spans="1:2" x14ac:dyDescent="0.25">
      <c r="A20167">
        <v>51021900129</v>
      </c>
      <c r="B20167" t="s">
        <v>10</v>
      </c>
    </row>
    <row r="20168" spans="1:2" x14ac:dyDescent="0.25">
      <c r="A20168">
        <v>5102190013</v>
      </c>
      <c r="B20168" t="s">
        <v>8332</v>
      </c>
    </row>
    <row r="20169" spans="1:2" x14ac:dyDescent="0.25">
      <c r="A20169">
        <v>51021900131</v>
      </c>
      <c r="B20169" t="s">
        <v>8329</v>
      </c>
    </row>
    <row r="20170" spans="1:2" x14ac:dyDescent="0.25">
      <c r="A20170">
        <v>51021900132</v>
      </c>
      <c r="B20170" t="s">
        <v>8330</v>
      </c>
    </row>
    <row r="20171" spans="1:2" x14ac:dyDescent="0.25">
      <c r="A20171">
        <v>51021900139</v>
      </c>
      <c r="B20171" t="s">
        <v>10</v>
      </c>
    </row>
    <row r="20172" spans="1:2" x14ac:dyDescent="0.25">
      <c r="A20172">
        <v>510219002</v>
      </c>
      <c r="B20172" t="s">
        <v>8333</v>
      </c>
    </row>
    <row r="20173" spans="1:2" x14ac:dyDescent="0.25">
      <c r="A20173">
        <v>51021900210</v>
      </c>
      <c r="B20173" t="s">
        <v>8324</v>
      </c>
    </row>
    <row r="20174" spans="1:2" x14ac:dyDescent="0.25">
      <c r="A20174">
        <v>5102190022</v>
      </c>
      <c r="B20174" t="s">
        <v>8325</v>
      </c>
    </row>
    <row r="20175" spans="1:2" x14ac:dyDescent="0.25">
      <c r="A20175">
        <v>51021900221</v>
      </c>
      <c r="B20175" t="s">
        <v>8326</v>
      </c>
    </row>
    <row r="20176" spans="1:2" x14ac:dyDescent="0.25">
      <c r="A20176">
        <v>51021900222</v>
      </c>
      <c r="B20176" t="s">
        <v>8327</v>
      </c>
    </row>
    <row r="20177" spans="1:2" x14ac:dyDescent="0.25">
      <c r="A20177">
        <v>510219003</v>
      </c>
      <c r="B20177" t="s">
        <v>8334</v>
      </c>
    </row>
    <row r="20178" spans="1:2" x14ac:dyDescent="0.25">
      <c r="A20178">
        <v>51021900310</v>
      </c>
      <c r="B20178" t="s">
        <v>8324</v>
      </c>
    </row>
    <row r="20179" spans="1:2" x14ac:dyDescent="0.25">
      <c r="A20179">
        <v>5102190032</v>
      </c>
      <c r="B20179" t="s">
        <v>8325</v>
      </c>
    </row>
    <row r="20180" spans="1:2" x14ac:dyDescent="0.25">
      <c r="A20180">
        <v>51021900321</v>
      </c>
      <c r="B20180" t="s">
        <v>8326</v>
      </c>
    </row>
    <row r="20181" spans="1:2" x14ac:dyDescent="0.25">
      <c r="A20181">
        <v>51021900322</v>
      </c>
      <c r="B20181" t="s">
        <v>8327</v>
      </c>
    </row>
    <row r="20182" spans="1:2" x14ac:dyDescent="0.25">
      <c r="A20182">
        <v>510219004</v>
      </c>
      <c r="B20182" t="s">
        <v>8335</v>
      </c>
    </row>
    <row r="20183" spans="1:2" x14ac:dyDescent="0.25">
      <c r="A20183">
        <v>5102190041</v>
      </c>
      <c r="B20183" t="s">
        <v>8324</v>
      </c>
    </row>
    <row r="20184" spans="1:2" x14ac:dyDescent="0.25">
      <c r="A20184">
        <v>51021900411</v>
      </c>
      <c r="B20184" t="s">
        <v>8336</v>
      </c>
    </row>
    <row r="20185" spans="1:2" x14ac:dyDescent="0.25">
      <c r="A20185">
        <v>51021900412</v>
      </c>
      <c r="B20185" t="s">
        <v>8337</v>
      </c>
    </row>
    <row r="20186" spans="1:2" x14ac:dyDescent="0.25">
      <c r="A20186">
        <v>51021900419</v>
      </c>
      <c r="B20186" t="s">
        <v>10</v>
      </c>
    </row>
    <row r="20187" spans="1:2" x14ac:dyDescent="0.25">
      <c r="A20187">
        <v>5102190042</v>
      </c>
      <c r="B20187" t="s">
        <v>8331</v>
      </c>
    </row>
    <row r="20188" spans="1:2" x14ac:dyDescent="0.25">
      <c r="A20188">
        <v>51021900421</v>
      </c>
      <c r="B20188" t="s">
        <v>8336</v>
      </c>
    </row>
    <row r="20189" spans="1:2" x14ac:dyDescent="0.25">
      <c r="A20189">
        <v>51021900422</v>
      </c>
      <c r="B20189" t="s">
        <v>8337</v>
      </c>
    </row>
    <row r="20190" spans="1:2" x14ac:dyDescent="0.25">
      <c r="A20190">
        <v>51021900429</v>
      </c>
      <c r="B20190" t="s">
        <v>10</v>
      </c>
    </row>
    <row r="20191" spans="1:2" x14ac:dyDescent="0.25">
      <c r="A20191">
        <v>5102190043</v>
      </c>
      <c r="B20191" t="s">
        <v>8332</v>
      </c>
    </row>
    <row r="20192" spans="1:2" x14ac:dyDescent="0.25">
      <c r="A20192">
        <v>51021900431</v>
      </c>
      <c r="B20192" t="s">
        <v>8336</v>
      </c>
    </row>
    <row r="20193" spans="1:2" x14ac:dyDescent="0.25">
      <c r="A20193">
        <v>51021900432</v>
      </c>
      <c r="B20193" t="s">
        <v>8337</v>
      </c>
    </row>
    <row r="20194" spans="1:2" x14ac:dyDescent="0.25">
      <c r="A20194">
        <v>51021900439</v>
      </c>
      <c r="B20194" t="s">
        <v>10</v>
      </c>
    </row>
    <row r="20195" spans="1:2" x14ac:dyDescent="0.25">
      <c r="A20195">
        <v>510219005</v>
      </c>
      <c r="B20195" t="s">
        <v>8338</v>
      </c>
    </row>
    <row r="20196" spans="1:2" x14ac:dyDescent="0.25">
      <c r="A20196">
        <v>5102190051</v>
      </c>
      <c r="B20196" t="s">
        <v>8324</v>
      </c>
    </row>
    <row r="20197" spans="1:2" x14ac:dyDescent="0.25">
      <c r="A20197">
        <v>51021900511</v>
      </c>
      <c r="B20197" t="s">
        <v>8336</v>
      </c>
    </row>
    <row r="20198" spans="1:2" x14ac:dyDescent="0.25">
      <c r="A20198">
        <v>51021900512</v>
      </c>
      <c r="B20198" t="s">
        <v>8337</v>
      </c>
    </row>
    <row r="20199" spans="1:2" x14ac:dyDescent="0.25">
      <c r="A20199">
        <v>51021900519</v>
      </c>
      <c r="B20199" t="s">
        <v>10</v>
      </c>
    </row>
    <row r="20200" spans="1:2" x14ac:dyDescent="0.25">
      <c r="A20200">
        <v>5102190052</v>
      </c>
      <c r="B20200" t="s">
        <v>8331</v>
      </c>
    </row>
    <row r="20201" spans="1:2" x14ac:dyDescent="0.25">
      <c r="A20201">
        <v>51021900521</v>
      </c>
      <c r="B20201" t="s">
        <v>8336</v>
      </c>
    </row>
    <row r="20202" spans="1:2" x14ac:dyDescent="0.25">
      <c r="A20202">
        <v>51021900522</v>
      </c>
      <c r="B20202" t="s">
        <v>8337</v>
      </c>
    </row>
    <row r="20203" spans="1:2" x14ac:dyDescent="0.25">
      <c r="A20203">
        <v>51021900529</v>
      </c>
      <c r="B20203" t="s">
        <v>10</v>
      </c>
    </row>
    <row r="20204" spans="1:2" x14ac:dyDescent="0.25">
      <c r="A20204">
        <v>5102190053</v>
      </c>
      <c r="B20204" t="s">
        <v>8332</v>
      </c>
    </row>
    <row r="20205" spans="1:2" x14ac:dyDescent="0.25">
      <c r="A20205">
        <v>51021900531</v>
      </c>
      <c r="B20205" t="s">
        <v>8336</v>
      </c>
    </row>
    <row r="20206" spans="1:2" x14ac:dyDescent="0.25">
      <c r="A20206">
        <v>51021900532</v>
      </c>
      <c r="B20206" t="s">
        <v>8337</v>
      </c>
    </row>
    <row r="20207" spans="1:2" x14ac:dyDescent="0.25">
      <c r="A20207">
        <v>51021900539</v>
      </c>
      <c r="B20207" t="s">
        <v>10</v>
      </c>
    </row>
    <row r="20208" spans="1:2" x14ac:dyDescent="0.25">
      <c r="A20208">
        <v>510219006</v>
      </c>
      <c r="B20208" t="s">
        <v>220</v>
      </c>
    </row>
    <row r="20209" spans="1:2" x14ac:dyDescent="0.25">
      <c r="A20209">
        <v>51021900610</v>
      </c>
      <c r="B20209" t="s">
        <v>8339</v>
      </c>
    </row>
    <row r="20210" spans="1:2" x14ac:dyDescent="0.25">
      <c r="A20210">
        <v>5102190062</v>
      </c>
      <c r="B20210" t="s">
        <v>8325</v>
      </c>
    </row>
    <row r="20211" spans="1:2" x14ac:dyDescent="0.25">
      <c r="A20211">
        <v>51021900621</v>
      </c>
      <c r="B20211" t="s">
        <v>8326</v>
      </c>
    </row>
    <row r="20212" spans="1:2" x14ac:dyDescent="0.25">
      <c r="A20212">
        <v>51021900622</v>
      </c>
      <c r="B20212" t="s">
        <v>8327</v>
      </c>
    </row>
    <row r="20213" spans="1:2" x14ac:dyDescent="0.25">
      <c r="A20213">
        <v>510219007</v>
      </c>
      <c r="B20213" t="s">
        <v>218</v>
      </c>
    </row>
    <row r="20214" spans="1:2" x14ac:dyDescent="0.25">
      <c r="A20214">
        <v>5102190071</v>
      </c>
      <c r="B20214" t="s">
        <v>8340</v>
      </c>
    </row>
    <row r="20215" spans="1:2" x14ac:dyDescent="0.25">
      <c r="A20215">
        <v>51021900711</v>
      </c>
      <c r="B20215" t="s">
        <v>8341</v>
      </c>
    </row>
    <row r="20216" spans="1:2" x14ac:dyDescent="0.25">
      <c r="A20216">
        <v>51021900712</v>
      </c>
      <c r="B20216" t="s">
        <v>8325</v>
      </c>
    </row>
    <row r="20217" spans="1:2" x14ac:dyDescent="0.25">
      <c r="A20217">
        <v>5102190079</v>
      </c>
      <c r="B20217" t="s">
        <v>10</v>
      </c>
    </row>
    <row r="20218" spans="1:2" x14ac:dyDescent="0.25">
      <c r="A20218">
        <v>51021900791</v>
      </c>
      <c r="B20218" t="s">
        <v>8341</v>
      </c>
    </row>
    <row r="20219" spans="1:2" x14ac:dyDescent="0.25">
      <c r="A20219">
        <v>51021900792</v>
      </c>
      <c r="B20219" t="s">
        <v>8325</v>
      </c>
    </row>
    <row r="20220" spans="1:2" x14ac:dyDescent="0.25">
      <c r="A20220">
        <v>510219009</v>
      </c>
      <c r="B20220" t="s">
        <v>10</v>
      </c>
    </row>
    <row r="20221" spans="1:2" x14ac:dyDescent="0.25">
      <c r="A20221">
        <v>51021900910</v>
      </c>
      <c r="B20221" t="s">
        <v>8341</v>
      </c>
    </row>
    <row r="20222" spans="1:2" x14ac:dyDescent="0.25">
      <c r="A20222">
        <v>5102190092</v>
      </c>
      <c r="B20222" t="s">
        <v>8325</v>
      </c>
    </row>
    <row r="20223" spans="1:2" x14ac:dyDescent="0.25">
      <c r="A20223">
        <v>51021900921</v>
      </c>
      <c r="B20223" t="s">
        <v>8326</v>
      </c>
    </row>
    <row r="20224" spans="1:2" x14ac:dyDescent="0.25">
      <c r="A20224">
        <v>51021900922</v>
      </c>
      <c r="B20224" t="s">
        <v>8327</v>
      </c>
    </row>
    <row r="20225" spans="1:2" x14ac:dyDescent="0.25">
      <c r="A20225">
        <v>51022000</v>
      </c>
      <c r="B20225" t="e">
        <f>- Pelo ordinario</f>
        <v>#NAME?</v>
      </c>
    </row>
    <row r="20226" spans="1:2" x14ac:dyDescent="0.25">
      <c r="A20226">
        <v>51022000100</v>
      </c>
      <c r="B20226" t="s">
        <v>8342</v>
      </c>
    </row>
    <row r="20227" spans="1:2" x14ac:dyDescent="0.25">
      <c r="A20227">
        <v>51022000900</v>
      </c>
      <c r="B20227" t="s">
        <v>10</v>
      </c>
    </row>
    <row r="20228" spans="1:2" x14ac:dyDescent="0.25">
      <c r="A20228">
        <v>5103</v>
      </c>
      <c r="B20228" t="s">
        <v>8343</v>
      </c>
    </row>
    <row r="20229" spans="1:2" x14ac:dyDescent="0.25">
      <c r="A20229">
        <v>51031000</v>
      </c>
      <c r="B20229" t="e">
        <f>- Borras del peinado de lana o Pelo fino</f>
        <v>#NAME?</v>
      </c>
    </row>
    <row r="20230" spans="1:2" x14ac:dyDescent="0.25">
      <c r="A20230">
        <v>51031000100</v>
      </c>
      <c r="B20230" t="s">
        <v>8344</v>
      </c>
    </row>
    <row r="20231" spans="1:2" x14ac:dyDescent="0.25">
      <c r="A20231">
        <v>51031000200</v>
      </c>
      <c r="B20231" t="s">
        <v>8345</v>
      </c>
    </row>
    <row r="20232" spans="1:2" x14ac:dyDescent="0.25">
      <c r="A20232">
        <v>51032000000</v>
      </c>
      <c r="B20232" t="e">
        <f>-Los demas desperdicios de lana o Pelo fino</f>
        <v>#NAME?</v>
      </c>
    </row>
    <row r="20233" spans="1:2" x14ac:dyDescent="0.25">
      <c r="A20233">
        <v>51033000000</v>
      </c>
      <c r="B20233" t="e">
        <f>-desperdicios de Pelo ordinario</f>
        <v>#NAME?</v>
      </c>
    </row>
    <row r="20234" spans="1:2" x14ac:dyDescent="0.25">
      <c r="A20234">
        <v>51040000</v>
      </c>
      <c r="B20234" t="s">
        <v>8346</v>
      </c>
    </row>
    <row r="20235" spans="1:2" x14ac:dyDescent="0.25">
      <c r="A20235">
        <v>51040000100</v>
      </c>
      <c r="B20235" t="s">
        <v>8344</v>
      </c>
    </row>
    <row r="20236" spans="1:2" x14ac:dyDescent="0.25">
      <c r="A20236">
        <v>51040000200</v>
      </c>
      <c r="B20236" t="s">
        <v>8345</v>
      </c>
    </row>
    <row r="20237" spans="1:2" x14ac:dyDescent="0.25">
      <c r="A20237">
        <v>51040000300</v>
      </c>
      <c r="B20237" t="s">
        <v>8347</v>
      </c>
    </row>
    <row r="20238" spans="1:2" x14ac:dyDescent="0.25">
      <c r="A20238">
        <v>5105</v>
      </c>
      <c r="B20238" t="s">
        <v>8348</v>
      </c>
    </row>
    <row r="20239" spans="1:2" x14ac:dyDescent="0.25">
      <c r="A20239">
        <v>51051000</v>
      </c>
      <c r="B20239" t="e">
        <f>- lana cardada</f>
        <v>#NAME?</v>
      </c>
    </row>
    <row r="20240" spans="1:2" x14ac:dyDescent="0.25">
      <c r="A20240">
        <v>510510001</v>
      </c>
      <c r="B20240" t="s">
        <v>8294</v>
      </c>
    </row>
    <row r="20241" spans="1:2" x14ac:dyDescent="0.25">
      <c r="A20241">
        <v>5105100011</v>
      </c>
      <c r="B20241" t="s">
        <v>8349</v>
      </c>
    </row>
    <row r="20242" spans="1:2" x14ac:dyDescent="0.25">
      <c r="A20242">
        <v>51051000111</v>
      </c>
      <c r="B20242" t="s">
        <v>8308</v>
      </c>
    </row>
    <row r="20243" spans="1:2" x14ac:dyDescent="0.25">
      <c r="A20243">
        <v>51051000112</v>
      </c>
      <c r="B20243" t="s">
        <v>8309</v>
      </c>
    </row>
    <row r="20244" spans="1:2" x14ac:dyDescent="0.25">
      <c r="A20244">
        <v>51051000113</v>
      </c>
      <c r="B20244" t="s">
        <v>8310</v>
      </c>
    </row>
    <row r="20245" spans="1:2" x14ac:dyDescent="0.25">
      <c r="A20245">
        <v>5105100012</v>
      </c>
      <c r="B20245" t="s">
        <v>8350</v>
      </c>
    </row>
    <row r="20246" spans="1:2" x14ac:dyDescent="0.25">
      <c r="A20246">
        <v>51051000121</v>
      </c>
      <c r="B20246" t="s">
        <v>8311</v>
      </c>
    </row>
    <row r="20247" spans="1:2" x14ac:dyDescent="0.25">
      <c r="A20247">
        <v>51051000122</v>
      </c>
      <c r="B20247" t="s">
        <v>8312</v>
      </c>
    </row>
    <row r="20248" spans="1:2" x14ac:dyDescent="0.25">
      <c r="A20248">
        <v>51051000123</v>
      </c>
      <c r="B20248" t="s">
        <v>8313</v>
      </c>
    </row>
    <row r="20249" spans="1:2" x14ac:dyDescent="0.25">
      <c r="A20249">
        <v>5105100013</v>
      </c>
      <c r="B20249" t="s">
        <v>8351</v>
      </c>
    </row>
    <row r="20250" spans="1:2" x14ac:dyDescent="0.25">
      <c r="A20250">
        <v>51051000131</v>
      </c>
      <c r="B20250" t="s">
        <v>8314</v>
      </c>
    </row>
    <row r="20251" spans="1:2" x14ac:dyDescent="0.25">
      <c r="A20251">
        <v>51051000132</v>
      </c>
      <c r="B20251" t="s">
        <v>8317</v>
      </c>
    </row>
    <row r="20252" spans="1:2" x14ac:dyDescent="0.25">
      <c r="A20252">
        <v>51051000133</v>
      </c>
      <c r="B20252" t="s">
        <v>8352</v>
      </c>
    </row>
    <row r="20253" spans="1:2" x14ac:dyDescent="0.25">
      <c r="A20253">
        <v>5105100014</v>
      </c>
      <c r="B20253" t="s">
        <v>8353</v>
      </c>
    </row>
    <row r="20254" spans="1:2" x14ac:dyDescent="0.25">
      <c r="A20254">
        <v>51051000141</v>
      </c>
      <c r="B20254" t="s">
        <v>8297</v>
      </c>
    </row>
    <row r="20255" spans="1:2" x14ac:dyDescent="0.25">
      <c r="A20255">
        <v>51051000142</v>
      </c>
      <c r="B20255" t="s">
        <v>8298</v>
      </c>
    </row>
    <row r="20256" spans="1:2" x14ac:dyDescent="0.25">
      <c r="A20256">
        <v>51051000143</v>
      </c>
      <c r="B20256" t="s">
        <v>8299</v>
      </c>
    </row>
    <row r="20257" spans="1:2" x14ac:dyDescent="0.25">
      <c r="A20257">
        <v>5105100015</v>
      </c>
      <c r="B20257" t="s">
        <v>8354</v>
      </c>
    </row>
    <row r="20258" spans="1:2" x14ac:dyDescent="0.25">
      <c r="A20258">
        <v>51051000151</v>
      </c>
      <c r="B20258" t="s">
        <v>8300</v>
      </c>
    </row>
    <row r="20259" spans="1:2" x14ac:dyDescent="0.25">
      <c r="A20259">
        <v>51051000152</v>
      </c>
      <c r="B20259" t="s">
        <v>8301</v>
      </c>
    </row>
    <row r="20260" spans="1:2" x14ac:dyDescent="0.25">
      <c r="A20260">
        <v>5105100016</v>
      </c>
      <c r="B20260" t="s">
        <v>8355</v>
      </c>
    </row>
    <row r="20261" spans="1:2" x14ac:dyDescent="0.25">
      <c r="A20261">
        <v>51051000161</v>
      </c>
      <c r="B20261" t="s">
        <v>8303</v>
      </c>
    </row>
    <row r="20262" spans="1:2" x14ac:dyDescent="0.25">
      <c r="A20262">
        <v>51051000162</v>
      </c>
      <c r="B20262" t="s">
        <v>8303</v>
      </c>
    </row>
    <row r="20263" spans="1:2" x14ac:dyDescent="0.25">
      <c r="A20263">
        <v>5105100017</v>
      </c>
      <c r="B20263" t="s">
        <v>8356</v>
      </c>
    </row>
    <row r="20264" spans="1:2" x14ac:dyDescent="0.25">
      <c r="A20264">
        <v>51051000171</v>
      </c>
      <c r="B20264" t="s">
        <v>8304</v>
      </c>
    </row>
    <row r="20265" spans="1:2" x14ac:dyDescent="0.25">
      <c r="A20265">
        <v>51051000172</v>
      </c>
      <c r="B20265" t="s">
        <v>8305</v>
      </c>
    </row>
    <row r="20266" spans="1:2" x14ac:dyDescent="0.25">
      <c r="A20266">
        <v>51051000180</v>
      </c>
      <c r="B20266" t="s">
        <v>8357</v>
      </c>
    </row>
    <row r="20267" spans="1:2" x14ac:dyDescent="0.25">
      <c r="A20267">
        <v>51051000190</v>
      </c>
      <c r="B20267" t="s">
        <v>10</v>
      </c>
    </row>
    <row r="20268" spans="1:2" x14ac:dyDescent="0.25">
      <c r="A20268">
        <v>510510002</v>
      </c>
      <c r="B20268" t="s">
        <v>8307</v>
      </c>
    </row>
    <row r="20269" spans="1:2" x14ac:dyDescent="0.25">
      <c r="A20269">
        <v>5105100021</v>
      </c>
      <c r="B20269" t="s">
        <v>8349</v>
      </c>
    </row>
    <row r="20270" spans="1:2" x14ac:dyDescent="0.25">
      <c r="A20270">
        <v>51051000211</v>
      </c>
      <c r="B20270" t="s">
        <v>8308</v>
      </c>
    </row>
    <row r="20271" spans="1:2" x14ac:dyDescent="0.25">
      <c r="A20271">
        <v>51051000212</v>
      </c>
      <c r="B20271" t="s">
        <v>8309</v>
      </c>
    </row>
    <row r="20272" spans="1:2" x14ac:dyDescent="0.25">
      <c r="A20272">
        <v>51051000213</v>
      </c>
      <c r="B20272" t="s">
        <v>8310</v>
      </c>
    </row>
    <row r="20273" spans="1:2" x14ac:dyDescent="0.25">
      <c r="A20273">
        <v>5105100022</v>
      </c>
      <c r="B20273" t="s">
        <v>8350</v>
      </c>
    </row>
    <row r="20274" spans="1:2" x14ac:dyDescent="0.25">
      <c r="A20274">
        <v>51051000221</v>
      </c>
      <c r="B20274" t="s">
        <v>8311</v>
      </c>
    </row>
    <row r="20275" spans="1:2" x14ac:dyDescent="0.25">
      <c r="A20275">
        <v>51051000222</v>
      </c>
      <c r="B20275" t="s">
        <v>8312</v>
      </c>
    </row>
    <row r="20276" spans="1:2" x14ac:dyDescent="0.25">
      <c r="A20276">
        <v>51051000223</v>
      </c>
      <c r="B20276" t="s">
        <v>8313</v>
      </c>
    </row>
    <row r="20277" spans="1:2" x14ac:dyDescent="0.25">
      <c r="A20277">
        <v>5105100023</v>
      </c>
      <c r="B20277" t="s">
        <v>8351</v>
      </c>
    </row>
    <row r="20278" spans="1:2" x14ac:dyDescent="0.25">
      <c r="A20278">
        <v>51051000231</v>
      </c>
      <c r="B20278" t="s">
        <v>8314</v>
      </c>
    </row>
    <row r="20279" spans="1:2" x14ac:dyDescent="0.25">
      <c r="A20279">
        <v>51051000232</v>
      </c>
      <c r="B20279" t="s">
        <v>8317</v>
      </c>
    </row>
    <row r="20280" spans="1:2" x14ac:dyDescent="0.25">
      <c r="A20280">
        <v>51051000233</v>
      </c>
      <c r="B20280" t="s">
        <v>8352</v>
      </c>
    </row>
    <row r="20281" spans="1:2" x14ac:dyDescent="0.25">
      <c r="A20281">
        <v>5105100024</v>
      </c>
      <c r="B20281" t="s">
        <v>8353</v>
      </c>
    </row>
    <row r="20282" spans="1:2" x14ac:dyDescent="0.25">
      <c r="A20282">
        <v>51051000241</v>
      </c>
      <c r="B20282" t="s">
        <v>8297</v>
      </c>
    </row>
    <row r="20283" spans="1:2" x14ac:dyDescent="0.25">
      <c r="A20283">
        <v>51051000242</v>
      </c>
      <c r="B20283" t="s">
        <v>8298</v>
      </c>
    </row>
    <row r="20284" spans="1:2" x14ac:dyDescent="0.25">
      <c r="A20284">
        <v>51051000243</v>
      </c>
      <c r="B20284" t="s">
        <v>8299</v>
      </c>
    </row>
    <row r="20285" spans="1:2" x14ac:dyDescent="0.25">
      <c r="A20285">
        <v>5105100025</v>
      </c>
      <c r="B20285" t="s">
        <v>8354</v>
      </c>
    </row>
    <row r="20286" spans="1:2" x14ac:dyDescent="0.25">
      <c r="A20286">
        <v>51051000251</v>
      </c>
      <c r="B20286" t="s">
        <v>8300</v>
      </c>
    </row>
    <row r="20287" spans="1:2" x14ac:dyDescent="0.25">
      <c r="A20287">
        <v>51051000252</v>
      </c>
      <c r="B20287" t="s">
        <v>8301</v>
      </c>
    </row>
    <row r="20288" spans="1:2" x14ac:dyDescent="0.25">
      <c r="A20288">
        <v>5105100026</v>
      </c>
      <c r="B20288" t="s">
        <v>8355</v>
      </c>
    </row>
    <row r="20289" spans="1:2" x14ac:dyDescent="0.25">
      <c r="A20289">
        <v>51051000261</v>
      </c>
      <c r="B20289" t="s">
        <v>8302</v>
      </c>
    </row>
    <row r="20290" spans="1:2" x14ac:dyDescent="0.25">
      <c r="A20290">
        <v>51051000262</v>
      </c>
      <c r="B20290" t="s">
        <v>8303</v>
      </c>
    </row>
    <row r="20291" spans="1:2" x14ac:dyDescent="0.25">
      <c r="A20291">
        <v>5105100027</v>
      </c>
      <c r="B20291" t="s">
        <v>8356</v>
      </c>
    </row>
    <row r="20292" spans="1:2" x14ac:dyDescent="0.25">
      <c r="A20292">
        <v>51051000271</v>
      </c>
      <c r="B20292" t="s">
        <v>8304</v>
      </c>
    </row>
    <row r="20293" spans="1:2" x14ac:dyDescent="0.25">
      <c r="A20293">
        <v>51051000272</v>
      </c>
      <c r="B20293" t="s">
        <v>8305</v>
      </c>
    </row>
    <row r="20294" spans="1:2" x14ac:dyDescent="0.25">
      <c r="A20294">
        <v>51051000280</v>
      </c>
      <c r="B20294" t="s">
        <v>8357</v>
      </c>
    </row>
    <row r="20295" spans="1:2" x14ac:dyDescent="0.25">
      <c r="A20295">
        <v>51051000290</v>
      </c>
      <c r="B20295" t="s">
        <v>10</v>
      </c>
    </row>
    <row r="20296" spans="1:2" x14ac:dyDescent="0.25">
      <c r="A20296">
        <v>51052</v>
      </c>
      <c r="B20296" t="s">
        <v>8358</v>
      </c>
    </row>
    <row r="20297" spans="1:2" x14ac:dyDescent="0.25">
      <c r="A20297">
        <v>51052100</v>
      </c>
      <c r="B20297" t="s">
        <v>8359</v>
      </c>
    </row>
    <row r="20298" spans="1:2" x14ac:dyDescent="0.25">
      <c r="A20298">
        <v>510521001</v>
      </c>
      <c r="B20298" t="s">
        <v>8349</v>
      </c>
    </row>
    <row r="20299" spans="1:2" x14ac:dyDescent="0.25">
      <c r="A20299">
        <v>51052100110</v>
      </c>
      <c r="B20299" t="s">
        <v>8308</v>
      </c>
    </row>
    <row r="20300" spans="1:2" x14ac:dyDescent="0.25">
      <c r="A20300">
        <v>51052100120</v>
      </c>
      <c r="B20300" t="s">
        <v>8309</v>
      </c>
    </row>
    <row r="20301" spans="1:2" x14ac:dyDescent="0.25">
      <c r="A20301">
        <v>51052100130</v>
      </c>
      <c r="B20301" t="s">
        <v>8310</v>
      </c>
    </row>
    <row r="20302" spans="1:2" x14ac:dyDescent="0.25">
      <c r="A20302">
        <v>510521002</v>
      </c>
      <c r="B20302" t="s">
        <v>8350</v>
      </c>
    </row>
    <row r="20303" spans="1:2" x14ac:dyDescent="0.25">
      <c r="A20303">
        <v>51052100210</v>
      </c>
      <c r="B20303" t="s">
        <v>8311</v>
      </c>
    </row>
    <row r="20304" spans="1:2" x14ac:dyDescent="0.25">
      <c r="A20304">
        <v>51052100220</v>
      </c>
      <c r="B20304" t="s">
        <v>8312</v>
      </c>
    </row>
    <row r="20305" spans="1:2" x14ac:dyDescent="0.25">
      <c r="A20305">
        <v>51052100230</v>
      </c>
      <c r="B20305" t="s">
        <v>8313</v>
      </c>
    </row>
    <row r="20306" spans="1:2" x14ac:dyDescent="0.25">
      <c r="A20306">
        <v>510521003</v>
      </c>
      <c r="B20306" t="s">
        <v>8351</v>
      </c>
    </row>
    <row r="20307" spans="1:2" x14ac:dyDescent="0.25">
      <c r="A20307">
        <v>51052100310</v>
      </c>
      <c r="B20307" t="s">
        <v>8314</v>
      </c>
    </row>
    <row r="20308" spans="1:2" x14ac:dyDescent="0.25">
      <c r="A20308">
        <v>51052100320</v>
      </c>
      <c r="B20308" t="s">
        <v>8317</v>
      </c>
    </row>
    <row r="20309" spans="1:2" x14ac:dyDescent="0.25">
      <c r="A20309">
        <v>51052100330</v>
      </c>
      <c r="B20309" t="s">
        <v>8352</v>
      </c>
    </row>
    <row r="20310" spans="1:2" x14ac:dyDescent="0.25">
      <c r="A20310">
        <v>510521004</v>
      </c>
      <c r="B20310" t="s">
        <v>8353</v>
      </c>
    </row>
    <row r="20311" spans="1:2" x14ac:dyDescent="0.25">
      <c r="A20311">
        <v>51052100410</v>
      </c>
      <c r="B20311" t="s">
        <v>8297</v>
      </c>
    </row>
    <row r="20312" spans="1:2" x14ac:dyDescent="0.25">
      <c r="A20312">
        <v>51052100420</v>
      </c>
      <c r="B20312" t="s">
        <v>8298</v>
      </c>
    </row>
    <row r="20313" spans="1:2" x14ac:dyDescent="0.25">
      <c r="A20313">
        <v>51052100430</v>
      </c>
      <c r="B20313" t="s">
        <v>8299</v>
      </c>
    </row>
    <row r="20314" spans="1:2" x14ac:dyDescent="0.25">
      <c r="A20314">
        <v>510521005</v>
      </c>
      <c r="B20314" t="s">
        <v>8354</v>
      </c>
    </row>
    <row r="20315" spans="1:2" x14ac:dyDescent="0.25">
      <c r="A20315">
        <v>51052100510</v>
      </c>
      <c r="B20315" t="s">
        <v>8300</v>
      </c>
    </row>
    <row r="20316" spans="1:2" x14ac:dyDescent="0.25">
      <c r="A20316">
        <v>51052100520</v>
      </c>
      <c r="B20316" t="s">
        <v>8301</v>
      </c>
    </row>
    <row r="20317" spans="1:2" x14ac:dyDescent="0.25">
      <c r="A20317">
        <v>510521006</v>
      </c>
      <c r="B20317" t="s">
        <v>8355</v>
      </c>
    </row>
    <row r="20318" spans="1:2" x14ac:dyDescent="0.25">
      <c r="A20318">
        <v>51052100610</v>
      </c>
      <c r="B20318" t="s">
        <v>8302</v>
      </c>
    </row>
    <row r="20319" spans="1:2" x14ac:dyDescent="0.25">
      <c r="A20319">
        <v>51052100620</v>
      </c>
      <c r="B20319" t="s">
        <v>8303</v>
      </c>
    </row>
    <row r="20320" spans="1:2" x14ac:dyDescent="0.25">
      <c r="A20320">
        <v>510521007</v>
      </c>
      <c r="B20320" t="s">
        <v>8356</v>
      </c>
    </row>
    <row r="20321" spans="1:2" x14ac:dyDescent="0.25">
      <c r="A20321">
        <v>51052100710</v>
      </c>
      <c r="B20321" t="s">
        <v>8304</v>
      </c>
    </row>
    <row r="20322" spans="1:2" x14ac:dyDescent="0.25">
      <c r="A20322">
        <v>51052100720</v>
      </c>
      <c r="B20322" t="s">
        <v>8305</v>
      </c>
    </row>
    <row r="20323" spans="1:2" x14ac:dyDescent="0.25">
      <c r="A20323">
        <v>51052100800</v>
      </c>
      <c r="B20323" t="s">
        <v>8360</v>
      </c>
    </row>
    <row r="20324" spans="1:2" x14ac:dyDescent="0.25">
      <c r="A20324">
        <v>51052100900</v>
      </c>
      <c r="B20324" t="s">
        <v>10</v>
      </c>
    </row>
    <row r="20325" spans="1:2" x14ac:dyDescent="0.25">
      <c r="A20325">
        <v>510529</v>
      </c>
      <c r="B20325" t="e">
        <f>- - las demas</f>
        <v>#NAME?</v>
      </c>
    </row>
    <row r="20326" spans="1:2" x14ac:dyDescent="0.25">
      <c r="A20326">
        <v>51052910</v>
      </c>
      <c r="B20326" t="s">
        <v>8361</v>
      </c>
    </row>
    <row r="20327" spans="1:2" x14ac:dyDescent="0.25">
      <c r="A20327">
        <v>510529101</v>
      </c>
      <c r="B20327" t="s">
        <v>8349</v>
      </c>
    </row>
    <row r="20328" spans="1:2" x14ac:dyDescent="0.25">
      <c r="A20328">
        <v>51052910110</v>
      </c>
      <c r="B20328" t="s">
        <v>8308</v>
      </c>
    </row>
    <row r="20329" spans="1:2" x14ac:dyDescent="0.25">
      <c r="A20329">
        <v>51052910120</v>
      </c>
      <c r="B20329" t="s">
        <v>8309</v>
      </c>
    </row>
    <row r="20330" spans="1:2" x14ac:dyDescent="0.25">
      <c r="A20330">
        <v>51052910130</v>
      </c>
      <c r="B20330" t="s">
        <v>8310</v>
      </c>
    </row>
    <row r="20331" spans="1:2" x14ac:dyDescent="0.25">
      <c r="A20331">
        <v>510529102</v>
      </c>
      <c r="B20331" t="s">
        <v>8350</v>
      </c>
    </row>
    <row r="20332" spans="1:2" x14ac:dyDescent="0.25">
      <c r="A20332">
        <v>51052910210</v>
      </c>
      <c r="B20332" t="s">
        <v>8311</v>
      </c>
    </row>
    <row r="20333" spans="1:2" x14ac:dyDescent="0.25">
      <c r="A20333">
        <v>51052910220</v>
      </c>
      <c r="B20333" t="s">
        <v>8312</v>
      </c>
    </row>
    <row r="20334" spans="1:2" x14ac:dyDescent="0.25">
      <c r="A20334">
        <v>51052910230</v>
      </c>
      <c r="B20334" t="s">
        <v>8313</v>
      </c>
    </row>
    <row r="20335" spans="1:2" x14ac:dyDescent="0.25">
      <c r="A20335">
        <v>510529103</v>
      </c>
      <c r="B20335" t="s">
        <v>8351</v>
      </c>
    </row>
    <row r="20336" spans="1:2" x14ac:dyDescent="0.25">
      <c r="A20336">
        <v>51052910310</v>
      </c>
      <c r="B20336" t="s">
        <v>8314</v>
      </c>
    </row>
    <row r="20337" spans="1:2" x14ac:dyDescent="0.25">
      <c r="A20337">
        <v>51052910320</v>
      </c>
      <c r="B20337" t="s">
        <v>8317</v>
      </c>
    </row>
    <row r="20338" spans="1:2" x14ac:dyDescent="0.25">
      <c r="A20338">
        <v>51052910330</v>
      </c>
      <c r="B20338" t="s">
        <v>8352</v>
      </c>
    </row>
    <row r="20339" spans="1:2" x14ac:dyDescent="0.25">
      <c r="A20339">
        <v>510529104</v>
      </c>
      <c r="B20339" t="s">
        <v>8353</v>
      </c>
    </row>
    <row r="20340" spans="1:2" x14ac:dyDescent="0.25">
      <c r="A20340">
        <v>51052910410</v>
      </c>
      <c r="B20340" t="s">
        <v>8297</v>
      </c>
    </row>
    <row r="20341" spans="1:2" x14ac:dyDescent="0.25">
      <c r="A20341">
        <v>51052910420</v>
      </c>
      <c r="B20341" t="s">
        <v>8298</v>
      </c>
    </row>
    <row r="20342" spans="1:2" x14ac:dyDescent="0.25">
      <c r="A20342">
        <v>51052910430</v>
      </c>
      <c r="B20342" t="s">
        <v>8299</v>
      </c>
    </row>
    <row r="20343" spans="1:2" x14ac:dyDescent="0.25">
      <c r="A20343">
        <v>510529105</v>
      </c>
      <c r="B20343" t="s">
        <v>8354</v>
      </c>
    </row>
    <row r="20344" spans="1:2" x14ac:dyDescent="0.25">
      <c r="A20344">
        <v>51052910510</v>
      </c>
      <c r="B20344" t="s">
        <v>8300</v>
      </c>
    </row>
    <row r="20345" spans="1:2" x14ac:dyDescent="0.25">
      <c r="A20345">
        <v>51052910520</v>
      </c>
      <c r="B20345" t="s">
        <v>8301</v>
      </c>
    </row>
    <row r="20346" spans="1:2" x14ac:dyDescent="0.25">
      <c r="A20346">
        <v>510529106</v>
      </c>
      <c r="B20346" t="s">
        <v>8355</v>
      </c>
    </row>
    <row r="20347" spans="1:2" x14ac:dyDescent="0.25">
      <c r="A20347">
        <v>51052910610</v>
      </c>
      <c r="B20347" t="s">
        <v>8302</v>
      </c>
    </row>
    <row r="20348" spans="1:2" x14ac:dyDescent="0.25">
      <c r="A20348">
        <v>51052910620</v>
      </c>
      <c r="B20348" t="s">
        <v>8303</v>
      </c>
    </row>
    <row r="20349" spans="1:2" x14ac:dyDescent="0.25">
      <c r="A20349">
        <v>510529107</v>
      </c>
      <c r="B20349" t="s">
        <v>8356</v>
      </c>
    </row>
    <row r="20350" spans="1:2" x14ac:dyDescent="0.25">
      <c r="A20350">
        <v>51052910710</v>
      </c>
      <c r="B20350" t="s">
        <v>8304</v>
      </c>
    </row>
    <row r="20351" spans="1:2" x14ac:dyDescent="0.25">
      <c r="A20351">
        <v>51052910720</v>
      </c>
      <c r="B20351" t="s">
        <v>8305</v>
      </c>
    </row>
    <row r="20352" spans="1:2" x14ac:dyDescent="0.25">
      <c r="A20352">
        <v>51052910800</v>
      </c>
      <c r="B20352" t="s">
        <v>8360</v>
      </c>
    </row>
    <row r="20353" spans="1:2" x14ac:dyDescent="0.25">
      <c r="A20353">
        <v>51052910900</v>
      </c>
      <c r="B20353" t="s">
        <v>10</v>
      </c>
    </row>
    <row r="20354" spans="1:2" x14ac:dyDescent="0.25">
      <c r="A20354">
        <v>5105299</v>
      </c>
      <c r="B20354" t="s">
        <v>57</v>
      </c>
    </row>
    <row r="20355" spans="1:2" x14ac:dyDescent="0.25">
      <c r="A20355">
        <v>51052991</v>
      </c>
      <c r="B20355" t="s">
        <v>8362</v>
      </c>
    </row>
    <row r="20356" spans="1:2" x14ac:dyDescent="0.25">
      <c r="A20356">
        <v>51052991100</v>
      </c>
      <c r="B20356" t="s">
        <v>8308</v>
      </c>
    </row>
    <row r="20357" spans="1:2" x14ac:dyDescent="0.25">
      <c r="A20357">
        <v>51052991200</v>
      </c>
      <c r="B20357" t="s">
        <v>8309</v>
      </c>
    </row>
    <row r="20358" spans="1:2" x14ac:dyDescent="0.25">
      <c r="A20358">
        <v>51052991300</v>
      </c>
      <c r="B20358" t="s">
        <v>8310</v>
      </c>
    </row>
    <row r="20359" spans="1:2" x14ac:dyDescent="0.25">
      <c r="A20359">
        <v>51052991400</v>
      </c>
      <c r="B20359" t="s">
        <v>8311</v>
      </c>
    </row>
    <row r="20360" spans="1:2" x14ac:dyDescent="0.25">
      <c r="A20360">
        <v>51052991500</v>
      </c>
      <c r="B20360" t="s">
        <v>8312</v>
      </c>
    </row>
    <row r="20361" spans="1:2" x14ac:dyDescent="0.25">
      <c r="A20361">
        <v>51052991600</v>
      </c>
      <c r="B20361" t="s">
        <v>8313</v>
      </c>
    </row>
    <row r="20362" spans="1:2" x14ac:dyDescent="0.25">
      <c r="A20362">
        <v>51052991700</v>
      </c>
      <c r="B20362" t="s">
        <v>8314</v>
      </c>
    </row>
    <row r="20363" spans="1:2" x14ac:dyDescent="0.25">
      <c r="A20363">
        <v>51052991800</v>
      </c>
      <c r="B20363" t="s">
        <v>8317</v>
      </c>
    </row>
    <row r="20364" spans="1:2" x14ac:dyDescent="0.25">
      <c r="A20364">
        <v>51052991900</v>
      </c>
      <c r="B20364" t="s">
        <v>10</v>
      </c>
    </row>
    <row r="20365" spans="1:2" x14ac:dyDescent="0.25">
      <c r="A20365">
        <v>51052999</v>
      </c>
      <c r="B20365" t="s">
        <v>57</v>
      </c>
    </row>
    <row r="20366" spans="1:2" x14ac:dyDescent="0.25">
      <c r="A20366">
        <v>510529991</v>
      </c>
      <c r="B20366" t="s">
        <v>8363</v>
      </c>
    </row>
    <row r="20367" spans="1:2" x14ac:dyDescent="0.25">
      <c r="A20367">
        <v>51052999110</v>
      </c>
      <c r="B20367" t="s">
        <v>8296</v>
      </c>
    </row>
    <row r="20368" spans="1:2" x14ac:dyDescent="0.25">
      <c r="A20368">
        <v>51052999120</v>
      </c>
      <c r="B20368" t="s">
        <v>8297</v>
      </c>
    </row>
    <row r="20369" spans="1:2" x14ac:dyDescent="0.25">
      <c r="A20369">
        <v>51052999130</v>
      </c>
      <c r="B20369" t="s">
        <v>8298</v>
      </c>
    </row>
    <row r="20370" spans="1:2" x14ac:dyDescent="0.25">
      <c r="A20370">
        <v>51052999200</v>
      </c>
      <c r="B20370" t="s">
        <v>8299</v>
      </c>
    </row>
    <row r="20371" spans="1:2" x14ac:dyDescent="0.25">
      <c r="A20371">
        <v>51052999300</v>
      </c>
      <c r="B20371" t="s">
        <v>8300</v>
      </c>
    </row>
    <row r="20372" spans="1:2" x14ac:dyDescent="0.25">
      <c r="A20372">
        <v>51052999400</v>
      </c>
      <c r="B20372" t="s">
        <v>8301</v>
      </c>
    </row>
    <row r="20373" spans="1:2" x14ac:dyDescent="0.25">
      <c r="A20373">
        <v>51052999500</v>
      </c>
      <c r="B20373" t="s">
        <v>8302</v>
      </c>
    </row>
    <row r="20374" spans="1:2" x14ac:dyDescent="0.25">
      <c r="A20374">
        <v>51052999600</v>
      </c>
      <c r="B20374" t="s">
        <v>8303</v>
      </c>
    </row>
    <row r="20375" spans="1:2" x14ac:dyDescent="0.25">
      <c r="A20375">
        <v>51052999700</v>
      </c>
      <c r="B20375" t="s">
        <v>8304</v>
      </c>
    </row>
    <row r="20376" spans="1:2" x14ac:dyDescent="0.25">
      <c r="A20376">
        <v>510529998</v>
      </c>
      <c r="B20376" t="s">
        <v>8364</v>
      </c>
    </row>
    <row r="20377" spans="1:2" x14ac:dyDescent="0.25">
      <c r="A20377">
        <v>51052999810</v>
      </c>
      <c r="B20377" t="s">
        <v>8305</v>
      </c>
    </row>
    <row r="20378" spans="1:2" x14ac:dyDescent="0.25">
      <c r="A20378">
        <v>51052999820</v>
      </c>
      <c r="B20378" t="s">
        <v>8357</v>
      </c>
    </row>
    <row r="20379" spans="1:2" x14ac:dyDescent="0.25">
      <c r="A20379">
        <v>51052999900</v>
      </c>
      <c r="B20379" t="s">
        <v>10</v>
      </c>
    </row>
    <row r="20380" spans="1:2" x14ac:dyDescent="0.25">
      <c r="A20380">
        <v>51053</v>
      </c>
      <c r="B20380" t="s">
        <v>8365</v>
      </c>
    </row>
    <row r="20381" spans="1:2" x14ac:dyDescent="0.25">
      <c r="A20381">
        <v>51053100</v>
      </c>
      <c r="B20381" t="e">
        <f>- - de cabra de Cachemira</f>
        <v>#NAME?</v>
      </c>
    </row>
    <row r="20382" spans="1:2" x14ac:dyDescent="0.25">
      <c r="A20382">
        <v>51053100100</v>
      </c>
      <c r="B20382" t="s">
        <v>8366</v>
      </c>
    </row>
    <row r="20383" spans="1:2" x14ac:dyDescent="0.25">
      <c r="A20383">
        <v>51053100200</v>
      </c>
      <c r="B20383" t="s">
        <v>8367</v>
      </c>
    </row>
    <row r="20384" spans="1:2" x14ac:dyDescent="0.25">
      <c r="A20384">
        <v>51053900</v>
      </c>
      <c r="B20384" t="e">
        <f>- - Los demas</f>
        <v>#NAME?</v>
      </c>
    </row>
    <row r="20385" spans="1:2" x14ac:dyDescent="0.25">
      <c r="A20385">
        <v>510539001</v>
      </c>
      <c r="B20385" t="s">
        <v>8328</v>
      </c>
    </row>
    <row r="20386" spans="1:2" x14ac:dyDescent="0.25">
      <c r="A20386">
        <v>5105390011</v>
      </c>
      <c r="B20386" t="s">
        <v>8366</v>
      </c>
    </row>
    <row r="20387" spans="1:2" x14ac:dyDescent="0.25">
      <c r="A20387">
        <v>51053900111</v>
      </c>
      <c r="B20387" t="s">
        <v>8329</v>
      </c>
    </row>
    <row r="20388" spans="1:2" x14ac:dyDescent="0.25">
      <c r="A20388">
        <v>51053900112</v>
      </c>
      <c r="B20388" t="s">
        <v>8330</v>
      </c>
    </row>
    <row r="20389" spans="1:2" x14ac:dyDescent="0.25">
      <c r="A20389">
        <v>51053900119</v>
      </c>
      <c r="B20389" t="s">
        <v>10</v>
      </c>
    </row>
    <row r="20390" spans="1:2" x14ac:dyDescent="0.25">
      <c r="A20390">
        <v>5105390012</v>
      </c>
      <c r="B20390" t="s">
        <v>8367</v>
      </c>
    </row>
    <row r="20391" spans="1:2" x14ac:dyDescent="0.25">
      <c r="A20391">
        <v>51053900121</v>
      </c>
      <c r="B20391" t="s">
        <v>8329</v>
      </c>
    </row>
    <row r="20392" spans="1:2" x14ac:dyDescent="0.25">
      <c r="A20392">
        <v>51053900122</v>
      </c>
      <c r="B20392" t="s">
        <v>8330</v>
      </c>
    </row>
    <row r="20393" spans="1:2" x14ac:dyDescent="0.25">
      <c r="A20393">
        <v>51053900129</v>
      </c>
      <c r="B20393" t="s">
        <v>10</v>
      </c>
    </row>
    <row r="20394" spans="1:2" x14ac:dyDescent="0.25">
      <c r="A20394">
        <v>510539002</v>
      </c>
      <c r="B20394" t="s">
        <v>8333</v>
      </c>
    </row>
    <row r="20395" spans="1:2" x14ac:dyDescent="0.25">
      <c r="A20395">
        <v>51053900210</v>
      </c>
      <c r="B20395" t="s">
        <v>8366</v>
      </c>
    </row>
    <row r="20396" spans="1:2" x14ac:dyDescent="0.25">
      <c r="A20396">
        <v>51053900220</v>
      </c>
      <c r="B20396" t="s">
        <v>8367</v>
      </c>
    </row>
    <row r="20397" spans="1:2" x14ac:dyDescent="0.25">
      <c r="A20397">
        <v>510539003</v>
      </c>
      <c r="B20397" t="s">
        <v>8334</v>
      </c>
    </row>
    <row r="20398" spans="1:2" x14ac:dyDescent="0.25">
      <c r="A20398">
        <v>51053900310</v>
      </c>
      <c r="B20398" t="s">
        <v>8366</v>
      </c>
    </row>
    <row r="20399" spans="1:2" x14ac:dyDescent="0.25">
      <c r="A20399">
        <v>51053900320</v>
      </c>
      <c r="B20399" t="s">
        <v>8367</v>
      </c>
    </row>
    <row r="20400" spans="1:2" x14ac:dyDescent="0.25">
      <c r="A20400">
        <v>510539004</v>
      </c>
      <c r="B20400" t="s">
        <v>8335</v>
      </c>
    </row>
    <row r="20401" spans="1:2" x14ac:dyDescent="0.25">
      <c r="A20401">
        <v>5105390041</v>
      </c>
      <c r="B20401" t="s">
        <v>8366</v>
      </c>
    </row>
    <row r="20402" spans="1:2" x14ac:dyDescent="0.25">
      <c r="A20402">
        <v>51053900411</v>
      </c>
      <c r="B20402" t="s">
        <v>8336</v>
      </c>
    </row>
    <row r="20403" spans="1:2" x14ac:dyDescent="0.25">
      <c r="A20403">
        <v>51053900412</v>
      </c>
      <c r="B20403" t="s">
        <v>8337</v>
      </c>
    </row>
    <row r="20404" spans="1:2" x14ac:dyDescent="0.25">
      <c r="A20404">
        <v>51053900419</v>
      </c>
      <c r="B20404" t="s">
        <v>10</v>
      </c>
    </row>
    <row r="20405" spans="1:2" x14ac:dyDescent="0.25">
      <c r="A20405">
        <v>5105390042</v>
      </c>
      <c r="B20405" t="s">
        <v>8367</v>
      </c>
    </row>
    <row r="20406" spans="1:2" x14ac:dyDescent="0.25">
      <c r="A20406">
        <v>51053900421</v>
      </c>
      <c r="B20406" t="s">
        <v>8336</v>
      </c>
    </row>
    <row r="20407" spans="1:2" x14ac:dyDescent="0.25">
      <c r="A20407">
        <v>51053900422</v>
      </c>
      <c r="B20407" t="s">
        <v>8337</v>
      </c>
    </row>
    <row r="20408" spans="1:2" x14ac:dyDescent="0.25">
      <c r="A20408">
        <v>51053900429</v>
      </c>
      <c r="B20408" t="s">
        <v>10</v>
      </c>
    </row>
    <row r="20409" spans="1:2" x14ac:dyDescent="0.25">
      <c r="A20409">
        <v>510539005</v>
      </c>
      <c r="B20409" t="s">
        <v>8338</v>
      </c>
    </row>
    <row r="20410" spans="1:2" x14ac:dyDescent="0.25">
      <c r="A20410">
        <v>5105390051</v>
      </c>
      <c r="B20410" t="s">
        <v>8366</v>
      </c>
    </row>
    <row r="20411" spans="1:2" x14ac:dyDescent="0.25">
      <c r="A20411">
        <v>51053900511</v>
      </c>
      <c r="B20411" t="s">
        <v>8336</v>
      </c>
    </row>
    <row r="20412" spans="1:2" x14ac:dyDescent="0.25">
      <c r="A20412">
        <v>51053900512</v>
      </c>
      <c r="B20412" t="s">
        <v>8337</v>
      </c>
    </row>
    <row r="20413" spans="1:2" x14ac:dyDescent="0.25">
      <c r="A20413">
        <v>51053900519</v>
      </c>
      <c r="B20413" t="s">
        <v>10</v>
      </c>
    </row>
    <row r="20414" spans="1:2" x14ac:dyDescent="0.25">
      <c r="A20414">
        <v>5105390052</v>
      </c>
      <c r="B20414" t="s">
        <v>8367</v>
      </c>
    </row>
    <row r="20415" spans="1:2" x14ac:dyDescent="0.25">
      <c r="A20415">
        <v>51053900521</v>
      </c>
      <c r="B20415" t="s">
        <v>8336</v>
      </c>
    </row>
    <row r="20416" spans="1:2" x14ac:dyDescent="0.25">
      <c r="A20416">
        <v>51053900522</v>
      </c>
      <c r="B20416" t="s">
        <v>8337</v>
      </c>
    </row>
    <row r="20417" spans="1:2" x14ac:dyDescent="0.25">
      <c r="A20417">
        <v>51053900529</v>
      </c>
      <c r="B20417" t="s">
        <v>10</v>
      </c>
    </row>
    <row r="20418" spans="1:2" x14ac:dyDescent="0.25">
      <c r="A20418">
        <v>510539006</v>
      </c>
      <c r="B20418" t="s">
        <v>220</v>
      </c>
    </row>
    <row r="20419" spans="1:2" x14ac:dyDescent="0.25">
      <c r="A20419">
        <v>51053900610</v>
      </c>
      <c r="B20419" t="s">
        <v>8366</v>
      </c>
    </row>
    <row r="20420" spans="1:2" x14ac:dyDescent="0.25">
      <c r="A20420">
        <v>51053900620</v>
      </c>
      <c r="B20420" t="s">
        <v>8367</v>
      </c>
    </row>
    <row r="20421" spans="1:2" x14ac:dyDescent="0.25">
      <c r="A20421">
        <v>510539007</v>
      </c>
      <c r="B20421" t="s">
        <v>218</v>
      </c>
    </row>
    <row r="20422" spans="1:2" x14ac:dyDescent="0.25">
      <c r="A20422">
        <v>5105390071</v>
      </c>
      <c r="B20422" t="s">
        <v>8368</v>
      </c>
    </row>
    <row r="20423" spans="1:2" x14ac:dyDescent="0.25">
      <c r="A20423">
        <v>51053900711</v>
      </c>
      <c r="B20423" t="s">
        <v>8366</v>
      </c>
    </row>
    <row r="20424" spans="1:2" x14ac:dyDescent="0.25">
      <c r="A20424">
        <v>51053900712</v>
      </c>
      <c r="B20424" t="s">
        <v>8367</v>
      </c>
    </row>
    <row r="20425" spans="1:2" x14ac:dyDescent="0.25">
      <c r="A20425">
        <v>5105390079</v>
      </c>
      <c r="B20425" t="s">
        <v>10</v>
      </c>
    </row>
    <row r="20426" spans="1:2" x14ac:dyDescent="0.25">
      <c r="A20426">
        <v>51053900791</v>
      </c>
      <c r="B20426" t="s">
        <v>8366</v>
      </c>
    </row>
    <row r="20427" spans="1:2" x14ac:dyDescent="0.25">
      <c r="A20427">
        <v>51053900792</v>
      </c>
      <c r="B20427" t="s">
        <v>8367</v>
      </c>
    </row>
    <row r="20428" spans="1:2" x14ac:dyDescent="0.25">
      <c r="A20428">
        <v>510539009</v>
      </c>
      <c r="B20428" t="s">
        <v>10</v>
      </c>
    </row>
    <row r="20429" spans="1:2" x14ac:dyDescent="0.25">
      <c r="A20429">
        <v>51053900910</v>
      </c>
      <c r="B20429" t="s">
        <v>8366</v>
      </c>
    </row>
    <row r="20430" spans="1:2" x14ac:dyDescent="0.25">
      <c r="A20430">
        <v>51053900920</v>
      </c>
      <c r="B20430" t="s">
        <v>8367</v>
      </c>
    </row>
    <row r="20431" spans="1:2" x14ac:dyDescent="0.25">
      <c r="A20431">
        <v>51054000</v>
      </c>
      <c r="B20431" t="e">
        <f>- Pelo ordinario cardado o peinado</f>
        <v>#NAME?</v>
      </c>
    </row>
    <row r="20432" spans="1:2" x14ac:dyDescent="0.25">
      <c r="A20432">
        <v>51054000100</v>
      </c>
      <c r="B20432" t="s">
        <v>8369</v>
      </c>
    </row>
    <row r="20433" spans="1:2" x14ac:dyDescent="0.25">
      <c r="A20433">
        <v>51054000200</v>
      </c>
      <c r="B20433" t="s">
        <v>8370</v>
      </c>
    </row>
    <row r="20434" spans="1:2" x14ac:dyDescent="0.25">
      <c r="A20434">
        <v>51054000900</v>
      </c>
      <c r="B20434" t="s">
        <v>10</v>
      </c>
    </row>
    <row r="20435" spans="1:2" x14ac:dyDescent="0.25">
      <c r="A20435">
        <v>5106</v>
      </c>
      <c r="B20435" t="s">
        <v>8371</v>
      </c>
    </row>
    <row r="20436" spans="1:2" x14ac:dyDescent="0.25">
      <c r="A20436">
        <v>51061000000</v>
      </c>
      <c r="B20436" t="s">
        <v>8372</v>
      </c>
    </row>
    <row r="20437" spans="1:2" x14ac:dyDescent="0.25">
      <c r="A20437">
        <v>51062000</v>
      </c>
      <c r="B20437" t="s">
        <v>8373</v>
      </c>
    </row>
    <row r="20438" spans="1:2" x14ac:dyDescent="0.25">
      <c r="A20438">
        <v>51062000100</v>
      </c>
      <c r="B20438" t="s">
        <v>8374</v>
      </c>
    </row>
    <row r="20439" spans="1:2" x14ac:dyDescent="0.25">
      <c r="A20439">
        <v>51062000200</v>
      </c>
      <c r="B20439" t="s">
        <v>8375</v>
      </c>
    </row>
    <row r="20440" spans="1:2" x14ac:dyDescent="0.25">
      <c r="A20440">
        <v>51062000300</v>
      </c>
      <c r="B20440" t="s">
        <v>8376</v>
      </c>
    </row>
    <row r="20441" spans="1:2" x14ac:dyDescent="0.25">
      <c r="A20441">
        <v>51062000400</v>
      </c>
      <c r="B20441" t="s">
        <v>8377</v>
      </c>
    </row>
    <row r="20442" spans="1:2" x14ac:dyDescent="0.25">
      <c r="A20442">
        <v>51062000500</v>
      </c>
      <c r="B20442" t="s">
        <v>8378</v>
      </c>
    </row>
    <row r="20443" spans="1:2" x14ac:dyDescent="0.25">
      <c r="A20443">
        <v>51062000600</v>
      </c>
      <c r="B20443" t="s">
        <v>8379</v>
      </c>
    </row>
    <row r="20444" spans="1:2" x14ac:dyDescent="0.25">
      <c r="A20444">
        <v>51062000700</v>
      </c>
      <c r="B20444" t="s">
        <v>8380</v>
      </c>
    </row>
    <row r="20445" spans="1:2" x14ac:dyDescent="0.25">
      <c r="A20445">
        <v>51062000900</v>
      </c>
      <c r="B20445" t="s">
        <v>10</v>
      </c>
    </row>
    <row r="20446" spans="1:2" x14ac:dyDescent="0.25">
      <c r="A20446">
        <v>5107</v>
      </c>
      <c r="B20446" t="s">
        <v>8381</v>
      </c>
    </row>
    <row r="20447" spans="1:2" x14ac:dyDescent="0.25">
      <c r="A20447">
        <v>510710</v>
      </c>
      <c r="B20447" t="s">
        <v>8382</v>
      </c>
    </row>
    <row r="20448" spans="1:2" x14ac:dyDescent="0.25">
      <c r="A20448">
        <v>5107101</v>
      </c>
      <c r="B20448" t="s">
        <v>8383</v>
      </c>
    </row>
    <row r="20449" spans="1:2" x14ac:dyDescent="0.25">
      <c r="A20449">
        <v>51071011000</v>
      </c>
      <c r="B20449" t="s">
        <v>8384</v>
      </c>
    </row>
    <row r="20450" spans="1:2" x14ac:dyDescent="0.25">
      <c r="A20450">
        <v>51071019000</v>
      </c>
      <c r="B20450" t="s">
        <v>10</v>
      </c>
    </row>
    <row r="20451" spans="1:2" x14ac:dyDescent="0.25">
      <c r="A20451">
        <v>51071090000</v>
      </c>
      <c r="B20451" t="s">
        <v>10</v>
      </c>
    </row>
    <row r="20452" spans="1:2" x14ac:dyDescent="0.25">
      <c r="A20452">
        <v>51072000</v>
      </c>
      <c r="B20452" t="s">
        <v>8373</v>
      </c>
    </row>
    <row r="20453" spans="1:2" x14ac:dyDescent="0.25">
      <c r="A20453">
        <v>51072000100</v>
      </c>
      <c r="B20453" t="s">
        <v>8385</v>
      </c>
    </row>
    <row r="20454" spans="1:2" x14ac:dyDescent="0.25">
      <c r="A20454">
        <v>51072000200</v>
      </c>
      <c r="B20454" t="s">
        <v>8374</v>
      </c>
    </row>
    <row r="20455" spans="1:2" x14ac:dyDescent="0.25">
      <c r="A20455">
        <v>51072000300</v>
      </c>
      <c r="B20455" t="s">
        <v>8375</v>
      </c>
    </row>
    <row r="20456" spans="1:2" x14ac:dyDescent="0.25">
      <c r="A20456">
        <v>51072000400</v>
      </c>
      <c r="B20456" t="s">
        <v>8376</v>
      </c>
    </row>
    <row r="20457" spans="1:2" x14ac:dyDescent="0.25">
      <c r="A20457">
        <v>51072000500</v>
      </c>
      <c r="B20457" t="s">
        <v>8377</v>
      </c>
    </row>
    <row r="20458" spans="1:2" x14ac:dyDescent="0.25">
      <c r="A20458">
        <v>51072000600</v>
      </c>
      <c r="B20458" t="s">
        <v>8378</v>
      </c>
    </row>
    <row r="20459" spans="1:2" x14ac:dyDescent="0.25">
      <c r="A20459">
        <v>51072000700</v>
      </c>
      <c r="B20459" t="s">
        <v>8379</v>
      </c>
    </row>
    <row r="20460" spans="1:2" x14ac:dyDescent="0.25">
      <c r="A20460">
        <v>51072000800</v>
      </c>
      <c r="B20460" t="s">
        <v>8380</v>
      </c>
    </row>
    <row r="20461" spans="1:2" x14ac:dyDescent="0.25">
      <c r="A20461">
        <v>51072000900</v>
      </c>
      <c r="B20461" t="s">
        <v>10</v>
      </c>
    </row>
    <row r="20462" spans="1:2" x14ac:dyDescent="0.25">
      <c r="A20462">
        <v>5108</v>
      </c>
      <c r="B20462" t="s">
        <v>8386</v>
      </c>
    </row>
    <row r="20463" spans="1:2" x14ac:dyDescent="0.25">
      <c r="A20463">
        <v>51081000000</v>
      </c>
      <c r="B20463" t="e">
        <f>-cardado</f>
        <v>#NAME?</v>
      </c>
    </row>
    <row r="20464" spans="1:2" x14ac:dyDescent="0.25">
      <c r="A20464">
        <v>51082000000</v>
      </c>
      <c r="B20464" t="e">
        <f>-peinado</f>
        <v>#NAME?</v>
      </c>
    </row>
    <row r="20465" spans="1:2" x14ac:dyDescent="0.25">
      <c r="A20465">
        <v>5109</v>
      </c>
      <c r="B20465" t="s">
        <v>8387</v>
      </c>
    </row>
    <row r="20466" spans="1:2" x14ac:dyDescent="0.25">
      <c r="A20466">
        <v>51091000000</v>
      </c>
      <c r="B20466" t="s">
        <v>8388</v>
      </c>
    </row>
    <row r="20467" spans="1:2" x14ac:dyDescent="0.25">
      <c r="A20467">
        <v>51099000</v>
      </c>
      <c r="B20467" t="e">
        <f>- Los demas</f>
        <v>#NAME?</v>
      </c>
    </row>
    <row r="20468" spans="1:2" x14ac:dyDescent="0.25">
      <c r="A20468">
        <v>51099000100</v>
      </c>
      <c r="B20468" t="s">
        <v>8385</v>
      </c>
    </row>
    <row r="20469" spans="1:2" x14ac:dyDescent="0.25">
      <c r="A20469">
        <v>51099000200</v>
      </c>
      <c r="B20469" t="s">
        <v>8374</v>
      </c>
    </row>
    <row r="20470" spans="1:2" x14ac:dyDescent="0.25">
      <c r="A20470">
        <v>51099000300</v>
      </c>
      <c r="B20470" t="s">
        <v>8375</v>
      </c>
    </row>
    <row r="20471" spans="1:2" x14ac:dyDescent="0.25">
      <c r="A20471">
        <v>51099000400</v>
      </c>
      <c r="B20471" t="s">
        <v>8376</v>
      </c>
    </row>
    <row r="20472" spans="1:2" x14ac:dyDescent="0.25">
      <c r="A20472">
        <v>51099000500</v>
      </c>
      <c r="B20472" t="s">
        <v>8377</v>
      </c>
    </row>
    <row r="20473" spans="1:2" x14ac:dyDescent="0.25">
      <c r="A20473">
        <v>51099000600</v>
      </c>
      <c r="B20473" t="s">
        <v>8378</v>
      </c>
    </row>
    <row r="20474" spans="1:2" x14ac:dyDescent="0.25">
      <c r="A20474">
        <v>51099000700</v>
      </c>
      <c r="B20474" t="s">
        <v>8379</v>
      </c>
    </row>
    <row r="20475" spans="1:2" x14ac:dyDescent="0.25">
      <c r="A20475">
        <v>51099000800</v>
      </c>
      <c r="B20475" t="s">
        <v>8380</v>
      </c>
    </row>
    <row r="20476" spans="1:2" x14ac:dyDescent="0.25">
      <c r="A20476">
        <v>51099000900</v>
      </c>
      <c r="B20476" t="s">
        <v>10</v>
      </c>
    </row>
    <row r="20477" spans="1:2" x14ac:dyDescent="0.25">
      <c r="A20477">
        <v>51100000</v>
      </c>
      <c r="B20477" t="s">
        <v>8389</v>
      </c>
    </row>
    <row r="20478" spans="1:2" x14ac:dyDescent="0.25">
      <c r="A20478">
        <v>51100000100</v>
      </c>
      <c r="B20478" t="s">
        <v>8390</v>
      </c>
    </row>
    <row r="20479" spans="1:2" x14ac:dyDescent="0.25">
      <c r="A20479">
        <v>51100000900</v>
      </c>
      <c r="B20479" t="s">
        <v>10</v>
      </c>
    </row>
    <row r="20480" spans="1:2" x14ac:dyDescent="0.25">
      <c r="A20480">
        <v>5111</v>
      </c>
      <c r="B20480" t="s">
        <v>8391</v>
      </c>
    </row>
    <row r="20481" spans="1:2" x14ac:dyDescent="0.25">
      <c r="A20481">
        <v>51111</v>
      </c>
      <c r="B20481" t="s">
        <v>8392</v>
      </c>
    </row>
    <row r="20482" spans="1:2" x14ac:dyDescent="0.25">
      <c r="A20482">
        <v>511111</v>
      </c>
      <c r="B20482" t="s">
        <v>8393</v>
      </c>
    </row>
    <row r="20483" spans="1:2" x14ac:dyDescent="0.25">
      <c r="A20483">
        <v>51111110000</v>
      </c>
      <c r="B20483" t="s">
        <v>8344</v>
      </c>
    </row>
    <row r="20484" spans="1:2" x14ac:dyDescent="0.25">
      <c r="A20484">
        <v>51111120000</v>
      </c>
      <c r="B20484" t="s">
        <v>8345</v>
      </c>
    </row>
    <row r="20485" spans="1:2" x14ac:dyDescent="0.25">
      <c r="A20485">
        <v>51111900000</v>
      </c>
      <c r="B20485" t="e">
        <f>--Los demas</f>
        <v>#NAME?</v>
      </c>
    </row>
    <row r="20486" spans="1:2" x14ac:dyDescent="0.25">
      <c r="A20486">
        <v>51112000</v>
      </c>
      <c r="B20486" t="e">
        <f>- Los demas. mezclados exclusiva o principalmente Con filamentos sinteticos o artificiales</f>
        <v>#NAME?</v>
      </c>
    </row>
    <row r="20487" spans="1:2" x14ac:dyDescent="0.25">
      <c r="A20487">
        <v>51112000100</v>
      </c>
      <c r="B20487" t="s">
        <v>8394</v>
      </c>
    </row>
    <row r="20488" spans="1:2" x14ac:dyDescent="0.25">
      <c r="A20488">
        <v>51112000200</v>
      </c>
      <c r="B20488" t="s">
        <v>8395</v>
      </c>
    </row>
    <row r="20489" spans="1:2" x14ac:dyDescent="0.25">
      <c r="A20489">
        <v>51112000300</v>
      </c>
      <c r="B20489" t="s">
        <v>8396</v>
      </c>
    </row>
    <row r="20490" spans="1:2" x14ac:dyDescent="0.25">
      <c r="A20490">
        <v>51112000400</v>
      </c>
      <c r="B20490" t="s">
        <v>8397</v>
      </c>
    </row>
    <row r="20491" spans="1:2" x14ac:dyDescent="0.25">
      <c r="A20491">
        <v>51112000900</v>
      </c>
      <c r="B20491" t="s">
        <v>10</v>
      </c>
    </row>
    <row r="20492" spans="1:2" x14ac:dyDescent="0.25">
      <c r="A20492">
        <v>511130</v>
      </c>
      <c r="B20492" t="e">
        <f>- Los demas. mezclados exclusiva o principalmente Con fibras sinteticas o artificiales discontinuas</f>
        <v>#NAME?</v>
      </c>
    </row>
    <row r="20493" spans="1:2" x14ac:dyDescent="0.25">
      <c r="A20493">
        <v>51113010000</v>
      </c>
      <c r="B20493" t="s">
        <v>8398</v>
      </c>
    </row>
    <row r="20494" spans="1:2" x14ac:dyDescent="0.25">
      <c r="A20494">
        <v>51113090</v>
      </c>
      <c r="B20494" t="s">
        <v>10</v>
      </c>
    </row>
    <row r="20495" spans="1:2" x14ac:dyDescent="0.25">
      <c r="A20495">
        <v>51113090100</v>
      </c>
      <c r="B20495" t="s">
        <v>8394</v>
      </c>
    </row>
    <row r="20496" spans="1:2" x14ac:dyDescent="0.25">
      <c r="A20496">
        <v>51113090200</v>
      </c>
      <c r="B20496" t="s">
        <v>8395</v>
      </c>
    </row>
    <row r="20497" spans="1:2" x14ac:dyDescent="0.25">
      <c r="A20497">
        <v>51113090300</v>
      </c>
      <c r="B20497" t="s">
        <v>8396</v>
      </c>
    </row>
    <row r="20498" spans="1:2" x14ac:dyDescent="0.25">
      <c r="A20498">
        <v>51113090400</v>
      </c>
      <c r="B20498" t="s">
        <v>8397</v>
      </c>
    </row>
    <row r="20499" spans="1:2" x14ac:dyDescent="0.25">
      <c r="A20499">
        <v>51113090900</v>
      </c>
      <c r="B20499" t="s">
        <v>10</v>
      </c>
    </row>
    <row r="20500" spans="1:2" x14ac:dyDescent="0.25">
      <c r="A20500">
        <v>51119000</v>
      </c>
      <c r="B20500" t="e">
        <f>- Los demas</f>
        <v>#NAME?</v>
      </c>
    </row>
    <row r="20501" spans="1:2" x14ac:dyDescent="0.25">
      <c r="A20501">
        <v>51119000100</v>
      </c>
      <c r="B20501" t="s">
        <v>8399</v>
      </c>
    </row>
    <row r="20502" spans="1:2" x14ac:dyDescent="0.25">
      <c r="A20502">
        <v>51119000200</v>
      </c>
      <c r="B20502" t="s">
        <v>8286</v>
      </c>
    </row>
    <row r="20503" spans="1:2" x14ac:dyDescent="0.25">
      <c r="A20503">
        <v>51119000300</v>
      </c>
      <c r="B20503" t="s">
        <v>8400</v>
      </c>
    </row>
    <row r="20504" spans="1:2" x14ac:dyDescent="0.25">
      <c r="A20504">
        <v>51119000400</v>
      </c>
      <c r="B20504" t="s">
        <v>8401</v>
      </c>
    </row>
    <row r="20505" spans="1:2" x14ac:dyDescent="0.25">
      <c r="A20505">
        <v>51119000500</v>
      </c>
      <c r="B20505" t="s">
        <v>8287</v>
      </c>
    </row>
    <row r="20506" spans="1:2" x14ac:dyDescent="0.25">
      <c r="A20506">
        <v>51119000900</v>
      </c>
      <c r="B20506" t="s">
        <v>10</v>
      </c>
    </row>
    <row r="20507" spans="1:2" x14ac:dyDescent="0.25">
      <c r="A20507">
        <v>5112</v>
      </c>
      <c r="B20507" t="s">
        <v>8402</v>
      </c>
    </row>
    <row r="20508" spans="1:2" x14ac:dyDescent="0.25">
      <c r="A20508">
        <v>51121</v>
      </c>
      <c r="B20508" t="s">
        <v>8392</v>
      </c>
    </row>
    <row r="20509" spans="1:2" x14ac:dyDescent="0.25">
      <c r="A20509">
        <v>51121100</v>
      </c>
      <c r="B20509" t="s">
        <v>8403</v>
      </c>
    </row>
    <row r="20510" spans="1:2" x14ac:dyDescent="0.25">
      <c r="A20510">
        <v>51121100100</v>
      </c>
      <c r="B20510" t="s">
        <v>8344</v>
      </c>
    </row>
    <row r="20511" spans="1:2" x14ac:dyDescent="0.25">
      <c r="A20511">
        <v>51121100200</v>
      </c>
      <c r="B20511" t="s">
        <v>8345</v>
      </c>
    </row>
    <row r="20512" spans="1:2" x14ac:dyDescent="0.25">
      <c r="A20512">
        <v>511219</v>
      </c>
      <c r="B20512" t="e">
        <f>- - Los demas</f>
        <v>#NAME?</v>
      </c>
    </row>
    <row r="20513" spans="1:2" x14ac:dyDescent="0.25">
      <c r="A20513">
        <v>51121910000</v>
      </c>
      <c r="B20513" t="s">
        <v>8344</v>
      </c>
    </row>
    <row r="20514" spans="1:2" x14ac:dyDescent="0.25">
      <c r="A20514">
        <v>51121920000</v>
      </c>
      <c r="B20514" t="s">
        <v>8345</v>
      </c>
    </row>
    <row r="20515" spans="1:2" x14ac:dyDescent="0.25">
      <c r="A20515">
        <v>511220</v>
      </c>
      <c r="B20515" t="e">
        <f>- Los demas. mezclados exclusiva o principalmente Con filamentos sinteticos o artificiales</f>
        <v>#NAME?</v>
      </c>
    </row>
    <row r="20516" spans="1:2" x14ac:dyDescent="0.25">
      <c r="A20516">
        <v>51122010</v>
      </c>
      <c r="B20516" t="s">
        <v>8344</v>
      </c>
    </row>
    <row r="20517" spans="1:2" x14ac:dyDescent="0.25">
      <c r="A20517">
        <v>51122010100</v>
      </c>
      <c r="B20517" t="s">
        <v>8394</v>
      </c>
    </row>
    <row r="20518" spans="1:2" x14ac:dyDescent="0.25">
      <c r="A20518">
        <v>51122010200</v>
      </c>
      <c r="B20518" t="s">
        <v>8395</v>
      </c>
    </row>
    <row r="20519" spans="1:2" x14ac:dyDescent="0.25">
      <c r="A20519">
        <v>51122010300</v>
      </c>
      <c r="B20519" t="s">
        <v>8396</v>
      </c>
    </row>
    <row r="20520" spans="1:2" x14ac:dyDescent="0.25">
      <c r="A20520">
        <v>51122010400</v>
      </c>
      <c r="B20520" t="s">
        <v>8397</v>
      </c>
    </row>
    <row r="20521" spans="1:2" x14ac:dyDescent="0.25">
      <c r="A20521">
        <v>51122010900</v>
      </c>
      <c r="B20521" t="s">
        <v>10</v>
      </c>
    </row>
    <row r="20522" spans="1:2" x14ac:dyDescent="0.25">
      <c r="A20522">
        <v>51122020</v>
      </c>
      <c r="B20522" t="s">
        <v>8345</v>
      </c>
    </row>
    <row r="20523" spans="1:2" x14ac:dyDescent="0.25">
      <c r="A20523">
        <v>51122020100</v>
      </c>
      <c r="B20523" t="s">
        <v>8394</v>
      </c>
    </row>
    <row r="20524" spans="1:2" x14ac:dyDescent="0.25">
      <c r="A20524">
        <v>51122020200</v>
      </c>
      <c r="B20524" t="s">
        <v>8395</v>
      </c>
    </row>
    <row r="20525" spans="1:2" x14ac:dyDescent="0.25">
      <c r="A20525">
        <v>51122020300</v>
      </c>
      <c r="B20525" t="s">
        <v>8396</v>
      </c>
    </row>
    <row r="20526" spans="1:2" x14ac:dyDescent="0.25">
      <c r="A20526">
        <v>51122020400</v>
      </c>
      <c r="B20526" t="s">
        <v>8397</v>
      </c>
    </row>
    <row r="20527" spans="1:2" x14ac:dyDescent="0.25">
      <c r="A20527">
        <v>51122020900</v>
      </c>
      <c r="B20527" t="s">
        <v>10</v>
      </c>
    </row>
    <row r="20528" spans="1:2" x14ac:dyDescent="0.25">
      <c r="A20528">
        <v>511230</v>
      </c>
      <c r="B20528" t="e">
        <f>- Los demas. mezclados exclusiva o principalmente Con fibras sinteticas o artificiales discontinuas</f>
        <v>#NAME?</v>
      </c>
    </row>
    <row r="20529" spans="1:2" x14ac:dyDescent="0.25">
      <c r="A20529">
        <v>51123010</v>
      </c>
      <c r="B20529" t="s">
        <v>8344</v>
      </c>
    </row>
    <row r="20530" spans="1:2" x14ac:dyDescent="0.25">
      <c r="A20530">
        <v>51123010100</v>
      </c>
      <c r="B20530" t="s">
        <v>8394</v>
      </c>
    </row>
    <row r="20531" spans="1:2" x14ac:dyDescent="0.25">
      <c r="A20531">
        <v>51123010200</v>
      </c>
      <c r="B20531" t="s">
        <v>8395</v>
      </c>
    </row>
    <row r="20532" spans="1:2" x14ac:dyDescent="0.25">
      <c r="A20532">
        <v>51123010300</v>
      </c>
      <c r="B20532" t="s">
        <v>8396</v>
      </c>
    </row>
    <row r="20533" spans="1:2" x14ac:dyDescent="0.25">
      <c r="A20533">
        <v>51123010400</v>
      </c>
      <c r="B20533" t="s">
        <v>8397</v>
      </c>
    </row>
    <row r="20534" spans="1:2" x14ac:dyDescent="0.25">
      <c r="A20534">
        <v>51123010900</v>
      </c>
      <c r="B20534" t="s">
        <v>10</v>
      </c>
    </row>
    <row r="20535" spans="1:2" x14ac:dyDescent="0.25">
      <c r="A20535">
        <v>51123020</v>
      </c>
      <c r="B20535" t="s">
        <v>8345</v>
      </c>
    </row>
    <row r="20536" spans="1:2" x14ac:dyDescent="0.25">
      <c r="A20536">
        <v>51123020100</v>
      </c>
      <c r="B20536" t="s">
        <v>8394</v>
      </c>
    </row>
    <row r="20537" spans="1:2" x14ac:dyDescent="0.25">
      <c r="A20537">
        <v>51123020200</v>
      </c>
      <c r="B20537" t="s">
        <v>8395</v>
      </c>
    </row>
    <row r="20538" spans="1:2" x14ac:dyDescent="0.25">
      <c r="A20538">
        <v>51123020300</v>
      </c>
      <c r="B20538" t="s">
        <v>8396</v>
      </c>
    </row>
    <row r="20539" spans="1:2" x14ac:dyDescent="0.25">
      <c r="A20539">
        <v>51123020400</v>
      </c>
      <c r="B20539" t="s">
        <v>8397</v>
      </c>
    </row>
    <row r="20540" spans="1:2" x14ac:dyDescent="0.25">
      <c r="A20540">
        <v>51123020900</v>
      </c>
      <c r="B20540" t="s">
        <v>10</v>
      </c>
    </row>
    <row r="20541" spans="1:2" x14ac:dyDescent="0.25">
      <c r="A20541">
        <v>51129000</v>
      </c>
      <c r="B20541" t="e">
        <f>- Los demas</f>
        <v>#NAME?</v>
      </c>
    </row>
    <row r="20542" spans="1:2" x14ac:dyDescent="0.25">
      <c r="A20542">
        <v>51129000100</v>
      </c>
      <c r="B20542" t="s">
        <v>8399</v>
      </c>
    </row>
    <row r="20543" spans="1:2" x14ac:dyDescent="0.25">
      <c r="A20543">
        <v>51129000200</v>
      </c>
      <c r="B20543" t="s">
        <v>8286</v>
      </c>
    </row>
    <row r="20544" spans="1:2" x14ac:dyDescent="0.25">
      <c r="A20544">
        <v>51129000300</v>
      </c>
      <c r="B20544" t="s">
        <v>8400</v>
      </c>
    </row>
    <row r="20545" spans="1:2" x14ac:dyDescent="0.25">
      <c r="A20545">
        <v>51129000400</v>
      </c>
      <c r="B20545" t="s">
        <v>8401</v>
      </c>
    </row>
    <row r="20546" spans="1:2" x14ac:dyDescent="0.25">
      <c r="A20546">
        <v>51129000500</v>
      </c>
      <c r="B20546" t="s">
        <v>8287</v>
      </c>
    </row>
    <row r="20547" spans="1:2" x14ac:dyDescent="0.25">
      <c r="A20547">
        <v>51129000900</v>
      </c>
      <c r="B20547" t="s">
        <v>10</v>
      </c>
    </row>
    <row r="20548" spans="1:2" x14ac:dyDescent="0.25">
      <c r="A20548">
        <v>511300</v>
      </c>
      <c r="B20548" t="s">
        <v>8404</v>
      </c>
    </row>
    <row r="20549" spans="1:2" x14ac:dyDescent="0.25">
      <c r="A20549">
        <v>5113001</v>
      </c>
      <c r="B20549" t="s">
        <v>8347</v>
      </c>
    </row>
    <row r="20550" spans="1:2" x14ac:dyDescent="0.25">
      <c r="A20550">
        <v>51130011000</v>
      </c>
      <c r="B20550" t="s">
        <v>8405</v>
      </c>
    </row>
    <row r="20551" spans="1:2" x14ac:dyDescent="0.25">
      <c r="A20551">
        <v>51130012000</v>
      </c>
      <c r="B20551" t="s">
        <v>8406</v>
      </c>
    </row>
    <row r="20552" spans="1:2" x14ac:dyDescent="0.25">
      <c r="A20552">
        <v>51130013000</v>
      </c>
      <c r="B20552" t="s">
        <v>8407</v>
      </c>
    </row>
    <row r="20553" spans="1:2" x14ac:dyDescent="0.25">
      <c r="A20553">
        <v>51130020000</v>
      </c>
      <c r="B20553" t="s">
        <v>8408</v>
      </c>
    </row>
    <row r="20554" spans="1:2" x14ac:dyDescent="0.25">
      <c r="A20554">
        <v>520100</v>
      </c>
      <c r="B20554" t="s">
        <v>8409</v>
      </c>
    </row>
    <row r="20555" spans="1:2" x14ac:dyDescent="0.25">
      <c r="A20555">
        <v>52010010000</v>
      </c>
      <c r="B20555" t="s">
        <v>8410</v>
      </c>
    </row>
    <row r="20556" spans="1:2" x14ac:dyDescent="0.25">
      <c r="A20556">
        <v>52010020</v>
      </c>
      <c r="B20556" t="s">
        <v>8411</v>
      </c>
    </row>
    <row r="20557" spans="1:2" x14ac:dyDescent="0.25">
      <c r="A20557">
        <v>52010020200</v>
      </c>
      <c r="B20557" t="s">
        <v>8412</v>
      </c>
    </row>
    <row r="20558" spans="1:2" x14ac:dyDescent="0.25">
      <c r="A20558">
        <v>52010020300</v>
      </c>
      <c r="B20558" t="s">
        <v>8413</v>
      </c>
    </row>
    <row r="20559" spans="1:2" x14ac:dyDescent="0.25">
      <c r="A20559">
        <v>52010020400</v>
      </c>
      <c r="B20559" t="s">
        <v>8414</v>
      </c>
    </row>
    <row r="20560" spans="1:2" x14ac:dyDescent="0.25">
      <c r="A20560">
        <v>52010020500</v>
      </c>
      <c r="B20560" t="s">
        <v>8415</v>
      </c>
    </row>
    <row r="20561" spans="1:2" x14ac:dyDescent="0.25">
      <c r="A20561">
        <v>52010020600</v>
      </c>
      <c r="B20561" t="s">
        <v>8416</v>
      </c>
    </row>
    <row r="20562" spans="1:2" x14ac:dyDescent="0.25">
      <c r="A20562">
        <v>52010020700</v>
      </c>
      <c r="B20562" t="s">
        <v>8417</v>
      </c>
    </row>
    <row r="20563" spans="1:2" x14ac:dyDescent="0.25">
      <c r="A20563">
        <v>52010020800</v>
      </c>
      <c r="B20563" t="s">
        <v>8418</v>
      </c>
    </row>
    <row r="20564" spans="1:2" x14ac:dyDescent="0.25">
      <c r="A20564">
        <v>52010020900</v>
      </c>
      <c r="B20564" t="s">
        <v>10</v>
      </c>
    </row>
    <row r="20565" spans="1:2" x14ac:dyDescent="0.25">
      <c r="A20565">
        <v>52010090000</v>
      </c>
      <c r="B20565" t="s">
        <v>10</v>
      </c>
    </row>
    <row r="20566" spans="1:2" x14ac:dyDescent="0.25">
      <c r="A20566">
        <v>5202</v>
      </c>
      <c r="B20566" t="s">
        <v>8419</v>
      </c>
    </row>
    <row r="20567" spans="1:2" x14ac:dyDescent="0.25">
      <c r="A20567">
        <v>52021000000</v>
      </c>
      <c r="B20567" t="e">
        <f>-desperdicios de hilados</f>
        <v>#NAME?</v>
      </c>
    </row>
    <row r="20568" spans="1:2" x14ac:dyDescent="0.25">
      <c r="A20568">
        <v>52029</v>
      </c>
      <c r="B20568" t="s">
        <v>28</v>
      </c>
    </row>
    <row r="20569" spans="1:2" x14ac:dyDescent="0.25">
      <c r="A20569">
        <v>52029100000</v>
      </c>
      <c r="B20569" t="e">
        <f>--Hilachas</f>
        <v>#NAME?</v>
      </c>
    </row>
    <row r="20570" spans="1:2" x14ac:dyDescent="0.25">
      <c r="A20570">
        <v>52029900000</v>
      </c>
      <c r="B20570" t="e">
        <f>--Los demas</f>
        <v>#NAME?</v>
      </c>
    </row>
    <row r="20571" spans="1:2" x14ac:dyDescent="0.25">
      <c r="A20571">
        <v>52030000000</v>
      </c>
      <c r="B20571" t="s">
        <v>8420</v>
      </c>
    </row>
    <row r="20572" spans="1:2" x14ac:dyDescent="0.25">
      <c r="A20572">
        <v>5204</v>
      </c>
      <c r="B20572" t="s">
        <v>8421</v>
      </c>
    </row>
    <row r="20573" spans="1:2" x14ac:dyDescent="0.25">
      <c r="A20573">
        <v>52041</v>
      </c>
      <c r="B20573" t="s">
        <v>8422</v>
      </c>
    </row>
    <row r="20574" spans="1:2" x14ac:dyDescent="0.25">
      <c r="A20574">
        <v>520411</v>
      </c>
      <c r="B20574" t="s">
        <v>8423</v>
      </c>
    </row>
    <row r="20575" spans="1:2" x14ac:dyDescent="0.25">
      <c r="A20575">
        <v>5204111</v>
      </c>
      <c r="B20575" t="s">
        <v>8424</v>
      </c>
    </row>
    <row r="20576" spans="1:2" x14ac:dyDescent="0.25">
      <c r="A20576">
        <v>52041111000</v>
      </c>
      <c r="B20576" t="s">
        <v>8425</v>
      </c>
    </row>
    <row r="20577" spans="1:2" x14ac:dyDescent="0.25">
      <c r="A20577">
        <v>52041112000</v>
      </c>
      <c r="B20577" t="s">
        <v>8426</v>
      </c>
    </row>
    <row r="20578" spans="1:2" x14ac:dyDescent="0.25">
      <c r="A20578">
        <v>52041120000</v>
      </c>
      <c r="B20578" t="s">
        <v>8427</v>
      </c>
    </row>
    <row r="20579" spans="1:2" x14ac:dyDescent="0.25">
      <c r="A20579">
        <v>5204113</v>
      </c>
      <c r="B20579" t="s">
        <v>8428</v>
      </c>
    </row>
    <row r="20580" spans="1:2" x14ac:dyDescent="0.25">
      <c r="A20580">
        <v>52041131000</v>
      </c>
      <c r="B20580" t="s">
        <v>8425</v>
      </c>
    </row>
    <row r="20581" spans="1:2" x14ac:dyDescent="0.25">
      <c r="A20581">
        <v>52041132000</v>
      </c>
      <c r="B20581" t="s">
        <v>8426</v>
      </c>
    </row>
    <row r="20582" spans="1:2" x14ac:dyDescent="0.25">
      <c r="A20582">
        <v>52041140000</v>
      </c>
      <c r="B20582" t="s">
        <v>8429</v>
      </c>
    </row>
    <row r="20583" spans="1:2" x14ac:dyDescent="0.25">
      <c r="A20583">
        <v>520419</v>
      </c>
      <c r="B20583" t="e">
        <f>- - Los demas</f>
        <v>#NAME?</v>
      </c>
    </row>
    <row r="20584" spans="1:2" x14ac:dyDescent="0.25">
      <c r="A20584">
        <v>5204191</v>
      </c>
      <c r="B20584" t="s">
        <v>8424</v>
      </c>
    </row>
    <row r="20585" spans="1:2" x14ac:dyDescent="0.25">
      <c r="A20585">
        <v>52041911</v>
      </c>
      <c r="B20585" t="s">
        <v>8425</v>
      </c>
    </row>
    <row r="20586" spans="1:2" x14ac:dyDescent="0.25">
      <c r="A20586">
        <v>52041911100</v>
      </c>
      <c r="B20586" t="s">
        <v>8430</v>
      </c>
    </row>
    <row r="20587" spans="1:2" x14ac:dyDescent="0.25">
      <c r="A20587">
        <v>52041911200</v>
      </c>
      <c r="B20587" t="s">
        <v>8431</v>
      </c>
    </row>
    <row r="20588" spans="1:2" x14ac:dyDescent="0.25">
      <c r="A20588">
        <v>52041911900</v>
      </c>
      <c r="B20588" t="s">
        <v>10</v>
      </c>
    </row>
    <row r="20589" spans="1:2" x14ac:dyDescent="0.25">
      <c r="A20589">
        <v>52041912</v>
      </c>
      <c r="B20589" t="s">
        <v>8426</v>
      </c>
    </row>
    <row r="20590" spans="1:2" x14ac:dyDescent="0.25">
      <c r="A20590">
        <v>52041912100</v>
      </c>
      <c r="B20590" t="s">
        <v>8430</v>
      </c>
    </row>
    <row r="20591" spans="1:2" x14ac:dyDescent="0.25">
      <c r="A20591">
        <v>52041912200</v>
      </c>
      <c r="B20591" t="s">
        <v>8431</v>
      </c>
    </row>
    <row r="20592" spans="1:2" x14ac:dyDescent="0.25">
      <c r="A20592">
        <v>52041912900</v>
      </c>
      <c r="B20592" t="s">
        <v>10</v>
      </c>
    </row>
    <row r="20593" spans="1:2" x14ac:dyDescent="0.25">
      <c r="A20593">
        <v>52041920</v>
      </c>
      <c r="B20593" t="s">
        <v>8427</v>
      </c>
    </row>
    <row r="20594" spans="1:2" x14ac:dyDescent="0.25">
      <c r="A20594">
        <v>52041920100</v>
      </c>
      <c r="B20594" t="s">
        <v>8430</v>
      </c>
    </row>
    <row r="20595" spans="1:2" x14ac:dyDescent="0.25">
      <c r="A20595">
        <v>52041920200</v>
      </c>
      <c r="B20595" t="s">
        <v>8431</v>
      </c>
    </row>
    <row r="20596" spans="1:2" x14ac:dyDescent="0.25">
      <c r="A20596">
        <v>52041920900</v>
      </c>
      <c r="B20596" t="s">
        <v>10</v>
      </c>
    </row>
    <row r="20597" spans="1:2" x14ac:dyDescent="0.25">
      <c r="A20597">
        <v>5204193</v>
      </c>
      <c r="B20597" t="s">
        <v>8428</v>
      </c>
    </row>
    <row r="20598" spans="1:2" x14ac:dyDescent="0.25">
      <c r="A20598">
        <v>52041931</v>
      </c>
      <c r="B20598" t="s">
        <v>8425</v>
      </c>
    </row>
    <row r="20599" spans="1:2" x14ac:dyDescent="0.25">
      <c r="A20599">
        <v>52041931100</v>
      </c>
      <c r="B20599" t="s">
        <v>8430</v>
      </c>
    </row>
    <row r="20600" spans="1:2" x14ac:dyDescent="0.25">
      <c r="A20600">
        <v>52041931200</v>
      </c>
      <c r="B20600" t="s">
        <v>8431</v>
      </c>
    </row>
    <row r="20601" spans="1:2" x14ac:dyDescent="0.25">
      <c r="A20601">
        <v>52041931900</v>
      </c>
      <c r="B20601" t="s">
        <v>10</v>
      </c>
    </row>
    <row r="20602" spans="1:2" x14ac:dyDescent="0.25">
      <c r="A20602">
        <v>52041932</v>
      </c>
      <c r="B20602" t="s">
        <v>8426</v>
      </c>
    </row>
    <row r="20603" spans="1:2" x14ac:dyDescent="0.25">
      <c r="A20603">
        <v>52041932100</v>
      </c>
      <c r="B20603" t="s">
        <v>8430</v>
      </c>
    </row>
    <row r="20604" spans="1:2" x14ac:dyDescent="0.25">
      <c r="A20604">
        <v>52041932200</v>
      </c>
      <c r="B20604" t="s">
        <v>8431</v>
      </c>
    </row>
    <row r="20605" spans="1:2" x14ac:dyDescent="0.25">
      <c r="A20605">
        <v>52041932900</v>
      </c>
      <c r="B20605" t="s">
        <v>10</v>
      </c>
    </row>
    <row r="20606" spans="1:2" x14ac:dyDescent="0.25">
      <c r="A20606">
        <v>52041940</v>
      </c>
      <c r="B20606" t="s">
        <v>8429</v>
      </c>
    </row>
    <row r="20607" spans="1:2" x14ac:dyDescent="0.25">
      <c r="A20607">
        <v>52041940100</v>
      </c>
      <c r="B20607" t="s">
        <v>8430</v>
      </c>
    </row>
    <row r="20608" spans="1:2" x14ac:dyDescent="0.25">
      <c r="A20608">
        <v>52041940200</v>
      </c>
      <c r="B20608" t="s">
        <v>8431</v>
      </c>
    </row>
    <row r="20609" spans="1:2" x14ac:dyDescent="0.25">
      <c r="A20609">
        <v>52041940900</v>
      </c>
      <c r="B20609" t="s">
        <v>10</v>
      </c>
    </row>
    <row r="20610" spans="1:2" x14ac:dyDescent="0.25">
      <c r="A20610">
        <v>52042000</v>
      </c>
      <c r="B20610" t="e">
        <f>- Acondicionado para la venta al por menor</f>
        <v>#NAME?</v>
      </c>
    </row>
    <row r="20611" spans="1:2" x14ac:dyDescent="0.25">
      <c r="A20611">
        <v>52042000100</v>
      </c>
      <c r="B20611" t="s">
        <v>8430</v>
      </c>
    </row>
    <row r="20612" spans="1:2" x14ac:dyDescent="0.25">
      <c r="A20612">
        <v>52042000200</v>
      </c>
      <c r="B20612" t="s">
        <v>8431</v>
      </c>
    </row>
    <row r="20613" spans="1:2" x14ac:dyDescent="0.25">
      <c r="A20613">
        <v>52042000900</v>
      </c>
      <c r="B20613" t="s">
        <v>10</v>
      </c>
    </row>
    <row r="20614" spans="1:2" x14ac:dyDescent="0.25">
      <c r="A20614">
        <v>5205</v>
      </c>
      <c r="B20614" t="s">
        <v>8432</v>
      </c>
    </row>
    <row r="20615" spans="1:2" x14ac:dyDescent="0.25">
      <c r="A20615">
        <v>52051</v>
      </c>
      <c r="B20615" t="s">
        <v>8433</v>
      </c>
    </row>
    <row r="20616" spans="1:2" x14ac:dyDescent="0.25">
      <c r="A20616">
        <v>52051100000</v>
      </c>
      <c r="B20616" t="s">
        <v>8434</v>
      </c>
    </row>
    <row r="20617" spans="1:2" x14ac:dyDescent="0.25">
      <c r="A20617">
        <v>52051200</v>
      </c>
      <c r="B20617" t="s">
        <v>8435</v>
      </c>
    </row>
    <row r="20618" spans="1:2" x14ac:dyDescent="0.25">
      <c r="A20618">
        <v>52051200100</v>
      </c>
      <c r="B20618" t="s">
        <v>8436</v>
      </c>
    </row>
    <row r="20619" spans="1:2" x14ac:dyDescent="0.25">
      <c r="A20619">
        <v>52051200200</v>
      </c>
      <c r="B20619" t="s">
        <v>8437</v>
      </c>
    </row>
    <row r="20620" spans="1:2" x14ac:dyDescent="0.25">
      <c r="A20620">
        <v>52051200300</v>
      </c>
      <c r="B20620" t="s">
        <v>8438</v>
      </c>
    </row>
    <row r="20621" spans="1:2" x14ac:dyDescent="0.25">
      <c r="A20621">
        <v>52051200400</v>
      </c>
      <c r="B20621" t="s">
        <v>8439</v>
      </c>
    </row>
    <row r="20622" spans="1:2" x14ac:dyDescent="0.25">
      <c r="A20622">
        <v>520513</v>
      </c>
      <c r="B20622" t="s">
        <v>8440</v>
      </c>
    </row>
    <row r="20623" spans="1:2" x14ac:dyDescent="0.25">
      <c r="A20623">
        <v>52051310000</v>
      </c>
      <c r="B20623" t="s">
        <v>8441</v>
      </c>
    </row>
    <row r="20624" spans="1:2" x14ac:dyDescent="0.25">
      <c r="A20624">
        <v>52051390000</v>
      </c>
      <c r="B20624" t="s">
        <v>10</v>
      </c>
    </row>
    <row r="20625" spans="1:2" x14ac:dyDescent="0.25">
      <c r="A20625">
        <v>52051400000</v>
      </c>
      <c r="B20625" t="s">
        <v>8442</v>
      </c>
    </row>
    <row r="20626" spans="1:2" x14ac:dyDescent="0.25">
      <c r="A20626">
        <v>52051500000</v>
      </c>
      <c r="B20626" t="s">
        <v>8443</v>
      </c>
    </row>
    <row r="20627" spans="1:2" x14ac:dyDescent="0.25">
      <c r="A20627">
        <v>52052</v>
      </c>
      <c r="B20627" t="s">
        <v>8444</v>
      </c>
    </row>
    <row r="20628" spans="1:2" x14ac:dyDescent="0.25">
      <c r="A20628">
        <v>52052100000</v>
      </c>
      <c r="B20628" t="s">
        <v>8434</v>
      </c>
    </row>
    <row r="20629" spans="1:2" x14ac:dyDescent="0.25">
      <c r="A20629">
        <v>52052200</v>
      </c>
      <c r="B20629" t="s">
        <v>8435</v>
      </c>
    </row>
    <row r="20630" spans="1:2" x14ac:dyDescent="0.25">
      <c r="A20630">
        <v>52052200100</v>
      </c>
      <c r="B20630" t="s">
        <v>8436</v>
      </c>
    </row>
    <row r="20631" spans="1:2" x14ac:dyDescent="0.25">
      <c r="A20631">
        <v>52052200200</v>
      </c>
      <c r="B20631" t="s">
        <v>8437</v>
      </c>
    </row>
    <row r="20632" spans="1:2" x14ac:dyDescent="0.25">
      <c r="A20632">
        <v>52052200300</v>
      </c>
      <c r="B20632" t="s">
        <v>8438</v>
      </c>
    </row>
    <row r="20633" spans="1:2" x14ac:dyDescent="0.25">
      <c r="A20633">
        <v>52052200400</v>
      </c>
      <c r="B20633" t="s">
        <v>8439</v>
      </c>
    </row>
    <row r="20634" spans="1:2" x14ac:dyDescent="0.25">
      <c r="A20634">
        <v>520523</v>
      </c>
      <c r="B20634" t="s">
        <v>8440</v>
      </c>
    </row>
    <row r="20635" spans="1:2" x14ac:dyDescent="0.25">
      <c r="A20635">
        <v>52052310000</v>
      </c>
      <c r="B20635" t="s">
        <v>8441</v>
      </c>
    </row>
    <row r="20636" spans="1:2" x14ac:dyDescent="0.25">
      <c r="A20636">
        <v>52052390000</v>
      </c>
      <c r="B20636" t="s">
        <v>10</v>
      </c>
    </row>
    <row r="20637" spans="1:2" x14ac:dyDescent="0.25">
      <c r="A20637">
        <v>52052400000</v>
      </c>
      <c r="B20637" t="s">
        <v>8442</v>
      </c>
    </row>
    <row r="20638" spans="1:2" x14ac:dyDescent="0.25">
      <c r="A20638">
        <v>52052600000</v>
      </c>
      <c r="B20638" t="s">
        <v>8445</v>
      </c>
    </row>
    <row r="20639" spans="1:2" x14ac:dyDescent="0.25">
      <c r="A20639">
        <v>52052700000</v>
      </c>
      <c r="B20639" t="s">
        <v>8446</v>
      </c>
    </row>
    <row r="20640" spans="1:2" x14ac:dyDescent="0.25">
      <c r="A20640">
        <v>52052800000</v>
      </c>
      <c r="B20640" t="s">
        <v>8447</v>
      </c>
    </row>
    <row r="20641" spans="1:2" x14ac:dyDescent="0.25">
      <c r="A20641">
        <v>52053</v>
      </c>
      <c r="B20641" t="s">
        <v>8448</v>
      </c>
    </row>
    <row r="20642" spans="1:2" x14ac:dyDescent="0.25">
      <c r="A20642">
        <v>52053100000</v>
      </c>
      <c r="B20642" t="s">
        <v>8449</v>
      </c>
    </row>
    <row r="20643" spans="1:2" x14ac:dyDescent="0.25">
      <c r="A20643">
        <v>52053200</v>
      </c>
      <c r="B20643" t="s">
        <v>8450</v>
      </c>
    </row>
    <row r="20644" spans="1:2" x14ac:dyDescent="0.25">
      <c r="A20644">
        <v>52053200100</v>
      </c>
      <c r="B20644" t="s">
        <v>8451</v>
      </c>
    </row>
    <row r="20645" spans="1:2" x14ac:dyDescent="0.25">
      <c r="A20645">
        <v>52053200200</v>
      </c>
      <c r="B20645" t="s">
        <v>8452</v>
      </c>
    </row>
    <row r="20646" spans="1:2" x14ac:dyDescent="0.25">
      <c r="A20646">
        <v>52053200300</v>
      </c>
      <c r="B20646" t="s">
        <v>8453</v>
      </c>
    </row>
    <row r="20647" spans="1:2" x14ac:dyDescent="0.25">
      <c r="A20647">
        <v>52053200400</v>
      </c>
      <c r="B20647" t="s">
        <v>8454</v>
      </c>
    </row>
    <row r="20648" spans="1:2" x14ac:dyDescent="0.25">
      <c r="A20648">
        <v>52053300000</v>
      </c>
      <c r="B20648" t="s">
        <v>8455</v>
      </c>
    </row>
    <row r="20649" spans="1:2" x14ac:dyDescent="0.25">
      <c r="A20649">
        <v>52053400000</v>
      </c>
      <c r="B20649" t="s">
        <v>8456</v>
      </c>
    </row>
    <row r="20650" spans="1:2" x14ac:dyDescent="0.25">
      <c r="A20650">
        <v>52053500000</v>
      </c>
      <c r="B20650" t="s">
        <v>8457</v>
      </c>
    </row>
    <row r="20651" spans="1:2" x14ac:dyDescent="0.25">
      <c r="A20651">
        <v>52054</v>
      </c>
      <c r="B20651" t="s">
        <v>8458</v>
      </c>
    </row>
    <row r="20652" spans="1:2" x14ac:dyDescent="0.25">
      <c r="A20652">
        <v>52054100000</v>
      </c>
      <c r="B20652" t="s">
        <v>8449</v>
      </c>
    </row>
    <row r="20653" spans="1:2" x14ac:dyDescent="0.25">
      <c r="A20653">
        <v>52054200</v>
      </c>
      <c r="B20653" t="s">
        <v>8450</v>
      </c>
    </row>
    <row r="20654" spans="1:2" x14ac:dyDescent="0.25">
      <c r="A20654">
        <v>52054200100</v>
      </c>
      <c r="B20654" t="s">
        <v>8451</v>
      </c>
    </row>
    <row r="20655" spans="1:2" x14ac:dyDescent="0.25">
      <c r="A20655">
        <v>52054200200</v>
      </c>
      <c r="B20655" t="s">
        <v>8452</v>
      </c>
    </row>
    <row r="20656" spans="1:2" x14ac:dyDescent="0.25">
      <c r="A20656">
        <v>52054200300</v>
      </c>
      <c r="B20656" t="s">
        <v>8459</v>
      </c>
    </row>
    <row r="20657" spans="1:2" x14ac:dyDescent="0.25">
      <c r="A20657">
        <v>52054200400</v>
      </c>
      <c r="B20657" t="s">
        <v>8454</v>
      </c>
    </row>
    <row r="20658" spans="1:2" x14ac:dyDescent="0.25">
      <c r="A20658">
        <v>52054300000</v>
      </c>
      <c r="B20658" t="s">
        <v>8460</v>
      </c>
    </row>
    <row r="20659" spans="1:2" x14ac:dyDescent="0.25">
      <c r="A20659">
        <v>52054400000</v>
      </c>
      <c r="B20659" t="s">
        <v>8456</v>
      </c>
    </row>
    <row r="20660" spans="1:2" x14ac:dyDescent="0.25">
      <c r="A20660">
        <v>52054600000</v>
      </c>
      <c r="B20660" t="s">
        <v>8461</v>
      </c>
    </row>
    <row r="20661" spans="1:2" x14ac:dyDescent="0.25">
      <c r="A20661">
        <v>52054700000</v>
      </c>
      <c r="B20661" t="s">
        <v>8462</v>
      </c>
    </row>
    <row r="20662" spans="1:2" x14ac:dyDescent="0.25">
      <c r="A20662">
        <v>52054800000</v>
      </c>
      <c r="B20662" t="s">
        <v>8463</v>
      </c>
    </row>
    <row r="20663" spans="1:2" x14ac:dyDescent="0.25">
      <c r="A20663">
        <v>5206</v>
      </c>
      <c r="B20663" t="s">
        <v>8464</v>
      </c>
    </row>
    <row r="20664" spans="1:2" x14ac:dyDescent="0.25">
      <c r="A20664">
        <v>52061</v>
      </c>
      <c r="B20664" t="s">
        <v>8433</v>
      </c>
    </row>
    <row r="20665" spans="1:2" x14ac:dyDescent="0.25">
      <c r="A20665">
        <v>52061100000</v>
      </c>
      <c r="B20665" t="s">
        <v>8434</v>
      </c>
    </row>
    <row r="20666" spans="1:2" x14ac:dyDescent="0.25">
      <c r="A20666">
        <v>52061200</v>
      </c>
      <c r="B20666" t="s">
        <v>8435</v>
      </c>
    </row>
    <row r="20667" spans="1:2" x14ac:dyDescent="0.25">
      <c r="A20667">
        <v>52061200100</v>
      </c>
      <c r="B20667" t="s">
        <v>8436</v>
      </c>
    </row>
    <row r="20668" spans="1:2" x14ac:dyDescent="0.25">
      <c r="A20668">
        <v>52061200200</v>
      </c>
      <c r="B20668" t="s">
        <v>8437</v>
      </c>
    </row>
    <row r="20669" spans="1:2" x14ac:dyDescent="0.25">
      <c r="A20669">
        <v>52061200300</v>
      </c>
      <c r="B20669" t="s">
        <v>8438</v>
      </c>
    </row>
    <row r="20670" spans="1:2" x14ac:dyDescent="0.25">
      <c r="A20670">
        <v>52061200400</v>
      </c>
      <c r="B20670" t="s">
        <v>8439</v>
      </c>
    </row>
    <row r="20671" spans="1:2" x14ac:dyDescent="0.25">
      <c r="A20671">
        <v>52061300000</v>
      </c>
      <c r="B20671" t="s">
        <v>8465</v>
      </c>
    </row>
    <row r="20672" spans="1:2" x14ac:dyDescent="0.25">
      <c r="A20672">
        <v>52061400000</v>
      </c>
      <c r="B20672" t="s">
        <v>8442</v>
      </c>
    </row>
    <row r="20673" spans="1:2" x14ac:dyDescent="0.25">
      <c r="A20673">
        <v>52061500000</v>
      </c>
      <c r="B20673" t="s">
        <v>8443</v>
      </c>
    </row>
    <row r="20674" spans="1:2" x14ac:dyDescent="0.25">
      <c r="A20674">
        <v>52062</v>
      </c>
      <c r="B20674" t="s">
        <v>8466</v>
      </c>
    </row>
    <row r="20675" spans="1:2" x14ac:dyDescent="0.25">
      <c r="A20675">
        <v>52062100000</v>
      </c>
      <c r="B20675" t="s">
        <v>8434</v>
      </c>
    </row>
    <row r="20676" spans="1:2" x14ac:dyDescent="0.25">
      <c r="A20676">
        <v>52062200</v>
      </c>
      <c r="B20676" t="s">
        <v>8435</v>
      </c>
    </row>
    <row r="20677" spans="1:2" x14ac:dyDescent="0.25">
      <c r="A20677">
        <v>52062200100</v>
      </c>
      <c r="B20677" t="s">
        <v>8436</v>
      </c>
    </row>
    <row r="20678" spans="1:2" x14ac:dyDescent="0.25">
      <c r="A20678">
        <v>52062200200</v>
      </c>
      <c r="B20678" t="s">
        <v>8437</v>
      </c>
    </row>
    <row r="20679" spans="1:2" x14ac:dyDescent="0.25">
      <c r="A20679">
        <v>52062200300</v>
      </c>
      <c r="B20679" t="s">
        <v>8438</v>
      </c>
    </row>
    <row r="20680" spans="1:2" x14ac:dyDescent="0.25">
      <c r="A20680">
        <v>52062200400</v>
      </c>
      <c r="B20680" t="s">
        <v>8439</v>
      </c>
    </row>
    <row r="20681" spans="1:2" x14ac:dyDescent="0.25">
      <c r="A20681">
        <v>52062300000</v>
      </c>
      <c r="B20681" t="s">
        <v>8465</v>
      </c>
    </row>
    <row r="20682" spans="1:2" x14ac:dyDescent="0.25">
      <c r="A20682">
        <v>52062400000</v>
      </c>
      <c r="B20682" t="s">
        <v>8442</v>
      </c>
    </row>
    <row r="20683" spans="1:2" x14ac:dyDescent="0.25">
      <c r="A20683">
        <v>52062500000</v>
      </c>
      <c r="B20683" t="s">
        <v>8443</v>
      </c>
    </row>
    <row r="20684" spans="1:2" x14ac:dyDescent="0.25">
      <c r="A20684">
        <v>52063</v>
      </c>
      <c r="B20684" t="s">
        <v>8467</v>
      </c>
    </row>
    <row r="20685" spans="1:2" x14ac:dyDescent="0.25">
      <c r="A20685">
        <v>52063100000</v>
      </c>
      <c r="B20685" t="s">
        <v>8449</v>
      </c>
    </row>
    <row r="20686" spans="1:2" x14ac:dyDescent="0.25">
      <c r="A20686">
        <v>52063200</v>
      </c>
      <c r="B20686" t="s">
        <v>8450</v>
      </c>
    </row>
    <row r="20687" spans="1:2" x14ac:dyDescent="0.25">
      <c r="A20687">
        <v>52063200100</v>
      </c>
      <c r="B20687" t="s">
        <v>8451</v>
      </c>
    </row>
    <row r="20688" spans="1:2" x14ac:dyDescent="0.25">
      <c r="A20688">
        <v>52063200200</v>
      </c>
      <c r="B20688" t="s">
        <v>8452</v>
      </c>
    </row>
    <row r="20689" spans="1:2" x14ac:dyDescent="0.25">
      <c r="A20689">
        <v>52063200300</v>
      </c>
      <c r="B20689" t="s">
        <v>8459</v>
      </c>
    </row>
    <row r="20690" spans="1:2" x14ac:dyDescent="0.25">
      <c r="A20690">
        <v>52063200400</v>
      </c>
      <c r="B20690" t="s">
        <v>8454</v>
      </c>
    </row>
    <row r="20691" spans="1:2" x14ac:dyDescent="0.25">
      <c r="A20691">
        <v>52063300000</v>
      </c>
      <c r="B20691" t="s">
        <v>8455</v>
      </c>
    </row>
    <row r="20692" spans="1:2" x14ac:dyDescent="0.25">
      <c r="A20692">
        <v>52063400000</v>
      </c>
      <c r="B20692" t="s">
        <v>8456</v>
      </c>
    </row>
    <row r="20693" spans="1:2" x14ac:dyDescent="0.25">
      <c r="A20693">
        <v>52063500000</v>
      </c>
      <c r="B20693" t="s">
        <v>8457</v>
      </c>
    </row>
    <row r="20694" spans="1:2" x14ac:dyDescent="0.25">
      <c r="A20694">
        <v>52064</v>
      </c>
      <c r="B20694" t="s">
        <v>8458</v>
      </c>
    </row>
    <row r="20695" spans="1:2" x14ac:dyDescent="0.25">
      <c r="A20695">
        <v>52064100000</v>
      </c>
      <c r="B20695" t="s">
        <v>8449</v>
      </c>
    </row>
    <row r="20696" spans="1:2" x14ac:dyDescent="0.25">
      <c r="A20696">
        <v>52064200</v>
      </c>
      <c r="B20696" t="s">
        <v>8450</v>
      </c>
    </row>
    <row r="20697" spans="1:2" x14ac:dyDescent="0.25">
      <c r="A20697">
        <v>52064200100</v>
      </c>
      <c r="B20697" t="s">
        <v>8451</v>
      </c>
    </row>
    <row r="20698" spans="1:2" x14ac:dyDescent="0.25">
      <c r="A20698">
        <v>52064200200</v>
      </c>
      <c r="B20698" t="s">
        <v>8452</v>
      </c>
    </row>
    <row r="20699" spans="1:2" x14ac:dyDescent="0.25">
      <c r="A20699">
        <v>52064200300</v>
      </c>
      <c r="B20699" t="s">
        <v>8459</v>
      </c>
    </row>
    <row r="20700" spans="1:2" x14ac:dyDescent="0.25">
      <c r="A20700">
        <v>52064200400</v>
      </c>
      <c r="B20700" t="s">
        <v>8454</v>
      </c>
    </row>
    <row r="20701" spans="1:2" x14ac:dyDescent="0.25">
      <c r="A20701">
        <v>52064300000</v>
      </c>
      <c r="B20701" t="s">
        <v>8455</v>
      </c>
    </row>
    <row r="20702" spans="1:2" x14ac:dyDescent="0.25">
      <c r="A20702">
        <v>52064400000</v>
      </c>
      <c r="B20702" t="s">
        <v>8456</v>
      </c>
    </row>
    <row r="20703" spans="1:2" x14ac:dyDescent="0.25">
      <c r="A20703">
        <v>52064500000</v>
      </c>
      <c r="B20703" t="s">
        <v>8457</v>
      </c>
    </row>
    <row r="20704" spans="1:2" x14ac:dyDescent="0.25">
      <c r="A20704">
        <v>5207</v>
      </c>
      <c r="B20704" t="s">
        <v>8468</v>
      </c>
    </row>
    <row r="20705" spans="1:2" x14ac:dyDescent="0.25">
      <c r="A20705">
        <v>52071000000</v>
      </c>
      <c r="B20705" t="s">
        <v>8469</v>
      </c>
    </row>
    <row r="20706" spans="1:2" x14ac:dyDescent="0.25">
      <c r="A20706">
        <v>52079000</v>
      </c>
      <c r="B20706" t="e">
        <f>- Los demas</f>
        <v>#NAME?</v>
      </c>
    </row>
    <row r="20707" spans="1:2" x14ac:dyDescent="0.25">
      <c r="A20707">
        <v>52079000100</v>
      </c>
      <c r="B20707" t="s">
        <v>8430</v>
      </c>
    </row>
    <row r="20708" spans="1:2" x14ac:dyDescent="0.25">
      <c r="A20708">
        <v>52079000200</v>
      </c>
      <c r="B20708" t="s">
        <v>8431</v>
      </c>
    </row>
    <row r="20709" spans="1:2" x14ac:dyDescent="0.25">
      <c r="A20709">
        <v>52079000900</v>
      </c>
      <c r="B20709" t="s">
        <v>10</v>
      </c>
    </row>
    <row r="20710" spans="1:2" x14ac:dyDescent="0.25">
      <c r="A20710">
        <v>5208</v>
      </c>
      <c r="B20710" t="s">
        <v>8470</v>
      </c>
    </row>
    <row r="20711" spans="1:2" x14ac:dyDescent="0.25">
      <c r="A20711">
        <v>52081</v>
      </c>
      <c r="B20711" t="s">
        <v>8471</v>
      </c>
    </row>
    <row r="20712" spans="1:2" x14ac:dyDescent="0.25">
      <c r="A20712">
        <v>52081100</v>
      </c>
      <c r="B20712" t="s">
        <v>8472</v>
      </c>
    </row>
    <row r="20713" spans="1:2" x14ac:dyDescent="0.25">
      <c r="A20713">
        <v>52081100100</v>
      </c>
      <c r="B20713" t="s">
        <v>8473</v>
      </c>
    </row>
    <row r="20714" spans="1:2" x14ac:dyDescent="0.25">
      <c r="A20714">
        <v>52081100200</v>
      </c>
      <c r="B20714" t="s">
        <v>8474</v>
      </c>
    </row>
    <row r="20715" spans="1:2" x14ac:dyDescent="0.25">
      <c r="A20715">
        <v>52081100300</v>
      </c>
      <c r="B20715" t="s">
        <v>8475</v>
      </c>
    </row>
    <row r="20716" spans="1:2" x14ac:dyDescent="0.25">
      <c r="A20716">
        <v>52081100400</v>
      </c>
      <c r="B20716" t="s">
        <v>8476</v>
      </c>
    </row>
    <row r="20717" spans="1:2" x14ac:dyDescent="0.25">
      <c r="A20717">
        <v>52081100500</v>
      </c>
      <c r="B20717" t="s">
        <v>8477</v>
      </c>
    </row>
    <row r="20718" spans="1:2" x14ac:dyDescent="0.25">
      <c r="A20718">
        <v>52081100600</v>
      </c>
      <c r="B20718" t="s">
        <v>8478</v>
      </c>
    </row>
    <row r="20719" spans="1:2" x14ac:dyDescent="0.25">
      <c r="A20719">
        <v>52081100700</v>
      </c>
      <c r="B20719" t="s">
        <v>8479</v>
      </c>
    </row>
    <row r="20720" spans="1:2" x14ac:dyDescent="0.25">
      <c r="A20720">
        <v>52081100800</v>
      </c>
      <c r="B20720" t="s">
        <v>8480</v>
      </c>
    </row>
    <row r="20721" spans="1:2" x14ac:dyDescent="0.25">
      <c r="A20721">
        <v>52081100900</v>
      </c>
      <c r="B20721" t="s">
        <v>10</v>
      </c>
    </row>
    <row r="20722" spans="1:2" x14ac:dyDescent="0.25">
      <c r="A20722">
        <v>52081200</v>
      </c>
      <c r="B20722" t="s">
        <v>8481</v>
      </c>
    </row>
    <row r="20723" spans="1:2" x14ac:dyDescent="0.25">
      <c r="A20723">
        <v>52081200100</v>
      </c>
      <c r="B20723" t="s">
        <v>8482</v>
      </c>
    </row>
    <row r="20724" spans="1:2" x14ac:dyDescent="0.25">
      <c r="A20724">
        <v>52081200200</v>
      </c>
      <c r="B20724" t="s">
        <v>8483</v>
      </c>
    </row>
    <row r="20725" spans="1:2" x14ac:dyDescent="0.25">
      <c r="A20725">
        <v>52081200300</v>
      </c>
      <c r="B20725" t="s">
        <v>8484</v>
      </c>
    </row>
    <row r="20726" spans="1:2" x14ac:dyDescent="0.25">
      <c r="A20726">
        <v>52081200400</v>
      </c>
      <c r="B20726" t="s">
        <v>8485</v>
      </c>
    </row>
    <row r="20727" spans="1:2" x14ac:dyDescent="0.25">
      <c r="A20727">
        <v>52081200500</v>
      </c>
      <c r="B20727" t="s">
        <v>8486</v>
      </c>
    </row>
    <row r="20728" spans="1:2" x14ac:dyDescent="0.25">
      <c r="A20728">
        <v>52081200600</v>
      </c>
      <c r="B20728" t="s">
        <v>8487</v>
      </c>
    </row>
    <row r="20729" spans="1:2" x14ac:dyDescent="0.25">
      <c r="A20729">
        <v>52081200700</v>
      </c>
      <c r="B20729" t="s">
        <v>8488</v>
      </c>
    </row>
    <row r="20730" spans="1:2" x14ac:dyDescent="0.25">
      <c r="A20730">
        <v>52081200800</v>
      </c>
      <c r="B20730" t="s">
        <v>8489</v>
      </c>
    </row>
    <row r="20731" spans="1:2" x14ac:dyDescent="0.25">
      <c r="A20731">
        <v>52081200900</v>
      </c>
      <c r="B20731" t="s">
        <v>10</v>
      </c>
    </row>
    <row r="20732" spans="1:2" x14ac:dyDescent="0.25">
      <c r="A20732">
        <v>52081300</v>
      </c>
      <c r="B20732" t="s">
        <v>8490</v>
      </c>
    </row>
    <row r="20733" spans="1:2" x14ac:dyDescent="0.25">
      <c r="A20733">
        <v>52081300100</v>
      </c>
      <c r="B20733" t="s">
        <v>8491</v>
      </c>
    </row>
    <row r="20734" spans="1:2" x14ac:dyDescent="0.25">
      <c r="A20734">
        <v>52081300200</v>
      </c>
      <c r="B20734" t="s">
        <v>8492</v>
      </c>
    </row>
    <row r="20735" spans="1:2" x14ac:dyDescent="0.25">
      <c r="A20735">
        <v>52081300300</v>
      </c>
      <c r="B20735" t="s">
        <v>8493</v>
      </c>
    </row>
    <row r="20736" spans="1:2" x14ac:dyDescent="0.25">
      <c r="A20736">
        <v>52081300400</v>
      </c>
      <c r="B20736" t="s">
        <v>8494</v>
      </c>
    </row>
    <row r="20737" spans="1:2" x14ac:dyDescent="0.25">
      <c r="A20737">
        <v>52081300500</v>
      </c>
      <c r="B20737" t="s">
        <v>8487</v>
      </c>
    </row>
    <row r="20738" spans="1:2" x14ac:dyDescent="0.25">
      <c r="A20738">
        <v>52081300600</v>
      </c>
      <c r="B20738" t="s">
        <v>8495</v>
      </c>
    </row>
    <row r="20739" spans="1:2" x14ac:dyDescent="0.25">
      <c r="A20739">
        <v>52081300700</v>
      </c>
      <c r="B20739" t="s">
        <v>8496</v>
      </c>
    </row>
    <row r="20740" spans="1:2" x14ac:dyDescent="0.25">
      <c r="A20740">
        <v>52081300800</v>
      </c>
      <c r="B20740" t="s">
        <v>8497</v>
      </c>
    </row>
    <row r="20741" spans="1:2" x14ac:dyDescent="0.25">
      <c r="A20741">
        <v>52081300900</v>
      </c>
      <c r="B20741" t="s">
        <v>10</v>
      </c>
    </row>
    <row r="20742" spans="1:2" x14ac:dyDescent="0.25">
      <c r="A20742">
        <v>52081900</v>
      </c>
      <c r="B20742" t="e">
        <f>- - Los demas tejidos</f>
        <v>#NAME?</v>
      </c>
    </row>
    <row r="20743" spans="1:2" x14ac:dyDescent="0.25">
      <c r="A20743">
        <v>520819001</v>
      </c>
      <c r="B20743" t="s">
        <v>8498</v>
      </c>
    </row>
    <row r="20744" spans="1:2" x14ac:dyDescent="0.25">
      <c r="A20744">
        <v>52081900110</v>
      </c>
      <c r="B20744" t="s">
        <v>8491</v>
      </c>
    </row>
    <row r="20745" spans="1:2" x14ac:dyDescent="0.25">
      <c r="A20745">
        <v>52081900120</v>
      </c>
      <c r="B20745" t="s">
        <v>8492</v>
      </c>
    </row>
    <row r="20746" spans="1:2" x14ac:dyDescent="0.25">
      <c r="A20746">
        <v>52081900130</v>
      </c>
      <c r="B20746" t="s">
        <v>8493</v>
      </c>
    </row>
    <row r="20747" spans="1:2" x14ac:dyDescent="0.25">
      <c r="A20747">
        <v>52081900140</v>
      </c>
      <c r="B20747" t="s">
        <v>8494</v>
      </c>
    </row>
    <row r="20748" spans="1:2" x14ac:dyDescent="0.25">
      <c r="A20748">
        <v>52081900150</v>
      </c>
      <c r="B20748" t="s">
        <v>8487</v>
      </c>
    </row>
    <row r="20749" spans="1:2" x14ac:dyDescent="0.25">
      <c r="A20749">
        <v>52081900160</v>
      </c>
      <c r="B20749" t="s">
        <v>8495</v>
      </c>
    </row>
    <row r="20750" spans="1:2" x14ac:dyDescent="0.25">
      <c r="A20750">
        <v>52081900170</v>
      </c>
      <c r="B20750" t="s">
        <v>8496</v>
      </c>
    </row>
    <row r="20751" spans="1:2" x14ac:dyDescent="0.25">
      <c r="A20751">
        <v>52081900180</v>
      </c>
      <c r="B20751" t="s">
        <v>8497</v>
      </c>
    </row>
    <row r="20752" spans="1:2" x14ac:dyDescent="0.25">
      <c r="A20752">
        <v>52081900190</v>
      </c>
      <c r="B20752" t="s">
        <v>10</v>
      </c>
    </row>
    <row r="20753" spans="1:2" x14ac:dyDescent="0.25">
      <c r="A20753">
        <v>520819009</v>
      </c>
      <c r="B20753" t="s">
        <v>10</v>
      </c>
    </row>
    <row r="20754" spans="1:2" x14ac:dyDescent="0.25">
      <c r="A20754">
        <v>52081900910</v>
      </c>
      <c r="B20754" t="s">
        <v>8491</v>
      </c>
    </row>
    <row r="20755" spans="1:2" x14ac:dyDescent="0.25">
      <c r="A20755">
        <v>52081900920</v>
      </c>
      <c r="B20755" t="s">
        <v>8492</v>
      </c>
    </row>
    <row r="20756" spans="1:2" x14ac:dyDescent="0.25">
      <c r="A20756">
        <v>52081900930</v>
      </c>
      <c r="B20756" t="s">
        <v>8493</v>
      </c>
    </row>
    <row r="20757" spans="1:2" x14ac:dyDescent="0.25">
      <c r="A20757">
        <v>52081900940</v>
      </c>
      <c r="B20757" t="s">
        <v>8494</v>
      </c>
    </row>
    <row r="20758" spans="1:2" x14ac:dyDescent="0.25">
      <c r="A20758">
        <v>52081900950</v>
      </c>
      <c r="B20758" t="s">
        <v>8487</v>
      </c>
    </row>
    <row r="20759" spans="1:2" x14ac:dyDescent="0.25">
      <c r="A20759">
        <v>52081900960</v>
      </c>
      <c r="B20759" t="s">
        <v>8495</v>
      </c>
    </row>
    <row r="20760" spans="1:2" x14ac:dyDescent="0.25">
      <c r="A20760">
        <v>52081900970</v>
      </c>
      <c r="B20760" t="s">
        <v>8496</v>
      </c>
    </row>
    <row r="20761" spans="1:2" x14ac:dyDescent="0.25">
      <c r="A20761">
        <v>52081900980</v>
      </c>
      <c r="B20761" t="s">
        <v>8497</v>
      </c>
    </row>
    <row r="20762" spans="1:2" x14ac:dyDescent="0.25">
      <c r="A20762">
        <v>52081900990</v>
      </c>
      <c r="B20762" t="s">
        <v>10</v>
      </c>
    </row>
    <row r="20763" spans="1:2" x14ac:dyDescent="0.25">
      <c r="A20763">
        <v>52082</v>
      </c>
      <c r="B20763" t="s">
        <v>8499</v>
      </c>
    </row>
    <row r="20764" spans="1:2" x14ac:dyDescent="0.25">
      <c r="A20764">
        <v>52082100</v>
      </c>
      <c r="B20764" t="s">
        <v>8472</v>
      </c>
    </row>
    <row r="20765" spans="1:2" x14ac:dyDescent="0.25">
      <c r="A20765">
        <v>52082100100</v>
      </c>
      <c r="B20765" t="s">
        <v>8473</v>
      </c>
    </row>
    <row r="20766" spans="1:2" x14ac:dyDescent="0.25">
      <c r="A20766">
        <v>52082100200</v>
      </c>
      <c r="B20766" t="s">
        <v>8474</v>
      </c>
    </row>
    <row r="20767" spans="1:2" x14ac:dyDescent="0.25">
      <c r="A20767">
        <v>52082100300</v>
      </c>
      <c r="B20767" t="s">
        <v>8475</v>
      </c>
    </row>
    <row r="20768" spans="1:2" x14ac:dyDescent="0.25">
      <c r="A20768">
        <v>52082100400</v>
      </c>
      <c r="B20768" t="s">
        <v>8476</v>
      </c>
    </row>
    <row r="20769" spans="1:2" x14ac:dyDescent="0.25">
      <c r="A20769">
        <v>52082100500</v>
      </c>
      <c r="B20769" t="s">
        <v>8477</v>
      </c>
    </row>
    <row r="20770" spans="1:2" x14ac:dyDescent="0.25">
      <c r="A20770">
        <v>52082100600</v>
      </c>
      <c r="B20770" t="s">
        <v>8478</v>
      </c>
    </row>
    <row r="20771" spans="1:2" x14ac:dyDescent="0.25">
      <c r="A20771">
        <v>52082100700</v>
      </c>
      <c r="B20771" t="s">
        <v>8479</v>
      </c>
    </row>
    <row r="20772" spans="1:2" x14ac:dyDescent="0.25">
      <c r="A20772">
        <v>52082100800</v>
      </c>
      <c r="B20772" t="s">
        <v>8480</v>
      </c>
    </row>
    <row r="20773" spans="1:2" x14ac:dyDescent="0.25">
      <c r="A20773">
        <v>52082100900</v>
      </c>
      <c r="B20773" t="s">
        <v>10</v>
      </c>
    </row>
    <row r="20774" spans="1:2" x14ac:dyDescent="0.25">
      <c r="A20774">
        <v>52082200</v>
      </c>
      <c r="B20774" t="s">
        <v>8481</v>
      </c>
    </row>
    <row r="20775" spans="1:2" x14ac:dyDescent="0.25">
      <c r="A20775">
        <v>52082200100</v>
      </c>
      <c r="B20775" t="s">
        <v>8482</v>
      </c>
    </row>
    <row r="20776" spans="1:2" x14ac:dyDescent="0.25">
      <c r="A20776">
        <v>52082200200</v>
      </c>
      <c r="B20776" t="s">
        <v>8483</v>
      </c>
    </row>
    <row r="20777" spans="1:2" x14ac:dyDescent="0.25">
      <c r="A20777">
        <v>52082200300</v>
      </c>
      <c r="B20777" t="s">
        <v>8484</v>
      </c>
    </row>
    <row r="20778" spans="1:2" x14ac:dyDescent="0.25">
      <c r="A20778">
        <v>52082200400</v>
      </c>
      <c r="B20778" t="s">
        <v>8485</v>
      </c>
    </row>
    <row r="20779" spans="1:2" x14ac:dyDescent="0.25">
      <c r="A20779">
        <v>52082200500</v>
      </c>
      <c r="B20779" t="s">
        <v>8486</v>
      </c>
    </row>
    <row r="20780" spans="1:2" x14ac:dyDescent="0.25">
      <c r="A20780">
        <v>52082200600</v>
      </c>
      <c r="B20780" t="s">
        <v>8487</v>
      </c>
    </row>
    <row r="20781" spans="1:2" x14ac:dyDescent="0.25">
      <c r="A20781">
        <v>52082200700</v>
      </c>
      <c r="B20781" t="s">
        <v>8488</v>
      </c>
    </row>
    <row r="20782" spans="1:2" x14ac:dyDescent="0.25">
      <c r="A20782">
        <v>52082200800</v>
      </c>
      <c r="B20782" t="s">
        <v>8489</v>
      </c>
    </row>
    <row r="20783" spans="1:2" x14ac:dyDescent="0.25">
      <c r="A20783">
        <v>52082200900</v>
      </c>
      <c r="B20783" t="s">
        <v>10</v>
      </c>
    </row>
    <row r="20784" spans="1:2" x14ac:dyDescent="0.25">
      <c r="A20784">
        <v>52082300</v>
      </c>
      <c r="B20784" t="s">
        <v>8490</v>
      </c>
    </row>
    <row r="20785" spans="1:2" x14ac:dyDescent="0.25">
      <c r="A20785">
        <v>52082300100</v>
      </c>
      <c r="B20785" t="s">
        <v>8491</v>
      </c>
    </row>
    <row r="20786" spans="1:2" x14ac:dyDescent="0.25">
      <c r="A20786">
        <v>52082300200</v>
      </c>
      <c r="B20786" t="s">
        <v>8492</v>
      </c>
    </row>
    <row r="20787" spans="1:2" x14ac:dyDescent="0.25">
      <c r="A20787">
        <v>52082300300</v>
      </c>
      <c r="B20787" t="s">
        <v>8493</v>
      </c>
    </row>
    <row r="20788" spans="1:2" x14ac:dyDescent="0.25">
      <c r="A20788">
        <v>52082300400</v>
      </c>
      <c r="B20788" t="s">
        <v>8494</v>
      </c>
    </row>
    <row r="20789" spans="1:2" x14ac:dyDescent="0.25">
      <c r="A20789">
        <v>52082300500</v>
      </c>
      <c r="B20789" t="s">
        <v>8487</v>
      </c>
    </row>
    <row r="20790" spans="1:2" x14ac:dyDescent="0.25">
      <c r="A20790">
        <v>52082300600</v>
      </c>
      <c r="B20790" t="s">
        <v>8495</v>
      </c>
    </row>
    <row r="20791" spans="1:2" x14ac:dyDescent="0.25">
      <c r="A20791">
        <v>52082300700</v>
      </c>
      <c r="B20791" t="s">
        <v>8496</v>
      </c>
    </row>
    <row r="20792" spans="1:2" x14ac:dyDescent="0.25">
      <c r="A20792">
        <v>52082300800</v>
      </c>
      <c r="B20792" t="s">
        <v>8497</v>
      </c>
    </row>
    <row r="20793" spans="1:2" x14ac:dyDescent="0.25">
      <c r="A20793">
        <v>52082300900</v>
      </c>
      <c r="B20793" t="s">
        <v>10</v>
      </c>
    </row>
    <row r="20794" spans="1:2" x14ac:dyDescent="0.25">
      <c r="A20794">
        <v>52082900</v>
      </c>
      <c r="B20794" t="e">
        <f>- - Los demas tejidos</f>
        <v>#NAME?</v>
      </c>
    </row>
    <row r="20795" spans="1:2" x14ac:dyDescent="0.25">
      <c r="A20795">
        <v>520829001</v>
      </c>
      <c r="B20795" t="s">
        <v>8498</v>
      </c>
    </row>
    <row r="20796" spans="1:2" x14ac:dyDescent="0.25">
      <c r="A20796">
        <v>52082900110</v>
      </c>
      <c r="B20796" t="s">
        <v>8491</v>
      </c>
    </row>
    <row r="20797" spans="1:2" x14ac:dyDescent="0.25">
      <c r="A20797">
        <v>52082900120</v>
      </c>
      <c r="B20797" t="s">
        <v>8492</v>
      </c>
    </row>
    <row r="20798" spans="1:2" x14ac:dyDescent="0.25">
      <c r="A20798">
        <v>52082900130</v>
      </c>
      <c r="B20798" t="s">
        <v>8493</v>
      </c>
    </row>
    <row r="20799" spans="1:2" x14ac:dyDescent="0.25">
      <c r="A20799">
        <v>52082900140</v>
      </c>
      <c r="B20799" t="s">
        <v>8494</v>
      </c>
    </row>
    <row r="20800" spans="1:2" x14ac:dyDescent="0.25">
      <c r="A20800">
        <v>52082900150</v>
      </c>
      <c r="B20800" t="s">
        <v>8487</v>
      </c>
    </row>
    <row r="20801" spans="1:2" x14ac:dyDescent="0.25">
      <c r="A20801">
        <v>52082900160</v>
      </c>
      <c r="B20801" t="s">
        <v>8495</v>
      </c>
    </row>
    <row r="20802" spans="1:2" x14ac:dyDescent="0.25">
      <c r="A20802">
        <v>52082900170</v>
      </c>
      <c r="B20802" t="s">
        <v>8496</v>
      </c>
    </row>
    <row r="20803" spans="1:2" x14ac:dyDescent="0.25">
      <c r="A20803">
        <v>52082900180</v>
      </c>
      <c r="B20803" t="s">
        <v>8497</v>
      </c>
    </row>
    <row r="20804" spans="1:2" x14ac:dyDescent="0.25">
      <c r="A20804">
        <v>52082900190</v>
      </c>
      <c r="B20804" t="s">
        <v>10</v>
      </c>
    </row>
    <row r="20805" spans="1:2" x14ac:dyDescent="0.25">
      <c r="A20805">
        <v>520829009</v>
      </c>
      <c r="B20805" t="s">
        <v>8500</v>
      </c>
    </row>
    <row r="20806" spans="1:2" x14ac:dyDescent="0.25">
      <c r="A20806">
        <v>52082900910</v>
      </c>
      <c r="B20806" t="s">
        <v>8491</v>
      </c>
    </row>
    <row r="20807" spans="1:2" x14ac:dyDescent="0.25">
      <c r="A20807">
        <v>52082900920</v>
      </c>
      <c r="B20807" t="s">
        <v>8492</v>
      </c>
    </row>
    <row r="20808" spans="1:2" x14ac:dyDescent="0.25">
      <c r="A20808">
        <v>52082900930</v>
      </c>
      <c r="B20808" t="s">
        <v>8493</v>
      </c>
    </row>
    <row r="20809" spans="1:2" x14ac:dyDescent="0.25">
      <c r="A20809">
        <v>52082900940</v>
      </c>
      <c r="B20809" t="s">
        <v>8494</v>
      </c>
    </row>
    <row r="20810" spans="1:2" x14ac:dyDescent="0.25">
      <c r="A20810">
        <v>52082900950</v>
      </c>
      <c r="B20810" t="s">
        <v>8487</v>
      </c>
    </row>
    <row r="20811" spans="1:2" x14ac:dyDescent="0.25">
      <c r="A20811">
        <v>52082900960</v>
      </c>
      <c r="B20811" t="s">
        <v>8495</v>
      </c>
    </row>
    <row r="20812" spans="1:2" x14ac:dyDescent="0.25">
      <c r="A20812">
        <v>52082900970</v>
      </c>
      <c r="B20812" t="s">
        <v>8496</v>
      </c>
    </row>
    <row r="20813" spans="1:2" x14ac:dyDescent="0.25">
      <c r="A20813">
        <v>52082900980</v>
      </c>
      <c r="B20813" t="s">
        <v>8497</v>
      </c>
    </row>
    <row r="20814" spans="1:2" x14ac:dyDescent="0.25">
      <c r="A20814">
        <v>52082900990</v>
      </c>
      <c r="B20814" t="s">
        <v>10</v>
      </c>
    </row>
    <row r="20815" spans="1:2" x14ac:dyDescent="0.25">
      <c r="A20815">
        <v>52083</v>
      </c>
      <c r="B20815" t="s">
        <v>8501</v>
      </c>
    </row>
    <row r="20816" spans="1:2" x14ac:dyDescent="0.25">
      <c r="A20816">
        <v>52083100</v>
      </c>
      <c r="B20816" t="s">
        <v>8472</v>
      </c>
    </row>
    <row r="20817" spans="1:2" x14ac:dyDescent="0.25">
      <c r="A20817">
        <v>52083100100</v>
      </c>
      <c r="B20817" t="s">
        <v>8473</v>
      </c>
    </row>
    <row r="20818" spans="1:2" x14ac:dyDescent="0.25">
      <c r="A20818">
        <v>52083100200</v>
      </c>
      <c r="B20818" t="s">
        <v>8474</v>
      </c>
    </row>
    <row r="20819" spans="1:2" x14ac:dyDescent="0.25">
      <c r="A20819">
        <v>52083100300</v>
      </c>
      <c r="B20819" t="s">
        <v>8475</v>
      </c>
    </row>
    <row r="20820" spans="1:2" x14ac:dyDescent="0.25">
      <c r="A20820">
        <v>52083100400</v>
      </c>
      <c r="B20820" t="s">
        <v>8476</v>
      </c>
    </row>
    <row r="20821" spans="1:2" x14ac:dyDescent="0.25">
      <c r="A20821">
        <v>52083100500</v>
      </c>
      <c r="B20821" t="s">
        <v>8477</v>
      </c>
    </row>
    <row r="20822" spans="1:2" x14ac:dyDescent="0.25">
      <c r="A20822">
        <v>52083100600</v>
      </c>
      <c r="B20822" t="s">
        <v>8478</v>
      </c>
    </row>
    <row r="20823" spans="1:2" x14ac:dyDescent="0.25">
      <c r="A20823">
        <v>52083100700</v>
      </c>
      <c r="B20823" t="s">
        <v>8479</v>
      </c>
    </row>
    <row r="20824" spans="1:2" x14ac:dyDescent="0.25">
      <c r="A20824">
        <v>52083100800</v>
      </c>
      <c r="B20824" t="s">
        <v>8480</v>
      </c>
    </row>
    <row r="20825" spans="1:2" x14ac:dyDescent="0.25">
      <c r="A20825">
        <v>52083100900</v>
      </c>
      <c r="B20825" t="s">
        <v>10</v>
      </c>
    </row>
    <row r="20826" spans="1:2" x14ac:dyDescent="0.25">
      <c r="A20826">
        <v>52083200</v>
      </c>
      <c r="B20826" t="s">
        <v>8481</v>
      </c>
    </row>
    <row r="20827" spans="1:2" x14ac:dyDescent="0.25">
      <c r="A20827">
        <v>52083200100</v>
      </c>
      <c r="B20827" t="s">
        <v>8482</v>
      </c>
    </row>
    <row r="20828" spans="1:2" x14ac:dyDescent="0.25">
      <c r="A20828">
        <v>52083200200</v>
      </c>
      <c r="B20828" t="s">
        <v>8483</v>
      </c>
    </row>
    <row r="20829" spans="1:2" x14ac:dyDescent="0.25">
      <c r="A20829">
        <v>52083200300</v>
      </c>
      <c r="B20829" t="s">
        <v>8484</v>
      </c>
    </row>
    <row r="20830" spans="1:2" x14ac:dyDescent="0.25">
      <c r="A20830">
        <v>52083200400</v>
      </c>
      <c r="B20830" t="s">
        <v>8485</v>
      </c>
    </row>
    <row r="20831" spans="1:2" x14ac:dyDescent="0.25">
      <c r="A20831">
        <v>52083200500</v>
      </c>
      <c r="B20831" t="s">
        <v>8486</v>
      </c>
    </row>
    <row r="20832" spans="1:2" x14ac:dyDescent="0.25">
      <c r="A20832">
        <v>52083200600</v>
      </c>
      <c r="B20832" t="s">
        <v>8487</v>
      </c>
    </row>
    <row r="20833" spans="1:2" x14ac:dyDescent="0.25">
      <c r="A20833">
        <v>52083200700</v>
      </c>
      <c r="B20833" t="s">
        <v>8488</v>
      </c>
    </row>
    <row r="20834" spans="1:2" x14ac:dyDescent="0.25">
      <c r="A20834">
        <v>52083200800</v>
      </c>
      <c r="B20834" t="s">
        <v>8489</v>
      </c>
    </row>
    <row r="20835" spans="1:2" x14ac:dyDescent="0.25">
      <c r="A20835">
        <v>52083200900</v>
      </c>
      <c r="B20835" t="s">
        <v>10</v>
      </c>
    </row>
    <row r="20836" spans="1:2" x14ac:dyDescent="0.25">
      <c r="A20836">
        <v>52083300</v>
      </c>
      <c r="B20836" t="s">
        <v>8490</v>
      </c>
    </row>
    <row r="20837" spans="1:2" x14ac:dyDescent="0.25">
      <c r="A20837">
        <v>52083300100</v>
      </c>
      <c r="B20837" t="s">
        <v>8491</v>
      </c>
    </row>
    <row r="20838" spans="1:2" x14ac:dyDescent="0.25">
      <c r="A20838">
        <v>52083300200</v>
      </c>
      <c r="B20838" t="s">
        <v>8492</v>
      </c>
    </row>
    <row r="20839" spans="1:2" x14ac:dyDescent="0.25">
      <c r="A20839">
        <v>52083300300</v>
      </c>
      <c r="B20839" t="s">
        <v>8493</v>
      </c>
    </row>
    <row r="20840" spans="1:2" x14ac:dyDescent="0.25">
      <c r="A20840">
        <v>52083300400</v>
      </c>
      <c r="B20840" t="s">
        <v>8494</v>
      </c>
    </row>
    <row r="20841" spans="1:2" x14ac:dyDescent="0.25">
      <c r="A20841">
        <v>52083300500</v>
      </c>
      <c r="B20841" t="s">
        <v>8487</v>
      </c>
    </row>
    <row r="20842" spans="1:2" x14ac:dyDescent="0.25">
      <c r="A20842">
        <v>52083300600</v>
      </c>
      <c r="B20842" t="s">
        <v>8495</v>
      </c>
    </row>
    <row r="20843" spans="1:2" x14ac:dyDescent="0.25">
      <c r="A20843">
        <v>52083300700</v>
      </c>
      <c r="B20843" t="s">
        <v>8496</v>
      </c>
    </row>
    <row r="20844" spans="1:2" x14ac:dyDescent="0.25">
      <c r="A20844">
        <v>52083300800</v>
      </c>
      <c r="B20844" t="s">
        <v>8497</v>
      </c>
    </row>
    <row r="20845" spans="1:2" x14ac:dyDescent="0.25">
      <c r="A20845">
        <v>52083300900</v>
      </c>
      <c r="B20845" t="s">
        <v>10</v>
      </c>
    </row>
    <row r="20846" spans="1:2" x14ac:dyDescent="0.25">
      <c r="A20846">
        <v>52083900</v>
      </c>
      <c r="B20846" t="e">
        <f>- - Los demas tejidos</f>
        <v>#NAME?</v>
      </c>
    </row>
    <row r="20847" spans="1:2" x14ac:dyDescent="0.25">
      <c r="A20847">
        <v>520839001</v>
      </c>
      <c r="B20847" t="s">
        <v>8498</v>
      </c>
    </row>
    <row r="20848" spans="1:2" x14ac:dyDescent="0.25">
      <c r="A20848">
        <v>52083900110</v>
      </c>
      <c r="B20848" t="s">
        <v>8491</v>
      </c>
    </row>
    <row r="20849" spans="1:2" x14ac:dyDescent="0.25">
      <c r="A20849">
        <v>52083900120</v>
      </c>
      <c r="B20849" t="s">
        <v>8492</v>
      </c>
    </row>
    <row r="20850" spans="1:2" x14ac:dyDescent="0.25">
      <c r="A20850">
        <v>52083900130</v>
      </c>
      <c r="B20850" t="s">
        <v>8493</v>
      </c>
    </row>
    <row r="20851" spans="1:2" x14ac:dyDescent="0.25">
      <c r="A20851">
        <v>52083900140</v>
      </c>
      <c r="B20851" t="s">
        <v>8494</v>
      </c>
    </row>
    <row r="20852" spans="1:2" x14ac:dyDescent="0.25">
      <c r="A20852">
        <v>52083900150</v>
      </c>
      <c r="B20852" t="s">
        <v>8487</v>
      </c>
    </row>
    <row r="20853" spans="1:2" x14ac:dyDescent="0.25">
      <c r="A20853">
        <v>52083900160</v>
      </c>
      <c r="B20853" t="s">
        <v>8495</v>
      </c>
    </row>
    <row r="20854" spans="1:2" x14ac:dyDescent="0.25">
      <c r="A20854">
        <v>52083900170</v>
      </c>
      <c r="B20854" t="s">
        <v>8496</v>
      </c>
    </row>
    <row r="20855" spans="1:2" x14ac:dyDescent="0.25">
      <c r="A20855">
        <v>52083900180</v>
      </c>
      <c r="B20855" t="s">
        <v>8497</v>
      </c>
    </row>
    <row r="20856" spans="1:2" x14ac:dyDescent="0.25">
      <c r="A20856">
        <v>52083900190</v>
      </c>
      <c r="B20856" t="s">
        <v>10</v>
      </c>
    </row>
    <row r="20857" spans="1:2" x14ac:dyDescent="0.25">
      <c r="A20857">
        <v>520839009</v>
      </c>
      <c r="B20857" t="s">
        <v>8500</v>
      </c>
    </row>
    <row r="20858" spans="1:2" x14ac:dyDescent="0.25">
      <c r="A20858">
        <v>52083900910</v>
      </c>
      <c r="B20858" t="s">
        <v>8491</v>
      </c>
    </row>
    <row r="20859" spans="1:2" x14ac:dyDescent="0.25">
      <c r="A20859">
        <v>52083900920</v>
      </c>
      <c r="B20859" t="s">
        <v>8492</v>
      </c>
    </row>
    <row r="20860" spans="1:2" x14ac:dyDescent="0.25">
      <c r="A20860">
        <v>52083900930</v>
      </c>
      <c r="B20860" t="s">
        <v>8493</v>
      </c>
    </row>
    <row r="20861" spans="1:2" x14ac:dyDescent="0.25">
      <c r="A20861">
        <v>52083900940</v>
      </c>
      <c r="B20861" t="s">
        <v>8494</v>
      </c>
    </row>
    <row r="20862" spans="1:2" x14ac:dyDescent="0.25">
      <c r="A20862">
        <v>52083900950</v>
      </c>
      <c r="B20862" t="s">
        <v>8487</v>
      </c>
    </row>
    <row r="20863" spans="1:2" x14ac:dyDescent="0.25">
      <c r="A20863">
        <v>52083900960</v>
      </c>
      <c r="B20863" t="s">
        <v>8495</v>
      </c>
    </row>
    <row r="20864" spans="1:2" x14ac:dyDescent="0.25">
      <c r="A20864">
        <v>52083900970</v>
      </c>
      <c r="B20864" t="s">
        <v>8496</v>
      </c>
    </row>
    <row r="20865" spans="1:2" x14ac:dyDescent="0.25">
      <c r="A20865">
        <v>52083900980</v>
      </c>
      <c r="B20865" t="s">
        <v>8497</v>
      </c>
    </row>
    <row r="20866" spans="1:2" x14ac:dyDescent="0.25">
      <c r="A20866">
        <v>52083900990</v>
      </c>
      <c r="B20866" t="s">
        <v>10</v>
      </c>
    </row>
    <row r="20867" spans="1:2" x14ac:dyDescent="0.25">
      <c r="A20867">
        <v>52084</v>
      </c>
      <c r="B20867" t="s">
        <v>8502</v>
      </c>
    </row>
    <row r="20868" spans="1:2" x14ac:dyDescent="0.25">
      <c r="A20868">
        <v>52084100</v>
      </c>
      <c r="B20868" t="s">
        <v>8472</v>
      </c>
    </row>
    <row r="20869" spans="1:2" x14ac:dyDescent="0.25">
      <c r="A20869">
        <v>52084100100</v>
      </c>
      <c r="B20869" t="s">
        <v>8473</v>
      </c>
    </row>
    <row r="20870" spans="1:2" x14ac:dyDescent="0.25">
      <c r="A20870">
        <v>52084100200</v>
      </c>
      <c r="B20870" t="s">
        <v>8474</v>
      </c>
    </row>
    <row r="20871" spans="1:2" x14ac:dyDescent="0.25">
      <c r="A20871">
        <v>52084100300</v>
      </c>
      <c r="B20871" t="s">
        <v>8475</v>
      </c>
    </row>
    <row r="20872" spans="1:2" x14ac:dyDescent="0.25">
      <c r="A20872">
        <v>52084100400</v>
      </c>
      <c r="B20872" t="s">
        <v>8476</v>
      </c>
    </row>
    <row r="20873" spans="1:2" x14ac:dyDescent="0.25">
      <c r="A20873">
        <v>52084100500</v>
      </c>
      <c r="B20873" t="s">
        <v>8477</v>
      </c>
    </row>
    <row r="20874" spans="1:2" x14ac:dyDescent="0.25">
      <c r="A20874">
        <v>52084100600</v>
      </c>
      <c r="B20874" t="s">
        <v>8478</v>
      </c>
    </row>
    <row r="20875" spans="1:2" x14ac:dyDescent="0.25">
      <c r="A20875">
        <v>52084100700</v>
      </c>
      <c r="B20875" t="s">
        <v>8479</v>
      </c>
    </row>
    <row r="20876" spans="1:2" x14ac:dyDescent="0.25">
      <c r="A20876">
        <v>52084100800</v>
      </c>
      <c r="B20876" t="s">
        <v>8480</v>
      </c>
    </row>
    <row r="20877" spans="1:2" x14ac:dyDescent="0.25">
      <c r="A20877">
        <v>52084100900</v>
      </c>
      <c r="B20877" t="s">
        <v>10</v>
      </c>
    </row>
    <row r="20878" spans="1:2" x14ac:dyDescent="0.25">
      <c r="A20878">
        <v>52084200</v>
      </c>
      <c r="B20878" t="s">
        <v>8481</v>
      </c>
    </row>
    <row r="20879" spans="1:2" x14ac:dyDescent="0.25">
      <c r="A20879">
        <v>52084200100</v>
      </c>
      <c r="B20879" t="s">
        <v>8482</v>
      </c>
    </row>
    <row r="20880" spans="1:2" x14ac:dyDescent="0.25">
      <c r="A20880">
        <v>52084200200</v>
      </c>
      <c r="B20880" t="s">
        <v>8483</v>
      </c>
    </row>
    <row r="20881" spans="1:2" x14ac:dyDescent="0.25">
      <c r="A20881">
        <v>52084200300</v>
      </c>
      <c r="B20881" t="s">
        <v>8484</v>
      </c>
    </row>
    <row r="20882" spans="1:2" x14ac:dyDescent="0.25">
      <c r="A20882">
        <v>52084200400</v>
      </c>
      <c r="B20882" t="s">
        <v>8485</v>
      </c>
    </row>
    <row r="20883" spans="1:2" x14ac:dyDescent="0.25">
      <c r="A20883">
        <v>52084200500</v>
      </c>
      <c r="B20883" t="s">
        <v>8486</v>
      </c>
    </row>
    <row r="20884" spans="1:2" x14ac:dyDescent="0.25">
      <c r="A20884">
        <v>52084200600</v>
      </c>
      <c r="B20884" t="s">
        <v>8487</v>
      </c>
    </row>
    <row r="20885" spans="1:2" x14ac:dyDescent="0.25">
      <c r="A20885">
        <v>52084200700</v>
      </c>
      <c r="B20885" t="s">
        <v>8488</v>
      </c>
    </row>
    <row r="20886" spans="1:2" x14ac:dyDescent="0.25">
      <c r="A20886">
        <v>52084200800</v>
      </c>
      <c r="B20886" t="s">
        <v>8489</v>
      </c>
    </row>
    <row r="20887" spans="1:2" x14ac:dyDescent="0.25">
      <c r="A20887">
        <v>52084200900</v>
      </c>
      <c r="B20887" t="s">
        <v>10</v>
      </c>
    </row>
    <row r="20888" spans="1:2" x14ac:dyDescent="0.25">
      <c r="A20888">
        <v>52084300</v>
      </c>
      <c r="B20888" t="s">
        <v>8490</v>
      </c>
    </row>
    <row r="20889" spans="1:2" x14ac:dyDescent="0.25">
      <c r="A20889">
        <v>520843001</v>
      </c>
      <c r="B20889" t="s">
        <v>8503</v>
      </c>
    </row>
    <row r="20890" spans="1:2" x14ac:dyDescent="0.25">
      <c r="A20890">
        <v>5208430011</v>
      </c>
      <c r="B20890" t="s">
        <v>8504</v>
      </c>
    </row>
    <row r="20891" spans="1:2" x14ac:dyDescent="0.25">
      <c r="A20891">
        <v>52084300111</v>
      </c>
      <c r="B20891" t="s">
        <v>8491</v>
      </c>
    </row>
    <row r="20892" spans="1:2" x14ac:dyDescent="0.25">
      <c r="A20892">
        <v>52084300112</v>
      </c>
      <c r="B20892" t="s">
        <v>8492</v>
      </c>
    </row>
    <row r="20893" spans="1:2" x14ac:dyDescent="0.25">
      <c r="A20893">
        <v>52084300113</v>
      </c>
      <c r="B20893" t="s">
        <v>8493</v>
      </c>
    </row>
    <row r="20894" spans="1:2" x14ac:dyDescent="0.25">
      <c r="A20894">
        <v>52084300114</v>
      </c>
      <c r="B20894" t="s">
        <v>8494</v>
      </c>
    </row>
    <row r="20895" spans="1:2" x14ac:dyDescent="0.25">
      <c r="A20895">
        <v>52084300115</v>
      </c>
      <c r="B20895" t="s">
        <v>8487</v>
      </c>
    </row>
    <row r="20896" spans="1:2" x14ac:dyDescent="0.25">
      <c r="A20896">
        <v>52084300116</v>
      </c>
      <c r="B20896" t="s">
        <v>8495</v>
      </c>
    </row>
    <row r="20897" spans="1:2" x14ac:dyDescent="0.25">
      <c r="A20897">
        <v>52084300117</v>
      </c>
      <c r="B20897" t="s">
        <v>8496</v>
      </c>
    </row>
    <row r="20898" spans="1:2" x14ac:dyDescent="0.25">
      <c r="A20898">
        <v>52084300118</v>
      </c>
      <c r="B20898" t="s">
        <v>8497</v>
      </c>
    </row>
    <row r="20899" spans="1:2" x14ac:dyDescent="0.25">
      <c r="A20899">
        <v>52084300119</v>
      </c>
      <c r="B20899" t="s">
        <v>10</v>
      </c>
    </row>
    <row r="20900" spans="1:2" x14ac:dyDescent="0.25">
      <c r="A20900">
        <v>5208430019</v>
      </c>
      <c r="B20900" t="s">
        <v>10</v>
      </c>
    </row>
    <row r="20901" spans="1:2" x14ac:dyDescent="0.25">
      <c r="A20901">
        <v>52084300191</v>
      </c>
      <c r="B20901" t="s">
        <v>8491</v>
      </c>
    </row>
    <row r="20902" spans="1:2" x14ac:dyDescent="0.25">
      <c r="A20902">
        <v>52084300192</v>
      </c>
      <c r="B20902" t="s">
        <v>8492</v>
      </c>
    </row>
    <row r="20903" spans="1:2" x14ac:dyDescent="0.25">
      <c r="A20903">
        <v>52084300193</v>
      </c>
      <c r="B20903" t="s">
        <v>8493</v>
      </c>
    </row>
    <row r="20904" spans="1:2" x14ac:dyDescent="0.25">
      <c r="A20904">
        <v>52084300194</v>
      </c>
      <c r="B20904" t="s">
        <v>8494</v>
      </c>
    </row>
    <row r="20905" spans="1:2" x14ac:dyDescent="0.25">
      <c r="A20905">
        <v>52084300195</v>
      </c>
      <c r="B20905" t="s">
        <v>8487</v>
      </c>
    </row>
    <row r="20906" spans="1:2" x14ac:dyDescent="0.25">
      <c r="A20906">
        <v>52084300196</v>
      </c>
      <c r="B20906" t="s">
        <v>8495</v>
      </c>
    </row>
    <row r="20907" spans="1:2" x14ac:dyDescent="0.25">
      <c r="A20907">
        <v>52084300197</v>
      </c>
      <c r="B20907" t="s">
        <v>8496</v>
      </c>
    </row>
    <row r="20908" spans="1:2" x14ac:dyDescent="0.25">
      <c r="A20908">
        <v>52084300198</v>
      </c>
      <c r="B20908" t="s">
        <v>8497</v>
      </c>
    </row>
    <row r="20909" spans="1:2" x14ac:dyDescent="0.25">
      <c r="A20909">
        <v>52084300199</v>
      </c>
      <c r="B20909" t="s">
        <v>10</v>
      </c>
    </row>
    <row r="20910" spans="1:2" x14ac:dyDescent="0.25">
      <c r="A20910">
        <v>520843009</v>
      </c>
      <c r="B20910" t="s">
        <v>10</v>
      </c>
    </row>
    <row r="20911" spans="1:2" x14ac:dyDescent="0.25">
      <c r="A20911">
        <v>52084300910</v>
      </c>
      <c r="B20911" t="s">
        <v>8491</v>
      </c>
    </row>
    <row r="20912" spans="1:2" x14ac:dyDescent="0.25">
      <c r="A20912">
        <v>52084300920</v>
      </c>
      <c r="B20912" t="s">
        <v>8492</v>
      </c>
    </row>
    <row r="20913" spans="1:2" x14ac:dyDescent="0.25">
      <c r="A20913">
        <v>52084300930</v>
      </c>
      <c r="B20913" t="s">
        <v>8493</v>
      </c>
    </row>
    <row r="20914" spans="1:2" x14ac:dyDescent="0.25">
      <c r="A20914">
        <v>52084300940</v>
      </c>
      <c r="B20914" t="s">
        <v>8494</v>
      </c>
    </row>
    <row r="20915" spans="1:2" x14ac:dyDescent="0.25">
      <c r="A20915">
        <v>52084300950</v>
      </c>
      <c r="B20915" t="s">
        <v>8487</v>
      </c>
    </row>
    <row r="20916" spans="1:2" x14ac:dyDescent="0.25">
      <c r="A20916">
        <v>52084300960</v>
      </c>
      <c r="B20916" t="s">
        <v>8495</v>
      </c>
    </row>
    <row r="20917" spans="1:2" x14ac:dyDescent="0.25">
      <c r="A20917">
        <v>52084300970</v>
      </c>
      <c r="B20917" t="s">
        <v>8496</v>
      </c>
    </row>
    <row r="20918" spans="1:2" x14ac:dyDescent="0.25">
      <c r="A20918">
        <v>52084300980</v>
      </c>
      <c r="B20918" t="s">
        <v>8497</v>
      </c>
    </row>
    <row r="20919" spans="1:2" x14ac:dyDescent="0.25">
      <c r="A20919">
        <v>52084300990</v>
      </c>
      <c r="B20919" t="s">
        <v>10</v>
      </c>
    </row>
    <row r="20920" spans="1:2" x14ac:dyDescent="0.25">
      <c r="A20920">
        <v>52084900</v>
      </c>
      <c r="B20920" t="e">
        <f>- - Los demas tejidos</f>
        <v>#NAME?</v>
      </c>
    </row>
    <row r="20921" spans="1:2" x14ac:dyDescent="0.25">
      <c r="A20921">
        <v>520849001</v>
      </c>
      <c r="B20921" t="s">
        <v>8498</v>
      </c>
    </row>
    <row r="20922" spans="1:2" x14ac:dyDescent="0.25">
      <c r="A20922">
        <v>52084900110</v>
      </c>
      <c r="B20922" t="s">
        <v>8491</v>
      </c>
    </row>
    <row r="20923" spans="1:2" x14ac:dyDescent="0.25">
      <c r="A20923">
        <v>52084900120</v>
      </c>
      <c r="B20923" t="s">
        <v>8492</v>
      </c>
    </row>
    <row r="20924" spans="1:2" x14ac:dyDescent="0.25">
      <c r="A20924">
        <v>52084900130</v>
      </c>
      <c r="B20924" t="s">
        <v>8493</v>
      </c>
    </row>
    <row r="20925" spans="1:2" x14ac:dyDescent="0.25">
      <c r="A20925">
        <v>52084900140</v>
      </c>
      <c r="B20925" t="s">
        <v>8494</v>
      </c>
    </row>
    <row r="20926" spans="1:2" x14ac:dyDescent="0.25">
      <c r="A20926">
        <v>52084900150</v>
      </c>
      <c r="B20926" t="s">
        <v>8487</v>
      </c>
    </row>
    <row r="20927" spans="1:2" x14ac:dyDescent="0.25">
      <c r="A20927">
        <v>52084900160</v>
      </c>
      <c r="B20927" t="s">
        <v>8495</v>
      </c>
    </row>
    <row r="20928" spans="1:2" x14ac:dyDescent="0.25">
      <c r="A20928">
        <v>52084900170</v>
      </c>
      <c r="B20928" t="s">
        <v>8496</v>
      </c>
    </row>
    <row r="20929" spans="1:2" x14ac:dyDescent="0.25">
      <c r="A20929">
        <v>52084900180</v>
      </c>
      <c r="B20929" t="s">
        <v>8497</v>
      </c>
    </row>
    <row r="20930" spans="1:2" x14ac:dyDescent="0.25">
      <c r="A20930">
        <v>52084900190</v>
      </c>
      <c r="B20930" t="s">
        <v>10</v>
      </c>
    </row>
    <row r="20931" spans="1:2" x14ac:dyDescent="0.25">
      <c r="A20931">
        <v>520849009</v>
      </c>
      <c r="B20931" t="s">
        <v>8500</v>
      </c>
    </row>
    <row r="20932" spans="1:2" x14ac:dyDescent="0.25">
      <c r="A20932">
        <v>52084900910</v>
      </c>
      <c r="B20932" t="s">
        <v>8491</v>
      </c>
    </row>
    <row r="20933" spans="1:2" x14ac:dyDescent="0.25">
      <c r="A20933">
        <v>52084900920</v>
      </c>
      <c r="B20933" t="s">
        <v>8492</v>
      </c>
    </row>
    <row r="20934" spans="1:2" x14ac:dyDescent="0.25">
      <c r="A20934">
        <v>52084900930</v>
      </c>
      <c r="B20934" t="s">
        <v>8493</v>
      </c>
    </row>
    <row r="20935" spans="1:2" x14ac:dyDescent="0.25">
      <c r="A20935">
        <v>52084900940</v>
      </c>
      <c r="B20935" t="s">
        <v>8494</v>
      </c>
    </row>
    <row r="20936" spans="1:2" x14ac:dyDescent="0.25">
      <c r="A20936">
        <v>52084900950</v>
      </c>
      <c r="B20936" t="s">
        <v>8487</v>
      </c>
    </row>
    <row r="20937" spans="1:2" x14ac:dyDescent="0.25">
      <c r="A20937">
        <v>52084900960</v>
      </c>
      <c r="B20937" t="s">
        <v>8495</v>
      </c>
    </row>
    <row r="20938" spans="1:2" x14ac:dyDescent="0.25">
      <c r="A20938">
        <v>52084900970</v>
      </c>
      <c r="B20938" t="s">
        <v>8496</v>
      </c>
    </row>
    <row r="20939" spans="1:2" x14ac:dyDescent="0.25">
      <c r="A20939">
        <v>52084900980</v>
      </c>
      <c r="B20939" t="s">
        <v>8497</v>
      </c>
    </row>
    <row r="20940" spans="1:2" x14ac:dyDescent="0.25">
      <c r="A20940">
        <v>52084900990</v>
      </c>
      <c r="B20940" t="s">
        <v>10</v>
      </c>
    </row>
    <row r="20941" spans="1:2" x14ac:dyDescent="0.25">
      <c r="A20941">
        <v>52085</v>
      </c>
      <c r="B20941" t="s">
        <v>8505</v>
      </c>
    </row>
    <row r="20942" spans="1:2" x14ac:dyDescent="0.25">
      <c r="A20942">
        <v>52085100</v>
      </c>
      <c r="B20942" t="s">
        <v>8472</v>
      </c>
    </row>
    <row r="20943" spans="1:2" x14ac:dyDescent="0.25">
      <c r="A20943">
        <v>52085100100</v>
      </c>
      <c r="B20943" t="s">
        <v>8473</v>
      </c>
    </row>
    <row r="20944" spans="1:2" x14ac:dyDescent="0.25">
      <c r="A20944">
        <v>52085100200</v>
      </c>
      <c r="B20944" t="s">
        <v>8474</v>
      </c>
    </row>
    <row r="20945" spans="1:2" x14ac:dyDescent="0.25">
      <c r="A20945">
        <v>52085100300</v>
      </c>
      <c r="B20945" t="s">
        <v>8475</v>
      </c>
    </row>
    <row r="20946" spans="1:2" x14ac:dyDescent="0.25">
      <c r="A20946">
        <v>52085100400</v>
      </c>
      <c r="B20946" t="s">
        <v>8476</v>
      </c>
    </row>
    <row r="20947" spans="1:2" x14ac:dyDescent="0.25">
      <c r="A20947">
        <v>52085100500</v>
      </c>
      <c r="B20947" t="s">
        <v>8477</v>
      </c>
    </row>
    <row r="20948" spans="1:2" x14ac:dyDescent="0.25">
      <c r="A20948">
        <v>52085100600</v>
      </c>
      <c r="B20948" t="s">
        <v>8478</v>
      </c>
    </row>
    <row r="20949" spans="1:2" x14ac:dyDescent="0.25">
      <c r="A20949">
        <v>52085100700</v>
      </c>
      <c r="B20949" t="s">
        <v>8479</v>
      </c>
    </row>
    <row r="20950" spans="1:2" x14ac:dyDescent="0.25">
      <c r="A20950">
        <v>52085100800</v>
      </c>
      <c r="B20950" t="s">
        <v>8480</v>
      </c>
    </row>
    <row r="20951" spans="1:2" x14ac:dyDescent="0.25">
      <c r="A20951">
        <v>52085100900</v>
      </c>
      <c r="B20951" t="s">
        <v>10</v>
      </c>
    </row>
    <row r="20952" spans="1:2" x14ac:dyDescent="0.25">
      <c r="A20952">
        <v>52085200</v>
      </c>
      <c r="B20952" t="s">
        <v>8481</v>
      </c>
    </row>
    <row r="20953" spans="1:2" x14ac:dyDescent="0.25">
      <c r="A20953">
        <v>52085200100</v>
      </c>
      <c r="B20953" t="s">
        <v>8482</v>
      </c>
    </row>
    <row r="20954" spans="1:2" x14ac:dyDescent="0.25">
      <c r="A20954">
        <v>52085200200</v>
      </c>
      <c r="B20954" t="s">
        <v>8483</v>
      </c>
    </row>
    <row r="20955" spans="1:2" x14ac:dyDescent="0.25">
      <c r="A20955">
        <v>52085200300</v>
      </c>
      <c r="B20955" t="s">
        <v>8484</v>
      </c>
    </row>
    <row r="20956" spans="1:2" x14ac:dyDescent="0.25">
      <c r="A20956">
        <v>52085200400</v>
      </c>
      <c r="B20956" t="s">
        <v>8485</v>
      </c>
    </row>
    <row r="20957" spans="1:2" x14ac:dyDescent="0.25">
      <c r="A20957">
        <v>52085200500</v>
      </c>
      <c r="B20957" t="s">
        <v>8486</v>
      </c>
    </row>
    <row r="20958" spans="1:2" x14ac:dyDescent="0.25">
      <c r="A20958">
        <v>52085200600</v>
      </c>
      <c r="B20958" t="s">
        <v>8487</v>
      </c>
    </row>
    <row r="20959" spans="1:2" x14ac:dyDescent="0.25">
      <c r="A20959">
        <v>52085200700</v>
      </c>
      <c r="B20959" t="s">
        <v>8488</v>
      </c>
    </row>
    <row r="20960" spans="1:2" x14ac:dyDescent="0.25">
      <c r="A20960">
        <v>52085200800</v>
      </c>
      <c r="B20960" t="s">
        <v>8489</v>
      </c>
    </row>
    <row r="20961" spans="1:2" x14ac:dyDescent="0.25">
      <c r="A20961">
        <v>52085200900</v>
      </c>
      <c r="B20961" t="s">
        <v>10</v>
      </c>
    </row>
    <row r="20962" spans="1:2" x14ac:dyDescent="0.25">
      <c r="A20962">
        <v>520859</v>
      </c>
      <c r="B20962" t="e">
        <f>- - Los demas tejidos</f>
        <v>#NAME?</v>
      </c>
    </row>
    <row r="20963" spans="1:2" x14ac:dyDescent="0.25">
      <c r="A20963">
        <v>52085910</v>
      </c>
      <c r="B20963" t="s">
        <v>8506</v>
      </c>
    </row>
    <row r="20964" spans="1:2" x14ac:dyDescent="0.25">
      <c r="A20964">
        <v>52085910100</v>
      </c>
      <c r="B20964" t="s">
        <v>8491</v>
      </c>
    </row>
    <row r="20965" spans="1:2" x14ac:dyDescent="0.25">
      <c r="A20965">
        <v>52085910200</v>
      </c>
      <c r="B20965" t="s">
        <v>8492</v>
      </c>
    </row>
    <row r="20966" spans="1:2" x14ac:dyDescent="0.25">
      <c r="A20966">
        <v>52085910300</v>
      </c>
      <c r="B20966" t="s">
        <v>8493</v>
      </c>
    </row>
    <row r="20967" spans="1:2" x14ac:dyDescent="0.25">
      <c r="A20967">
        <v>52085910400</v>
      </c>
      <c r="B20967" t="s">
        <v>8494</v>
      </c>
    </row>
    <row r="20968" spans="1:2" x14ac:dyDescent="0.25">
      <c r="A20968">
        <v>52085910500</v>
      </c>
      <c r="B20968" t="s">
        <v>8487</v>
      </c>
    </row>
    <row r="20969" spans="1:2" x14ac:dyDescent="0.25">
      <c r="A20969">
        <v>52085910600</v>
      </c>
      <c r="B20969" t="s">
        <v>8495</v>
      </c>
    </row>
    <row r="20970" spans="1:2" x14ac:dyDescent="0.25">
      <c r="A20970">
        <v>52085910700</v>
      </c>
      <c r="B20970" t="s">
        <v>8496</v>
      </c>
    </row>
    <row r="20971" spans="1:2" x14ac:dyDescent="0.25">
      <c r="A20971">
        <v>52085910800</v>
      </c>
      <c r="B20971" t="s">
        <v>8497</v>
      </c>
    </row>
    <row r="20972" spans="1:2" x14ac:dyDescent="0.25">
      <c r="A20972">
        <v>52085910900</v>
      </c>
      <c r="B20972" t="s">
        <v>10</v>
      </c>
    </row>
    <row r="20973" spans="1:2" x14ac:dyDescent="0.25">
      <c r="A20973">
        <v>52085990</v>
      </c>
      <c r="B20973" t="s">
        <v>10</v>
      </c>
    </row>
    <row r="20974" spans="1:2" x14ac:dyDescent="0.25">
      <c r="A20974">
        <v>520859901</v>
      </c>
      <c r="B20974" t="s">
        <v>8498</v>
      </c>
    </row>
    <row r="20975" spans="1:2" x14ac:dyDescent="0.25">
      <c r="A20975">
        <v>52085990110</v>
      </c>
      <c r="B20975" t="s">
        <v>8491</v>
      </c>
    </row>
    <row r="20976" spans="1:2" x14ac:dyDescent="0.25">
      <c r="A20976">
        <v>52085990120</v>
      </c>
      <c r="B20976" t="s">
        <v>8492</v>
      </c>
    </row>
    <row r="20977" spans="1:2" x14ac:dyDescent="0.25">
      <c r="A20977">
        <v>52085990130</v>
      </c>
      <c r="B20977" t="s">
        <v>8493</v>
      </c>
    </row>
    <row r="20978" spans="1:2" x14ac:dyDescent="0.25">
      <c r="A20978">
        <v>52085990140</v>
      </c>
      <c r="B20978" t="s">
        <v>8494</v>
      </c>
    </row>
    <row r="20979" spans="1:2" x14ac:dyDescent="0.25">
      <c r="A20979">
        <v>52085990150</v>
      </c>
      <c r="B20979" t="s">
        <v>8487</v>
      </c>
    </row>
    <row r="20980" spans="1:2" x14ac:dyDescent="0.25">
      <c r="A20980">
        <v>52085990160</v>
      </c>
      <c r="B20980" t="s">
        <v>8495</v>
      </c>
    </row>
    <row r="20981" spans="1:2" x14ac:dyDescent="0.25">
      <c r="A20981">
        <v>52085990170</v>
      </c>
      <c r="B20981" t="s">
        <v>8496</v>
      </c>
    </row>
    <row r="20982" spans="1:2" x14ac:dyDescent="0.25">
      <c r="A20982">
        <v>52085990180</v>
      </c>
      <c r="B20982" t="s">
        <v>8497</v>
      </c>
    </row>
    <row r="20983" spans="1:2" x14ac:dyDescent="0.25">
      <c r="A20983">
        <v>52085990190</v>
      </c>
      <c r="B20983" t="s">
        <v>10</v>
      </c>
    </row>
    <row r="20984" spans="1:2" x14ac:dyDescent="0.25">
      <c r="A20984">
        <v>520859909</v>
      </c>
      <c r="B20984" t="s">
        <v>8500</v>
      </c>
    </row>
    <row r="20985" spans="1:2" x14ac:dyDescent="0.25">
      <c r="A20985">
        <v>52085990910</v>
      </c>
      <c r="B20985" t="s">
        <v>8491</v>
      </c>
    </row>
    <row r="20986" spans="1:2" x14ac:dyDescent="0.25">
      <c r="A20986">
        <v>52085990920</v>
      </c>
      <c r="B20986" t="s">
        <v>8492</v>
      </c>
    </row>
    <row r="20987" spans="1:2" x14ac:dyDescent="0.25">
      <c r="A20987">
        <v>52085990930</v>
      </c>
      <c r="B20987" t="s">
        <v>8493</v>
      </c>
    </row>
    <row r="20988" spans="1:2" x14ac:dyDescent="0.25">
      <c r="A20988">
        <v>52085990940</v>
      </c>
      <c r="B20988" t="s">
        <v>8494</v>
      </c>
    </row>
    <row r="20989" spans="1:2" x14ac:dyDescent="0.25">
      <c r="A20989">
        <v>52085990950</v>
      </c>
      <c r="B20989" t="s">
        <v>8487</v>
      </c>
    </row>
    <row r="20990" spans="1:2" x14ac:dyDescent="0.25">
      <c r="A20990">
        <v>52085990960</v>
      </c>
      <c r="B20990" t="s">
        <v>8495</v>
      </c>
    </row>
    <row r="20991" spans="1:2" x14ac:dyDescent="0.25">
      <c r="A20991">
        <v>52085990970</v>
      </c>
      <c r="B20991" t="s">
        <v>8496</v>
      </c>
    </row>
    <row r="20992" spans="1:2" x14ac:dyDescent="0.25">
      <c r="A20992">
        <v>52085990980</v>
      </c>
      <c r="B20992" t="s">
        <v>8497</v>
      </c>
    </row>
    <row r="20993" spans="1:2" x14ac:dyDescent="0.25">
      <c r="A20993">
        <v>52085990990</v>
      </c>
      <c r="B20993" t="s">
        <v>10</v>
      </c>
    </row>
    <row r="20994" spans="1:2" x14ac:dyDescent="0.25">
      <c r="A20994">
        <v>5209</v>
      </c>
      <c r="B20994" t="s">
        <v>8507</v>
      </c>
    </row>
    <row r="20995" spans="1:2" x14ac:dyDescent="0.25">
      <c r="A20995">
        <v>52091</v>
      </c>
      <c r="B20995" t="s">
        <v>8471</v>
      </c>
    </row>
    <row r="20996" spans="1:2" x14ac:dyDescent="0.25">
      <c r="A20996">
        <v>52091100</v>
      </c>
      <c r="B20996" t="e">
        <f>- - de ligamento tafetan</f>
        <v>#NAME?</v>
      </c>
    </row>
    <row r="20997" spans="1:2" x14ac:dyDescent="0.25">
      <c r="A20997">
        <v>52091100100</v>
      </c>
      <c r="B20997" t="s">
        <v>8482</v>
      </c>
    </row>
    <row r="20998" spans="1:2" x14ac:dyDescent="0.25">
      <c r="A20998">
        <v>52091100200</v>
      </c>
      <c r="B20998" t="s">
        <v>8508</v>
      </c>
    </row>
    <row r="20999" spans="1:2" x14ac:dyDescent="0.25">
      <c r="A20999">
        <v>52091100300</v>
      </c>
      <c r="B20999" t="s">
        <v>8509</v>
      </c>
    </row>
    <row r="21000" spans="1:2" x14ac:dyDescent="0.25">
      <c r="A21000">
        <v>52091100400</v>
      </c>
      <c r="B21000" t="s">
        <v>8510</v>
      </c>
    </row>
    <row r="21001" spans="1:2" x14ac:dyDescent="0.25">
      <c r="A21001">
        <v>52091100500</v>
      </c>
      <c r="B21001" t="s">
        <v>8511</v>
      </c>
    </row>
    <row r="21002" spans="1:2" x14ac:dyDescent="0.25">
      <c r="A21002">
        <v>52091100600</v>
      </c>
      <c r="B21002" t="s">
        <v>8512</v>
      </c>
    </row>
    <row r="21003" spans="1:2" x14ac:dyDescent="0.25">
      <c r="A21003">
        <v>52091100700</v>
      </c>
      <c r="B21003" t="s">
        <v>8513</v>
      </c>
    </row>
    <row r="21004" spans="1:2" x14ac:dyDescent="0.25">
      <c r="A21004">
        <v>52091100800</v>
      </c>
      <c r="B21004" t="s">
        <v>8514</v>
      </c>
    </row>
    <row r="21005" spans="1:2" x14ac:dyDescent="0.25">
      <c r="A21005">
        <v>52091100900</v>
      </c>
      <c r="B21005" t="s">
        <v>10</v>
      </c>
    </row>
    <row r="21006" spans="1:2" x14ac:dyDescent="0.25">
      <c r="A21006">
        <v>52091200</v>
      </c>
      <c r="B21006" t="s">
        <v>8490</v>
      </c>
    </row>
    <row r="21007" spans="1:2" x14ac:dyDescent="0.25">
      <c r="A21007">
        <v>52091200100</v>
      </c>
      <c r="B21007" t="s">
        <v>8482</v>
      </c>
    </row>
    <row r="21008" spans="1:2" x14ac:dyDescent="0.25">
      <c r="A21008">
        <v>52091200200</v>
      </c>
      <c r="B21008" t="s">
        <v>8515</v>
      </c>
    </row>
    <row r="21009" spans="1:2" x14ac:dyDescent="0.25">
      <c r="A21009">
        <v>52091200300</v>
      </c>
      <c r="B21009" t="s">
        <v>8516</v>
      </c>
    </row>
    <row r="21010" spans="1:2" x14ac:dyDescent="0.25">
      <c r="A21010">
        <v>52091200400</v>
      </c>
      <c r="B21010" t="s">
        <v>8517</v>
      </c>
    </row>
    <row r="21011" spans="1:2" x14ac:dyDescent="0.25">
      <c r="A21011">
        <v>52091200500</v>
      </c>
      <c r="B21011" t="s">
        <v>8518</v>
      </c>
    </row>
    <row r="21012" spans="1:2" x14ac:dyDescent="0.25">
      <c r="A21012">
        <v>52091200600</v>
      </c>
      <c r="B21012" t="s">
        <v>8514</v>
      </c>
    </row>
    <row r="21013" spans="1:2" x14ac:dyDescent="0.25">
      <c r="A21013">
        <v>52091200700</v>
      </c>
      <c r="B21013" t="s">
        <v>8519</v>
      </c>
    </row>
    <row r="21014" spans="1:2" x14ac:dyDescent="0.25">
      <c r="A21014">
        <v>52091200800</v>
      </c>
      <c r="B21014" t="s">
        <v>8520</v>
      </c>
    </row>
    <row r="21015" spans="1:2" x14ac:dyDescent="0.25">
      <c r="A21015">
        <v>52091200900</v>
      </c>
      <c r="B21015" t="s">
        <v>10</v>
      </c>
    </row>
    <row r="21016" spans="1:2" x14ac:dyDescent="0.25">
      <c r="A21016">
        <v>52091900</v>
      </c>
      <c r="B21016" t="e">
        <f>- - Los demas tejidos</f>
        <v>#NAME?</v>
      </c>
    </row>
    <row r="21017" spans="1:2" x14ac:dyDescent="0.25">
      <c r="A21017">
        <v>520919001</v>
      </c>
      <c r="B21017" t="s">
        <v>8498</v>
      </c>
    </row>
    <row r="21018" spans="1:2" x14ac:dyDescent="0.25">
      <c r="A21018">
        <v>52091900110</v>
      </c>
      <c r="B21018" t="s">
        <v>8482</v>
      </c>
    </row>
    <row r="21019" spans="1:2" x14ac:dyDescent="0.25">
      <c r="A21019">
        <v>52091900120</v>
      </c>
      <c r="B21019" t="s">
        <v>8515</v>
      </c>
    </row>
    <row r="21020" spans="1:2" x14ac:dyDescent="0.25">
      <c r="A21020">
        <v>52091900130</v>
      </c>
      <c r="B21020" t="s">
        <v>8516</v>
      </c>
    </row>
    <row r="21021" spans="1:2" x14ac:dyDescent="0.25">
      <c r="A21021">
        <v>52091900140</v>
      </c>
      <c r="B21021" t="s">
        <v>8517</v>
      </c>
    </row>
    <row r="21022" spans="1:2" x14ac:dyDescent="0.25">
      <c r="A21022">
        <v>52091900150</v>
      </c>
      <c r="B21022" t="s">
        <v>8518</v>
      </c>
    </row>
    <row r="21023" spans="1:2" x14ac:dyDescent="0.25">
      <c r="A21023">
        <v>52091900160</v>
      </c>
      <c r="B21023" t="s">
        <v>8514</v>
      </c>
    </row>
    <row r="21024" spans="1:2" x14ac:dyDescent="0.25">
      <c r="A21024">
        <v>52091900170</v>
      </c>
      <c r="B21024" t="s">
        <v>8519</v>
      </c>
    </row>
    <row r="21025" spans="1:2" x14ac:dyDescent="0.25">
      <c r="A21025">
        <v>52091900180</v>
      </c>
      <c r="B21025" t="s">
        <v>8520</v>
      </c>
    </row>
    <row r="21026" spans="1:2" x14ac:dyDescent="0.25">
      <c r="A21026">
        <v>52091900190</v>
      </c>
      <c r="B21026" t="s">
        <v>10</v>
      </c>
    </row>
    <row r="21027" spans="1:2" x14ac:dyDescent="0.25">
      <c r="A21027">
        <v>520919009</v>
      </c>
      <c r="B21027" t="s">
        <v>8500</v>
      </c>
    </row>
    <row r="21028" spans="1:2" x14ac:dyDescent="0.25">
      <c r="A21028">
        <v>52091900910</v>
      </c>
      <c r="B21028" t="s">
        <v>8482</v>
      </c>
    </row>
    <row r="21029" spans="1:2" x14ac:dyDescent="0.25">
      <c r="A21029">
        <v>52091900920</v>
      </c>
      <c r="B21029" t="s">
        <v>8515</v>
      </c>
    </row>
    <row r="21030" spans="1:2" x14ac:dyDescent="0.25">
      <c r="A21030">
        <v>52091900930</v>
      </c>
      <c r="B21030" t="s">
        <v>8516</v>
      </c>
    </row>
    <row r="21031" spans="1:2" x14ac:dyDescent="0.25">
      <c r="A21031">
        <v>52091900940</v>
      </c>
      <c r="B21031" t="s">
        <v>8517</v>
      </c>
    </row>
    <row r="21032" spans="1:2" x14ac:dyDescent="0.25">
      <c r="A21032">
        <v>52091900950</v>
      </c>
      <c r="B21032" t="s">
        <v>8518</v>
      </c>
    </row>
    <row r="21033" spans="1:2" x14ac:dyDescent="0.25">
      <c r="A21033">
        <v>52091900960</v>
      </c>
      <c r="B21033" t="s">
        <v>8514</v>
      </c>
    </row>
    <row r="21034" spans="1:2" x14ac:dyDescent="0.25">
      <c r="A21034">
        <v>52091900970</v>
      </c>
      <c r="B21034" t="s">
        <v>8519</v>
      </c>
    </row>
    <row r="21035" spans="1:2" x14ac:dyDescent="0.25">
      <c r="A21035">
        <v>52091900980</v>
      </c>
      <c r="B21035" t="s">
        <v>8520</v>
      </c>
    </row>
    <row r="21036" spans="1:2" x14ac:dyDescent="0.25">
      <c r="A21036">
        <v>52091900990</v>
      </c>
      <c r="B21036" t="s">
        <v>10</v>
      </c>
    </row>
    <row r="21037" spans="1:2" x14ac:dyDescent="0.25">
      <c r="A21037">
        <v>52092</v>
      </c>
      <c r="B21037" t="s">
        <v>8499</v>
      </c>
    </row>
    <row r="21038" spans="1:2" x14ac:dyDescent="0.25">
      <c r="A21038">
        <v>52092100</v>
      </c>
      <c r="B21038" t="e">
        <f>- - de ligamento tafetan</f>
        <v>#NAME?</v>
      </c>
    </row>
    <row r="21039" spans="1:2" x14ac:dyDescent="0.25">
      <c r="A21039">
        <v>52092100100</v>
      </c>
      <c r="B21039" t="s">
        <v>8482</v>
      </c>
    </row>
    <row r="21040" spans="1:2" x14ac:dyDescent="0.25">
      <c r="A21040">
        <v>52092100200</v>
      </c>
      <c r="B21040" t="s">
        <v>8508</v>
      </c>
    </row>
    <row r="21041" spans="1:2" x14ac:dyDescent="0.25">
      <c r="A21041">
        <v>52092100300</v>
      </c>
      <c r="B21041" t="s">
        <v>8509</v>
      </c>
    </row>
    <row r="21042" spans="1:2" x14ac:dyDescent="0.25">
      <c r="A21042">
        <v>52092100400</v>
      </c>
      <c r="B21042" t="s">
        <v>8510</v>
      </c>
    </row>
    <row r="21043" spans="1:2" x14ac:dyDescent="0.25">
      <c r="A21043">
        <v>52092100500</v>
      </c>
      <c r="B21043" t="s">
        <v>8511</v>
      </c>
    </row>
    <row r="21044" spans="1:2" x14ac:dyDescent="0.25">
      <c r="A21044">
        <v>52092100600</v>
      </c>
      <c r="B21044" t="s">
        <v>8512</v>
      </c>
    </row>
    <row r="21045" spans="1:2" x14ac:dyDescent="0.25">
      <c r="A21045">
        <v>52092100700</v>
      </c>
      <c r="B21045" t="s">
        <v>8513</v>
      </c>
    </row>
    <row r="21046" spans="1:2" x14ac:dyDescent="0.25">
      <c r="A21046">
        <v>52092100800</v>
      </c>
      <c r="B21046" t="s">
        <v>8514</v>
      </c>
    </row>
    <row r="21047" spans="1:2" x14ac:dyDescent="0.25">
      <c r="A21047">
        <v>52092100900</v>
      </c>
      <c r="B21047" t="s">
        <v>10</v>
      </c>
    </row>
    <row r="21048" spans="1:2" x14ac:dyDescent="0.25">
      <c r="A21048">
        <v>52092200</v>
      </c>
      <c r="B21048" t="s">
        <v>8490</v>
      </c>
    </row>
    <row r="21049" spans="1:2" x14ac:dyDescent="0.25">
      <c r="A21049">
        <v>52092200100</v>
      </c>
      <c r="B21049" t="s">
        <v>8482</v>
      </c>
    </row>
    <row r="21050" spans="1:2" x14ac:dyDescent="0.25">
      <c r="A21050">
        <v>52092200200</v>
      </c>
      <c r="B21050" t="s">
        <v>8515</v>
      </c>
    </row>
    <row r="21051" spans="1:2" x14ac:dyDescent="0.25">
      <c r="A21051">
        <v>52092200300</v>
      </c>
      <c r="B21051" t="s">
        <v>8516</v>
      </c>
    </row>
    <row r="21052" spans="1:2" x14ac:dyDescent="0.25">
      <c r="A21052">
        <v>52092200400</v>
      </c>
      <c r="B21052" t="s">
        <v>8517</v>
      </c>
    </row>
    <row r="21053" spans="1:2" x14ac:dyDescent="0.25">
      <c r="A21053">
        <v>52092200500</v>
      </c>
      <c r="B21053" t="s">
        <v>8518</v>
      </c>
    </row>
    <row r="21054" spans="1:2" x14ac:dyDescent="0.25">
      <c r="A21054">
        <v>52092200600</v>
      </c>
      <c r="B21054" t="s">
        <v>8514</v>
      </c>
    </row>
    <row r="21055" spans="1:2" x14ac:dyDescent="0.25">
      <c r="A21055">
        <v>52092200700</v>
      </c>
      <c r="B21055" t="s">
        <v>8519</v>
      </c>
    </row>
    <row r="21056" spans="1:2" x14ac:dyDescent="0.25">
      <c r="A21056">
        <v>52092200800</v>
      </c>
      <c r="B21056" t="s">
        <v>8520</v>
      </c>
    </row>
    <row r="21057" spans="1:2" x14ac:dyDescent="0.25">
      <c r="A21057">
        <v>52092200900</v>
      </c>
      <c r="B21057" t="s">
        <v>10</v>
      </c>
    </row>
    <row r="21058" spans="1:2" x14ac:dyDescent="0.25">
      <c r="A21058">
        <v>52092900</v>
      </c>
      <c r="B21058" t="e">
        <f>- - Los demas tejidos</f>
        <v>#NAME?</v>
      </c>
    </row>
    <row r="21059" spans="1:2" x14ac:dyDescent="0.25">
      <c r="A21059">
        <v>520929001</v>
      </c>
      <c r="B21059" t="s">
        <v>8498</v>
      </c>
    </row>
    <row r="21060" spans="1:2" x14ac:dyDescent="0.25">
      <c r="A21060">
        <v>52092900110</v>
      </c>
      <c r="B21060" t="s">
        <v>8482</v>
      </c>
    </row>
    <row r="21061" spans="1:2" x14ac:dyDescent="0.25">
      <c r="A21061">
        <v>52092900120</v>
      </c>
      <c r="B21061" t="s">
        <v>8515</v>
      </c>
    </row>
    <row r="21062" spans="1:2" x14ac:dyDescent="0.25">
      <c r="A21062">
        <v>52092900130</v>
      </c>
      <c r="B21062" t="s">
        <v>8516</v>
      </c>
    </row>
    <row r="21063" spans="1:2" x14ac:dyDescent="0.25">
      <c r="A21063">
        <v>52092900140</v>
      </c>
      <c r="B21063" t="s">
        <v>8517</v>
      </c>
    </row>
    <row r="21064" spans="1:2" x14ac:dyDescent="0.25">
      <c r="A21064">
        <v>52092900150</v>
      </c>
      <c r="B21064" t="s">
        <v>8518</v>
      </c>
    </row>
    <row r="21065" spans="1:2" x14ac:dyDescent="0.25">
      <c r="A21065">
        <v>52092900160</v>
      </c>
      <c r="B21065" t="s">
        <v>8514</v>
      </c>
    </row>
    <row r="21066" spans="1:2" x14ac:dyDescent="0.25">
      <c r="A21066">
        <v>52092900170</v>
      </c>
      <c r="B21066" t="s">
        <v>8519</v>
      </c>
    </row>
    <row r="21067" spans="1:2" x14ac:dyDescent="0.25">
      <c r="A21067">
        <v>52092900180</v>
      </c>
      <c r="B21067" t="s">
        <v>8520</v>
      </c>
    </row>
    <row r="21068" spans="1:2" x14ac:dyDescent="0.25">
      <c r="A21068">
        <v>52092900190</v>
      </c>
      <c r="B21068" t="s">
        <v>10</v>
      </c>
    </row>
    <row r="21069" spans="1:2" x14ac:dyDescent="0.25">
      <c r="A21069">
        <v>520929009</v>
      </c>
      <c r="B21069" t="s">
        <v>8500</v>
      </c>
    </row>
    <row r="21070" spans="1:2" x14ac:dyDescent="0.25">
      <c r="A21070">
        <v>52092900910</v>
      </c>
      <c r="B21070" t="s">
        <v>8482</v>
      </c>
    </row>
    <row r="21071" spans="1:2" x14ac:dyDescent="0.25">
      <c r="A21071">
        <v>52092900920</v>
      </c>
      <c r="B21071" t="s">
        <v>8515</v>
      </c>
    </row>
    <row r="21072" spans="1:2" x14ac:dyDescent="0.25">
      <c r="A21072">
        <v>52092900930</v>
      </c>
      <c r="B21072" t="s">
        <v>8516</v>
      </c>
    </row>
    <row r="21073" spans="1:2" x14ac:dyDescent="0.25">
      <c r="A21073">
        <v>52092900940</v>
      </c>
      <c r="B21073" t="s">
        <v>8517</v>
      </c>
    </row>
    <row r="21074" spans="1:2" x14ac:dyDescent="0.25">
      <c r="A21074">
        <v>52092900950</v>
      </c>
      <c r="B21074" t="s">
        <v>8518</v>
      </c>
    </row>
    <row r="21075" spans="1:2" x14ac:dyDescent="0.25">
      <c r="A21075">
        <v>52092900960</v>
      </c>
      <c r="B21075" t="s">
        <v>8514</v>
      </c>
    </row>
    <row r="21076" spans="1:2" x14ac:dyDescent="0.25">
      <c r="A21076">
        <v>52092900970</v>
      </c>
      <c r="B21076" t="s">
        <v>8519</v>
      </c>
    </row>
    <row r="21077" spans="1:2" x14ac:dyDescent="0.25">
      <c r="A21077">
        <v>52092900980</v>
      </c>
      <c r="B21077" t="s">
        <v>8520</v>
      </c>
    </row>
    <row r="21078" spans="1:2" x14ac:dyDescent="0.25">
      <c r="A21078">
        <v>52092900990</v>
      </c>
      <c r="B21078" t="s">
        <v>10</v>
      </c>
    </row>
    <row r="21079" spans="1:2" x14ac:dyDescent="0.25">
      <c r="A21079">
        <v>52093</v>
      </c>
      <c r="B21079" t="s">
        <v>8501</v>
      </c>
    </row>
    <row r="21080" spans="1:2" x14ac:dyDescent="0.25">
      <c r="A21080">
        <v>52093100</v>
      </c>
      <c r="B21080" t="e">
        <f>- - de ligamento tafetan</f>
        <v>#NAME?</v>
      </c>
    </row>
    <row r="21081" spans="1:2" x14ac:dyDescent="0.25">
      <c r="A21081">
        <v>52093100100</v>
      </c>
      <c r="B21081" t="s">
        <v>8482</v>
      </c>
    </row>
    <row r="21082" spans="1:2" x14ac:dyDescent="0.25">
      <c r="A21082">
        <v>52093100200</v>
      </c>
      <c r="B21082" t="s">
        <v>8508</v>
      </c>
    </row>
    <row r="21083" spans="1:2" x14ac:dyDescent="0.25">
      <c r="A21083">
        <v>52093100300</v>
      </c>
      <c r="B21083" t="s">
        <v>8509</v>
      </c>
    </row>
    <row r="21084" spans="1:2" x14ac:dyDescent="0.25">
      <c r="A21084">
        <v>52093100400</v>
      </c>
      <c r="B21084" t="s">
        <v>8510</v>
      </c>
    </row>
    <row r="21085" spans="1:2" x14ac:dyDescent="0.25">
      <c r="A21085">
        <v>52093100500</v>
      </c>
      <c r="B21085" t="s">
        <v>8511</v>
      </c>
    </row>
    <row r="21086" spans="1:2" x14ac:dyDescent="0.25">
      <c r="A21086">
        <v>52093100600</v>
      </c>
      <c r="B21086" t="s">
        <v>8512</v>
      </c>
    </row>
    <row r="21087" spans="1:2" x14ac:dyDescent="0.25">
      <c r="A21087">
        <v>52093100700</v>
      </c>
      <c r="B21087" t="s">
        <v>8513</v>
      </c>
    </row>
    <row r="21088" spans="1:2" x14ac:dyDescent="0.25">
      <c r="A21088">
        <v>52093100800</v>
      </c>
      <c r="B21088" t="s">
        <v>8514</v>
      </c>
    </row>
    <row r="21089" spans="1:2" x14ac:dyDescent="0.25">
      <c r="A21089">
        <v>52093100900</v>
      </c>
      <c r="B21089" t="s">
        <v>10</v>
      </c>
    </row>
    <row r="21090" spans="1:2" x14ac:dyDescent="0.25">
      <c r="A21090">
        <v>52093200</v>
      </c>
      <c r="B21090" t="s">
        <v>8490</v>
      </c>
    </row>
    <row r="21091" spans="1:2" x14ac:dyDescent="0.25">
      <c r="A21091">
        <v>52093200100</v>
      </c>
      <c r="B21091" t="s">
        <v>8482</v>
      </c>
    </row>
    <row r="21092" spans="1:2" x14ac:dyDescent="0.25">
      <c r="A21092">
        <v>52093200200</v>
      </c>
      <c r="B21092" t="s">
        <v>8515</v>
      </c>
    </row>
    <row r="21093" spans="1:2" x14ac:dyDescent="0.25">
      <c r="A21093">
        <v>52093200300</v>
      </c>
      <c r="B21093" t="s">
        <v>8516</v>
      </c>
    </row>
    <row r="21094" spans="1:2" x14ac:dyDescent="0.25">
      <c r="A21094">
        <v>52093200400</v>
      </c>
      <c r="B21094" t="s">
        <v>8517</v>
      </c>
    </row>
    <row r="21095" spans="1:2" x14ac:dyDescent="0.25">
      <c r="A21095">
        <v>52093200500</v>
      </c>
      <c r="B21095" t="s">
        <v>8518</v>
      </c>
    </row>
    <row r="21096" spans="1:2" x14ac:dyDescent="0.25">
      <c r="A21096">
        <v>52093200600</v>
      </c>
      <c r="B21096" t="s">
        <v>8514</v>
      </c>
    </row>
    <row r="21097" spans="1:2" x14ac:dyDescent="0.25">
      <c r="A21097">
        <v>52093200700</v>
      </c>
      <c r="B21097" t="s">
        <v>8519</v>
      </c>
    </row>
    <row r="21098" spans="1:2" x14ac:dyDescent="0.25">
      <c r="A21098">
        <v>52093200800</v>
      </c>
      <c r="B21098" t="s">
        <v>8520</v>
      </c>
    </row>
    <row r="21099" spans="1:2" x14ac:dyDescent="0.25">
      <c r="A21099">
        <v>52093200900</v>
      </c>
      <c r="B21099" t="s">
        <v>10</v>
      </c>
    </row>
    <row r="21100" spans="1:2" x14ac:dyDescent="0.25">
      <c r="A21100">
        <v>52093900</v>
      </c>
      <c r="B21100" t="e">
        <f>- - Los demas tejidos</f>
        <v>#NAME?</v>
      </c>
    </row>
    <row r="21101" spans="1:2" x14ac:dyDescent="0.25">
      <c r="A21101">
        <v>520939001</v>
      </c>
      <c r="B21101" t="s">
        <v>8498</v>
      </c>
    </row>
    <row r="21102" spans="1:2" x14ac:dyDescent="0.25">
      <c r="A21102">
        <v>52093900110</v>
      </c>
      <c r="B21102" t="s">
        <v>8482</v>
      </c>
    </row>
    <row r="21103" spans="1:2" x14ac:dyDescent="0.25">
      <c r="A21103">
        <v>52093900120</v>
      </c>
      <c r="B21103" t="s">
        <v>8515</v>
      </c>
    </row>
    <row r="21104" spans="1:2" x14ac:dyDescent="0.25">
      <c r="A21104">
        <v>52093900130</v>
      </c>
      <c r="B21104" t="s">
        <v>8516</v>
      </c>
    </row>
    <row r="21105" spans="1:2" x14ac:dyDescent="0.25">
      <c r="A21105">
        <v>52093900140</v>
      </c>
      <c r="B21105" t="s">
        <v>8517</v>
      </c>
    </row>
    <row r="21106" spans="1:2" x14ac:dyDescent="0.25">
      <c r="A21106">
        <v>52093900150</v>
      </c>
      <c r="B21106" t="s">
        <v>8518</v>
      </c>
    </row>
    <row r="21107" spans="1:2" x14ac:dyDescent="0.25">
      <c r="A21107">
        <v>52093900160</v>
      </c>
      <c r="B21107" t="s">
        <v>8514</v>
      </c>
    </row>
    <row r="21108" spans="1:2" x14ac:dyDescent="0.25">
      <c r="A21108">
        <v>52093900170</v>
      </c>
      <c r="B21108" t="s">
        <v>8519</v>
      </c>
    </row>
    <row r="21109" spans="1:2" x14ac:dyDescent="0.25">
      <c r="A21109">
        <v>52093900180</v>
      </c>
      <c r="B21109" t="s">
        <v>8520</v>
      </c>
    </row>
    <row r="21110" spans="1:2" x14ac:dyDescent="0.25">
      <c r="A21110">
        <v>52093900190</v>
      </c>
      <c r="B21110" t="s">
        <v>10</v>
      </c>
    </row>
    <row r="21111" spans="1:2" x14ac:dyDescent="0.25">
      <c r="A21111">
        <v>520939009</v>
      </c>
      <c r="B21111" t="s">
        <v>8500</v>
      </c>
    </row>
    <row r="21112" spans="1:2" x14ac:dyDescent="0.25">
      <c r="A21112">
        <v>52093900910</v>
      </c>
      <c r="B21112" t="s">
        <v>8482</v>
      </c>
    </row>
    <row r="21113" spans="1:2" x14ac:dyDescent="0.25">
      <c r="A21113">
        <v>52093900920</v>
      </c>
      <c r="B21113" t="s">
        <v>8515</v>
      </c>
    </row>
    <row r="21114" spans="1:2" x14ac:dyDescent="0.25">
      <c r="A21114">
        <v>52093900930</v>
      </c>
      <c r="B21114" t="s">
        <v>8516</v>
      </c>
    </row>
    <row r="21115" spans="1:2" x14ac:dyDescent="0.25">
      <c r="A21115">
        <v>52093900940</v>
      </c>
      <c r="B21115" t="s">
        <v>8517</v>
      </c>
    </row>
    <row r="21116" spans="1:2" x14ac:dyDescent="0.25">
      <c r="A21116">
        <v>52093900950</v>
      </c>
      <c r="B21116" t="s">
        <v>8518</v>
      </c>
    </row>
    <row r="21117" spans="1:2" x14ac:dyDescent="0.25">
      <c r="A21117">
        <v>52093900960</v>
      </c>
      <c r="B21117" t="s">
        <v>8514</v>
      </c>
    </row>
    <row r="21118" spans="1:2" x14ac:dyDescent="0.25">
      <c r="A21118">
        <v>52093900970</v>
      </c>
      <c r="B21118" t="s">
        <v>8519</v>
      </c>
    </row>
    <row r="21119" spans="1:2" x14ac:dyDescent="0.25">
      <c r="A21119">
        <v>52093900980</v>
      </c>
      <c r="B21119" t="s">
        <v>8520</v>
      </c>
    </row>
    <row r="21120" spans="1:2" x14ac:dyDescent="0.25">
      <c r="A21120">
        <v>52093900990</v>
      </c>
      <c r="B21120" t="s">
        <v>10</v>
      </c>
    </row>
    <row r="21121" spans="1:2" x14ac:dyDescent="0.25">
      <c r="A21121">
        <v>52094</v>
      </c>
      <c r="B21121" t="s">
        <v>8502</v>
      </c>
    </row>
    <row r="21122" spans="1:2" x14ac:dyDescent="0.25">
      <c r="A21122">
        <v>52094100</v>
      </c>
      <c r="B21122" t="e">
        <f>- - de ligamento tafetan</f>
        <v>#NAME?</v>
      </c>
    </row>
    <row r="21123" spans="1:2" x14ac:dyDescent="0.25">
      <c r="A21123">
        <v>52094100100</v>
      </c>
      <c r="B21123" t="s">
        <v>8521</v>
      </c>
    </row>
    <row r="21124" spans="1:2" x14ac:dyDescent="0.25">
      <c r="A21124">
        <v>52094100200</v>
      </c>
      <c r="B21124" t="s">
        <v>8508</v>
      </c>
    </row>
    <row r="21125" spans="1:2" x14ac:dyDescent="0.25">
      <c r="A21125">
        <v>52094100300</v>
      </c>
      <c r="B21125" t="s">
        <v>8509</v>
      </c>
    </row>
    <row r="21126" spans="1:2" x14ac:dyDescent="0.25">
      <c r="A21126">
        <v>52094100400</v>
      </c>
      <c r="B21126" t="s">
        <v>8510</v>
      </c>
    </row>
    <row r="21127" spans="1:2" x14ac:dyDescent="0.25">
      <c r="A21127">
        <v>52094100500</v>
      </c>
      <c r="B21127" t="s">
        <v>8511</v>
      </c>
    </row>
    <row r="21128" spans="1:2" x14ac:dyDescent="0.25">
      <c r="A21128">
        <v>52094100600</v>
      </c>
      <c r="B21128" t="s">
        <v>8512</v>
      </c>
    </row>
    <row r="21129" spans="1:2" x14ac:dyDescent="0.25">
      <c r="A21129">
        <v>52094100700</v>
      </c>
      <c r="B21129" t="s">
        <v>8513</v>
      </c>
    </row>
    <row r="21130" spans="1:2" x14ac:dyDescent="0.25">
      <c r="A21130">
        <v>52094100800</v>
      </c>
      <c r="B21130" t="s">
        <v>8514</v>
      </c>
    </row>
    <row r="21131" spans="1:2" x14ac:dyDescent="0.25">
      <c r="A21131">
        <v>52094100900</v>
      </c>
      <c r="B21131" t="s">
        <v>10</v>
      </c>
    </row>
    <row r="21132" spans="1:2" x14ac:dyDescent="0.25">
      <c r="A21132">
        <v>520942</v>
      </c>
      <c r="B21132" t="s">
        <v>8522</v>
      </c>
    </row>
    <row r="21133" spans="1:2" x14ac:dyDescent="0.25">
      <c r="A21133">
        <v>52094210</v>
      </c>
      <c r="B21133" t="s">
        <v>8504</v>
      </c>
    </row>
    <row r="21134" spans="1:2" x14ac:dyDescent="0.25">
      <c r="A21134">
        <v>520942101</v>
      </c>
      <c r="B21134" t="s">
        <v>8523</v>
      </c>
    </row>
    <row r="21135" spans="1:2" x14ac:dyDescent="0.25">
      <c r="A21135">
        <v>52094210110</v>
      </c>
      <c r="B21135" t="s">
        <v>8482</v>
      </c>
    </row>
    <row r="21136" spans="1:2" x14ac:dyDescent="0.25">
      <c r="A21136">
        <v>52094210120</v>
      </c>
      <c r="B21136" t="s">
        <v>8515</v>
      </c>
    </row>
    <row r="21137" spans="1:2" x14ac:dyDescent="0.25">
      <c r="A21137">
        <v>52094210130</v>
      </c>
      <c r="B21137" t="s">
        <v>8516</v>
      </c>
    </row>
    <row r="21138" spans="1:2" x14ac:dyDescent="0.25">
      <c r="A21138">
        <v>52094210140</v>
      </c>
      <c r="B21138" t="s">
        <v>8517</v>
      </c>
    </row>
    <row r="21139" spans="1:2" x14ac:dyDescent="0.25">
      <c r="A21139">
        <v>52094210150</v>
      </c>
      <c r="B21139" t="s">
        <v>8518</v>
      </c>
    </row>
    <row r="21140" spans="1:2" x14ac:dyDescent="0.25">
      <c r="A21140">
        <v>52094210160</v>
      </c>
      <c r="B21140" t="s">
        <v>8514</v>
      </c>
    </row>
    <row r="21141" spans="1:2" x14ac:dyDescent="0.25">
      <c r="A21141">
        <v>52094210170</v>
      </c>
      <c r="B21141" t="s">
        <v>8519</v>
      </c>
    </row>
    <row r="21142" spans="1:2" x14ac:dyDescent="0.25">
      <c r="A21142">
        <v>52094210180</v>
      </c>
      <c r="B21142" t="s">
        <v>8520</v>
      </c>
    </row>
    <row r="21143" spans="1:2" x14ac:dyDescent="0.25">
      <c r="A21143">
        <v>52094210190</v>
      </c>
      <c r="B21143" t="s">
        <v>10</v>
      </c>
    </row>
    <row r="21144" spans="1:2" x14ac:dyDescent="0.25">
      <c r="A21144">
        <v>520942102</v>
      </c>
      <c r="B21144" t="s">
        <v>8524</v>
      </c>
    </row>
    <row r="21145" spans="1:2" x14ac:dyDescent="0.25">
      <c r="A21145">
        <v>52094210210</v>
      </c>
      <c r="B21145" t="s">
        <v>8482</v>
      </c>
    </row>
    <row r="21146" spans="1:2" x14ac:dyDescent="0.25">
      <c r="A21146">
        <v>52094210220</v>
      </c>
      <c r="B21146" t="s">
        <v>8515</v>
      </c>
    </row>
    <row r="21147" spans="1:2" x14ac:dyDescent="0.25">
      <c r="A21147">
        <v>52094210230</v>
      </c>
      <c r="B21147" t="s">
        <v>8516</v>
      </c>
    </row>
    <row r="21148" spans="1:2" x14ac:dyDescent="0.25">
      <c r="A21148">
        <v>52094210240</v>
      </c>
      <c r="B21148" t="s">
        <v>8517</v>
      </c>
    </row>
    <row r="21149" spans="1:2" x14ac:dyDescent="0.25">
      <c r="A21149">
        <v>52094210250</v>
      </c>
      <c r="B21149" t="s">
        <v>8518</v>
      </c>
    </row>
    <row r="21150" spans="1:2" x14ac:dyDescent="0.25">
      <c r="A21150">
        <v>52094210260</v>
      </c>
      <c r="B21150" t="s">
        <v>8514</v>
      </c>
    </row>
    <row r="21151" spans="1:2" x14ac:dyDescent="0.25">
      <c r="A21151">
        <v>52094210270</v>
      </c>
      <c r="B21151" t="s">
        <v>8519</v>
      </c>
    </row>
    <row r="21152" spans="1:2" x14ac:dyDescent="0.25">
      <c r="A21152">
        <v>52094210280</v>
      </c>
      <c r="B21152" t="s">
        <v>8520</v>
      </c>
    </row>
    <row r="21153" spans="1:2" x14ac:dyDescent="0.25">
      <c r="A21153">
        <v>52094210290</v>
      </c>
      <c r="B21153" t="s">
        <v>10</v>
      </c>
    </row>
    <row r="21154" spans="1:2" x14ac:dyDescent="0.25">
      <c r="A21154">
        <v>52094290</v>
      </c>
      <c r="B21154" t="s">
        <v>10</v>
      </c>
    </row>
    <row r="21155" spans="1:2" x14ac:dyDescent="0.25">
      <c r="A21155">
        <v>520942901</v>
      </c>
      <c r="B21155" t="s">
        <v>8523</v>
      </c>
    </row>
    <row r="21156" spans="1:2" x14ac:dyDescent="0.25">
      <c r="A21156">
        <v>52094290110</v>
      </c>
      <c r="B21156" t="s">
        <v>8482</v>
      </c>
    </row>
    <row r="21157" spans="1:2" x14ac:dyDescent="0.25">
      <c r="A21157">
        <v>52094290120</v>
      </c>
      <c r="B21157" t="s">
        <v>8515</v>
      </c>
    </row>
    <row r="21158" spans="1:2" x14ac:dyDescent="0.25">
      <c r="A21158">
        <v>52094290130</v>
      </c>
      <c r="B21158" t="s">
        <v>8516</v>
      </c>
    </row>
    <row r="21159" spans="1:2" x14ac:dyDescent="0.25">
      <c r="A21159">
        <v>52094290140</v>
      </c>
      <c r="B21159" t="s">
        <v>8517</v>
      </c>
    </row>
    <row r="21160" spans="1:2" x14ac:dyDescent="0.25">
      <c r="A21160">
        <v>52094290150</v>
      </c>
      <c r="B21160" t="s">
        <v>8518</v>
      </c>
    </row>
    <row r="21161" spans="1:2" x14ac:dyDescent="0.25">
      <c r="A21161">
        <v>52094290160</v>
      </c>
      <c r="B21161" t="s">
        <v>8514</v>
      </c>
    </row>
    <row r="21162" spans="1:2" x14ac:dyDescent="0.25">
      <c r="A21162">
        <v>52094290170</v>
      </c>
      <c r="B21162" t="s">
        <v>8519</v>
      </c>
    </row>
    <row r="21163" spans="1:2" x14ac:dyDescent="0.25">
      <c r="A21163">
        <v>52094290180</v>
      </c>
      <c r="B21163" t="s">
        <v>8520</v>
      </c>
    </row>
    <row r="21164" spans="1:2" x14ac:dyDescent="0.25">
      <c r="A21164">
        <v>52094290190</v>
      </c>
      <c r="B21164" t="s">
        <v>10</v>
      </c>
    </row>
    <row r="21165" spans="1:2" x14ac:dyDescent="0.25">
      <c r="A21165">
        <v>520942902</v>
      </c>
      <c r="B21165" t="s">
        <v>8524</v>
      </c>
    </row>
    <row r="21166" spans="1:2" x14ac:dyDescent="0.25">
      <c r="A21166">
        <v>52094290210</v>
      </c>
      <c r="B21166" t="s">
        <v>8482</v>
      </c>
    </row>
    <row r="21167" spans="1:2" x14ac:dyDescent="0.25">
      <c r="A21167">
        <v>52094290220</v>
      </c>
      <c r="B21167" t="s">
        <v>8515</v>
      </c>
    </row>
    <row r="21168" spans="1:2" x14ac:dyDescent="0.25">
      <c r="A21168">
        <v>52094290230</v>
      </c>
      <c r="B21168" t="s">
        <v>8516</v>
      </c>
    </row>
    <row r="21169" spans="1:2" x14ac:dyDescent="0.25">
      <c r="A21169">
        <v>52094290240</v>
      </c>
      <c r="B21169" t="s">
        <v>8517</v>
      </c>
    </row>
    <row r="21170" spans="1:2" x14ac:dyDescent="0.25">
      <c r="A21170">
        <v>52094290250</v>
      </c>
      <c r="B21170" t="s">
        <v>8518</v>
      </c>
    </row>
    <row r="21171" spans="1:2" x14ac:dyDescent="0.25">
      <c r="A21171">
        <v>52094290260</v>
      </c>
      <c r="B21171" t="s">
        <v>8514</v>
      </c>
    </row>
    <row r="21172" spans="1:2" x14ac:dyDescent="0.25">
      <c r="A21172">
        <v>52094290270</v>
      </c>
      <c r="B21172" t="s">
        <v>8519</v>
      </c>
    </row>
    <row r="21173" spans="1:2" x14ac:dyDescent="0.25">
      <c r="A21173">
        <v>52094290280</v>
      </c>
      <c r="B21173" t="s">
        <v>8520</v>
      </c>
    </row>
    <row r="21174" spans="1:2" x14ac:dyDescent="0.25">
      <c r="A21174">
        <v>52094290290</v>
      </c>
      <c r="B21174" t="s">
        <v>10</v>
      </c>
    </row>
    <row r="21175" spans="1:2" x14ac:dyDescent="0.25">
      <c r="A21175">
        <v>52094300</v>
      </c>
      <c r="B21175" t="s">
        <v>8525</v>
      </c>
    </row>
    <row r="21176" spans="1:2" x14ac:dyDescent="0.25">
      <c r="A21176">
        <v>52094300100</v>
      </c>
      <c r="B21176" t="s">
        <v>8482</v>
      </c>
    </row>
    <row r="21177" spans="1:2" x14ac:dyDescent="0.25">
      <c r="A21177">
        <v>52094300200</v>
      </c>
      <c r="B21177" t="s">
        <v>8515</v>
      </c>
    </row>
    <row r="21178" spans="1:2" x14ac:dyDescent="0.25">
      <c r="A21178">
        <v>52094300300</v>
      </c>
      <c r="B21178" t="s">
        <v>8516</v>
      </c>
    </row>
    <row r="21179" spans="1:2" x14ac:dyDescent="0.25">
      <c r="A21179">
        <v>52094300400</v>
      </c>
      <c r="B21179" t="s">
        <v>8517</v>
      </c>
    </row>
    <row r="21180" spans="1:2" x14ac:dyDescent="0.25">
      <c r="A21180">
        <v>52094300500</v>
      </c>
      <c r="B21180" t="s">
        <v>8518</v>
      </c>
    </row>
    <row r="21181" spans="1:2" x14ac:dyDescent="0.25">
      <c r="A21181">
        <v>52094300600</v>
      </c>
      <c r="B21181" t="s">
        <v>8514</v>
      </c>
    </row>
    <row r="21182" spans="1:2" x14ac:dyDescent="0.25">
      <c r="A21182">
        <v>52094300700</v>
      </c>
      <c r="B21182" t="s">
        <v>8519</v>
      </c>
    </row>
    <row r="21183" spans="1:2" x14ac:dyDescent="0.25">
      <c r="A21183">
        <v>52094300800</v>
      </c>
      <c r="B21183" t="s">
        <v>8520</v>
      </c>
    </row>
    <row r="21184" spans="1:2" x14ac:dyDescent="0.25">
      <c r="A21184">
        <v>52094300900</v>
      </c>
      <c r="B21184" t="s">
        <v>10</v>
      </c>
    </row>
    <row r="21185" spans="1:2" x14ac:dyDescent="0.25">
      <c r="A21185">
        <v>52094900</v>
      </c>
      <c r="B21185" t="e">
        <f>- - Los demas tejidos</f>
        <v>#NAME?</v>
      </c>
    </row>
    <row r="21186" spans="1:2" x14ac:dyDescent="0.25">
      <c r="A21186">
        <v>520949001</v>
      </c>
      <c r="B21186" t="s">
        <v>8498</v>
      </c>
    </row>
    <row r="21187" spans="1:2" x14ac:dyDescent="0.25">
      <c r="A21187">
        <v>52094900110</v>
      </c>
      <c r="B21187" t="s">
        <v>8482</v>
      </c>
    </row>
    <row r="21188" spans="1:2" x14ac:dyDescent="0.25">
      <c r="A21188">
        <v>52094900120</v>
      </c>
      <c r="B21188" t="s">
        <v>8515</v>
      </c>
    </row>
    <row r="21189" spans="1:2" x14ac:dyDescent="0.25">
      <c r="A21189">
        <v>52094900130</v>
      </c>
      <c r="B21189" t="s">
        <v>8516</v>
      </c>
    </row>
    <row r="21190" spans="1:2" x14ac:dyDescent="0.25">
      <c r="A21190">
        <v>52094900140</v>
      </c>
      <c r="B21190" t="s">
        <v>8517</v>
      </c>
    </row>
    <row r="21191" spans="1:2" x14ac:dyDescent="0.25">
      <c r="A21191">
        <v>52094900150</v>
      </c>
      <c r="B21191" t="s">
        <v>8518</v>
      </c>
    </row>
    <row r="21192" spans="1:2" x14ac:dyDescent="0.25">
      <c r="A21192">
        <v>52094900160</v>
      </c>
      <c r="B21192" t="s">
        <v>8514</v>
      </c>
    </row>
    <row r="21193" spans="1:2" x14ac:dyDescent="0.25">
      <c r="A21193">
        <v>52094900170</v>
      </c>
      <c r="B21193" t="s">
        <v>8519</v>
      </c>
    </row>
    <row r="21194" spans="1:2" x14ac:dyDescent="0.25">
      <c r="A21194">
        <v>52094900180</v>
      </c>
      <c r="B21194" t="s">
        <v>8520</v>
      </c>
    </row>
    <row r="21195" spans="1:2" x14ac:dyDescent="0.25">
      <c r="A21195">
        <v>52094900190</v>
      </c>
      <c r="B21195" t="s">
        <v>10</v>
      </c>
    </row>
    <row r="21196" spans="1:2" x14ac:dyDescent="0.25">
      <c r="A21196">
        <v>520949009</v>
      </c>
      <c r="B21196" t="s">
        <v>8500</v>
      </c>
    </row>
    <row r="21197" spans="1:2" x14ac:dyDescent="0.25">
      <c r="A21197">
        <v>52094900910</v>
      </c>
      <c r="B21197" t="s">
        <v>8526</v>
      </c>
    </row>
    <row r="21198" spans="1:2" x14ac:dyDescent="0.25">
      <c r="A21198">
        <v>52094900920</v>
      </c>
      <c r="B21198" t="s">
        <v>8515</v>
      </c>
    </row>
    <row r="21199" spans="1:2" x14ac:dyDescent="0.25">
      <c r="A21199">
        <v>52094900930</v>
      </c>
      <c r="B21199" t="s">
        <v>8516</v>
      </c>
    </row>
    <row r="21200" spans="1:2" x14ac:dyDescent="0.25">
      <c r="A21200">
        <v>52094900940</v>
      </c>
      <c r="B21200" t="s">
        <v>8517</v>
      </c>
    </row>
    <row r="21201" spans="1:2" x14ac:dyDescent="0.25">
      <c r="A21201">
        <v>52094900950</v>
      </c>
      <c r="B21201" t="s">
        <v>8518</v>
      </c>
    </row>
    <row r="21202" spans="1:2" x14ac:dyDescent="0.25">
      <c r="A21202">
        <v>52094900960</v>
      </c>
      <c r="B21202" t="s">
        <v>8514</v>
      </c>
    </row>
    <row r="21203" spans="1:2" x14ac:dyDescent="0.25">
      <c r="A21203">
        <v>52094900970</v>
      </c>
      <c r="B21203" t="s">
        <v>8519</v>
      </c>
    </row>
    <row r="21204" spans="1:2" x14ac:dyDescent="0.25">
      <c r="A21204">
        <v>52094900980</v>
      </c>
      <c r="B21204" t="s">
        <v>8520</v>
      </c>
    </row>
    <row r="21205" spans="1:2" x14ac:dyDescent="0.25">
      <c r="A21205">
        <v>52094900990</v>
      </c>
      <c r="B21205" t="s">
        <v>10</v>
      </c>
    </row>
    <row r="21206" spans="1:2" x14ac:dyDescent="0.25">
      <c r="A21206">
        <v>52095</v>
      </c>
      <c r="B21206" t="s">
        <v>8505</v>
      </c>
    </row>
    <row r="21207" spans="1:2" x14ac:dyDescent="0.25">
      <c r="A21207">
        <v>52095100</v>
      </c>
      <c r="B21207" t="e">
        <f>- - de ligamento tafetan</f>
        <v>#NAME?</v>
      </c>
    </row>
    <row r="21208" spans="1:2" x14ac:dyDescent="0.25">
      <c r="A21208">
        <v>52095100100</v>
      </c>
      <c r="B21208" t="s">
        <v>8482</v>
      </c>
    </row>
    <row r="21209" spans="1:2" x14ac:dyDescent="0.25">
      <c r="A21209">
        <v>52095100200</v>
      </c>
      <c r="B21209" t="s">
        <v>8508</v>
      </c>
    </row>
    <row r="21210" spans="1:2" x14ac:dyDescent="0.25">
      <c r="A21210">
        <v>52095100300</v>
      </c>
      <c r="B21210" t="s">
        <v>8509</v>
      </c>
    </row>
    <row r="21211" spans="1:2" x14ac:dyDescent="0.25">
      <c r="A21211">
        <v>52095100400</v>
      </c>
      <c r="B21211" t="s">
        <v>8510</v>
      </c>
    </row>
    <row r="21212" spans="1:2" x14ac:dyDescent="0.25">
      <c r="A21212">
        <v>52095100500</v>
      </c>
      <c r="B21212" t="s">
        <v>8511</v>
      </c>
    </row>
    <row r="21213" spans="1:2" x14ac:dyDescent="0.25">
      <c r="A21213">
        <v>52095100600</v>
      </c>
      <c r="B21213" t="s">
        <v>8512</v>
      </c>
    </row>
    <row r="21214" spans="1:2" x14ac:dyDescent="0.25">
      <c r="A21214">
        <v>52095100700</v>
      </c>
      <c r="B21214" t="s">
        <v>8513</v>
      </c>
    </row>
    <row r="21215" spans="1:2" x14ac:dyDescent="0.25">
      <c r="A21215">
        <v>52095100800</v>
      </c>
      <c r="B21215" t="s">
        <v>8514</v>
      </c>
    </row>
    <row r="21216" spans="1:2" x14ac:dyDescent="0.25">
      <c r="A21216">
        <v>52095100900</v>
      </c>
      <c r="B21216" t="s">
        <v>10</v>
      </c>
    </row>
    <row r="21217" spans="1:2" x14ac:dyDescent="0.25">
      <c r="A21217">
        <v>52095200</v>
      </c>
      <c r="B21217" t="s">
        <v>8490</v>
      </c>
    </row>
    <row r="21218" spans="1:2" x14ac:dyDescent="0.25">
      <c r="A21218">
        <v>52095200100</v>
      </c>
      <c r="B21218" t="s">
        <v>8482</v>
      </c>
    </row>
    <row r="21219" spans="1:2" x14ac:dyDescent="0.25">
      <c r="A21219">
        <v>52095200200</v>
      </c>
      <c r="B21219" t="s">
        <v>8515</v>
      </c>
    </row>
    <row r="21220" spans="1:2" x14ac:dyDescent="0.25">
      <c r="A21220">
        <v>52095200300</v>
      </c>
      <c r="B21220" t="s">
        <v>8516</v>
      </c>
    </row>
    <row r="21221" spans="1:2" x14ac:dyDescent="0.25">
      <c r="A21221">
        <v>52095200400</v>
      </c>
      <c r="B21221" t="s">
        <v>8517</v>
      </c>
    </row>
    <row r="21222" spans="1:2" x14ac:dyDescent="0.25">
      <c r="A21222">
        <v>52095200500</v>
      </c>
      <c r="B21222" t="s">
        <v>8518</v>
      </c>
    </row>
    <row r="21223" spans="1:2" x14ac:dyDescent="0.25">
      <c r="A21223">
        <v>52095200600</v>
      </c>
      <c r="B21223" t="s">
        <v>8514</v>
      </c>
    </row>
    <row r="21224" spans="1:2" x14ac:dyDescent="0.25">
      <c r="A21224">
        <v>52095200700</v>
      </c>
      <c r="B21224" t="s">
        <v>8519</v>
      </c>
    </row>
    <row r="21225" spans="1:2" x14ac:dyDescent="0.25">
      <c r="A21225">
        <v>52095200800</v>
      </c>
      <c r="B21225" t="s">
        <v>8520</v>
      </c>
    </row>
    <row r="21226" spans="1:2" x14ac:dyDescent="0.25">
      <c r="A21226">
        <v>52095200900</v>
      </c>
      <c r="B21226" t="s">
        <v>10</v>
      </c>
    </row>
    <row r="21227" spans="1:2" x14ac:dyDescent="0.25">
      <c r="A21227">
        <v>52095900</v>
      </c>
      <c r="B21227" t="e">
        <f>- - Los demas tejidos</f>
        <v>#NAME?</v>
      </c>
    </row>
    <row r="21228" spans="1:2" x14ac:dyDescent="0.25">
      <c r="A21228">
        <v>520959001</v>
      </c>
      <c r="B21228" t="s">
        <v>8498</v>
      </c>
    </row>
    <row r="21229" spans="1:2" x14ac:dyDescent="0.25">
      <c r="A21229">
        <v>52095900110</v>
      </c>
      <c r="B21229" t="s">
        <v>8482</v>
      </c>
    </row>
    <row r="21230" spans="1:2" x14ac:dyDescent="0.25">
      <c r="A21230">
        <v>52095900120</v>
      </c>
      <c r="B21230" t="s">
        <v>8515</v>
      </c>
    </row>
    <row r="21231" spans="1:2" x14ac:dyDescent="0.25">
      <c r="A21231">
        <v>52095900130</v>
      </c>
      <c r="B21231" t="s">
        <v>8516</v>
      </c>
    </row>
    <row r="21232" spans="1:2" x14ac:dyDescent="0.25">
      <c r="A21232">
        <v>52095900140</v>
      </c>
      <c r="B21232" t="s">
        <v>8517</v>
      </c>
    </row>
    <row r="21233" spans="1:2" x14ac:dyDescent="0.25">
      <c r="A21233">
        <v>52095900150</v>
      </c>
      <c r="B21233" t="s">
        <v>8518</v>
      </c>
    </row>
    <row r="21234" spans="1:2" x14ac:dyDescent="0.25">
      <c r="A21234">
        <v>52095900160</v>
      </c>
      <c r="B21234" t="s">
        <v>8514</v>
      </c>
    </row>
    <row r="21235" spans="1:2" x14ac:dyDescent="0.25">
      <c r="A21235">
        <v>52095900170</v>
      </c>
      <c r="B21235" t="s">
        <v>8519</v>
      </c>
    </row>
    <row r="21236" spans="1:2" x14ac:dyDescent="0.25">
      <c r="A21236">
        <v>52095900180</v>
      </c>
      <c r="B21236" t="s">
        <v>8520</v>
      </c>
    </row>
    <row r="21237" spans="1:2" x14ac:dyDescent="0.25">
      <c r="A21237">
        <v>52095900190</v>
      </c>
      <c r="B21237" t="s">
        <v>10</v>
      </c>
    </row>
    <row r="21238" spans="1:2" x14ac:dyDescent="0.25">
      <c r="A21238">
        <v>520959009</v>
      </c>
      <c r="B21238" t="s">
        <v>8500</v>
      </c>
    </row>
    <row r="21239" spans="1:2" x14ac:dyDescent="0.25">
      <c r="A21239">
        <v>52095900910</v>
      </c>
      <c r="B21239" t="s">
        <v>8482</v>
      </c>
    </row>
    <row r="21240" spans="1:2" x14ac:dyDescent="0.25">
      <c r="A21240">
        <v>52095900920</v>
      </c>
      <c r="B21240" t="s">
        <v>8515</v>
      </c>
    </row>
    <row r="21241" spans="1:2" x14ac:dyDescent="0.25">
      <c r="A21241">
        <v>52095900930</v>
      </c>
      <c r="B21241" t="s">
        <v>8516</v>
      </c>
    </row>
    <row r="21242" spans="1:2" x14ac:dyDescent="0.25">
      <c r="A21242">
        <v>52095900940</v>
      </c>
      <c r="B21242" t="s">
        <v>8517</v>
      </c>
    </row>
    <row r="21243" spans="1:2" x14ac:dyDescent="0.25">
      <c r="A21243">
        <v>52095900950</v>
      </c>
      <c r="B21243" t="s">
        <v>8518</v>
      </c>
    </row>
    <row r="21244" spans="1:2" x14ac:dyDescent="0.25">
      <c r="A21244">
        <v>52095900960</v>
      </c>
      <c r="B21244" t="s">
        <v>8514</v>
      </c>
    </row>
    <row r="21245" spans="1:2" x14ac:dyDescent="0.25">
      <c r="A21245">
        <v>52095900970</v>
      </c>
      <c r="B21245" t="s">
        <v>8519</v>
      </c>
    </row>
    <row r="21246" spans="1:2" x14ac:dyDescent="0.25">
      <c r="A21246">
        <v>52095900980</v>
      </c>
      <c r="B21246" t="s">
        <v>8520</v>
      </c>
    </row>
    <row r="21247" spans="1:2" x14ac:dyDescent="0.25">
      <c r="A21247">
        <v>52095900990</v>
      </c>
      <c r="B21247" t="s">
        <v>10</v>
      </c>
    </row>
    <row r="21248" spans="1:2" x14ac:dyDescent="0.25">
      <c r="A21248">
        <v>5210</v>
      </c>
      <c r="B21248" t="s">
        <v>8527</v>
      </c>
    </row>
    <row r="21249" spans="1:2" x14ac:dyDescent="0.25">
      <c r="A21249">
        <v>52101</v>
      </c>
      <c r="B21249" t="s">
        <v>8471</v>
      </c>
    </row>
    <row r="21250" spans="1:2" x14ac:dyDescent="0.25">
      <c r="A21250">
        <v>52101100</v>
      </c>
      <c r="B21250" t="e">
        <f>- - de ligamento tafetan</f>
        <v>#NAME?</v>
      </c>
    </row>
    <row r="21251" spans="1:2" x14ac:dyDescent="0.25">
      <c r="A21251">
        <v>52101100100</v>
      </c>
      <c r="B21251" t="s">
        <v>8528</v>
      </c>
    </row>
    <row r="21252" spans="1:2" x14ac:dyDescent="0.25">
      <c r="A21252">
        <v>52101100200</v>
      </c>
      <c r="B21252" t="s">
        <v>8483</v>
      </c>
    </row>
    <row r="21253" spans="1:2" x14ac:dyDescent="0.25">
      <c r="A21253">
        <v>52101100300</v>
      </c>
      <c r="B21253" t="s">
        <v>8484</v>
      </c>
    </row>
    <row r="21254" spans="1:2" x14ac:dyDescent="0.25">
      <c r="A21254">
        <v>52101100400</v>
      </c>
      <c r="B21254" t="s">
        <v>8485</v>
      </c>
    </row>
    <row r="21255" spans="1:2" x14ac:dyDescent="0.25">
      <c r="A21255">
        <v>52101100500</v>
      </c>
      <c r="B21255" t="s">
        <v>8486</v>
      </c>
    </row>
    <row r="21256" spans="1:2" x14ac:dyDescent="0.25">
      <c r="A21256">
        <v>52101100600</v>
      </c>
      <c r="B21256" t="s">
        <v>8487</v>
      </c>
    </row>
    <row r="21257" spans="1:2" x14ac:dyDescent="0.25">
      <c r="A21257">
        <v>52101100700</v>
      </c>
      <c r="B21257" t="s">
        <v>8488</v>
      </c>
    </row>
    <row r="21258" spans="1:2" x14ac:dyDescent="0.25">
      <c r="A21258">
        <v>52101100800</v>
      </c>
      <c r="B21258" t="s">
        <v>8489</v>
      </c>
    </row>
    <row r="21259" spans="1:2" x14ac:dyDescent="0.25">
      <c r="A21259">
        <v>52101100900</v>
      </c>
      <c r="B21259" t="s">
        <v>10</v>
      </c>
    </row>
    <row r="21260" spans="1:2" x14ac:dyDescent="0.25">
      <c r="A21260">
        <v>521019</v>
      </c>
      <c r="B21260" t="e">
        <f>- - Los demas tejidos</f>
        <v>#NAME?</v>
      </c>
    </row>
    <row r="21261" spans="1:2" x14ac:dyDescent="0.25">
      <c r="A21261">
        <v>52101910</v>
      </c>
      <c r="B21261" t="s">
        <v>8506</v>
      </c>
    </row>
    <row r="21262" spans="1:2" x14ac:dyDescent="0.25">
      <c r="A21262">
        <v>52101910100</v>
      </c>
      <c r="B21262" t="s">
        <v>8491</v>
      </c>
    </row>
    <row r="21263" spans="1:2" x14ac:dyDescent="0.25">
      <c r="A21263">
        <v>52101910200</v>
      </c>
      <c r="B21263" t="s">
        <v>8492</v>
      </c>
    </row>
    <row r="21264" spans="1:2" x14ac:dyDescent="0.25">
      <c r="A21264">
        <v>52101910300</v>
      </c>
      <c r="B21264" t="s">
        <v>8493</v>
      </c>
    </row>
    <row r="21265" spans="1:2" x14ac:dyDescent="0.25">
      <c r="A21265">
        <v>52101910400</v>
      </c>
      <c r="B21265" t="s">
        <v>8494</v>
      </c>
    </row>
    <row r="21266" spans="1:2" x14ac:dyDescent="0.25">
      <c r="A21266">
        <v>52101910500</v>
      </c>
      <c r="B21266" t="s">
        <v>8487</v>
      </c>
    </row>
    <row r="21267" spans="1:2" x14ac:dyDescent="0.25">
      <c r="A21267">
        <v>52101910600</v>
      </c>
      <c r="B21267" t="s">
        <v>8495</v>
      </c>
    </row>
    <row r="21268" spans="1:2" x14ac:dyDescent="0.25">
      <c r="A21268">
        <v>52101910700</v>
      </c>
      <c r="B21268" t="s">
        <v>8496</v>
      </c>
    </row>
    <row r="21269" spans="1:2" x14ac:dyDescent="0.25">
      <c r="A21269">
        <v>52101910800</v>
      </c>
      <c r="B21269" t="s">
        <v>8497</v>
      </c>
    </row>
    <row r="21270" spans="1:2" x14ac:dyDescent="0.25">
      <c r="A21270">
        <v>52101910900</v>
      </c>
      <c r="B21270" t="s">
        <v>10</v>
      </c>
    </row>
    <row r="21271" spans="1:2" x14ac:dyDescent="0.25">
      <c r="A21271">
        <v>52101990</v>
      </c>
      <c r="B21271" t="s">
        <v>10</v>
      </c>
    </row>
    <row r="21272" spans="1:2" x14ac:dyDescent="0.25">
      <c r="A21272">
        <v>521019901</v>
      </c>
      <c r="B21272" t="s">
        <v>8529</v>
      </c>
    </row>
    <row r="21273" spans="1:2" x14ac:dyDescent="0.25">
      <c r="A21273">
        <v>52101990110</v>
      </c>
      <c r="B21273" t="s">
        <v>8491</v>
      </c>
    </row>
    <row r="21274" spans="1:2" x14ac:dyDescent="0.25">
      <c r="A21274">
        <v>52101990120</v>
      </c>
      <c r="B21274" t="s">
        <v>8492</v>
      </c>
    </row>
    <row r="21275" spans="1:2" x14ac:dyDescent="0.25">
      <c r="A21275">
        <v>52101990130</v>
      </c>
      <c r="B21275" t="s">
        <v>8493</v>
      </c>
    </row>
    <row r="21276" spans="1:2" x14ac:dyDescent="0.25">
      <c r="A21276">
        <v>52101990140</v>
      </c>
      <c r="B21276" t="s">
        <v>8494</v>
      </c>
    </row>
    <row r="21277" spans="1:2" x14ac:dyDescent="0.25">
      <c r="A21277">
        <v>52101990150</v>
      </c>
      <c r="B21277" t="s">
        <v>8487</v>
      </c>
    </row>
    <row r="21278" spans="1:2" x14ac:dyDescent="0.25">
      <c r="A21278">
        <v>52101990160</v>
      </c>
      <c r="B21278" t="s">
        <v>8495</v>
      </c>
    </row>
    <row r="21279" spans="1:2" x14ac:dyDescent="0.25">
      <c r="A21279">
        <v>52101990170</v>
      </c>
      <c r="B21279" t="s">
        <v>8496</v>
      </c>
    </row>
    <row r="21280" spans="1:2" x14ac:dyDescent="0.25">
      <c r="A21280">
        <v>52101990180</v>
      </c>
      <c r="B21280" t="s">
        <v>8497</v>
      </c>
    </row>
    <row r="21281" spans="1:2" x14ac:dyDescent="0.25">
      <c r="A21281">
        <v>52101990190</v>
      </c>
      <c r="B21281" t="s">
        <v>10</v>
      </c>
    </row>
    <row r="21282" spans="1:2" x14ac:dyDescent="0.25">
      <c r="A21282">
        <v>521019909</v>
      </c>
      <c r="B21282" t="s">
        <v>8500</v>
      </c>
    </row>
    <row r="21283" spans="1:2" x14ac:dyDescent="0.25">
      <c r="A21283">
        <v>52101990910</v>
      </c>
      <c r="B21283" t="s">
        <v>8491</v>
      </c>
    </row>
    <row r="21284" spans="1:2" x14ac:dyDescent="0.25">
      <c r="A21284">
        <v>52101990920</v>
      </c>
      <c r="B21284" t="s">
        <v>8492</v>
      </c>
    </row>
    <row r="21285" spans="1:2" x14ac:dyDescent="0.25">
      <c r="A21285">
        <v>52101990930</v>
      </c>
      <c r="B21285" t="s">
        <v>8493</v>
      </c>
    </row>
    <row r="21286" spans="1:2" x14ac:dyDescent="0.25">
      <c r="A21286">
        <v>52101990940</v>
      </c>
      <c r="B21286" t="s">
        <v>8494</v>
      </c>
    </row>
    <row r="21287" spans="1:2" x14ac:dyDescent="0.25">
      <c r="A21287">
        <v>52101990950</v>
      </c>
      <c r="B21287" t="s">
        <v>8487</v>
      </c>
    </row>
    <row r="21288" spans="1:2" x14ac:dyDescent="0.25">
      <c r="A21288">
        <v>52101990960</v>
      </c>
      <c r="B21288" t="s">
        <v>8495</v>
      </c>
    </row>
    <row r="21289" spans="1:2" x14ac:dyDescent="0.25">
      <c r="A21289">
        <v>52101990970</v>
      </c>
      <c r="B21289" t="s">
        <v>8496</v>
      </c>
    </row>
    <row r="21290" spans="1:2" x14ac:dyDescent="0.25">
      <c r="A21290">
        <v>52101990980</v>
      </c>
      <c r="B21290" t="s">
        <v>8497</v>
      </c>
    </row>
    <row r="21291" spans="1:2" x14ac:dyDescent="0.25">
      <c r="A21291">
        <v>52101990990</v>
      </c>
      <c r="B21291" t="s">
        <v>10</v>
      </c>
    </row>
    <row r="21292" spans="1:2" x14ac:dyDescent="0.25">
      <c r="A21292">
        <v>52102</v>
      </c>
      <c r="B21292" t="s">
        <v>8499</v>
      </c>
    </row>
    <row r="21293" spans="1:2" x14ac:dyDescent="0.25">
      <c r="A21293">
        <v>52102100</v>
      </c>
      <c r="B21293" t="e">
        <f>- - de ligamento tafetan</f>
        <v>#NAME?</v>
      </c>
    </row>
    <row r="21294" spans="1:2" x14ac:dyDescent="0.25">
      <c r="A21294">
        <v>52102100100</v>
      </c>
      <c r="B21294" t="s">
        <v>8482</v>
      </c>
    </row>
    <row r="21295" spans="1:2" x14ac:dyDescent="0.25">
      <c r="A21295">
        <v>52102100200</v>
      </c>
      <c r="B21295" t="s">
        <v>8483</v>
      </c>
    </row>
    <row r="21296" spans="1:2" x14ac:dyDescent="0.25">
      <c r="A21296">
        <v>52102100300</v>
      </c>
      <c r="B21296" t="s">
        <v>8484</v>
      </c>
    </row>
    <row r="21297" spans="1:2" x14ac:dyDescent="0.25">
      <c r="A21297">
        <v>52102100400</v>
      </c>
      <c r="B21297" t="s">
        <v>8485</v>
      </c>
    </row>
    <row r="21298" spans="1:2" x14ac:dyDescent="0.25">
      <c r="A21298">
        <v>52102100500</v>
      </c>
      <c r="B21298" t="s">
        <v>8486</v>
      </c>
    </row>
    <row r="21299" spans="1:2" x14ac:dyDescent="0.25">
      <c r="A21299">
        <v>52102100600</v>
      </c>
      <c r="B21299" t="s">
        <v>8487</v>
      </c>
    </row>
    <row r="21300" spans="1:2" x14ac:dyDescent="0.25">
      <c r="A21300">
        <v>52102100700</v>
      </c>
      <c r="B21300" t="s">
        <v>8488</v>
      </c>
    </row>
    <row r="21301" spans="1:2" x14ac:dyDescent="0.25">
      <c r="A21301">
        <v>52102100800</v>
      </c>
      <c r="B21301" t="s">
        <v>8489</v>
      </c>
    </row>
    <row r="21302" spans="1:2" x14ac:dyDescent="0.25">
      <c r="A21302">
        <v>52102100900</v>
      </c>
      <c r="B21302" t="s">
        <v>10</v>
      </c>
    </row>
    <row r="21303" spans="1:2" x14ac:dyDescent="0.25">
      <c r="A21303">
        <v>521029</v>
      </c>
      <c r="B21303" t="e">
        <f>- - Los demas tejidos</f>
        <v>#NAME?</v>
      </c>
    </row>
    <row r="21304" spans="1:2" x14ac:dyDescent="0.25">
      <c r="A21304">
        <v>52102910</v>
      </c>
      <c r="B21304" t="s">
        <v>8506</v>
      </c>
    </row>
    <row r="21305" spans="1:2" x14ac:dyDescent="0.25">
      <c r="A21305">
        <v>52102910100</v>
      </c>
      <c r="B21305" t="s">
        <v>8491</v>
      </c>
    </row>
    <row r="21306" spans="1:2" x14ac:dyDescent="0.25">
      <c r="A21306">
        <v>52102910200</v>
      </c>
      <c r="B21306" t="s">
        <v>8492</v>
      </c>
    </row>
    <row r="21307" spans="1:2" x14ac:dyDescent="0.25">
      <c r="A21307">
        <v>52102910300</v>
      </c>
      <c r="B21307" t="s">
        <v>8493</v>
      </c>
    </row>
    <row r="21308" spans="1:2" x14ac:dyDescent="0.25">
      <c r="A21308">
        <v>52102910400</v>
      </c>
      <c r="B21308" t="s">
        <v>8494</v>
      </c>
    </row>
    <row r="21309" spans="1:2" x14ac:dyDescent="0.25">
      <c r="A21309">
        <v>52102910500</v>
      </c>
      <c r="B21309" t="s">
        <v>8487</v>
      </c>
    </row>
    <row r="21310" spans="1:2" x14ac:dyDescent="0.25">
      <c r="A21310">
        <v>52102910600</v>
      </c>
      <c r="B21310" t="s">
        <v>8495</v>
      </c>
    </row>
    <row r="21311" spans="1:2" x14ac:dyDescent="0.25">
      <c r="A21311">
        <v>52102910700</v>
      </c>
      <c r="B21311" t="s">
        <v>8496</v>
      </c>
    </row>
    <row r="21312" spans="1:2" x14ac:dyDescent="0.25">
      <c r="A21312">
        <v>52102910800</v>
      </c>
      <c r="B21312" t="s">
        <v>8497</v>
      </c>
    </row>
    <row r="21313" spans="1:2" x14ac:dyDescent="0.25">
      <c r="A21313">
        <v>52102910900</v>
      </c>
      <c r="B21313" t="s">
        <v>10</v>
      </c>
    </row>
    <row r="21314" spans="1:2" x14ac:dyDescent="0.25">
      <c r="A21314">
        <v>52102990</v>
      </c>
      <c r="B21314" t="s">
        <v>10</v>
      </c>
    </row>
    <row r="21315" spans="1:2" x14ac:dyDescent="0.25">
      <c r="A21315">
        <v>521029901</v>
      </c>
      <c r="B21315" t="s">
        <v>8498</v>
      </c>
    </row>
    <row r="21316" spans="1:2" x14ac:dyDescent="0.25">
      <c r="A21316">
        <v>52102990110</v>
      </c>
      <c r="B21316" t="s">
        <v>8491</v>
      </c>
    </row>
    <row r="21317" spans="1:2" x14ac:dyDescent="0.25">
      <c r="A21317">
        <v>52102990120</v>
      </c>
      <c r="B21317" t="s">
        <v>8492</v>
      </c>
    </row>
    <row r="21318" spans="1:2" x14ac:dyDescent="0.25">
      <c r="A21318">
        <v>52102990130</v>
      </c>
      <c r="B21318" t="s">
        <v>8493</v>
      </c>
    </row>
    <row r="21319" spans="1:2" x14ac:dyDescent="0.25">
      <c r="A21319">
        <v>52102990140</v>
      </c>
      <c r="B21319" t="s">
        <v>8494</v>
      </c>
    </row>
    <row r="21320" spans="1:2" x14ac:dyDescent="0.25">
      <c r="A21320">
        <v>52102990150</v>
      </c>
      <c r="B21320" t="s">
        <v>8487</v>
      </c>
    </row>
    <row r="21321" spans="1:2" x14ac:dyDescent="0.25">
      <c r="A21321">
        <v>52102990160</v>
      </c>
      <c r="B21321" t="s">
        <v>8495</v>
      </c>
    </row>
    <row r="21322" spans="1:2" x14ac:dyDescent="0.25">
      <c r="A21322">
        <v>52102990170</v>
      </c>
      <c r="B21322" t="s">
        <v>8496</v>
      </c>
    </row>
    <row r="21323" spans="1:2" x14ac:dyDescent="0.25">
      <c r="A21323">
        <v>52102990180</v>
      </c>
      <c r="B21323" t="s">
        <v>8497</v>
      </c>
    </row>
    <row r="21324" spans="1:2" x14ac:dyDescent="0.25">
      <c r="A21324">
        <v>52102990190</v>
      </c>
      <c r="B21324" t="s">
        <v>10</v>
      </c>
    </row>
    <row r="21325" spans="1:2" x14ac:dyDescent="0.25">
      <c r="A21325">
        <v>521029909</v>
      </c>
      <c r="B21325" t="s">
        <v>8500</v>
      </c>
    </row>
    <row r="21326" spans="1:2" x14ac:dyDescent="0.25">
      <c r="A21326">
        <v>52102990910</v>
      </c>
      <c r="B21326" t="s">
        <v>8491</v>
      </c>
    </row>
    <row r="21327" spans="1:2" x14ac:dyDescent="0.25">
      <c r="A21327">
        <v>52102990920</v>
      </c>
      <c r="B21327" t="s">
        <v>8492</v>
      </c>
    </row>
    <row r="21328" spans="1:2" x14ac:dyDescent="0.25">
      <c r="A21328">
        <v>52102990930</v>
      </c>
      <c r="B21328" t="s">
        <v>8493</v>
      </c>
    </row>
    <row r="21329" spans="1:2" x14ac:dyDescent="0.25">
      <c r="A21329">
        <v>52102990940</v>
      </c>
      <c r="B21329" t="s">
        <v>8494</v>
      </c>
    </row>
    <row r="21330" spans="1:2" x14ac:dyDescent="0.25">
      <c r="A21330">
        <v>52102990950</v>
      </c>
      <c r="B21330" t="s">
        <v>8487</v>
      </c>
    </row>
    <row r="21331" spans="1:2" x14ac:dyDescent="0.25">
      <c r="A21331">
        <v>52102990960</v>
      </c>
      <c r="B21331" t="s">
        <v>8495</v>
      </c>
    </row>
    <row r="21332" spans="1:2" x14ac:dyDescent="0.25">
      <c r="A21332">
        <v>52102990970</v>
      </c>
      <c r="B21332" t="s">
        <v>8496</v>
      </c>
    </row>
    <row r="21333" spans="1:2" x14ac:dyDescent="0.25">
      <c r="A21333">
        <v>52102990980</v>
      </c>
      <c r="B21333" t="s">
        <v>8497</v>
      </c>
    </row>
    <row r="21334" spans="1:2" x14ac:dyDescent="0.25">
      <c r="A21334">
        <v>52102990990</v>
      </c>
      <c r="B21334" t="s">
        <v>10</v>
      </c>
    </row>
    <row r="21335" spans="1:2" x14ac:dyDescent="0.25">
      <c r="A21335">
        <v>52103</v>
      </c>
      <c r="B21335" t="s">
        <v>8501</v>
      </c>
    </row>
    <row r="21336" spans="1:2" x14ac:dyDescent="0.25">
      <c r="A21336">
        <v>52103100</v>
      </c>
      <c r="B21336" t="e">
        <f>- - de ligamento tafetan</f>
        <v>#NAME?</v>
      </c>
    </row>
    <row r="21337" spans="1:2" x14ac:dyDescent="0.25">
      <c r="A21337">
        <v>52103100100</v>
      </c>
      <c r="B21337" t="s">
        <v>8482</v>
      </c>
    </row>
    <row r="21338" spans="1:2" x14ac:dyDescent="0.25">
      <c r="A21338">
        <v>52103100200</v>
      </c>
      <c r="B21338" t="s">
        <v>8483</v>
      </c>
    </row>
    <row r="21339" spans="1:2" x14ac:dyDescent="0.25">
      <c r="A21339">
        <v>52103100300</v>
      </c>
      <c r="B21339" t="s">
        <v>8484</v>
      </c>
    </row>
    <row r="21340" spans="1:2" x14ac:dyDescent="0.25">
      <c r="A21340">
        <v>52103100400</v>
      </c>
      <c r="B21340" t="s">
        <v>8485</v>
      </c>
    </row>
    <row r="21341" spans="1:2" x14ac:dyDescent="0.25">
      <c r="A21341">
        <v>52103100500</v>
      </c>
      <c r="B21341" t="s">
        <v>8486</v>
      </c>
    </row>
    <row r="21342" spans="1:2" x14ac:dyDescent="0.25">
      <c r="A21342">
        <v>52103100600</v>
      </c>
      <c r="B21342" t="s">
        <v>8487</v>
      </c>
    </row>
    <row r="21343" spans="1:2" x14ac:dyDescent="0.25">
      <c r="A21343">
        <v>52103100700</v>
      </c>
      <c r="B21343" t="s">
        <v>8488</v>
      </c>
    </row>
    <row r="21344" spans="1:2" x14ac:dyDescent="0.25">
      <c r="A21344">
        <v>52103100800</v>
      </c>
      <c r="B21344" t="s">
        <v>8489</v>
      </c>
    </row>
    <row r="21345" spans="1:2" x14ac:dyDescent="0.25">
      <c r="A21345">
        <v>52103100900</v>
      </c>
      <c r="B21345" t="s">
        <v>10</v>
      </c>
    </row>
    <row r="21346" spans="1:2" x14ac:dyDescent="0.25">
      <c r="A21346">
        <v>52103200</v>
      </c>
      <c r="B21346" t="s">
        <v>8490</v>
      </c>
    </row>
    <row r="21347" spans="1:2" x14ac:dyDescent="0.25">
      <c r="A21347">
        <v>52103200100</v>
      </c>
      <c r="B21347" t="s">
        <v>8491</v>
      </c>
    </row>
    <row r="21348" spans="1:2" x14ac:dyDescent="0.25">
      <c r="A21348">
        <v>52103200200</v>
      </c>
      <c r="B21348" t="s">
        <v>8492</v>
      </c>
    </row>
    <row r="21349" spans="1:2" x14ac:dyDescent="0.25">
      <c r="A21349">
        <v>52103200300</v>
      </c>
      <c r="B21349" t="s">
        <v>8493</v>
      </c>
    </row>
    <row r="21350" spans="1:2" x14ac:dyDescent="0.25">
      <c r="A21350">
        <v>52103200400</v>
      </c>
      <c r="B21350" t="s">
        <v>8494</v>
      </c>
    </row>
    <row r="21351" spans="1:2" x14ac:dyDescent="0.25">
      <c r="A21351">
        <v>52103200500</v>
      </c>
      <c r="B21351" t="s">
        <v>8487</v>
      </c>
    </row>
    <row r="21352" spans="1:2" x14ac:dyDescent="0.25">
      <c r="A21352">
        <v>52103200600</v>
      </c>
      <c r="B21352" t="s">
        <v>8495</v>
      </c>
    </row>
    <row r="21353" spans="1:2" x14ac:dyDescent="0.25">
      <c r="A21353">
        <v>52103200700</v>
      </c>
      <c r="B21353" t="s">
        <v>8496</v>
      </c>
    </row>
    <row r="21354" spans="1:2" x14ac:dyDescent="0.25">
      <c r="A21354">
        <v>52103200800</v>
      </c>
      <c r="B21354" t="s">
        <v>8497</v>
      </c>
    </row>
    <row r="21355" spans="1:2" x14ac:dyDescent="0.25">
      <c r="A21355">
        <v>52103200900</v>
      </c>
      <c r="B21355" t="s">
        <v>10</v>
      </c>
    </row>
    <row r="21356" spans="1:2" x14ac:dyDescent="0.25">
      <c r="A21356">
        <v>52103900</v>
      </c>
      <c r="B21356" t="e">
        <f>- - Los demas tejidos</f>
        <v>#NAME?</v>
      </c>
    </row>
    <row r="21357" spans="1:2" x14ac:dyDescent="0.25">
      <c r="A21357">
        <v>521039001</v>
      </c>
      <c r="B21357" t="s">
        <v>8498</v>
      </c>
    </row>
    <row r="21358" spans="1:2" x14ac:dyDescent="0.25">
      <c r="A21358">
        <v>52103900110</v>
      </c>
      <c r="B21358" t="s">
        <v>8491</v>
      </c>
    </row>
    <row r="21359" spans="1:2" x14ac:dyDescent="0.25">
      <c r="A21359">
        <v>52103900120</v>
      </c>
      <c r="B21359" t="s">
        <v>8492</v>
      </c>
    </row>
    <row r="21360" spans="1:2" x14ac:dyDescent="0.25">
      <c r="A21360">
        <v>52103900130</v>
      </c>
      <c r="B21360" t="s">
        <v>8493</v>
      </c>
    </row>
    <row r="21361" spans="1:2" x14ac:dyDescent="0.25">
      <c r="A21361">
        <v>52103900140</v>
      </c>
      <c r="B21361" t="s">
        <v>8494</v>
      </c>
    </row>
    <row r="21362" spans="1:2" x14ac:dyDescent="0.25">
      <c r="A21362">
        <v>52103900150</v>
      </c>
      <c r="B21362" t="s">
        <v>8487</v>
      </c>
    </row>
    <row r="21363" spans="1:2" x14ac:dyDescent="0.25">
      <c r="A21363">
        <v>52103900160</v>
      </c>
      <c r="B21363" t="s">
        <v>8495</v>
      </c>
    </row>
    <row r="21364" spans="1:2" x14ac:dyDescent="0.25">
      <c r="A21364">
        <v>52103900170</v>
      </c>
      <c r="B21364" t="s">
        <v>8496</v>
      </c>
    </row>
    <row r="21365" spans="1:2" x14ac:dyDescent="0.25">
      <c r="A21365">
        <v>52103900180</v>
      </c>
      <c r="B21365" t="s">
        <v>8497</v>
      </c>
    </row>
    <row r="21366" spans="1:2" x14ac:dyDescent="0.25">
      <c r="A21366">
        <v>52103900190</v>
      </c>
      <c r="B21366" t="s">
        <v>10</v>
      </c>
    </row>
    <row r="21367" spans="1:2" x14ac:dyDescent="0.25">
      <c r="A21367">
        <v>521039009</v>
      </c>
      <c r="B21367" t="s">
        <v>8500</v>
      </c>
    </row>
    <row r="21368" spans="1:2" x14ac:dyDescent="0.25">
      <c r="A21368">
        <v>52103900910</v>
      </c>
      <c r="B21368" t="s">
        <v>8530</v>
      </c>
    </row>
    <row r="21369" spans="1:2" x14ac:dyDescent="0.25">
      <c r="A21369">
        <v>52103900920</v>
      </c>
      <c r="B21369" t="s">
        <v>8492</v>
      </c>
    </row>
    <row r="21370" spans="1:2" x14ac:dyDescent="0.25">
      <c r="A21370">
        <v>52103900930</v>
      </c>
      <c r="B21370" t="s">
        <v>8493</v>
      </c>
    </row>
    <row r="21371" spans="1:2" x14ac:dyDescent="0.25">
      <c r="A21371">
        <v>52103900940</v>
      </c>
      <c r="B21371" t="s">
        <v>8494</v>
      </c>
    </row>
    <row r="21372" spans="1:2" x14ac:dyDescent="0.25">
      <c r="A21372">
        <v>52103900950</v>
      </c>
      <c r="B21372" t="s">
        <v>8487</v>
      </c>
    </row>
    <row r="21373" spans="1:2" x14ac:dyDescent="0.25">
      <c r="A21373">
        <v>52103900960</v>
      </c>
      <c r="B21373" t="s">
        <v>8495</v>
      </c>
    </row>
    <row r="21374" spans="1:2" x14ac:dyDescent="0.25">
      <c r="A21374">
        <v>52103900970</v>
      </c>
      <c r="B21374" t="s">
        <v>8496</v>
      </c>
    </row>
    <row r="21375" spans="1:2" x14ac:dyDescent="0.25">
      <c r="A21375">
        <v>52103900980</v>
      </c>
      <c r="B21375" t="s">
        <v>8497</v>
      </c>
    </row>
    <row r="21376" spans="1:2" x14ac:dyDescent="0.25">
      <c r="A21376">
        <v>52103900990</v>
      </c>
      <c r="B21376" t="s">
        <v>10</v>
      </c>
    </row>
    <row r="21377" spans="1:2" x14ac:dyDescent="0.25">
      <c r="A21377">
        <v>52104</v>
      </c>
      <c r="B21377" t="s">
        <v>8502</v>
      </c>
    </row>
    <row r="21378" spans="1:2" x14ac:dyDescent="0.25">
      <c r="A21378">
        <v>52104100</v>
      </c>
      <c r="B21378" t="e">
        <f>- - de ligamento tafetan</f>
        <v>#NAME?</v>
      </c>
    </row>
    <row r="21379" spans="1:2" x14ac:dyDescent="0.25">
      <c r="A21379">
        <v>52104100100</v>
      </c>
      <c r="B21379" t="s">
        <v>8482</v>
      </c>
    </row>
    <row r="21380" spans="1:2" x14ac:dyDescent="0.25">
      <c r="A21380">
        <v>52104100200</v>
      </c>
      <c r="B21380" t="s">
        <v>8483</v>
      </c>
    </row>
    <row r="21381" spans="1:2" x14ac:dyDescent="0.25">
      <c r="A21381">
        <v>52104100300</v>
      </c>
      <c r="B21381" t="s">
        <v>8484</v>
      </c>
    </row>
    <row r="21382" spans="1:2" x14ac:dyDescent="0.25">
      <c r="A21382">
        <v>52104100400</v>
      </c>
      <c r="B21382" t="s">
        <v>8485</v>
      </c>
    </row>
    <row r="21383" spans="1:2" x14ac:dyDescent="0.25">
      <c r="A21383">
        <v>52104100500</v>
      </c>
      <c r="B21383" t="s">
        <v>8486</v>
      </c>
    </row>
    <row r="21384" spans="1:2" x14ac:dyDescent="0.25">
      <c r="A21384">
        <v>52104100600</v>
      </c>
      <c r="B21384" t="s">
        <v>8487</v>
      </c>
    </row>
    <row r="21385" spans="1:2" x14ac:dyDescent="0.25">
      <c r="A21385">
        <v>52104100700</v>
      </c>
      <c r="B21385" t="s">
        <v>8488</v>
      </c>
    </row>
    <row r="21386" spans="1:2" x14ac:dyDescent="0.25">
      <c r="A21386">
        <v>52104100800</v>
      </c>
      <c r="B21386" t="s">
        <v>8489</v>
      </c>
    </row>
    <row r="21387" spans="1:2" x14ac:dyDescent="0.25">
      <c r="A21387">
        <v>52104100900</v>
      </c>
      <c r="B21387" t="s">
        <v>10</v>
      </c>
    </row>
    <row r="21388" spans="1:2" x14ac:dyDescent="0.25">
      <c r="A21388">
        <v>521049</v>
      </c>
      <c r="B21388" t="e">
        <f>- - Los demas tejidos</f>
        <v>#NAME?</v>
      </c>
    </row>
    <row r="21389" spans="1:2" x14ac:dyDescent="0.25">
      <c r="A21389">
        <v>52104910</v>
      </c>
      <c r="B21389" t="s">
        <v>8506</v>
      </c>
    </row>
    <row r="21390" spans="1:2" x14ac:dyDescent="0.25">
      <c r="A21390">
        <v>521049101</v>
      </c>
      <c r="B21390" t="s">
        <v>8531</v>
      </c>
    </row>
    <row r="21391" spans="1:2" x14ac:dyDescent="0.25">
      <c r="A21391">
        <v>5210491011</v>
      </c>
      <c r="B21391" t="s">
        <v>8532</v>
      </c>
    </row>
    <row r="21392" spans="1:2" x14ac:dyDescent="0.25">
      <c r="A21392">
        <v>52104910111</v>
      </c>
      <c r="B21392" t="s">
        <v>8533</v>
      </c>
    </row>
    <row r="21393" spans="1:2" x14ac:dyDescent="0.25">
      <c r="A21393">
        <v>52104910112</v>
      </c>
      <c r="B21393" t="s">
        <v>8492</v>
      </c>
    </row>
    <row r="21394" spans="1:2" x14ac:dyDescent="0.25">
      <c r="A21394">
        <v>52104910113</v>
      </c>
      <c r="B21394" t="s">
        <v>8493</v>
      </c>
    </row>
    <row r="21395" spans="1:2" x14ac:dyDescent="0.25">
      <c r="A21395">
        <v>52104910114</v>
      </c>
      <c r="B21395" t="s">
        <v>8494</v>
      </c>
    </row>
    <row r="21396" spans="1:2" x14ac:dyDescent="0.25">
      <c r="A21396">
        <v>52104910115</v>
      </c>
      <c r="B21396" t="s">
        <v>8487</v>
      </c>
    </row>
    <row r="21397" spans="1:2" x14ac:dyDescent="0.25">
      <c r="A21397">
        <v>52104910116</v>
      </c>
      <c r="B21397" t="s">
        <v>8495</v>
      </c>
    </row>
    <row r="21398" spans="1:2" x14ac:dyDescent="0.25">
      <c r="A21398">
        <v>52104910117</v>
      </c>
      <c r="B21398" t="s">
        <v>8496</v>
      </c>
    </row>
    <row r="21399" spans="1:2" x14ac:dyDescent="0.25">
      <c r="A21399">
        <v>52104910118</v>
      </c>
      <c r="B21399" t="s">
        <v>8497</v>
      </c>
    </row>
    <row r="21400" spans="1:2" x14ac:dyDescent="0.25">
      <c r="A21400">
        <v>52104910119</v>
      </c>
      <c r="B21400" t="s">
        <v>10</v>
      </c>
    </row>
    <row r="21401" spans="1:2" x14ac:dyDescent="0.25">
      <c r="A21401">
        <v>5210491019</v>
      </c>
      <c r="B21401" t="s">
        <v>10</v>
      </c>
    </row>
    <row r="21402" spans="1:2" x14ac:dyDescent="0.25">
      <c r="A21402">
        <v>52104910191</v>
      </c>
      <c r="B21402" t="s">
        <v>8491</v>
      </c>
    </row>
    <row r="21403" spans="1:2" x14ac:dyDescent="0.25">
      <c r="A21403">
        <v>52104910192</v>
      </c>
      <c r="B21403" t="s">
        <v>8492</v>
      </c>
    </row>
    <row r="21404" spans="1:2" x14ac:dyDescent="0.25">
      <c r="A21404">
        <v>52104910193</v>
      </c>
      <c r="B21404" t="s">
        <v>8493</v>
      </c>
    </row>
    <row r="21405" spans="1:2" x14ac:dyDescent="0.25">
      <c r="A21405">
        <v>52104910194</v>
      </c>
      <c r="B21405" t="s">
        <v>8494</v>
      </c>
    </row>
    <row r="21406" spans="1:2" x14ac:dyDescent="0.25">
      <c r="A21406">
        <v>52104910195</v>
      </c>
      <c r="B21406" t="s">
        <v>8487</v>
      </c>
    </row>
    <row r="21407" spans="1:2" x14ac:dyDescent="0.25">
      <c r="A21407">
        <v>52104910196</v>
      </c>
      <c r="B21407" t="s">
        <v>8495</v>
      </c>
    </row>
    <row r="21408" spans="1:2" x14ac:dyDescent="0.25">
      <c r="A21408">
        <v>52104910197</v>
      </c>
      <c r="B21408" t="s">
        <v>8496</v>
      </c>
    </row>
    <row r="21409" spans="1:2" x14ac:dyDescent="0.25">
      <c r="A21409">
        <v>52104910198</v>
      </c>
      <c r="B21409" t="s">
        <v>8497</v>
      </c>
    </row>
    <row r="21410" spans="1:2" x14ac:dyDescent="0.25">
      <c r="A21410">
        <v>52104910199</v>
      </c>
      <c r="B21410" t="s">
        <v>10</v>
      </c>
    </row>
    <row r="21411" spans="1:2" x14ac:dyDescent="0.25">
      <c r="A21411">
        <v>521049109</v>
      </c>
      <c r="B21411" t="s">
        <v>10</v>
      </c>
    </row>
    <row r="21412" spans="1:2" x14ac:dyDescent="0.25">
      <c r="A21412">
        <v>52104910910</v>
      </c>
      <c r="B21412" t="s">
        <v>8491</v>
      </c>
    </row>
    <row r="21413" spans="1:2" x14ac:dyDescent="0.25">
      <c r="A21413">
        <v>52104910920</v>
      </c>
      <c r="B21413" t="s">
        <v>8492</v>
      </c>
    </row>
    <row r="21414" spans="1:2" x14ac:dyDescent="0.25">
      <c r="A21414">
        <v>52104910930</v>
      </c>
      <c r="B21414" t="s">
        <v>8493</v>
      </c>
    </row>
    <row r="21415" spans="1:2" x14ac:dyDescent="0.25">
      <c r="A21415">
        <v>52104910940</v>
      </c>
      <c r="B21415" t="s">
        <v>8494</v>
      </c>
    </row>
    <row r="21416" spans="1:2" x14ac:dyDescent="0.25">
      <c r="A21416">
        <v>52104910950</v>
      </c>
      <c r="B21416" t="s">
        <v>8487</v>
      </c>
    </row>
    <row r="21417" spans="1:2" x14ac:dyDescent="0.25">
      <c r="A21417">
        <v>52104910960</v>
      </c>
      <c r="B21417" t="s">
        <v>8495</v>
      </c>
    </row>
    <row r="21418" spans="1:2" x14ac:dyDescent="0.25">
      <c r="A21418">
        <v>52104910970</v>
      </c>
      <c r="B21418" t="s">
        <v>8496</v>
      </c>
    </row>
    <row r="21419" spans="1:2" x14ac:dyDescent="0.25">
      <c r="A21419">
        <v>52104910980</v>
      </c>
      <c r="B21419" t="s">
        <v>8497</v>
      </c>
    </row>
    <row r="21420" spans="1:2" x14ac:dyDescent="0.25">
      <c r="A21420">
        <v>52104910990</v>
      </c>
      <c r="B21420" t="s">
        <v>10</v>
      </c>
    </row>
    <row r="21421" spans="1:2" x14ac:dyDescent="0.25">
      <c r="A21421">
        <v>52104990</v>
      </c>
      <c r="B21421" t="s">
        <v>10</v>
      </c>
    </row>
    <row r="21422" spans="1:2" x14ac:dyDescent="0.25">
      <c r="A21422">
        <v>521049901</v>
      </c>
      <c r="B21422" t="s">
        <v>8498</v>
      </c>
    </row>
    <row r="21423" spans="1:2" x14ac:dyDescent="0.25">
      <c r="A21423">
        <v>52104990110</v>
      </c>
      <c r="B21423" t="s">
        <v>8491</v>
      </c>
    </row>
    <row r="21424" spans="1:2" x14ac:dyDescent="0.25">
      <c r="A21424">
        <v>52104990120</v>
      </c>
      <c r="B21424" t="s">
        <v>8492</v>
      </c>
    </row>
    <row r="21425" spans="1:2" x14ac:dyDescent="0.25">
      <c r="A21425">
        <v>52104990130</v>
      </c>
      <c r="B21425" t="s">
        <v>8493</v>
      </c>
    </row>
    <row r="21426" spans="1:2" x14ac:dyDescent="0.25">
      <c r="A21426">
        <v>52104990140</v>
      </c>
      <c r="B21426" t="s">
        <v>8494</v>
      </c>
    </row>
    <row r="21427" spans="1:2" x14ac:dyDescent="0.25">
      <c r="A21427">
        <v>52104990150</v>
      </c>
      <c r="B21427" t="s">
        <v>8487</v>
      </c>
    </row>
    <row r="21428" spans="1:2" x14ac:dyDescent="0.25">
      <c r="A21428">
        <v>52104990160</v>
      </c>
      <c r="B21428" t="s">
        <v>8495</v>
      </c>
    </row>
    <row r="21429" spans="1:2" x14ac:dyDescent="0.25">
      <c r="A21429">
        <v>52104990170</v>
      </c>
      <c r="B21429" t="s">
        <v>8496</v>
      </c>
    </row>
    <row r="21430" spans="1:2" x14ac:dyDescent="0.25">
      <c r="A21430">
        <v>52104990180</v>
      </c>
      <c r="B21430" t="s">
        <v>8497</v>
      </c>
    </row>
    <row r="21431" spans="1:2" x14ac:dyDescent="0.25">
      <c r="A21431">
        <v>52104990190</v>
      </c>
      <c r="B21431" t="s">
        <v>10</v>
      </c>
    </row>
    <row r="21432" spans="1:2" x14ac:dyDescent="0.25">
      <c r="A21432">
        <v>521049909</v>
      </c>
      <c r="B21432" t="s">
        <v>8500</v>
      </c>
    </row>
    <row r="21433" spans="1:2" x14ac:dyDescent="0.25">
      <c r="A21433">
        <v>52104990910</v>
      </c>
      <c r="B21433" t="s">
        <v>8491</v>
      </c>
    </row>
    <row r="21434" spans="1:2" x14ac:dyDescent="0.25">
      <c r="A21434">
        <v>52104990920</v>
      </c>
      <c r="B21434" t="s">
        <v>8492</v>
      </c>
    </row>
    <row r="21435" spans="1:2" x14ac:dyDescent="0.25">
      <c r="A21435">
        <v>52104990930</v>
      </c>
      <c r="B21435" t="s">
        <v>8493</v>
      </c>
    </row>
    <row r="21436" spans="1:2" x14ac:dyDescent="0.25">
      <c r="A21436">
        <v>52104990940</v>
      </c>
      <c r="B21436" t="s">
        <v>8494</v>
      </c>
    </row>
    <row r="21437" spans="1:2" x14ac:dyDescent="0.25">
      <c r="A21437">
        <v>52104990950</v>
      </c>
      <c r="B21437" t="s">
        <v>8487</v>
      </c>
    </row>
    <row r="21438" spans="1:2" x14ac:dyDescent="0.25">
      <c r="A21438">
        <v>52104990960</v>
      </c>
      <c r="B21438" t="s">
        <v>8495</v>
      </c>
    </row>
    <row r="21439" spans="1:2" x14ac:dyDescent="0.25">
      <c r="A21439">
        <v>52104990970</v>
      </c>
      <c r="B21439" t="s">
        <v>8496</v>
      </c>
    </row>
    <row r="21440" spans="1:2" x14ac:dyDescent="0.25">
      <c r="A21440">
        <v>52104990980</v>
      </c>
      <c r="B21440" t="s">
        <v>8497</v>
      </c>
    </row>
    <row r="21441" spans="1:2" x14ac:dyDescent="0.25">
      <c r="A21441">
        <v>52104990990</v>
      </c>
      <c r="B21441" t="s">
        <v>10</v>
      </c>
    </row>
    <row r="21442" spans="1:2" x14ac:dyDescent="0.25">
      <c r="A21442">
        <v>52105</v>
      </c>
      <c r="B21442" t="s">
        <v>8505</v>
      </c>
    </row>
    <row r="21443" spans="1:2" x14ac:dyDescent="0.25">
      <c r="A21443">
        <v>52105100</v>
      </c>
      <c r="B21443" t="e">
        <f>- - de ligamento tafetan</f>
        <v>#NAME?</v>
      </c>
    </row>
    <row r="21444" spans="1:2" x14ac:dyDescent="0.25">
      <c r="A21444">
        <v>52105100100</v>
      </c>
      <c r="B21444" t="s">
        <v>8482</v>
      </c>
    </row>
    <row r="21445" spans="1:2" x14ac:dyDescent="0.25">
      <c r="A21445">
        <v>52105100200</v>
      </c>
      <c r="B21445" t="s">
        <v>8483</v>
      </c>
    </row>
    <row r="21446" spans="1:2" x14ac:dyDescent="0.25">
      <c r="A21446">
        <v>52105100300</v>
      </c>
      <c r="B21446" t="s">
        <v>8484</v>
      </c>
    </row>
    <row r="21447" spans="1:2" x14ac:dyDescent="0.25">
      <c r="A21447">
        <v>52105100400</v>
      </c>
      <c r="B21447" t="s">
        <v>8485</v>
      </c>
    </row>
    <row r="21448" spans="1:2" x14ac:dyDescent="0.25">
      <c r="A21448">
        <v>52105100500</v>
      </c>
      <c r="B21448" t="s">
        <v>8486</v>
      </c>
    </row>
    <row r="21449" spans="1:2" x14ac:dyDescent="0.25">
      <c r="A21449">
        <v>52105100600</v>
      </c>
      <c r="B21449" t="s">
        <v>8487</v>
      </c>
    </row>
    <row r="21450" spans="1:2" x14ac:dyDescent="0.25">
      <c r="A21450">
        <v>52105100700</v>
      </c>
      <c r="B21450" t="s">
        <v>8488</v>
      </c>
    </row>
    <row r="21451" spans="1:2" x14ac:dyDescent="0.25">
      <c r="A21451">
        <v>52105100800</v>
      </c>
      <c r="B21451" t="s">
        <v>8489</v>
      </c>
    </row>
    <row r="21452" spans="1:2" x14ac:dyDescent="0.25">
      <c r="A21452">
        <v>52105100900</v>
      </c>
      <c r="B21452" t="s">
        <v>10</v>
      </c>
    </row>
    <row r="21453" spans="1:2" x14ac:dyDescent="0.25">
      <c r="A21453">
        <v>521059</v>
      </c>
      <c r="B21453" t="e">
        <f>- - Los demas tejidos</f>
        <v>#NAME?</v>
      </c>
    </row>
    <row r="21454" spans="1:2" x14ac:dyDescent="0.25">
      <c r="A21454">
        <v>52105910</v>
      </c>
      <c r="B21454" t="s">
        <v>8506</v>
      </c>
    </row>
    <row r="21455" spans="1:2" x14ac:dyDescent="0.25">
      <c r="A21455">
        <v>52105910100</v>
      </c>
      <c r="B21455" t="s">
        <v>8491</v>
      </c>
    </row>
    <row r="21456" spans="1:2" x14ac:dyDescent="0.25">
      <c r="A21456">
        <v>52105910200</v>
      </c>
      <c r="B21456" t="s">
        <v>8492</v>
      </c>
    </row>
    <row r="21457" spans="1:2" x14ac:dyDescent="0.25">
      <c r="A21457">
        <v>52105910300</v>
      </c>
      <c r="B21457" t="s">
        <v>8493</v>
      </c>
    </row>
    <row r="21458" spans="1:2" x14ac:dyDescent="0.25">
      <c r="A21458">
        <v>52105910400</v>
      </c>
      <c r="B21458" t="s">
        <v>8494</v>
      </c>
    </row>
    <row r="21459" spans="1:2" x14ac:dyDescent="0.25">
      <c r="A21459">
        <v>52105910500</v>
      </c>
      <c r="B21459" t="s">
        <v>8487</v>
      </c>
    </row>
    <row r="21460" spans="1:2" x14ac:dyDescent="0.25">
      <c r="A21460">
        <v>52105910600</v>
      </c>
      <c r="B21460" t="s">
        <v>8495</v>
      </c>
    </row>
    <row r="21461" spans="1:2" x14ac:dyDescent="0.25">
      <c r="A21461">
        <v>52105910700</v>
      </c>
      <c r="B21461" t="s">
        <v>8496</v>
      </c>
    </row>
    <row r="21462" spans="1:2" x14ac:dyDescent="0.25">
      <c r="A21462">
        <v>52105910800</v>
      </c>
      <c r="B21462" t="s">
        <v>8497</v>
      </c>
    </row>
    <row r="21463" spans="1:2" x14ac:dyDescent="0.25">
      <c r="A21463">
        <v>52105910900</v>
      </c>
      <c r="B21463" t="s">
        <v>10</v>
      </c>
    </row>
    <row r="21464" spans="1:2" x14ac:dyDescent="0.25">
      <c r="A21464">
        <v>52105990</v>
      </c>
      <c r="B21464" t="s">
        <v>10</v>
      </c>
    </row>
    <row r="21465" spans="1:2" x14ac:dyDescent="0.25">
      <c r="A21465">
        <v>521059901</v>
      </c>
      <c r="B21465" t="s">
        <v>8498</v>
      </c>
    </row>
    <row r="21466" spans="1:2" x14ac:dyDescent="0.25">
      <c r="A21466">
        <v>52105990110</v>
      </c>
      <c r="B21466" t="s">
        <v>8491</v>
      </c>
    </row>
    <row r="21467" spans="1:2" x14ac:dyDescent="0.25">
      <c r="A21467">
        <v>52105990120</v>
      </c>
      <c r="B21467" t="s">
        <v>8492</v>
      </c>
    </row>
    <row r="21468" spans="1:2" x14ac:dyDescent="0.25">
      <c r="A21468">
        <v>52105990130</v>
      </c>
      <c r="B21468" t="s">
        <v>8493</v>
      </c>
    </row>
    <row r="21469" spans="1:2" x14ac:dyDescent="0.25">
      <c r="A21469">
        <v>52105990140</v>
      </c>
      <c r="B21469" t="s">
        <v>8494</v>
      </c>
    </row>
    <row r="21470" spans="1:2" x14ac:dyDescent="0.25">
      <c r="A21470">
        <v>52105990150</v>
      </c>
      <c r="B21470" t="s">
        <v>8487</v>
      </c>
    </row>
    <row r="21471" spans="1:2" x14ac:dyDescent="0.25">
      <c r="A21471">
        <v>52105990160</v>
      </c>
      <c r="B21471" t="s">
        <v>8495</v>
      </c>
    </row>
    <row r="21472" spans="1:2" x14ac:dyDescent="0.25">
      <c r="A21472">
        <v>52105990170</v>
      </c>
      <c r="B21472" t="s">
        <v>8496</v>
      </c>
    </row>
    <row r="21473" spans="1:2" x14ac:dyDescent="0.25">
      <c r="A21473">
        <v>52105990180</v>
      </c>
      <c r="B21473" t="s">
        <v>8497</v>
      </c>
    </row>
    <row r="21474" spans="1:2" x14ac:dyDescent="0.25">
      <c r="A21474">
        <v>52105990190</v>
      </c>
      <c r="B21474" t="s">
        <v>10</v>
      </c>
    </row>
    <row r="21475" spans="1:2" x14ac:dyDescent="0.25">
      <c r="A21475">
        <v>521059909</v>
      </c>
      <c r="B21475" t="s">
        <v>8500</v>
      </c>
    </row>
    <row r="21476" spans="1:2" x14ac:dyDescent="0.25">
      <c r="A21476">
        <v>52105990910</v>
      </c>
      <c r="B21476" t="s">
        <v>8491</v>
      </c>
    </row>
    <row r="21477" spans="1:2" x14ac:dyDescent="0.25">
      <c r="A21477">
        <v>52105990920</v>
      </c>
      <c r="B21477" t="s">
        <v>8492</v>
      </c>
    </row>
    <row r="21478" spans="1:2" x14ac:dyDescent="0.25">
      <c r="A21478">
        <v>52105990930</v>
      </c>
      <c r="B21478" t="s">
        <v>8493</v>
      </c>
    </row>
    <row r="21479" spans="1:2" x14ac:dyDescent="0.25">
      <c r="A21479">
        <v>52105990940</v>
      </c>
      <c r="B21479" t="s">
        <v>8494</v>
      </c>
    </row>
    <row r="21480" spans="1:2" x14ac:dyDescent="0.25">
      <c r="A21480">
        <v>52105990950</v>
      </c>
      <c r="B21480" t="s">
        <v>8487</v>
      </c>
    </row>
    <row r="21481" spans="1:2" x14ac:dyDescent="0.25">
      <c r="A21481">
        <v>52105990960</v>
      </c>
      <c r="B21481" t="s">
        <v>8495</v>
      </c>
    </row>
    <row r="21482" spans="1:2" x14ac:dyDescent="0.25">
      <c r="A21482">
        <v>52105990970</v>
      </c>
      <c r="B21482" t="s">
        <v>8496</v>
      </c>
    </row>
    <row r="21483" spans="1:2" x14ac:dyDescent="0.25">
      <c r="A21483">
        <v>52105990980</v>
      </c>
      <c r="B21483" t="s">
        <v>8497</v>
      </c>
    </row>
    <row r="21484" spans="1:2" x14ac:dyDescent="0.25">
      <c r="A21484">
        <v>52105990990</v>
      </c>
      <c r="B21484" t="s">
        <v>10</v>
      </c>
    </row>
    <row r="21485" spans="1:2" x14ac:dyDescent="0.25">
      <c r="A21485">
        <v>5211</v>
      </c>
      <c r="B21485" t="s">
        <v>8534</v>
      </c>
    </row>
    <row r="21486" spans="1:2" x14ac:dyDescent="0.25">
      <c r="A21486">
        <v>52111</v>
      </c>
      <c r="B21486" t="s">
        <v>8471</v>
      </c>
    </row>
    <row r="21487" spans="1:2" x14ac:dyDescent="0.25">
      <c r="A21487">
        <v>52111100</v>
      </c>
      <c r="B21487" t="e">
        <f>- - de ligamento tafetan</f>
        <v>#NAME?</v>
      </c>
    </row>
    <row r="21488" spans="1:2" x14ac:dyDescent="0.25">
      <c r="A21488">
        <v>52111100100</v>
      </c>
      <c r="B21488" t="s">
        <v>8482</v>
      </c>
    </row>
    <row r="21489" spans="1:2" x14ac:dyDescent="0.25">
      <c r="A21489">
        <v>52111100200</v>
      </c>
      <c r="B21489" t="s">
        <v>8508</v>
      </c>
    </row>
    <row r="21490" spans="1:2" x14ac:dyDescent="0.25">
      <c r="A21490">
        <v>52111100300</v>
      </c>
      <c r="B21490" t="s">
        <v>8509</v>
      </c>
    </row>
    <row r="21491" spans="1:2" x14ac:dyDescent="0.25">
      <c r="A21491">
        <v>52111100400</v>
      </c>
      <c r="B21491" t="s">
        <v>8510</v>
      </c>
    </row>
    <row r="21492" spans="1:2" x14ac:dyDescent="0.25">
      <c r="A21492">
        <v>52111100500</v>
      </c>
      <c r="B21492" t="s">
        <v>8511</v>
      </c>
    </row>
    <row r="21493" spans="1:2" x14ac:dyDescent="0.25">
      <c r="A21493">
        <v>52111100600</v>
      </c>
      <c r="B21493" t="s">
        <v>8512</v>
      </c>
    </row>
    <row r="21494" spans="1:2" x14ac:dyDescent="0.25">
      <c r="A21494">
        <v>52111100700</v>
      </c>
      <c r="B21494" t="s">
        <v>8513</v>
      </c>
    </row>
    <row r="21495" spans="1:2" x14ac:dyDescent="0.25">
      <c r="A21495">
        <v>52111100800</v>
      </c>
      <c r="B21495" t="s">
        <v>8514</v>
      </c>
    </row>
    <row r="21496" spans="1:2" x14ac:dyDescent="0.25">
      <c r="A21496">
        <v>52111100900</v>
      </c>
      <c r="B21496" t="s">
        <v>10</v>
      </c>
    </row>
    <row r="21497" spans="1:2" x14ac:dyDescent="0.25">
      <c r="A21497">
        <v>52111200</v>
      </c>
      <c r="B21497" t="s">
        <v>8490</v>
      </c>
    </row>
    <row r="21498" spans="1:2" x14ac:dyDescent="0.25">
      <c r="A21498">
        <v>52111200100</v>
      </c>
      <c r="B21498" t="s">
        <v>8482</v>
      </c>
    </row>
    <row r="21499" spans="1:2" x14ac:dyDescent="0.25">
      <c r="A21499">
        <v>52111200200</v>
      </c>
      <c r="B21499" t="s">
        <v>8515</v>
      </c>
    </row>
    <row r="21500" spans="1:2" x14ac:dyDescent="0.25">
      <c r="A21500">
        <v>52111200300</v>
      </c>
      <c r="B21500" t="s">
        <v>8516</v>
      </c>
    </row>
    <row r="21501" spans="1:2" x14ac:dyDescent="0.25">
      <c r="A21501">
        <v>52111200400</v>
      </c>
      <c r="B21501" t="s">
        <v>8517</v>
      </c>
    </row>
    <row r="21502" spans="1:2" x14ac:dyDescent="0.25">
      <c r="A21502">
        <v>52111200500</v>
      </c>
      <c r="B21502" t="s">
        <v>8518</v>
      </c>
    </row>
    <row r="21503" spans="1:2" x14ac:dyDescent="0.25">
      <c r="A21503">
        <v>52111200600</v>
      </c>
      <c r="B21503" t="s">
        <v>8514</v>
      </c>
    </row>
    <row r="21504" spans="1:2" x14ac:dyDescent="0.25">
      <c r="A21504">
        <v>52111200700</v>
      </c>
      <c r="B21504" t="s">
        <v>8519</v>
      </c>
    </row>
    <row r="21505" spans="1:2" x14ac:dyDescent="0.25">
      <c r="A21505">
        <v>52111200800</v>
      </c>
      <c r="B21505" t="s">
        <v>8520</v>
      </c>
    </row>
    <row r="21506" spans="1:2" x14ac:dyDescent="0.25">
      <c r="A21506">
        <v>52111200900</v>
      </c>
      <c r="B21506" t="s">
        <v>10</v>
      </c>
    </row>
    <row r="21507" spans="1:2" x14ac:dyDescent="0.25">
      <c r="A21507">
        <v>52111900</v>
      </c>
      <c r="B21507" t="e">
        <f>- - Los demas tejidos</f>
        <v>#NAME?</v>
      </c>
    </row>
    <row r="21508" spans="1:2" x14ac:dyDescent="0.25">
      <c r="A21508">
        <v>521119001</v>
      </c>
      <c r="B21508" t="s">
        <v>8498</v>
      </c>
    </row>
    <row r="21509" spans="1:2" x14ac:dyDescent="0.25">
      <c r="A21509">
        <v>52111900110</v>
      </c>
      <c r="B21509" t="s">
        <v>8482</v>
      </c>
    </row>
    <row r="21510" spans="1:2" x14ac:dyDescent="0.25">
      <c r="A21510">
        <v>52111900120</v>
      </c>
      <c r="B21510" t="s">
        <v>8515</v>
      </c>
    </row>
    <row r="21511" spans="1:2" x14ac:dyDescent="0.25">
      <c r="A21511">
        <v>52111900130</v>
      </c>
      <c r="B21511" t="s">
        <v>8516</v>
      </c>
    </row>
    <row r="21512" spans="1:2" x14ac:dyDescent="0.25">
      <c r="A21512">
        <v>52111900140</v>
      </c>
      <c r="B21512" t="s">
        <v>8517</v>
      </c>
    </row>
    <row r="21513" spans="1:2" x14ac:dyDescent="0.25">
      <c r="A21513">
        <v>52111900150</v>
      </c>
      <c r="B21513" t="s">
        <v>8518</v>
      </c>
    </row>
    <row r="21514" spans="1:2" x14ac:dyDescent="0.25">
      <c r="A21514">
        <v>52111900160</v>
      </c>
      <c r="B21514" t="s">
        <v>8514</v>
      </c>
    </row>
    <row r="21515" spans="1:2" x14ac:dyDescent="0.25">
      <c r="A21515">
        <v>52111900170</v>
      </c>
      <c r="B21515" t="s">
        <v>8519</v>
      </c>
    </row>
    <row r="21516" spans="1:2" x14ac:dyDescent="0.25">
      <c r="A21516">
        <v>52111900180</v>
      </c>
      <c r="B21516" t="s">
        <v>8520</v>
      </c>
    </row>
    <row r="21517" spans="1:2" x14ac:dyDescent="0.25">
      <c r="A21517">
        <v>52111900190</v>
      </c>
      <c r="B21517" t="s">
        <v>10</v>
      </c>
    </row>
    <row r="21518" spans="1:2" x14ac:dyDescent="0.25">
      <c r="A21518">
        <v>521119009</v>
      </c>
      <c r="B21518" t="s">
        <v>8500</v>
      </c>
    </row>
    <row r="21519" spans="1:2" x14ac:dyDescent="0.25">
      <c r="A21519">
        <v>52111900910</v>
      </c>
      <c r="B21519" t="s">
        <v>8482</v>
      </c>
    </row>
    <row r="21520" spans="1:2" x14ac:dyDescent="0.25">
      <c r="A21520">
        <v>52111900920</v>
      </c>
      <c r="B21520" t="s">
        <v>8515</v>
      </c>
    </row>
    <row r="21521" spans="1:2" x14ac:dyDescent="0.25">
      <c r="A21521">
        <v>52111900930</v>
      </c>
      <c r="B21521" t="s">
        <v>8516</v>
      </c>
    </row>
    <row r="21522" spans="1:2" x14ac:dyDescent="0.25">
      <c r="A21522">
        <v>52111900940</v>
      </c>
      <c r="B21522" t="s">
        <v>8517</v>
      </c>
    </row>
    <row r="21523" spans="1:2" x14ac:dyDescent="0.25">
      <c r="A21523">
        <v>52111900950</v>
      </c>
      <c r="B21523" t="s">
        <v>8518</v>
      </c>
    </row>
    <row r="21524" spans="1:2" x14ac:dyDescent="0.25">
      <c r="A21524">
        <v>52111900960</v>
      </c>
      <c r="B21524" t="s">
        <v>8514</v>
      </c>
    </row>
    <row r="21525" spans="1:2" x14ac:dyDescent="0.25">
      <c r="A21525">
        <v>52111900970</v>
      </c>
      <c r="B21525" t="s">
        <v>8519</v>
      </c>
    </row>
    <row r="21526" spans="1:2" x14ac:dyDescent="0.25">
      <c r="A21526">
        <v>52111900980</v>
      </c>
      <c r="B21526" t="s">
        <v>8520</v>
      </c>
    </row>
    <row r="21527" spans="1:2" x14ac:dyDescent="0.25">
      <c r="A21527">
        <v>52111900990</v>
      </c>
      <c r="B21527" t="s">
        <v>10</v>
      </c>
    </row>
    <row r="21528" spans="1:2" x14ac:dyDescent="0.25">
      <c r="A21528">
        <v>521120</v>
      </c>
      <c r="B21528" t="e">
        <f>- Blanqueados</f>
        <v>#NAME?</v>
      </c>
    </row>
    <row r="21529" spans="1:2" x14ac:dyDescent="0.25">
      <c r="A21529">
        <v>52112010</v>
      </c>
      <c r="B21529" t="s">
        <v>8535</v>
      </c>
    </row>
    <row r="21530" spans="1:2" x14ac:dyDescent="0.25">
      <c r="A21530">
        <v>52112010100</v>
      </c>
      <c r="B21530" t="s">
        <v>8482</v>
      </c>
    </row>
    <row r="21531" spans="1:2" x14ac:dyDescent="0.25">
      <c r="A21531">
        <v>52112010200</v>
      </c>
      <c r="B21531" t="s">
        <v>8508</v>
      </c>
    </row>
    <row r="21532" spans="1:2" x14ac:dyDescent="0.25">
      <c r="A21532">
        <v>52112010300</v>
      </c>
      <c r="B21532" t="s">
        <v>8509</v>
      </c>
    </row>
    <row r="21533" spans="1:2" x14ac:dyDescent="0.25">
      <c r="A21533">
        <v>52112010400</v>
      </c>
      <c r="B21533" t="s">
        <v>8510</v>
      </c>
    </row>
    <row r="21534" spans="1:2" x14ac:dyDescent="0.25">
      <c r="A21534">
        <v>52112010500</v>
      </c>
      <c r="B21534" t="s">
        <v>8511</v>
      </c>
    </row>
    <row r="21535" spans="1:2" x14ac:dyDescent="0.25">
      <c r="A21535">
        <v>52112010600</v>
      </c>
      <c r="B21535" t="s">
        <v>8512</v>
      </c>
    </row>
    <row r="21536" spans="1:2" x14ac:dyDescent="0.25">
      <c r="A21536">
        <v>52112010700</v>
      </c>
      <c r="B21536" t="s">
        <v>8513</v>
      </c>
    </row>
    <row r="21537" spans="1:2" x14ac:dyDescent="0.25">
      <c r="A21537">
        <v>52112010800</v>
      </c>
      <c r="B21537" t="s">
        <v>8514</v>
      </c>
    </row>
    <row r="21538" spans="1:2" x14ac:dyDescent="0.25">
      <c r="A21538">
        <v>52112010900</v>
      </c>
      <c r="B21538" t="s">
        <v>10</v>
      </c>
    </row>
    <row r="21539" spans="1:2" x14ac:dyDescent="0.25">
      <c r="A21539">
        <v>52112020</v>
      </c>
      <c r="B21539" t="s">
        <v>8506</v>
      </c>
    </row>
    <row r="21540" spans="1:2" x14ac:dyDescent="0.25">
      <c r="A21540">
        <v>52112020100</v>
      </c>
      <c r="B21540" t="s">
        <v>8482</v>
      </c>
    </row>
    <row r="21541" spans="1:2" x14ac:dyDescent="0.25">
      <c r="A21541">
        <v>52112020200</v>
      </c>
      <c r="B21541" t="s">
        <v>8515</v>
      </c>
    </row>
    <row r="21542" spans="1:2" x14ac:dyDescent="0.25">
      <c r="A21542">
        <v>52112020300</v>
      </c>
      <c r="B21542" t="s">
        <v>8516</v>
      </c>
    </row>
    <row r="21543" spans="1:2" x14ac:dyDescent="0.25">
      <c r="A21543">
        <v>52112020400</v>
      </c>
      <c r="B21543" t="s">
        <v>8517</v>
      </c>
    </row>
    <row r="21544" spans="1:2" x14ac:dyDescent="0.25">
      <c r="A21544">
        <v>52112020500</v>
      </c>
      <c r="B21544" t="s">
        <v>8518</v>
      </c>
    </row>
    <row r="21545" spans="1:2" x14ac:dyDescent="0.25">
      <c r="A21545">
        <v>52112020600</v>
      </c>
      <c r="B21545" t="s">
        <v>8514</v>
      </c>
    </row>
    <row r="21546" spans="1:2" x14ac:dyDescent="0.25">
      <c r="A21546">
        <v>52112020700</v>
      </c>
      <c r="B21546" t="s">
        <v>8519</v>
      </c>
    </row>
    <row r="21547" spans="1:2" x14ac:dyDescent="0.25">
      <c r="A21547">
        <v>52112020800</v>
      </c>
      <c r="B21547" t="s">
        <v>8520</v>
      </c>
    </row>
    <row r="21548" spans="1:2" x14ac:dyDescent="0.25">
      <c r="A21548">
        <v>52112020900</v>
      </c>
      <c r="B21548" t="s">
        <v>10</v>
      </c>
    </row>
    <row r="21549" spans="1:2" x14ac:dyDescent="0.25">
      <c r="A21549">
        <v>52112090</v>
      </c>
      <c r="B21549" t="s">
        <v>8500</v>
      </c>
    </row>
    <row r="21550" spans="1:2" x14ac:dyDescent="0.25">
      <c r="A21550">
        <v>521120901</v>
      </c>
      <c r="B21550" t="s">
        <v>8498</v>
      </c>
    </row>
    <row r="21551" spans="1:2" x14ac:dyDescent="0.25">
      <c r="A21551">
        <v>52112090110</v>
      </c>
      <c r="B21551" t="s">
        <v>8482</v>
      </c>
    </row>
    <row r="21552" spans="1:2" x14ac:dyDescent="0.25">
      <c r="A21552">
        <v>52112090120</v>
      </c>
      <c r="B21552" t="s">
        <v>8515</v>
      </c>
    </row>
    <row r="21553" spans="1:2" x14ac:dyDescent="0.25">
      <c r="A21553">
        <v>52112090130</v>
      </c>
      <c r="B21553" t="s">
        <v>8516</v>
      </c>
    </row>
    <row r="21554" spans="1:2" x14ac:dyDescent="0.25">
      <c r="A21554">
        <v>52112090140</v>
      </c>
      <c r="B21554" t="s">
        <v>8517</v>
      </c>
    </row>
    <row r="21555" spans="1:2" x14ac:dyDescent="0.25">
      <c r="A21555">
        <v>52112090150</v>
      </c>
      <c r="B21555" t="s">
        <v>8518</v>
      </c>
    </row>
    <row r="21556" spans="1:2" x14ac:dyDescent="0.25">
      <c r="A21556">
        <v>52112090160</v>
      </c>
      <c r="B21556" t="s">
        <v>8514</v>
      </c>
    </row>
    <row r="21557" spans="1:2" x14ac:dyDescent="0.25">
      <c r="A21557">
        <v>52112090170</v>
      </c>
      <c r="B21557" t="s">
        <v>8519</v>
      </c>
    </row>
    <row r="21558" spans="1:2" x14ac:dyDescent="0.25">
      <c r="A21558">
        <v>52112090180</v>
      </c>
      <c r="B21558" t="s">
        <v>8520</v>
      </c>
    </row>
    <row r="21559" spans="1:2" x14ac:dyDescent="0.25">
      <c r="A21559">
        <v>52112090190</v>
      </c>
      <c r="B21559" t="s">
        <v>10</v>
      </c>
    </row>
    <row r="21560" spans="1:2" x14ac:dyDescent="0.25">
      <c r="A21560">
        <v>521120909</v>
      </c>
      <c r="B21560" t="s">
        <v>8500</v>
      </c>
    </row>
    <row r="21561" spans="1:2" x14ac:dyDescent="0.25">
      <c r="A21561">
        <v>52112090910</v>
      </c>
      <c r="B21561" t="s">
        <v>8482</v>
      </c>
    </row>
    <row r="21562" spans="1:2" x14ac:dyDescent="0.25">
      <c r="A21562">
        <v>52112090920</v>
      </c>
      <c r="B21562" t="s">
        <v>8515</v>
      </c>
    </row>
    <row r="21563" spans="1:2" x14ac:dyDescent="0.25">
      <c r="A21563">
        <v>52112090930</v>
      </c>
      <c r="B21563" t="s">
        <v>8516</v>
      </c>
    </row>
    <row r="21564" spans="1:2" x14ac:dyDescent="0.25">
      <c r="A21564">
        <v>52112090940</v>
      </c>
      <c r="B21564" t="s">
        <v>8517</v>
      </c>
    </row>
    <row r="21565" spans="1:2" x14ac:dyDescent="0.25">
      <c r="A21565">
        <v>52112090950</v>
      </c>
      <c r="B21565" t="s">
        <v>8518</v>
      </c>
    </row>
    <row r="21566" spans="1:2" x14ac:dyDescent="0.25">
      <c r="A21566">
        <v>52112090960</v>
      </c>
      <c r="B21566" t="s">
        <v>8514</v>
      </c>
    </row>
    <row r="21567" spans="1:2" x14ac:dyDescent="0.25">
      <c r="A21567">
        <v>52112090970</v>
      </c>
      <c r="B21567" t="s">
        <v>8519</v>
      </c>
    </row>
    <row r="21568" spans="1:2" x14ac:dyDescent="0.25">
      <c r="A21568">
        <v>52112090980</v>
      </c>
      <c r="B21568" t="s">
        <v>8520</v>
      </c>
    </row>
    <row r="21569" spans="1:2" x14ac:dyDescent="0.25">
      <c r="A21569">
        <v>52112090990</v>
      </c>
      <c r="B21569" t="s">
        <v>10</v>
      </c>
    </row>
    <row r="21570" spans="1:2" x14ac:dyDescent="0.25">
      <c r="A21570">
        <v>52113</v>
      </c>
      <c r="B21570" t="s">
        <v>8501</v>
      </c>
    </row>
    <row r="21571" spans="1:2" x14ac:dyDescent="0.25">
      <c r="A21571">
        <v>52113100</v>
      </c>
      <c r="B21571" t="e">
        <f>- - de ligamento tafetan</f>
        <v>#NAME?</v>
      </c>
    </row>
    <row r="21572" spans="1:2" x14ac:dyDescent="0.25">
      <c r="A21572">
        <v>52113100100</v>
      </c>
      <c r="B21572" t="s">
        <v>8482</v>
      </c>
    </row>
    <row r="21573" spans="1:2" x14ac:dyDescent="0.25">
      <c r="A21573">
        <v>52113100200</v>
      </c>
      <c r="B21573" t="s">
        <v>8508</v>
      </c>
    </row>
    <row r="21574" spans="1:2" x14ac:dyDescent="0.25">
      <c r="A21574">
        <v>52113100300</v>
      </c>
      <c r="B21574" t="s">
        <v>8509</v>
      </c>
    </row>
    <row r="21575" spans="1:2" x14ac:dyDescent="0.25">
      <c r="A21575">
        <v>52113100400</v>
      </c>
      <c r="B21575" t="s">
        <v>8510</v>
      </c>
    </row>
    <row r="21576" spans="1:2" x14ac:dyDescent="0.25">
      <c r="A21576">
        <v>52113100500</v>
      </c>
      <c r="B21576" t="s">
        <v>8511</v>
      </c>
    </row>
    <row r="21577" spans="1:2" x14ac:dyDescent="0.25">
      <c r="A21577">
        <v>52113100600</v>
      </c>
      <c r="B21577" t="s">
        <v>8512</v>
      </c>
    </row>
    <row r="21578" spans="1:2" x14ac:dyDescent="0.25">
      <c r="A21578">
        <v>52113100700</v>
      </c>
      <c r="B21578" t="s">
        <v>8513</v>
      </c>
    </row>
    <row r="21579" spans="1:2" x14ac:dyDescent="0.25">
      <c r="A21579">
        <v>52113100800</v>
      </c>
      <c r="B21579" t="s">
        <v>8514</v>
      </c>
    </row>
    <row r="21580" spans="1:2" x14ac:dyDescent="0.25">
      <c r="A21580">
        <v>52113100900</v>
      </c>
      <c r="B21580" t="s">
        <v>10</v>
      </c>
    </row>
    <row r="21581" spans="1:2" x14ac:dyDescent="0.25">
      <c r="A21581">
        <v>52113200</v>
      </c>
      <c r="B21581" t="s">
        <v>8490</v>
      </c>
    </row>
    <row r="21582" spans="1:2" x14ac:dyDescent="0.25">
      <c r="A21582">
        <v>52113200100</v>
      </c>
      <c r="B21582" t="s">
        <v>8482</v>
      </c>
    </row>
    <row r="21583" spans="1:2" x14ac:dyDescent="0.25">
      <c r="A21583">
        <v>52113200200</v>
      </c>
      <c r="B21583" t="s">
        <v>8515</v>
      </c>
    </row>
    <row r="21584" spans="1:2" x14ac:dyDescent="0.25">
      <c r="A21584">
        <v>52113200300</v>
      </c>
      <c r="B21584" t="s">
        <v>8516</v>
      </c>
    </row>
    <row r="21585" spans="1:2" x14ac:dyDescent="0.25">
      <c r="A21585">
        <v>52113200400</v>
      </c>
      <c r="B21585" t="s">
        <v>8517</v>
      </c>
    </row>
    <row r="21586" spans="1:2" x14ac:dyDescent="0.25">
      <c r="A21586">
        <v>52113200500</v>
      </c>
      <c r="B21586" t="s">
        <v>8518</v>
      </c>
    </row>
    <row r="21587" spans="1:2" x14ac:dyDescent="0.25">
      <c r="A21587">
        <v>52113200600</v>
      </c>
      <c r="B21587" t="s">
        <v>8514</v>
      </c>
    </row>
    <row r="21588" spans="1:2" x14ac:dyDescent="0.25">
      <c r="A21588">
        <v>52113200700</v>
      </c>
      <c r="B21588" t="s">
        <v>8519</v>
      </c>
    </row>
    <row r="21589" spans="1:2" x14ac:dyDescent="0.25">
      <c r="A21589">
        <v>52113200800</v>
      </c>
      <c r="B21589" t="s">
        <v>8520</v>
      </c>
    </row>
    <row r="21590" spans="1:2" x14ac:dyDescent="0.25">
      <c r="A21590">
        <v>52113200900</v>
      </c>
      <c r="B21590" t="s">
        <v>10</v>
      </c>
    </row>
    <row r="21591" spans="1:2" x14ac:dyDescent="0.25">
      <c r="A21591">
        <v>52113900</v>
      </c>
      <c r="B21591" t="e">
        <f>- - Los demas tejidos</f>
        <v>#NAME?</v>
      </c>
    </row>
    <row r="21592" spans="1:2" x14ac:dyDescent="0.25">
      <c r="A21592">
        <v>521139001</v>
      </c>
      <c r="B21592" t="s">
        <v>8498</v>
      </c>
    </row>
    <row r="21593" spans="1:2" x14ac:dyDescent="0.25">
      <c r="A21593">
        <v>52113900110</v>
      </c>
      <c r="B21593" t="s">
        <v>8482</v>
      </c>
    </row>
    <row r="21594" spans="1:2" x14ac:dyDescent="0.25">
      <c r="A21594">
        <v>52113900120</v>
      </c>
      <c r="B21594" t="s">
        <v>8515</v>
      </c>
    </row>
    <row r="21595" spans="1:2" x14ac:dyDescent="0.25">
      <c r="A21595">
        <v>52113900130</v>
      </c>
      <c r="B21595" t="s">
        <v>8516</v>
      </c>
    </row>
    <row r="21596" spans="1:2" x14ac:dyDescent="0.25">
      <c r="A21596">
        <v>52113900140</v>
      </c>
      <c r="B21596" t="s">
        <v>8517</v>
      </c>
    </row>
    <row r="21597" spans="1:2" x14ac:dyDescent="0.25">
      <c r="A21597">
        <v>52113900150</v>
      </c>
      <c r="B21597" t="s">
        <v>8518</v>
      </c>
    </row>
    <row r="21598" spans="1:2" x14ac:dyDescent="0.25">
      <c r="A21598">
        <v>52113900160</v>
      </c>
      <c r="B21598" t="s">
        <v>8514</v>
      </c>
    </row>
    <row r="21599" spans="1:2" x14ac:dyDescent="0.25">
      <c r="A21599">
        <v>52113900170</v>
      </c>
      <c r="B21599" t="s">
        <v>8519</v>
      </c>
    </row>
    <row r="21600" spans="1:2" x14ac:dyDescent="0.25">
      <c r="A21600">
        <v>52113900180</v>
      </c>
      <c r="B21600" t="s">
        <v>8520</v>
      </c>
    </row>
    <row r="21601" spans="1:2" x14ac:dyDescent="0.25">
      <c r="A21601">
        <v>52113900190</v>
      </c>
      <c r="B21601" t="s">
        <v>10</v>
      </c>
    </row>
    <row r="21602" spans="1:2" x14ac:dyDescent="0.25">
      <c r="A21602">
        <v>521139009</v>
      </c>
      <c r="B21602" t="s">
        <v>8500</v>
      </c>
    </row>
    <row r="21603" spans="1:2" x14ac:dyDescent="0.25">
      <c r="A21603">
        <v>52113900910</v>
      </c>
      <c r="B21603" t="s">
        <v>8482</v>
      </c>
    </row>
    <row r="21604" spans="1:2" x14ac:dyDescent="0.25">
      <c r="A21604">
        <v>52113900920</v>
      </c>
      <c r="B21604" t="s">
        <v>8515</v>
      </c>
    </row>
    <row r="21605" spans="1:2" x14ac:dyDescent="0.25">
      <c r="A21605">
        <v>52113900930</v>
      </c>
      <c r="B21605" t="s">
        <v>8516</v>
      </c>
    </row>
    <row r="21606" spans="1:2" x14ac:dyDescent="0.25">
      <c r="A21606">
        <v>52113900940</v>
      </c>
      <c r="B21606" t="s">
        <v>8517</v>
      </c>
    </row>
    <row r="21607" spans="1:2" x14ac:dyDescent="0.25">
      <c r="A21607">
        <v>52113900950</v>
      </c>
      <c r="B21607" t="s">
        <v>8518</v>
      </c>
    </row>
    <row r="21608" spans="1:2" x14ac:dyDescent="0.25">
      <c r="A21608">
        <v>52113900960</v>
      </c>
      <c r="B21608" t="s">
        <v>8514</v>
      </c>
    </row>
    <row r="21609" spans="1:2" x14ac:dyDescent="0.25">
      <c r="A21609">
        <v>52113900970</v>
      </c>
      <c r="B21609" t="s">
        <v>8519</v>
      </c>
    </row>
    <row r="21610" spans="1:2" x14ac:dyDescent="0.25">
      <c r="A21610">
        <v>52113900980</v>
      </c>
      <c r="B21610" t="s">
        <v>8520</v>
      </c>
    </row>
    <row r="21611" spans="1:2" x14ac:dyDescent="0.25">
      <c r="A21611">
        <v>52113900990</v>
      </c>
      <c r="B21611" t="s">
        <v>10</v>
      </c>
    </row>
    <row r="21612" spans="1:2" x14ac:dyDescent="0.25">
      <c r="A21612">
        <v>52114</v>
      </c>
      <c r="B21612" t="s">
        <v>8502</v>
      </c>
    </row>
    <row r="21613" spans="1:2" x14ac:dyDescent="0.25">
      <c r="A21613">
        <v>52114100</v>
      </c>
      <c r="B21613" t="e">
        <f>- - de ligamento tafetan</f>
        <v>#NAME?</v>
      </c>
    </row>
    <row r="21614" spans="1:2" x14ac:dyDescent="0.25">
      <c r="A21614">
        <v>52114100100</v>
      </c>
      <c r="B21614" t="s">
        <v>8482</v>
      </c>
    </row>
    <row r="21615" spans="1:2" x14ac:dyDescent="0.25">
      <c r="A21615">
        <v>52114100200</v>
      </c>
      <c r="B21615" t="s">
        <v>8508</v>
      </c>
    </row>
    <row r="21616" spans="1:2" x14ac:dyDescent="0.25">
      <c r="A21616">
        <v>52114100300</v>
      </c>
      <c r="B21616" t="s">
        <v>8509</v>
      </c>
    </row>
    <row r="21617" spans="1:2" x14ac:dyDescent="0.25">
      <c r="A21617">
        <v>52114100400</v>
      </c>
      <c r="B21617" t="s">
        <v>8510</v>
      </c>
    </row>
    <row r="21618" spans="1:2" x14ac:dyDescent="0.25">
      <c r="A21618">
        <v>52114100500</v>
      </c>
      <c r="B21618" t="s">
        <v>8511</v>
      </c>
    </row>
    <row r="21619" spans="1:2" x14ac:dyDescent="0.25">
      <c r="A21619">
        <v>52114100600</v>
      </c>
      <c r="B21619" t="s">
        <v>8512</v>
      </c>
    </row>
    <row r="21620" spans="1:2" x14ac:dyDescent="0.25">
      <c r="A21620">
        <v>52114100700</v>
      </c>
      <c r="B21620" t="s">
        <v>8513</v>
      </c>
    </row>
    <row r="21621" spans="1:2" x14ac:dyDescent="0.25">
      <c r="A21621">
        <v>52114100800</v>
      </c>
      <c r="B21621" t="s">
        <v>8514</v>
      </c>
    </row>
    <row r="21622" spans="1:2" x14ac:dyDescent="0.25">
      <c r="A21622">
        <v>52114100900</v>
      </c>
      <c r="B21622" t="s">
        <v>10</v>
      </c>
    </row>
    <row r="21623" spans="1:2" x14ac:dyDescent="0.25">
      <c r="A21623">
        <v>521142</v>
      </c>
      <c r="B21623" t="s">
        <v>8522</v>
      </c>
    </row>
    <row r="21624" spans="1:2" x14ac:dyDescent="0.25">
      <c r="A21624">
        <v>52114210</v>
      </c>
      <c r="B21624" t="s">
        <v>8504</v>
      </c>
    </row>
    <row r="21625" spans="1:2" x14ac:dyDescent="0.25">
      <c r="A21625">
        <v>521142101</v>
      </c>
      <c r="B21625" t="s">
        <v>8523</v>
      </c>
    </row>
    <row r="21626" spans="1:2" x14ac:dyDescent="0.25">
      <c r="A21626">
        <v>52114210110</v>
      </c>
      <c r="B21626" t="s">
        <v>8482</v>
      </c>
    </row>
    <row r="21627" spans="1:2" x14ac:dyDescent="0.25">
      <c r="A21627">
        <v>52114210120</v>
      </c>
      <c r="B21627" t="s">
        <v>8515</v>
      </c>
    </row>
    <row r="21628" spans="1:2" x14ac:dyDescent="0.25">
      <c r="A21628">
        <v>52114210130</v>
      </c>
      <c r="B21628" t="s">
        <v>8516</v>
      </c>
    </row>
    <row r="21629" spans="1:2" x14ac:dyDescent="0.25">
      <c r="A21629">
        <v>52114210140</v>
      </c>
      <c r="B21629" t="s">
        <v>8517</v>
      </c>
    </row>
    <row r="21630" spans="1:2" x14ac:dyDescent="0.25">
      <c r="A21630">
        <v>52114210150</v>
      </c>
      <c r="B21630" t="s">
        <v>8518</v>
      </c>
    </row>
    <row r="21631" spans="1:2" x14ac:dyDescent="0.25">
      <c r="A21631">
        <v>52114210160</v>
      </c>
      <c r="B21631" t="s">
        <v>8514</v>
      </c>
    </row>
    <row r="21632" spans="1:2" x14ac:dyDescent="0.25">
      <c r="A21632">
        <v>52114210170</v>
      </c>
      <c r="B21632" t="s">
        <v>8519</v>
      </c>
    </row>
    <row r="21633" spans="1:2" x14ac:dyDescent="0.25">
      <c r="A21633">
        <v>52114210180</v>
      </c>
      <c r="B21633" t="s">
        <v>8520</v>
      </c>
    </row>
    <row r="21634" spans="1:2" x14ac:dyDescent="0.25">
      <c r="A21634">
        <v>52114210190</v>
      </c>
      <c r="B21634" t="s">
        <v>10</v>
      </c>
    </row>
    <row r="21635" spans="1:2" x14ac:dyDescent="0.25">
      <c r="A21635">
        <v>521142102</v>
      </c>
      <c r="B21635" t="s">
        <v>8524</v>
      </c>
    </row>
    <row r="21636" spans="1:2" x14ac:dyDescent="0.25">
      <c r="A21636">
        <v>52114210210</v>
      </c>
      <c r="B21636" t="s">
        <v>8482</v>
      </c>
    </row>
    <row r="21637" spans="1:2" x14ac:dyDescent="0.25">
      <c r="A21637">
        <v>52114210220</v>
      </c>
      <c r="B21637" t="s">
        <v>8515</v>
      </c>
    </row>
    <row r="21638" spans="1:2" x14ac:dyDescent="0.25">
      <c r="A21638">
        <v>52114210230</v>
      </c>
      <c r="B21638" t="s">
        <v>8516</v>
      </c>
    </row>
    <row r="21639" spans="1:2" x14ac:dyDescent="0.25">
      <c r="A21639">
        <v>52114210240</v>
      </c>
      <c r="B21639" t="s">
        <v>8517</v>
      </c>
    </row>
    <row r="21640" spans="1:2" x14ac:dyDescent="0.25">
      <c r="A21640">
        <v>52114210250</v>
      </c>
      <c r="B21640" t="s">
        <v>8518</v>
      </c>
    </row>
    <row r="21641" spans="1:2" x14ac:dyDescent="0.25">
      <c r="A21641">
        <v>52114210260</v>
      </c>
      <c r="B21641" t="s">
        <v>8514</v>
      </c>
    </row>
    <row r="21642" spans="1:2" x14ac:dyDescent="0.25">
      <c r="A21642">
        <v>52114210270</v>
      </c>
      <c r="B21642" t="s">
        <v>8519</v>
      </c>
    </row>
    <row r="21643" spans="1:2" x14ac:dyDescent="0.25">
      <c r="A21643">
        <v>52114210280</v>
      </c>
      <c r="B21643" t="s">
        <v>8520</v>
      </c>
    </row>
    <row r="21644" spans="1:2" x14ac:dyDescent="0.25">
      <c r="A21644">
        <v>52114210290</v>
      </c>
      <c r="B21644" t="s">
        <v>10</v>
      </c>
    </row>
    <row r="21645" spans="1:2" x14ac:dyDescent="0.25">
      <c r="A21645">
        <v>52114290</v>
      </c>
      <c r="B21645" t="s">
        <v>10</v>
      </c>
    </row>
    <row r="21646" spans="1:2" x14ac:dyDescent="0.25">
      <c r="A21646">
        <v>521142901</v>
      </c>
      <c r="B21646" t="s">
        <v>8523</v>
      </c>
    </row>
    <row r="21647" spans="1:2" x14ac:dyDescent="0.25">
      <c r="A21647">
        <v>52114290110</v>
      </c>
      <c r="B21647" t="s">
        <v>8482</v>
      </c>
    </row>
    <row r="21648" spans="1:2" x14ac:dyDescent="0.25">
      <c r="A21648">
        <v>52114290120</v>
      </c>
      <c r="B21648" t="s">
        <v>8515</v>
      </c>
    </row>
    <row r="21649" spans="1:2" x14ac:dyDescent="0.25">
      <c r="A21649">
        <v>52114290130</v>
      </c>
      <c r="B21649" t="s">
        <v>8516</v>
      </c>
    </row>
    <row r="21650" spans="1:2" x14ac:dyDescent="0.25">
      <c r="A21650">
        <v>52114290140</v>
      </c>
      <c r="B21650" t="s">
        <v>8517</v>
      </c>
    </row>
    <row r="21651" spans="1:2" x14ac:dyDescent="0.25">
      <c r="A21651">
        <v>52114290150</v>
      </c>
      <c r="B21651" t="s">
        <v>8518</v>
      </c>
    </row>
    <row r="21652" spans="1:2" x14ac:dyDescent="0.25">
      <c r="A21652">
        <v>52114290160</v>
      </c>
      <c r="B21652" t="s">
        <v>8514</v>
      </c>
    </row>
    <row r="21653" spans="1:2" x14ac:dyDescent="0.25">
      <c r="A21653">
        <v>52114290170</v>
      </c>
      <c r="B21653" t="s">
        <v>8519</v>
      </c>
    </row>
    <row r="21654" spans="1:2" x14ac:dyDescent="0.25">
      <c r="A21654">
        <v>52114290180</v>
      </c>
      <c r="B21654" t="s">
        <v>8520</v>
      </c>
    </row>
    <row r="21655" spans="1:2" x14ac:dyDescent="0.25">
      <c r="A21655">
        <v>52114290190</v>
      </c>
      <c r="B21655" t="s">
        <v>10</v>
      </c>
    </row>
    <row r="21656" spans="1:2" x14ac:dyDescent="0.25">
      <c r="A21656">
        <v>521142902</v>
      </c>
      <c r="B21656" t="s">
        <v>8524</v>
      </c>
    </row>
    <row r="21657" spans="1:2" x14ac:dyDescent="0.25">
      <c r="A21657">
        <v>52114290210</v>
      </c>
      <c r="B21657" t="s">
        <v>8482</v>
      </c>
    </row>
    <row r="21658" spans="1:2" x14ac:dyDescent="0.25">
      <c r="A21658">
        <v>52114290220</v>
      </c>
      <c r="B21658" t="s">
        <v>8515</v>
      </c>
    </row>
    <row r="21659" spans="1:2" x14ac:dyDescent="0.25">
      <c r="A21659">
        <v>52114290230</v>
      </c>
      <c r="B21659" t="s">
        <v>8516</v>
      </c>
    </row>
    <row r="21660" spans="1:2" x14ac:dyDescent="0.25">
      <c r="A21660">
        <v>52114290240</v>
      </c>
      <c r="B21660" t="s">
        <v>8517</v>
      </c>
    </row>
    <row r="21661" spans="1:2" x14ac:dyDescent="0.25">
      <c r="A21661">
        <v>52114290250</v>
      </c>
      <c r="B21661" t="s">
        <v>8518</v>
      </c>
    </row>
    <row r="21662" spans="1:2" x14ac:dyDescent="0.25">
      <c r="A21662">
        <v>52114290260</v>
      </c>
      <c r="B21662" t="s">
        <v>8514</v>
      </c>
    </row>
    <row r="21663" spans="1:2" x14ac:dyDescent="0.25">
      <c r="A21663">
        <v>52114290270</v>
      </c>
      <c r="B21663" t="s">
        <v>8519</v>
      </c>
    </row>
    <row r="21664" spans="1:2" x14ac:dyDescent="0.25">
      <c r="A21664">
        <v>52114290280</v>
      </c>
      <c r="B21664" t="s">
        <v>8520</v>
      </c>
    </row>
    <row r="21665" spans="1:2" x14ac:dyDescent="0.25">
      <c r="A21665">
        <v>52114290290</v>
      </c>
      <c r="B21665" t="s">
        <v>10</v>
      </c>
    </row>
    <row r="21666" spans="1:2" x14ac:dyDescent="0.25">
      <c r="A21666">
        <v>52114300</v>
      </c>
      <c r="B21666" t="s">
        <v>8525</v>
      </c>
    </row>
    <row r="21667" spans="1:2" x14ac:dyDescent="0.25">
      <c r="A21667">
        <v>52114300100</v>
      </c>
      <c r="B21667" t="s">
        <v>8482</v>
      </c>
    </row>
    <row r="21668" spans="1:2" x14ac:dyDescent="0.25">
      <c r="A21668">
        <v>52114300200</v>
      </c>
      <c r="B21668" t="s">
        <v>8515</v>
      </c>
    </row>
    <row r="21669" spans="1:2" x14ac:dyDescent="0.25">
      <c r="A21669">
        <v>52114300300</v>
      </c>
      <c r="B21669" t="s">
        <v>8516</v>
      </c>
    </row>
    <row r="21670" spans="1:2" x14ac:dyDescent="0.25">
      <c r="A21670">
        <v>52114300400</v>
      </c>
      <c r="B21670" t="s">
        <v>8517</v>
      </c>
    </row>
    <row r="21671" spans="1:2" x14ac:dyDescent="0.25">
      <c r="A21671">
        <v>52114300500</v>
      </c>
      <c r="B21671" t="s">
        <v>8518</v>
      </c>
    </row>
    <row r="21672" spans="1:2" x14ac:dyDescent="0.25">
      <c r="A21672">
        <v>52114300600</v>
      </c>
      <c r="B21672" t="s">
        <v>8514</v>
      </c>
    </row>
    <row r="21673" spans="1:2" x14ac:dyDescent="0.25">
      <c r="A21673">
        <v>52114300700</v>
      </c>
      <c r="B21673" t="s">
        <v>8519</v>
      </c>
    </row>
    <row r="21674" spans="1:2" x14ac:dyDescent="0.25">
      <c r="A21674">
        <v>52114300800</v>
      </c>
      <c r="B21674" t="s">
        <v>8520</v>
      </c>
    </row>
    <row r="21675" spans="1:2" x14ac:dyDescent="0.25">
      <c r="A21675">
        <v>52114300900</v>
      </c>
      <c r="B21675" t="s">
        <v>10</v>
      </c>
    </row>
    <row r="21676" spans="1:2" x14ac:dyDescent="0.25">
      <c r="A21676">
        <v>52114900</v>
      </c>
      <c r="B21676" t="e">
        <f>- - Los demas tejidos</f>
        <v>#NAME?</v>
      </c>
    </row>
    <row r="21677" spans="1:2" x14ac:dyDescent="0.25">
      <c r="A21677">
        <v>521149001</v>
      </c>
      <c r="B21677" t="s">
        <v>8498</v>
      </c>
    </row>
    <row r="21678" spans="1:2" x14ac:dyDescent="0.25">
      <c r="A21678">
        <v>52114900110</v>
      </c>
      <c r="B21678" t="s">
        <v>8482</v>
      </c>
    </row>
    <row r="21679" spans="1:2" x14ac:dyDescent="0.25">
      <c r="A21679">
        <v>52114900120</v>
      </c>
      <c r="B21679" t="s">
        <v>8515</v>
      </c>
    </row>
    <row r="21680" spans="1:2" x14ac:dyDescent="0.25">
      <c r="A21680">
        <v>52114900130</v>
      </c>
      <c r="B21680" t="s">
        <v>8516</v>
      </c>
    </row>
    <row r="21681" spans="1:2" x14ac:dyDescent="0.25">
      <c r="A21681">
        <v>52114900140</v>
      </c>
      <c r="B21681" t="s">
        <v>8517</v>
      </c>
    </row>
    <row r="21682" spans="1:2" x14ac:dyDescent="0.25">
      <c r="A21682">
        <v>52114900150</v>
      </c>
      <c r="B21682" t="s">
        <v>8518</v>
      </c>
    </row>
    <row r="21683" spans="1:2" x14ac:dyDescent="0.25">
      <c r="A21683">
        <v>52114900160</v>
      </c>
      <c r="B21683" t="s">
        <v>8514</v>
      </c>
    </row>
    <row r="21684" spans="1:2" x14ac:dyDescent="0.25">
      <c r="A21684">
        <v>52114900170</v>
      </c>
      <c r="B21684" t="s">
        <v>8519</v>
      </c>
    </row>
    <row r="21685" spans="1:2" x14ac:dyDescent="0.25">
      <c r="A21685">
        <v>52114900180</v>
      </c>
      <c r="B21685" t="s">
        <v>8520</v>
      </c>
    </row>
    <row r="21686" spans="1:2" x14ac:dyDescent="0.25">
      <c r="A21686">
        <v>52114900190</v>
      </c>
      <c r="B21686" t="s">
        <v>10</v>
      </c>
    </row>
    <row r="21687" spans="1:2" x14ac:dyDescent="0.25">
      <c r="A21687">
        <v>521149009</v>
      </c>
      <c r="B21687" t="s">
        <v>8500</v>
      </c>
    </row>
    <row r="21688" spans="1:2" x14ac:dyDescent="0.25">
      <c r="A21688">
        <v>52114900910</v>
      </c>
      <c r="B21688" t="s">
        <v>8482</v>
      </c>
    </row>
    <row r="21689" spans="1:2" x14ac:dyDescent="0.25">
      <c r="A21689">
        <v>52114900920</v>
      </c>
      <c r="B21689" t="s">
        <v>8515</v>
      </c>
    </row>
    <row r="21690" spans="1:2" x14ac:dyDescent="0.25">
      <c r="A21690">
        <v>52114900930</v>
      </c>
      <c r="B21690" t="s">
        <v>8516</v>
      </c>
    </row>
    <row r="21691" spans="1:2" x14ac:dyDescent="0.25">
      <c r="A21691">
        <v>52114900940</v>
      </c>
      <c r="B21691" t="s">
        <v>8517</v>
      </c>
    </row>
    <row r="21692" spans="1:2" x14ac:dyDescent="0.25">
      <c r="A21692">
        <v>52114900950</v>
      </c>
      <c r="B21692" t="s">
        <v>8518</v>
      </c>
    </row>
    <row r="21693" spans="1:2" x14ac:dyDescent="0.25">
      <c r="A21693">
        <v>52114900960</v>
      </c>
      <c r="B21693" t="s">
        <v>8514</v>
      </c>
    </row>
    <row r="21694" spans="1:2" x14ac:dyDescent="0.25">
      <c r="A21694">
        <v>52114900970</v>
      </c>
      <c r="B21694" t="s">
        <v>8519</v>
      </c>
    </row>
    <row r="21695" spans="1:2" x14ac:dyDescent="0.25">
      <c r="A21695">
        <v>52114900980</v>
      </c>
      <c r="B21695" t="s">
        <v>8520</v>
      </c>
    </row>
    <row r="21696" spans="1:2" x14ac:dyDescent="0.25">
      <c r="A21696">
        <v>52114900990</v>
      </c>
      <c r="B21696" t="s">
        <v>10</v>
      </c>
    </row>
    <row r="21697" spans="1:2" x14ac:dyDescent="0.25">
      <c r="A21697">
        <v>52115</v>
      </c>
      <c r="B21697" t="s">
        <v>8505</v>
      </c>
    </row>
    <row r="21698" spans="1:2" x14ac:dyDescent="0.25">
      <c r="A21698">
        <v>52115100</v>
      </c>
      <c r="B21698" t="e">
        <f>- - de ligamento tafetan</f>
        <v>#NAME?</v>
      </c>
    </row>
    <row r="21699" spans="1:2" x14ac:dyDescent="0.25">
      <c r="A21699">
        <v>52115100100</v>
      </c>
      <c r="B21699" t="s">
        <v>8482</v>
      </c>
    </row>
    <row r="21700" spans="1:2" x14ac:dyDescent="0.25">
      <c r="A21700">
        <v>52115100200</v>
      </c>
      <c r="B21700" t="s">
        <v>8508</v>
      </c>
    </row>
    <row r="21701" spans="1:2" x14ac:dyDescent="0.25">
      <c r="A21701">
        <v>52115100300</v>
      </c>
      <c r="B21701" t="s">
        <v>8509</v>
      </c>
    </row>
    <row r="21702" spans="1:2" x14ac:dyDescent="0.25">
      <c r="A21702">
        <v>52115100400</v>
      </c>
      <c r="B21702" t="s">
        <v>8510</v>
      </c>
    </row>
    <row r="21703" spans="1:2" x14ac:dyDescent="0.25">
      <c r="A21703">
        <v>52115100500</v>
      </c>
      <c r="B21703" t="s">
        <v>8511</v>
      </c>
    </row>
    <row r="21704" spans="1:2" x14ac:dyDescent="0.25">
      <c r="A21704">
        <v>52115100600</v>
      </c>
      <c r="B21704" t="s">
        <v>8512</v>
      </c>
    </row>
    <row r="21705" spans="1:2" x14ac:dyDescent="0.25">
      <c r="A21705">
        <v>52115100700</v>
      </c>
      <c r="B21705" t="s">
        <v>8513</v>
      </c>
    </row>
    <row r="21706" spans="1:2" x14ac:dyDescent="0.25">
      <c r="A21706">
        <v>52115100800</v>
      </c>
      <c r="B21706" t="s">
        <v>8514</v>
      </c>
    </row>
    <row r="21707" spans="1:2" x14ac:dyDescent="0.25">
      <c r="A21707">
        <v>52115100900</v>
      </c>
      <c r="B21707" t="s">
        <v>10</v>
      </c>
    </row>
    <row r="21708" spans="1:2" x14ac:dyDescent="0.25">
      <c r="A21708">
        <v>52115200</v>
      </c>
      <c r="B21708" t="s">
        <v>8490</v>
      </c>
    </row>
    <row r="21709" spans="1:2" x14ac:dyDescent="0.25">
      <c r="A21709">
        <v>52115200100</v>
      </c>
      <c r="B21709" t="s">
        <v>8482</v>
      </c>
    </row>
    <row r="21710" spans="1:2" x14ac:dyDescent="0.25">
      <c r="A21710">
        <v>52115200200</v>
      </c>
      <c r="B21710" t="s">
        <v>8515</v>
      </c>
    </row>
    <row r="21711" spans="1:2" x14ac:dyDescent="0.25">
      <c r="A21711">
        <v>52115200300</v>
      </c>
      <c r="B21711" t="s">
        <v>8516</v>
      </c>
    </row>
    <row r="21712" spans="1:2" x14ac:dyDescent="0.25">
      <c r="A21712">
        <v>52115200400</v>
      </c>
      <c r="B21712" t="s">
        <v>8517</v>
      </c>
    </row>
    <row r="21713" spans="1:2" x14ac:dyDescent="0.25">
      <c r="A21713">
        <v>52115200500</v>
      </c>
      <c r="B21713" t="s">
        <v>8518</v>
      </c>
    </row>
    <row r="21714" spans="1:2" x14ac:dyDescent="0.25">
      <c r="A21714">
        <v>52115200600</v>
      </c>
      <c r="B21714" t="s">
        <v>8514</v>
      </c>
    </row>
    <row r="21715" spans="1:2" x14ac:dyDescent="0.25">
      <c r="A21715">
        <v>52115200700</v>
      </c>
      <c r="B21715" t="s">
        <v>8519</v>
      </c>
    </row>
    <row r="21716" spans="1:2" x14ac:dyDescent="0.25">
      <c r="A21716">
        <v>52115200800</v>
      </c>
      <c r="B21716" t="s">
        <v>8520</v>
      </c>
    </row>
    <row r="21717" spans="1:2" x14ac:dyDescent="0.25">
      <c r="A21717">
        <v>52115200900</v>
      </c>
      <c r="B21717" t="s">
        <v>10</v>
      </c>
    </row>
    <row r="21718" spans="1:2" x14ac:dyDescent="0.25">
      <c r="A21718">
        <v>52115900</v>
      </c>
      <c r="B21718" t="e">
        <f>- - Los demas tejidos</f>
        <v>#NAME?</v>
      </c>
    </row>
    <row r="21719" spans="1:2" x14ac:dyDescent="0.25">
      <c r="A21719">
        <v>521159001</v>
      </c>
      <c r="B21719" t="s">
        <v>8498</v>
      </c>
    </row>
    <row r="21720" spans="1:2" x14ac:dyDescent="0.25">
      <c r="A21720">
        <v>52115900110</v>
      </c>
      <c r="B21720" t="s">
        <v>8482</v>
      </c>
    </row>
    <row r="21721" spans="1:2" x14ac:dyDescent="0.25">
      <c r="A21721">
        <v>52115900120</v>
      </c>
      <c r="B21721" t="s">
        <v>8515</v>
      </c>
    </row>
    <row r="21722" spans="1:2" x14ac:dyDescent="0.25">
      <c r="A21722">
        <v>52115900130</v>
      </c>
      <c r="B21722" t="s">
        <v>8516</v>
      </c>
    </row>
    <row r="21723" spans="1:2" x14ac:dyDescent="0.25">
      <c r="A21723">
        <v>52115900140</v>
      </c>
      <c r="B21723" t="s">
        <v>8517</v>
      </c>
    </row>
    <row r="21724" spans="1:2" x14ac:dyDescent="0.25">
      <c r="A21724">
        <v>52115900150</v>
      </c>
      <c r="B21724" t="s">
        <v>8518</v>
      </c>
    </row>
    <row r="21725" spans="1:2" x14ac:dyDescent="0.25">
      <c r="A21725">
        <v>52115900160</v>
      </c>
      <c r="B21725" t="s">
        <v>8514</v>
      </c>
    </row>
    <row r="21726" spans="1:2" x14ac:dyDescent="0.25">
      <c r="A21726">
        <v>52115900170</v>
      </c>
      <c r="B21726" t="s">
        <v>8519</v>
      </c>
    </row>
    <row r="21727" spans="1:2" x14ac:dyDescent="0.25">
      <c r="A21727">
        <v>52115900180</v>
      </c>
      <c r="B21727" t="s">
        <v>8520</v>
      </c>
    </row>
    <row r="21728" spans="1:2" x14ac:dyDescent="0.25">
      <c r="A21728">
        <v>52115900190</v>
      </c>
      <c r="B21728" t="s">
        <v>10</v>
      </c>
    </row>
    <row r="21729" spans="1:2" x14ac:dyDescent="0.25">
      <c r="A21729">
        <v>521159009</v>
      </c>
      <c r="B21729" t="s">
        <v>8500</v>
      </c>
    </row>
    <row r="21730" spans="1:2" x14ac:dyDescent="0.25">
      <c r="A21730">
        <v>52115900910</v>
      </c>
      <c r="B21730" t="s">
        <v>8482</v>
      </c>
    </row>
    <row r="21731" spans="1:2" x14ac:dyDescent="0.25">
      <c r="A21731">
        <v>52115900920</v>
      </c>
      <c r="B21731" t="s">
        <v>8515</v>
      </c>
    </row>
    <row r="21732" spans="1:2" x14ac:dyDescent="0.25">
      <c r="A21732">
        <v>52115900930</v>
      </c>
      <c r="B21732" t="s">
        <v>8516</v>
      </c>
    </row>
    <row r="21733" spans="1:2" x14ac:dyDescent="0.25">
      <c r="A21733">
        <v>52115900940</v>
      </c>
      <c r="B21733" t="s">
        <v>8517</v>
      </c>
    </row>
    <row r="21734" spans="1:2" x14ac:dyDescent="0.25">
      <c r="A21734">
        <v>52115900950</v>
      </c>
      <c r="B21734" t="s">
        <v>8518</v>
      </c>
    </row>
    <row r="21735" spans="1:2" x14ac:dyDescent="0.25">
      <c r="A21735">
        <v>52115900960</v>
      </c>
      <c r="B21735" t="s">
        <v>8514</v>
      </c>
    </row>
    <row r="21736" spans="1:2" x14ac:dyDescent="0.25">
      <c r="A21736">
        <v>52115900970</v>
      </c>
      <c r="B21736" t="s">
        <v>8519</v>
      </c>
    </row>
    <row r="21737" spans="1:2" x14ac:dyDescent="0.25">
      <c r="A21737">
        <v>52115900980</v>
      </c>
      <c r="B21737" t="s">
        <v>8520</v>
      </c>
    </row>
    <row r="21738" spans="1:2" x14ac:dyDescent="0.25">
      <c r="A21738">
        <v>52115900990</v>
      </c>
      <c r="B21738" t="s">
        <v>10</v>
      </c>
    </row>
    <row r="21739" spans="1:2" x14ac:dyDescent="0.25">
      <c r="A21739">
        <v>5212</v>
      </c>
      <c r="B21739" t="s">
        <v>8536</v>
      </c>
    </row>
    <row r="21740" spans="1:2" x14ac:dyDescent="0.25">
      <c r="A21740">
        <v>52121</v>
      </c>
      <c r="B21740" t="s">
        <v>8537</v>
      </c>
    </row>
    <row r="21741" spans="1:2" x14ac:dyDescent="0.25">
      <c r="A21741">
        <v>52121100</v>
      </c>
      <c r="B21741" t="e">
        <f>- - crudos</f>
        <v>#NAME?</v>
      </c>
    </row>
    <row r="21742" spans="1:2" x14ac:dyDescent="0.25">
      <c r="A21742">
        <v>521211001</v>
      </c>
      <c r="B21742" t="s">
        <v>8535</v>
      </c>
    </row>
    <row r="21743" spans="1:2" x14ac:dyDescent="0.25">
      <c r="A21743">
        <v>52121100110</v>
      </c>
      <c r="B21743" t="s">
        <v>8491</v>
      </c>
    </row>
    <row r="21744" spans="1:2" x14ac:dyDescent="0.25">
      <c r="A21744">
        <v>52121100120</v>
      </c>
      <c r="B21744" t="s">
        <v>8492</v>
      </c>
    </row>
    <row r="21745" spans="1:2" x14ac:dyDescent="0.25">
      <c r="A21745">
        <v>52121100130</v>
      </c>
      <c r="B21745" t="s">
        <v>8493</v>
      </c>
    </row>
    <row r="21746" spans="1:2" x14ac:dyDescent="0.25">
      <c r="A21746">
        <v>52121100140</v>
      </c>
      <c r="B21746" t="s">
        <v>8494</v>
      </c>
    </row>
    <row r="21747" spans="1:2" x14ac:dyDescent="0.25">
      <c r="A21747">
        <v>52121100150</v>
      </c>
      <c r="B21747" t="s">
        <v>8487</v>
      </c>
    </row>
    <row r="21748" spans="1:2" x14ac:dyDescent="0.25">
      <c r="A21748">
        <v>52121100160</v>
      </c>
      <c r="B21748" t="s">
        <v>8495</v>
      </c>
    </row>
    <row r="21749" spans="1:2" x14ac:dyDescent="0.25">
      <c r="A21749">
        <v>52121100170</v>
      </c>
      <c r="B21749" t="s">
        <v>8496</v>
      </c>
    </row>
    <row r="21750" spans="1:2" x14ac:dyDescent="0.25">
      <c r="A21750">
        <v>52121100180</v>
      </c>
      <c r="B21750" t="s">
        <v>8497</v>
      </c>
    </row>
    <row r="21751" spans="1:2" x14ac:dyDescent="0.25">
      <c r="A21751">
        <v>52121100190</v>
      </c>
      <c r="B21751" t="s">
        <v>10</v>
      </c>
    </row>
    <row r="21752" spans="1:2" x14ac:dyDescent="0.25">
      <c r="A21752">
        <v>521211002</v>
      </c>
      <c r="B21752" t="s">
        <v>8506</v>
      </c>
    </row>
    <row r="21753" spans="1:2" x14ac:dyDescent="0.25">
      <c r="A21753">
        <v>52121100210</v>
      </c>
      <c r="B21753" t="s">
        <v>8491</v>
      </c>
    </row>
    <row r="21754" spans="1:2" x14ac:dyDescent="0.25">
      <c r="A21754">
        <v>52121100220</v>
      </c>
      <c r="B21754" t="s">
        <v>8492</v>
      </c>
    </row>
    <row r="21755" spans="1:2" x14ac:dyDescent="0.25">
      <c r="A21755">
        <v>52121100230</v>
      </c>
      <c r="B21755" t="s">
        <v>8493</v>
      </c>
    </row>
    <row r="21756" spans="1:2" x14ac:dyDescent="0.25">
      <c r="A21756">
        <v>52121100240</v>
      </c>
      <c r="B21756" t="s">
        <v>8494</v>
      </c>
    </row>
    <row r="21757" spans="1:2" x14ac:dyDescent="0.25">
      <c r="A21757">
        <v>52121100250</v>
      </c>
      <c r="B21757" t="s">
        <v>8487</v>
      </c>
    </row>
    <row r="21758" spans="1:2" x14ac:dyDescent="0.25">
      <c r="A21758">
        <v>52121100260</v>
      </c>
      <c r="B21758" t="s">
        <v>8495</v>
      </c>
    </row>
    <row r="21759" spans="1:2" x14ac:dyDescent="0.25">
      <c r="A21759">
        <v>52121100270</v>
      </c>
      <c r="B21759" t="s">
        <v>8496</v>
      </c>
    </row>
    <row r="21760" spans="1:2" x14ac:dyDescent="0.25">
      <c r="A21760">
        <v>52121100280</v>
      </c>
      <c r="B21760" t="s">
        <v>8497</v>
      </c>
    </row>
    <row r="21761" spans="1:2" x14ac:dyDescent="0.25">
      <c r="A21761">
        <v>52121100290</v>
      </c>
      <c r="B21761" t="s">
        <v>10</v>
      </c>
    </row>
    <row r="21762" spans="1:2" x14ac:dyDescent="0.25">
      <c r="A21762">
        <v>521211003</v>
      </c>
      <c r="B21762" t="s">
        <v>8498</v>
      </c>
    </row>
    <row r="21763" spans="1:2" x14ac:dyDescent="0.25">
      <c r="A21763">
        <v>52121100310</v>
      </c>
      <c r="B21763" t="s">
        <v>8491</v>
      </c>
    </row>
    <row r="21764" spans="1:2" x14ac:dyDescent="0.25">
      <c r="A21764">
        <v>52121100320</v>
      </c>
      <c r="B21764" t="s">
        <v>8492</v>
      </c>
    </row>
    <row r="21765" spans="1:2" x14ac:dyDescent="0.25">
      <c r="A21765">
        <v>52121100330</v>
      </c>
      <c r="B21765" t="s">
        <v>8493</v>
      </c>
    </row>
    <row r="21766" spans="1:2" x14ac:dyDescent="0.25">
      <c r="A21766">
        <v>52121100340</v>
      </c>
      <c r="B21766" t="s">
        <v>8494</v>
      </c>
    </row>
    <row r="21767" spans="1:2" x14ac:dyDescent="0.25">
      <c r="A21767">
        <v>52121100350</v>
      </c>
      <c r="B21767" t="s">
        <v>8487</v>
      </c>
    </row>
    <row r="21768" spans="1:2" x14ac:dyDescent="0.25">
      <c r="A21768">
        <v>52121100360</v>
      </c>
      <c r="B21768" t="s">
        <v>8495</v>
      </c>
    </row>
    <row r="21769" spans="1:2" x14ac:dyDescent="0.25">
      <c r="A21769">
        <v>52121100370</v>
      </c>
      <c r="B21769" t="s">
        <v>8496</v>
      </c>
    </row>
    <row r="21770" spans="1:2" x14ac:dyDescent="0.25">
      <c r="A21770">
        <v>52121100380</v>
      </c>
      <c r="B21770" t="s">
        <v>8497</v>
      </c>
    </row>
    <row r="21771" spans="1:2" x14ac:dyDescent="0.25">
      <c r="A21771">
        <v>52121100390</v>
      </c>
      <c r="B21771" t="s">
        <v>10</v>
      </c>
    </row>
    <row r="21772" spans="1:2" x14ac:dyDescent="0.25">
      <c r="A21772">
        <v>521211009</v>
      </c>
      <c r="B21772" t="s">
        <v>8500</v>
      </c>
    </row>
    <row r="21773" spans="1:2" x14ac:dyDescent="0.25">
      <c r="A21773">
        <v>52121100910</v>
      </c>
      <c r="B21773" t="s">
        <v>8491</v>
      </c>
    </row>
    <row r="21774" spans="1:2" x14ac:dyDescent="0.25">
      <c r="A21774">
        <v>52121100920</v>
      </c>
      <c r="B21774" t="s">
        <v>8492</v>
      </c>
    </row>
    <row r="21775" spans="1:2" x14ac:dyDescent="0.25">
      <c r="A21775">
        <v>52121100930</v>
      </c>
      <c r="B21775" t="s">
        <v>8493</v>
      </c>
    </row>
    <row r="21776" spans="1:2" x14ac:dyDescent="0.25">
      <c r="A21776">
        <v>52121100940</v>
      </c>
      <c r="B21776" t="s">
        <v>8494</v>
      </c>
    </row>
    <row r="21777" spans="1:2" x14ac:dyDescent="0.25">
      <c r="A21777">
        <v>52121100950</v>
      </c>
      <c r="B21777" t="s">
        <v>8487</v>
      </c>
    </row>
    <row r="21778" spans="1:2" x14ac:dyDescent="0.25">
      <c r="A21778">
        <v>52121100960</v>
      </c>
      <c r="B21778" t="s">
        <v>8495</v>
      </c>
    </row>
    <row r="21779" spans="1:2" x14ac:dyDescent="0.25">
      <c r="A21779">
        <v>52121100970</v>
      </c>
      <c r="B21779" t="s">
        <v>8496</v>
      </c>
    </row>
    <row r="21780" spans="1:2" x14ac:dyDescent="0.25">
      <c r="A21780">
        <v>52121100980</v>
      </c>
      <c r="B21780" t="s">
        <v>8497</v>
      </c>
    </row>
    <row r="21781" spans="1:2" x14ac:dyDescent="0.25">
      <c r="A21781">
        <v>52121100990</v>
      </c>
      <c r="B21781" t="s">
        <v>10</v>
      </c>
    </row>
    <row r="21782" spans="1:2" x14ac:dyDescent="0.25">
      <c r="A21782">
        <v>52121200</v>
      </c>
      <c r="B21782" t="e">
        <f>- - Blanqueados</f>
        <v>#NAME?</v>
      </c>
    </row>
    <row r="21783" spans="1:2" x14ac:dyDescent="0.25">
      <c r="A21783">
        <v>521212001</v>
      </c>
      <c r="B21783" t="s">
        <v>8535</v>
      </c>
    </row>
    <row r="21784" spans="1:2" x14ac:dyDescent="0.25">
      <c r="A21784">
        <v>52121200110</v>
      </c>
      <c r="B21784" t="s">
        <v>8491</v>
      </c>
    </row>
    <row r="21785" spans="1:2" x14ac:dyDescent="0.25">
      <c r="A21785">
        <v>52121200120</v>
      </c>
      <c r="B21785" t="s">
        <v>8492</v>
      </c>
    </row>
    <row r="21786" spans="1:2" x14ac:dyDescent="0.25">
      <c r="A21786">
        <v>52121200130</v>
      </c>
      <c r="B21786" t="s">
        <v>8493</v>
      </c>
    </row>
    <row r="21787" spans="1:2" x14ac:dyDescent="0.25">
      <c r="A21787">
        <v>52121200140</v>
      </c>
      <c r="B21787" t="s">
        <v>8494</v>
      </c>
    </row>
    <row r="21788" spans="1:2" x14ac:dyDescent="0.25">
      <c r="A21788">
        <v>52121200150</v>
      </c>
      <c r="B21788" t="s">
        <v>8487</v>
      </c>
    </row>
    <row r="21789" spans="1:2" x14ac:dyDescent="0.25">
      <c r="A21789">
        <v>52121200160</v>
      </c>
      <c r="B21789" t="s">
        <v>8495</v>
      </c>
    </row>
    <row r="21790" spans="1:2" x14ac:dyDescent="0.25">
      <c r="A21790">
        <v>52121200170</v>
      </c>
      <c r="B21790" t="s">
        <v>8496</v>
      </c>
    </row>
    <row r="21791" spans="1:2" x14ac:dyDescent="0.25">
      <c r="A21791">
        <v>52121200180</v>
      </c>
      <c r="B21791" t="s">
        <v>8497</v>
      </c>
    </row>
    <row r="21792" spans="1:2" x14ac:dyDescent="0.25">
      <c r="A21792">
        <v>52121200190</v>
      </c>
      <c r="B21792" t="s">
        <v>10</v>
      </c>
    </row>
    <row r="21793" spans="1:2" x14ac:dyDescent="0.25">
      <c r="A21793">
        <v>521212002</v>
      </c>
      <c r="B21793" t="s">
        <v>8506</v>
      </c>
    </row>
    <row r="21794" spans="1:2" x14ac:dyDescent="0.25">
      <c r="A21794">
        <v>52121200210</v>
      </c>
      <c r="B21794" t="s">
        <v>8491</v>
      </c>
    </row>
    <row r="21795" spans="1:2" x14ac:dyDescent="0.25">
      <c r="A21795">
        <v>52121200220</v>
      </c>
      <c r="B21795" t="s">
        <v>8492</v>
      </c>
    </row>
    <row r="21796" spans="1:2" x14ac:dyDescent="0.25">
      <c r="A21796">
        <v>52121200230</v>
      </c>
      <c r="B21796" t="s">
        <v>8493</v>
      </c>
    </row>
    <row r="21797" spans="1:2" x14ac:dyDescent="0.25">
      <c r="A21797">
        <v>52121200240</v>
      </c>
      <c r="B21797" t="s">
        <v>8494</v>
      </c>
    </row>
    <row r="21798" spans="1:2" x14ac:dyDescent="0.25">
      <c r="A21798">
        <v>52121200250</v>
      </c>
      <c r="B21798" t="s">
        <v>8487</v>
      </c>
    </row>
    <row r="21799" spans="1:2" x14ac:dyDescent="0.25">
      <c r="A21799">
        <v>52121200260</v>
      </c>
      <c r="B21799" t="s">
        <v>8495</v>
      </c>
    </row>
    <row r="21800" spans="1:2" x14ac:dyDescent="0.25">
      <c r="A21800">
        <v>52121200270</v>
      </c>
      <c r="B21800" t="s">
        <v>8496</v>
      </c>
    </row>
    <row r="21801" spans="1:2" x14ac:dyDescent="0.25">
      <c r="A21801">
        <v>52121200280</v>
      </c>
      <c r="B21801" t="s">
        <v>8497</v>
      </c>
    </row>
    <row r="21802" spans="1:2" x14ac:dyDescent="0.25">
      <c r="A21802">
        <v>52121200290</v>
      </c>
      <c r="B21802" t="s">
        <v>10</v>
      </c>
    </row>
    <row r="21803" spans="1:2" x14ac:dyDescent="0.25">
      <c r="A21803">
        <v>521212003</v>
      </c>
      <c r="B21803" t="s">
        <v>8498</v>
      </c>
    </row>
    <row r="21804" spans="1:2" x14ac:dyDescent="0.25">
      <c r="A21804">
        <v>52121200310</v>
      </c>
      <c r="B21804" t="s">
        <v>8491</v>
      </c>
    </row>
    <row r="21805" spans="1:2" x14ac:dyDescent="0.25">
      <c r="A21805">
        <v>52121200320</v>
      </c>
      <c r="B21805" t="s">
        <v>8492</v>
      </c>
    </row>
    <row r="21806" spans="1:2" x14ac:dyDescent="0.25">
      <c r="A21806">
        <v>52121200330</v>
      </c>
      <c r="B21806" t="s">
        <v>8493</v>
      </c>
    </row>
    <row r="21807" spans="1:2" x14ac:dyDescent="0.25">
      <c r="A21807">
        <v>52121200340</v>
      </c>
      <c r="B21807" t="s">
        <v>8494</v>
      </c>
    </row>
    <row r="21808" spans="1:2" x14ac:dyDescent="0.25">
      <c r="A21808">
        <v>52121200350</v>
      </c>
      <c r="B21808" t="s">
        <v>8487</v>
      </c>
    </row>
    <row r="21809" spans="1:2" x14ac:dyDescent="0.25">
      <c r="A21809">
        <v>52121200360</v>
      </c>
      <c r="B21809" t="s">
        <v>8495</v>
      </c>
    </row>
    <row r="21810" spans="1:2" x14ac:dyDescent="0.25">
      <c r="A21810">
        <v>52121200370</v>
      </c>
      <c r="B21810" t="s">
        <v>8496</v>
      </c>
    </row>
    <row r="21811" spans="1:2" x14ac:dyDescent="0.25">
      <c r="A21811">
        <v>52121200380</v>
      </c>
      <c r="B21811" t="s">
        <v>8497</v>
      </c>
    </row>
    <row r="21812" spans="1:2" x14ac:dyDescent="0.25">
      <c r="A21812">
        <v>52121200390</v>
      </c>
      <c r="B21812" t="s">
        <v>10</v>
      </c>
    </row>
    <row r="21813" spans="1:2" x14ac:dyDescent="0.25">
      <c r="A21813">
        <v>521212009</v>
      </c>
      <c r="B21813" t="s">
        <v>8500</v>
      </c>
    </row>
    <row r="21814" spans="1:2" x14ac:dyDescent="0.25">
      <c r="A21814">
        <v>52121200910</v>
      </c>
      <c r="B21814" t="s">
        <v>8491</v>
      </c>
    </row>
    <row r="21815" spans="1:2" x14ac:dyDescent="0.25">
      <c r="A21815">
        <v>52121200920</v>
      </c>
      <c r="B21815" t="s">
        <v>8492</v>
      </c>
    </row>
    <row r="21816" spans="1:2" x14ac:dyDescent="0.25">
      <c r="A21816">
        <v>52121200930</v>
      </c>
      <c r="B21816" t="s">
        <v>8493</v>
      </c>
    </row>
    <row r="21817" spans="1:2" x14ac:dyDescent="0.25">
      <c r="A21817">
        <v>52121200940</v>
      </c>
      <c r="B21817" t="s">
        <v>8494</v>
      </c>
    </row>
    <row r="21818" spans="1:2" x14ac:dyDescent="0.25">
      <c r="A21818">
        <v>52121200950</v>
      </c>
      <c r="B21818" t="s">
        <v>8487</v>
      </c>
    </row>
    <row r="21819" spans="1:2" x14ac:dyDescent="0.25">
      <c r="A21819">
        <v>52121200960</v>
      </c>
      <c r="B21819" t="s">
        <v>8495</v>
      </c>
    </row>
    <row r="21820" spans="1:2" x14ac:dyDescent="0.25">
      <c r="A21820">
        <v>52121200970</v>
      </c>
      <c r="B21820" t="s">
        <v>8496</v>
      </c>
    </row>
    <row r="21821" spans="1:2" x14ac:dyDescent="0.25">
      <c r="A21821">
        <v>52121200980</v>
      </c>
      <c r="B21821" t="s">
        <v>8497</v>
      </c>
    </row>
    <row r="21822" spans="1:2" x14ac:dyDescent="0.25">
      <c r="A21822">
        <v>52121200990</v>
      </c>
      <c r="B21822" t="s">
        <v>10</v>
      </c>
    </row>
    <row r="21823" spans="1:2" x14ac:dyDescent="0.25">
      <c r="A21823">
        <v>52121300</v>
      </c>
      <c r="B21823" t="e">
        <f>- - Teñidos</f>
        <v>#NAME?</v>
      </c>
    </row>
    <row r="21824" spans="1:2" x14ac:dyDescent="0.25">
      <c r="A21824">
        <v>521213001</v>
      </c>
      <c r="B21824" t="s">
        <v>8535</v>
      </c>
    </row>
    <row r="21825" spans="1:2" x14ac:dyDescent="0.25">
      <c r="A21825">
        <v>52121300110</v>
      </c>
      <c r="B21825" t="s">
        <v>8491</v>
      </c>
    </row>
    <row r="21826" spans="1:2" x14ac:dyDescent="0.25">
      <c r="A21826">
        <v>52121300120</v>
      </c>
      <c r="B21826" t="s">
        <v>8492</v>
      </c>
    </row>
    <row r="21827" spans="1:2" x14ac:dyDescent="0.25">
      <c r="A21827">
        <v>52121300130</v>
      </c>
      <c r="B21827" t="s">
        <v>8493</v>
      </c>
    </row>
    <row r="21828" spans="1:2" x14ac:dyDescent="0.25">
      <c r="A21828">
        <v>52121300140</v>
      </c>
      <c r="B21828" t="s">
        <v>8494</v>
      </c>
    </row>
    <row r="21829" spans="1:2" x14ac:dyDescent="0.25">
      <c r="A21829">
        <v>52121300150</v>
      </c>
      <c r="B21829" t="s">
        <v>8487</v>
      </c>
    </row>
    <row r="21830" spans="1:2" x14ac:dyDescent="0.25">
      <c r="A21830">
        <v>52121300160</v>
      </c>
      <c r="B21830" t="s">
        <v>8495</v>
      </c>
    </row>
    <row r="21831" spans="1:2" x14ac:dyDescent="0.25">
      <c r="A21831">
        <v>52121300170</v>
      </c>
      <c r="B21831" t="s">
        <v>8496</v>
      </c>
    </row>
    <row r="21832" spans="1:2" x14ac:dyDescent="0.25">
      <c r="A21832">
        <v>52121300180</v>
      </c>
      <c r="B21832" t="s">
        <v>8497</v>
      </c>
    </row>
    <row r="21833" spans="1:2" x14ac:dyDescent="0.25">
      <c r="A21833">
        <v>52121300190</v>
      </c>
      <c r="B21833" t="s">
        <v>10</v>
      </c>
    </row>
    <row r="21834" spans="1:2" x14ac:dyDescent="0.25">
      <c r="A21834">
        <v>521213002</v>
      </c>
      <c r="B21834" t="s">
        <v>8506</v>
      </c>
    </row>
    <row r="21835" spans="1:2" x14ac:dyDescent="0.25">
      <c r="A21835">
        <v>52121300210</v>
      </c>
      <c r="B21835" t="s">
        <v>8491</v>
      </c>
    </row>
    <row r="21836" spans="1:2" x14ac:dyDescent="0.25">
      <c r="A21836">
        <v>52121300220</v>
      </c>
      <c r="B21836" t="s">
        <v>8492</v>
      </c>
    </row>
    <row r="21837" spans="1:2" x14ac:dyDescent="0.25">
      <c r="A21837">
        <v>52121300230</v>
      </c>
      <c r="B21837" t="s">
        <v>8493</v>
      </c>
    </row>
    <row r="21838" spans="1:2" x14ac:dyDescent="0.25">
      <c r="A21838">
        <v>52121300240</v>
      </c>
      <c r="B21838" t="s">
        <v>8494</v>
      </c>
    </row>
    <row r="21839" spans="1:2" x14ac:dyDescent="0.25">
      <c r="A21839">
        <v>52121300250</v>
      </c>
      <c r="B21839" t="s">
        <v>8487</v>
      </c>
    </row>
    <row r="21840" spans="1:2" x14ac:dyDescent="0.25">
      <c r="A21840">
        <v>52121300260</v>
      </c>
      <c r="B21840" t="s">
        <v>8495</v>
      </c>
    </row>
    <row r="21841" spans="1:2" x14ac:dyDescent="0.25">
      <c r="A21841">
        <v>52121300270</v>
      </c>
      <c r="B21841" t="s">
        <v>8496</v>
      </c>
    </row>
    <row r="21842" spans="1:2" x14ac:dyDescent="0.25">
      <c r="A21842">
        <v>52121300280</v>
      </c>
      <c r="B21842" t="s">
        <v>8497</v>
      </c>
    </row>
    <row r="21843" spans="1:2" x14ac:dyDescent="0.25">
      <c r="A21843">
        <v>52121300290</v>
      </c>
      <c r="B21843" t="s">
        <v>10</v>
      </c>
    </row>
    <row r="21844" spans="1:2" x14ac:dyDescent="0.25">
      <c r="A21844">
        <v>521213003</v>
      </c>
      <c r="B21844" t="s">
        <v>8498</v>
      </c>
    </row>
    <row r="21845" spans="1:2" x14ac:dyDescent="0.25">
      <c r="A21845">
        <v>52121300310</v>
      </c>
      <c r="B21845" t="s">
        <v>8491</v>
      </c>
    </row>
    <row r="21846" spans="1:2" x14ac:dyDescent="0.25">
      <c r="A21846">
        <v>52121300320</v>
      </c>
      <c r="B21846" t="s">
        <v>8492</v>
      </c>
    </row>
    <row r="21847" spans="1:2" x14ac:dyDescent="0.25">
      <c r="A21847">
        <v>52121300330</v>
      </c>
      <c r="B21847" t="s">
        <v>8493</v>
      </c>
    </row>
    <row r="21848" spans="1:2" x14ac:dyDescent="0.25">
      <c r="A21848">
        <v>52121300340</v>
      </c>
      <c r="B21848" t="s">
        <v>8494</v>
      </c>
    </row>
    <row r="21849" spans="1:2" x14ac:dyDescent="0.25">
      <c r="A21849">
        <v>52121300350</v>
      </c>
      <c r="B21849" t="s">
        <v>8487</v>
      </c>
    </row>
    <row r="21850" spans="1:2" x14ac:dyDescent="0.25">
      <c r="A21850">
        <v>52121300360</v>
      </c>
      <c r="B21850" t="s">
        <v>8495</v>
      </c>
    </row>
    <row r="21851" spans="1:2" x14ac:dyDescent="0.25">
      <c r="A21851">
        <v>52121300370</v>
      </c>
      <c r="B21851" t="s">
        <v>8496</v>
      </c>
    </row>
    <row r="21852" spans="1:2" x14ac:dyDescent="0.25">
      <c r="A21852">
        <v>52121300380</v>
      </c>
      <c r="B21852" t="s">
        <v>8497</v>
      </c>
    </row>
    <row r="21853" spans="1:2" x14ac:dyDescent="0.25">
      <c r="A21853">
        <v>52121300390</v>
      </c>
      <c r="B21853" t="s">
        <v>10</v>
      </c>
    </row>
    <row r="21854" spans="1:2" x14ac:dyDescent="0.25">
      <c r="A21854">
        <v>521213009</v>
      </c>
      <c r="B21854" t="s">
        <v>8500</v>
      </c>
    </row>
    <row r="21855" spans="1:2" x14ac:dyDescent="0.25">
      <c r="A21855">
        <v>52121300910</v>
      </c>
      <c r="B21855" t="s">
        <v>8491</v>
      </c>
    </row>
    <row r="21856" spans="1:2" x14ac:dyDescent="0.25">
      <c r="A21856">
        <v>52121300920</v>
      </c>
      <c r="B21856" t="s">
        <v>8492</v>
      </c>
    </row>
    <row r="21857" spans="1:2" x14ac:dyDescent="0.25">
      <c r="A21857">
        <v>52121300930</v>
      </c>
      <c r="B21857" t="s">
        <v>8493</v>
      </c>
    </row>
    <row r="21858" spans="1:2" x14ac:dyDescent="0.25">
      <c r="A21858">
        <v>52121300940</v>
      </c>
      <c r="B21858" t="s">
        <v>8494</v>
      </c>
    </row>
    <row r="21859" spans="1:2" x14ac:dyDescent="0.25">
      <c r="A21859">
        <v>52121300950</v>
      </c>
      <c r="B21859" t="s">
        <v>8487</v>
      </c>
    </row>
    <row r="21860" spans="1:2" x14ac:dyDescent="0.25">
      <c r="A21860">
        <v>52121300960</v>
      </c>
      <c r="B21860" t="s">
        <v>8495</v>
      </c>
    </row>
    <row r="21861" spans="1:2" x14ac:dyDescent="0.25">
      <c r="A21861">
        <v>52121300970</v>
      </c>
      <c r="B21861" t="s">
        <v>8496</v>
      </c>
    </row>
    <row r="21862" spans="1:2" x14ac:dyDescent="0.25">
      <c r="A21862">
        <v>52121300980</v>
      </c>
      <c r="B21862" t="s">
        <v>8497</v>
      </c>
    </row>
    <row r="21863" spans="1:2" x14ac:dyDescent="0.25">
      <c r="A21863">
        <v>52121300990</v>
      </c>
      <c r="B21863" t="s">
        <v>10</v>
      </c>
    </row>
    <row r="21864" spans="1:2" x14ac:dyDescent="0.25">
      <c r="A21864">
        <v>52121400</v>
      </c>
      <c r="B21864" t="e">
        <f>- - Con hilados de distintos colores</f>
        <v>#NAME?</v>
      </c>
    </row>
    <row r="21865" spans="1:2" x14ac:dyDescent="0.25">
      <c r="A21865">
        <v>521214001</v>
      </c>
      <c r="B21865" t="s">
        <v>8535</v>
      </c>
    </row>
    <row r="21866" spans="1:2" x14ac:dyDescent="0.25">
      <c r="A21866">
        <v>52121400110</v>
      </c>
      <c r="B21866" t="s">
        <v>8491</v>
      </c>
    </row>
    <row r="21867" spans="1:2" x14ac:dyDescent="0.25">
      <c r="A21867">
        <v>52121400120</v>
      </c>
      <c r="B21867" t="s">
        <v>8492</v>
      </c>
    </row>
    <row r="21868" spans="1:2" x14ac:dyDescent="0.25">
      <c r="A21868">
        <v>52121400130</v>
      </c>
      <c r="B21868" t="s">
        <v>8493</v>
      </c>
    </row>
    <row r="21869" spans="1:2" x14ac:dyDescent="0.25">
      <c r="A21869">
        <v>52121400140</v>
      </c>
      <c r="B21869" t="s">
        <v>8494</v>
      </c>
    </row>
    <row r="21870" spans="1:2" x14ac:dyDescent="0.25">
      <c r="A21870">
        <v>52121400150</v>
      </c>
      <c r="B21870" t="s">
        <v>8487</v>
      </c>
    </row>
    <row r="21871" spans="1:2" x14ac:dyDescent="0.25">
      <c r="A21871">
        <v>52121400160</v>
      </c>
      <c r="B21871" t="s">
        <v>8495</v>
      </c>
    </row>
    <row r="21872" spans="1:2" x14ac:dyDescent="0.25">
      <c r="A21872">
        <v>52121400170</v>
      </c>
      <c r="B21872" t="s">
        <v>8496</v>
      </c>
    </row>
    <row r="21873" spans="1:2" x14ac:dyDescent="0.25">
      <c r="A21873">
        <v>52121400180</v>
      </c>
      <c r="B21873" t="s">
        <v>8497</v>
      </c>
    </row>
    <row r="21874" spans="1:2" x14ac:dyDescent="0.25">
      <c r="A21874">
        <v>52121400190</v>
      </c>
      <c r="B21874" t="s">
        <v>10</v>
      </c>
    </row>
    <row r="21875" spans="1:2" x14ac:dyDescent="0.25">
      <c r="A21875">
        <v>521214002</v>
      </c>
      <c r="B21875" t="s">
        <v>8506</v>
      </c>
    </row>
    <row r="21876" spans="1:2" x14ac:dyDescent="0.25">
      <c r="A21876">
        <v>52121400210</v>
      </c>
      <c r="B21876" t="s">
        <v>8491</v>
      </c>
    </row>
    <row r="21877" spans="1:2" x14ac:dyDescent="0.25">
      <c r="A21877">
        <v>52121400220</v>
      </c>
      <c r="B21877" t="s">
        <v>8492</v>
      </c>
    </row>
    <row r="21878" spans="1:2" x14ac:dyDescent="0.25">
      <c r="A21878">
        <v>52121400230</v>
      </c>
      <c r="B21878" t="s">
        <v>8493</v>
      </c>
    </row>
    <row r="21879" spans="1:2" x14ac:dyDescent="0.25">
      <c r="A21879">
        <v>52121400240</v>
      </c>
      <c r="B21879" t="s">
        <v>8494</v>
      </c>
    </row>
    <row r="21880" spans="1:2" x14ac:dyDescent="0.25">
      <c r="A21880">
        <v>52121400250</v>
      </c>
      <c r="B21880" t="s">
        <v>8487</v>
      </c>
    </row>
    <row r="21881" spans="1:2" x14ac:dyDescent="0.25">
      <c r="A21881">
        <v>52121400260</v>
      </c>
      <c r="B21881" t="s">
        <v>8495</v>
      </c>
    </row>
    <row r="21882" spans="1:2" x14ac:dyDescent="0.25">
      <c r="A21882">
        <v>52121400270</v>
      </c>
      <c r="B21882" t="s">
        <v>8496</v>
      </c>
    </row>
    <row r="21883" spans="1:2" x14ac:dyDescent="0.25">
      <c r="A21883">
        <v>52121400280</v>
      </c>
      <c r="B21883" t="s">
        <v>8497</v>
      </c>
    </row>
    <row r="21884" spans="1:2" x14ac:dyDescent="0.25">
      <c r="A21884">
        <v>52121400290</v>
      </c>
      <c r="B21884" t="s">
        <v>10</v>
      </c>
    </row>
    <row r="21885" spans="1:2" x14ac:dyDescent="0.25">
      <c r="A21885">
        <v>521214003</v>
      </c>
      <c r="B21885" t="s">
        <v>8498</v>
      </c>
    </row>
    <row r="21886" spans="1:2" x14ac:dyDescent="0.25">
      <c r="A21886">
        <v>52121400310</v>
      </c>
      <c r="B21886" t="s">
        <v>8491</v>
      </c>
    </row>
    <row r="21887" spans="1:2" x14ac:dyDescent="0.25">
      <c r="A21887">
        <v>52121400320</v>
      </c>
      <c r="B21887" t="s">
        <v>8492</v>
      </c>
    </row>
    <row r="21888" spans="1:2" x14ac:dyDescent="0.25">
      <c r="A21888">
        <v>52121400330</v>
      </c>
      <c r="B21888" t="s">
        <v>8493</v>
      </c>
    </row>
    <row r="21889" spans="1:2" x14ac:dyDescent="0.25">
      <c r="A21889">
        <v>52121400340</v>
      </c>
      <c r="B21889" t="s">
        <v>8494</v>
      </c>
    </row>
    <row r="21890" spans="1:2" x14ac:dyDescent="0.25">
      <c r="A21890">
        <v>52121400350</v>
      </c>
      <c r="B21890" t="s">
        <v>8487</v>
      </c>
    </row>
    <row r="21891" spans="1:2" x14ac:dyDescent="0.25">
      <c r="A21891">
        <v>52121400360</v>
      </c>
      <c r="B21891" t="s">
        <v>8495</v>
      </c>
    </row>
    <row r="21892" spans="1:2" x14ac:dyDescent="0.25">
      <c r="A21892">
        <v>52121400370</v>
      </c>
      <c r="B21892" t="s">
        <v>8496</v>
      </c>
    </row>
    <row r="21893" spans="1:2" x14ac:dyDescent="0.25">
      <c r="A21893">
        <v>52121400380</v>
      </c>
      <c r="B21893" t="s">
        <v>8497</v>
      </c>
    </row>
    <row r="21894" spans="1:2" x14ac:dyDescent="0.25">
      <c r="A21894">
        <v>52121400390</v>
      </c>
      <c r="B21894" t="s">
        <v>10</v>
      </c>
    </row>
    <row r="21895" spans="1:2" x14ac:dyDescent="0.25">
      <c r="A21895">
        <v>521214009</v>
      </c>
      <c r="B21895" t="s">
        <v>8500</v>
      </c>
    </row>
    <row r="21896" spans="1:2" x14ac:dyDescent="0.25">
      <c r="A21896">
        <v>52121400910</v>
      </c>
      <c r="B21896" t="s">
        <v>8491</v>
      </c>
    </row>
    <row r="21897" spans="1:2" x14ac:dyDescent="0.25">
      <c r="A21897">
        <v>52121400920</v>
      </c>
      <c r="B21897" t="s">
        <v>8492</v>
      </c>
    </row>
    <row r="21898" spans="1:2" x14ac:dyDescent="0.25">
      <c r="A21898">
        <v>52121400930</v>
      </c>
      <c r="B21898" t="s">
        <v>8493</v>
      </c>
    </row>
    <row r="21899" spans="1:2" x14ac:dyDescent="0.25">
      <c r="A21899">
        <v>52121400940</v>
      </c>
      <c r="B21899" t="s">
        <v>8494</v>
      </c>
    </row>
    <row r="21900" spans="1:2" x14ac:dyDescent="0.25">
      <c r="A21900">
        <v>52121400950</v>
      </c>
      <c r="B21900" t="s">
        <v>8487</v>
      </c>
    </row>
    <row r="21901" spans="1:2" x14ac:dyDescent="0.25">
      <c r="A21901">
        <v>52121400960</v>
      </c>
      <c r="B21901" t="s">
        <v>8495</v>
      </c>
    </row>
    <row r="21902" spans="1:2" x14ac:dyDescent="0.25">
      <c r="A21902">
        <v>52121400970</v>
      </c>
      <c r="B21902" t="s">
        <v>8496</v>
      </c>
    </row>
    <row r="21903" spans="1:2" x14ac:dyDescent="0.25">
      <c r="A21903">
        <v>52121400980</v>
      </c>
      <c r="B21903" t="s">
        <v>8497</v>
      </c>
    </row>
    <row r="21904" spans="1:2" x14ac:dyDescent="0.25">
      <c r="A21904">
        <v>52121400990</v>
      </c>
      <c r="B21904" t="s">
        <v>10</v>
      </c>
    </row>
    <row r="21905" spans="1:2" x14ac:dyDescent="0.25">
      <c r="A21905">
        <v>52121500</v>
      </c>
      <c r="B21905" t="e">
        <f>- - Estampados</f>
        <v>#NAME?</v>
      </c>
    </row>
    <row r="21906" spans="1:2" x14ac:dyDescent="0.25">
      <c r="A21906">
        <v>521215001</v>
      </c>
      <c r="B21906" t="s">
        <v>8535</v>
      </c>
    </row>
    <row r="21907" spans="1:2" x14ac:dyDescent="0.25">
      <c r="A21907">
        <v>52121500110</v>
      </c>
      <c r="B21907" t="s">
        <v>8491</v>
      </c>
    </row>
    <row r="21908" spans="1:2" x14ac:dyDescent="0.25">
      <c r="A21908">
        <v>52121500120</v>
      </c>
      <c r="B21908" t="s">
        <v>8492</v>
      </c>
    </row>
    <row r="21909" spans="1:2" x14ac:dyDescent="0.25">
      <c r="A21909">
        <v>52121500130</v>
      </c>
      <c r="B21909" t="s">
        <v>8493</v>
      </c>
    </row>
    <row r="21910" spans="1:2" x14ac:dyDescent="0.25">
      <c r="A21910">
        <v>52121500140</v>
      </c>
      <c r="B21910" t="s">
        <v>8494</v>
      </c>
    </row>
    <row r="21911" spans="1:2" x14ac:dyDescent="0.25">
      <c r="A21911">
        <v>52121500150</v>
      </c>
      <c r="B21911" t="s">
        <v>8487</v>
      </c>
    </row>
    <row r="21912" spans="1:2" x14ac:dyDescent="0.25">
      <c r="A21912">
        <v>52121500160</v>
      </c>
      <c r="B21912" t="s">
        <v>8495</v>
      </c>
    </row>
    <row r="21913" spans="1:2" x14ac:dyDescent="0.25">
      <c r="A21913">
        <v>52121500170</v>
      </c>
      <c r="B21913" t="s">
        <v>8496</v>
      </c>
    </row>
    <row r="21914" spans="1:2" x14ac:dyDescent="0.25">
      <c r="A21914">
        <v>52121500180</v>
      </c>
      <c r="B21914" t="s">
        <v>8497</v>
      </c>
    </row>
    <row r="21915" spans="1:2" x14ac:dyDescent="0.25">
      <c r="A21915">
        <v>52121500190</v>
      </c>
      <c r="B21915" t="s">
        <v>10</v>
      </c>
    </row>
    <row r="21916" spans="1:2" x14ac:dyDescent="0.25">
      <c r="A21916">
        <v>521215002</v>
      </c>
      <c r="B21916" t="s">
        <v>8506</v>
      </c>
    </row>
    <row r="21917" spans="1:2" x14ac:dyDescent="0.25">
      <c r="A21917">
        <v>52121500210</v>
      </c>
      <c r="B21917" t="s">
        <v>8491</v>
      </c>
    </row>
    <row r="21918" spans="1:2" x14ac:dyDescent="0.25">
      <c r="A21918">
        <v>52121500220</v>
      </c>
      <c r="B21918" t="s">
        <v>8492</v>
      </c>
    </row>
    <row r="21919" spans="1:2" x14ac:dyDescent="0.25">
      <c r="A21919">
        <v>52121500230</v>
      </c>
      <c r="B21919" t="s">
        <v>8493</v>
      </c>
    </row>
    <row r="21920" spans="1:2" x14ac:dyDescent="0.25">
      <c r="A21920">
        <v>52121500240</v>
      </c>
      <c r="B21920" t="s">
        <v>8494</v>
      </c>
    </row>
    <row r="21921" spans="1:2" x14ac:dyDescent="0.25">
      <c r="A21921">
        <v>52121500250</v>
      </c>
      <c r="B21921" t="s">
        <v>8487</v>
      </c>
    </row>
    <row r="21922" spans="1:2" x14ac:dyDescent="0.25">
      <c r="A21922">
        <v>52121500260</v>
      </c>
      <c r="B21922" t="s">
        <v>8495</v>
      </c>
    </row>
    <row r="21923" spans="1:2" x14ac:dyDescent="0.25">
      <c r="A21923">
        <v>52121500270</v>
      </c>
      <c r="B21923" t="s">
        <v>8496</v>
      </c>
    </row>
    <row r="21924" spans="1:2" x14ac:dyDescent="0.25">
      <c r="A21924">
        <v>52121500280</v>
      </c>
      <c r="B21924" t="s">
        <v>8497</v>
      </c>
    </row>
    <row r="21925" spans="1:2" x14ac:dyDescent="0.25">
      <c r="A21925">
        <v>52121500290</v>
      </c>
      <c r="B21925" t="s">
        <v>10</v>
      </c>
    </row>
    <row r="21926" spans="1:2" x14ac:dyDescent="0.25">
      <c r="A21926">
        <v>521215003</v>
      </c>
      <c r="B21926" t="s">
        <v>8498</v>
      </c>
    </row>
    <row r="21927" spans="1:2" x14ac:dyDescent="0.25">
      <c r="A21927">
        <v>52121500310</v>
      </c>
      <c r="B21927" t="s">
        <v>8491</v>
      </c>
    </row>
    <row r="21928" spans="1:2" x14ac:dyDescent="0.25">
      <c r="A21928">
        <v>52121500320</v>
      </c>
      <c r="B21928" t="s">
        <v>8492</v>
      </c>
    </row>
    <row r="21929" spans="1:2" x14ac:dyDescent="0.25">
      <c r="A21929">
        <v>52121500330</v>
      </c>
      <c r="B21929" t="s">
        <v>8493</v>
      </c>
    </row>
    <row r="21930" spans="1:2" x14ac:dyDescent="0.25">
      <c r="A21930">
        <v>52121500340</v>
      </c>
      <c r="B21930" t="s">
        <v>8494</v>
      </c>
    </row>
    <row r="21931" spans="1:2" x14ac:dyDescent="0.25">
      <c r="A21931">
        <v>52121500350</v>
      </c>
      <c r="B21931" t="s">
        <v>8487</v>
      </c>
    </row>
    <row r="21932" spans="1:2" x14ac:dyDescent="0.25">
      <c r="A21932">
        <v>52121500360</v>
      </c>
      <c r="B21932" t="s">
        <v>8495</v>
      </c>
    </row>
    <row r="21933" spans="1:2" x14ac:dyDescent="0.25">
      <c r="A21933">
        <v>52121500370</v>
      </c>
      <c r="B21933" t="s">
        <v>8496</v>
      </c>
    </row>
    <row r="21934" spans="1:2" x14ac:dyDescent="0.25">
      <c r="A21934">
        <v>52121500380</v>
      </c>
      <c r="B21934" t="s">
        <v>8497</v>
      </c>
    </row>
    <row r="21935" spans="1:2" x14ac:dyDescent="0.25">
      <c r="A21935">
        <v>52121500390</v>
      </c>
      <c r="B21935" t="s">
        <v>10</v>
      </c>
    </row>
    <row r="21936" spans="1:2" x14ac:dyDescent="0.25">
      <c r="A21936">
        <v>521215009</v>
      </c>
      <c r="B21936" t="s">
        <v>8500</v>
      </c>
    </row>
    <row r="21937" spans="1:2" x14ac:dyDescent="0.25">
      <c r="A21937">
        <v>52121500910</v>
      </c>
      <c r="B21937" t="s">
        <v>8491</v>
      </c>
    </row>
    <row r="21938" spans="1:2" x14ac:dyDescent="0.25">
      <c r="A21938">
        <v>52121500920</v>
      </c>
      <c r="B21938" t="s">
        <v>8492</v>
      </c>
    </row>
    <row r="21939" spans="1:2" x14ac:dyDescent="0.25">
      <c r="A21939">
        <v>52121500930</v>
      </c>
      <c r="B21939" t="s">
        <v>8493</v>
      </c>
    </row>
    <row r="21940" spans="1:2" x14ac:dyDescent="0.25">
      <c r="A21940">
        <v>52121500940</v>
      </c>
      <c r="B21940" t="s">
        <v>8494</v>
      </c>
    </row>
    <row r="21941" spans="1:2" x14ac:dyDescent="0.25">
      <c r="A21941">
        <v>52121500950</v>
      </c>
      <c r="B21941" t="s">
        <v>8487</v>
      </c>
    </row>
    <row r="21942" spans="1:2" x14ac:dyDescent="0.25">
      <c r="A21942">
        <v>52121500960</v>
      </c>
      <c r="B21942" t="s">
        <v>8495</v>
      </c>
    </row>
    <row r="21943" spans="1:2" x14ac:dyDescent="0.25">
      <c r="A21943">
        <v>52121500970</v>
      </c>
      <c r="B21943" t="s">
        <v>8496</v>
      </c>
    </row>
    <row r="21944" spans="1:2" x14ac:dyDescent="0.25">
      <c r="A21944">
        <v>52121500980</v>
      </c>
      <c r="B21944" t="s">
        <v>8497</v>
      </c>
    </row>
    <row r="21945" spans="1:2" x14ac:dyDescent="0.25">
      <c r="A21945">
        <v>52121500990</v>
      </c>
      <c r="B21945" t="s">
        <v>10</v>
      </c>
    </row>
    <row r="21946" spans="1:2" x14ac:dyDescent="0.25">
      <c r="A21946">
        <v>52122</v>
      </c>
      <c r="B21946" t="s">
        <v>8538</v>
      </c>
    </row>
    <row r="21947" spans="1:2" x14ac:dyDescent="0.25">
      <c r="A21947">
        <v>52122100</v>
      </c>
      <c r="B21947" t="e">
        <f>- - crudos</f>
        <v>#NAME?</v>
      </c>
    </row>
    <row r="21948" spans="1:2" x14ac:dyDescent="0.25">
      <c r="A21948">
        <v>521221001</v>
      </c>
      <c r="B21948" t="s">
        <v>8535</v>
      </c>
    </row>
    <row r="21949" spans="1:2" x14ac:dyDescent="0.25">
      <c r="A21949">
        <v>52122100110</v>
      </c>
      <c r="B21949" t="s">
        <v>8482</v>
      </c>
    </row>
    <row r="21950" spans="1:2" x14ac:dyDescent="0.25">
      <c r="A21950">
        <v>52122100120</v>
      </c>
      <c r="B21950" t="s">
        <v>8515</v>
      </c>
    </row>
    <row r="21951" spans="1:2" x14ac:dyDescent="0.25">
      <c r="A21951">
        <v>52122100130</v>
      </c>
      <c r="B21951" t="s">
        <v>8516</v>
      </c>
    </row>
    <row r="21952" spans="1:2" x14ac:dyDescent="0.25">
      <c r="A21952">
        <v>52122100140</v>
      </c>
      <c r="B21952" t="s">
        <v>8517</v>
      </c>
    </row>
    <row r="21953" spans="1:2" x14ac:dyDescent="0.25">
      <c r="A21953">
        <v>52122100150</v>
      </c>
      <c r="B21953" t="s">
        <v>8518</v>
      </c>
    </row>
    <row r="21954" spans="1:2" x14ac:dyDescent="0.25">
      <c r="A21954">
        <v>52122100160</v>
      </c>
      <c r="B21954" t="s">
        <v>8514</v>
      </c>
    </row>
    <row r="21955" spans="1:2" x14ac:dyDescent="0.25">
      <c r="A21955">
        <v>52122100170</v>
      </c>
      <c r="B21955" t="s">
        <v>8519</v>
      </c>
    </row>
    <row r="21956" spans="1:2" x14ac:dyDescent="0.25">
      <c r="A21956">
        <v>52122100180</v>
      </c>
      <c r="B21956" t="s">
        <v>8520</v>
      </c>
    </row>
    <row r="21957" spans="1:2" x14ac:dyDescent="0.25">
      <c r="A21957">
        <v>52122100190</v>
      </c>
      <c r="B21957" t="s">
        <v>10</v>
      </c>
    </row>
    <row r="21958" spans="1:2" x14ac:dyDescent="0.25">
      <c r="A21958">
        <v>521221002</v>
      </c>
      <c r="B21958" t="s">
        <v>8506</v>
      </c>
    </row>
    <row r="21959" spans="1:2" x14ac:dyDescent="0.25">
      <c r="A21959">
        <v>52122100210</v>
      </c>
      <c r="B21959" t="s">
        <v>8482</v>
      </c>
    </row>
    <row r="21960" spans="1:2" x14ac:dyDescent="0.25">
      <c r="A21960">
        <v>52122100220</v>
      </c>
      <c r="B21960" t="s">
        <v>8515</v>
      </c>
    </row>
    <row r="21961" spans="1:2" x14ac:dyDescent="0.25">
      <c r="A21961">
        <v>52122100230</v>
      </c>
      <c r="B21961" t="s">
        <v>8516</v>
      </c>
    </row>
    <row r="21962" spans="1:2" x14ac:dyDescent="0.25">
      <c r="A21962">
        <v>52122100240</v>
      </c>
      <c r="B21962" t="s">
        <v>8517</v>
      </c>
    </row>
    <row r="21963" spans="1:2" x14ac:dyDescent="0.25">
      <c r="A21963">
        <v>52122100250</v>
      </c>
      <c r="B21963" t="s">
        <v>8518</v>
      </c>
    </row>
    <row r="21964" spans="1:2" x14ac:dyDescent="0.25">
      <c r="A21964">
        <v>52122100260</v>
      </c>
      <c r="B21964" t="s">
        <v>8514</v>
      </c>
    </row>
    <row r="21965" spans="1:2" x14ac:dyDescent="0.25">
      <c r="A21965">
        <v>52122100270</v>
      </c>
      <c r="B21965" t="s">
        <v>8519</v>
      </c>
    </row>
    <row r="21966" spans="1:2" x14ac:dyDescent="0.25">
      <c r="A21966">
        <v>52122100280</v>
      </c>
      <c r="B21966" t="s">
        <v>8520</v>
      </c>
    </row>
    <row r="21967" spans="1:2" x14ac:dyDescent="0.25">
      <c r="A21967">
        <v>52122100290</v>
      </c>
      <c r="B21967" t="s">
        <v>10</v>
      </c>
    </row>
    <row r="21968" spans="1:2" x14ac:dyDescent="0.25">
      <c r="A21968">
        <v>521221003</v>
      </c>
      <c r="B21968" t="s">
        <v>8498</v>
      </c>
    </row>
    <row r="21969" spans="1:2" x14ac:dyDescent="0.25">
      <c r="A21969">
        <v>52122100310</v>
      </c>
      <c r="B21969" t="s">
        <v>8482</v>
      </c>
    </row>
    <row r="21970" spans="1:2" x14ac:dyDescent="0.25">
      <c r="A21970">
        <v>52122100320</v>
      </c>
      <c r="B21970" t="s">
        <v>8515</v>
      </c>
    </row>
    <row r="21971" spans="1:2" x14ac:dyDescent="0.25">
      <c r="A21971">
        <v>52122100330</v>
      </c>
      <c r="B21971" t="s">
        <v>8516</v>
      </c>
    </row>
    <row r="21972" spans="1:2" x14ac:dyDescent="0.25">
      <c r="A21972">
        <v>52122100340</v>
      </c>
      <c r="B21972" t="s">
        <v>8517</v>
      </c>
    </row>
    <row r="21973" spans="1:2" x14ac:dyDescent="0.25">
      <c r="A21973">
        <v>52122100350</v>
      </c>
      <c r="B21973" t="s">
        <v>8518</v>
      </c>
    </row>
    <row r="21974" spans="1:2" x14ac:dyDescent="0.25">
      <c r="A21974">
        <v>52122100360</v>
      </c>
      <c r="B21974" t="s">
        <v>8514</v>
      </c>
    </row>
    <row r="21975" spans="1:2" x14ac:dyDescent="0.25">
      <c r="A21975">
        <v>52122100370</v>
      </c>
      <c r="B21975" t="s">
        <v>8519</v>
      </c>
    </row>
    <row r="21976" spans="1:2" x14ac:dyDescent="0.25">
      <c r="A21976">
        <v>52122100380</v>
      </c>
      <c r="B21976" t="s">
        <v>8520</v>
      </c>
    </row>
    <row r="21977" spans="1:2" x14ac:dyDescent="0.25">
      <c r="A21977">
        <v>52122100390</v>
      </c>
      <c r="B21977" t="s">
        <v>10</v>
      </c>
    </row>
    <row r="21978" spans="1:2" x14ac:dyDescent="0.25">
      <c r="A21978">
        <v>521221009</v>
      </c>
      <c r="B21978" t="s">
        <v>8500</v>
      </c>
    </row>
    <row r="21979" spans="1:2" x14ac:dyDescent="0.25">
      <c r="A21979">
        <v>52122100910</v>
      </c>
      <c r="B21979" t="s">
        <v>8482</v>
      </c>
    </row>
    <row r="21980" spans="1:2" x14ac:dyDescent="0.25">
      <c r="A21980">
        <v>52122100920</v>
      </c>
      <c r="B21980" t="s">
        <v>8515</v>
      </c>
    </row>
    <row r="21981" spans="1:2" x14ac:dyDescent="0.25">
      <c r="A21981">
        <v>52122100930</v>
      </c>
      <c r="B21981" t="s">
        <v>8516</v>
      </c>
    </row>
    <row r="21982" spans="1:2" x14ac:dyDescent="0.25">
      <c r="A21982">
        <v>52122100940</v>
      </c>
      <c r="B21982" t="s">
        <v>8517</v>
      </c>
    </row>
    <row r="21983" spans="1:2" x14ac:dyDescent="0.25">
      <c r="A21983">
        <v>52122100950</v>
      </c>
      <c r="B21983" t="s">
        <v>8518</v>
      </c>
    </row>
    <row r="21984" spans="1:2" x14ac:dyDescent="0.25">
      <c r="A21984">
        <v>52122100960</v>
      </c>
      <c r="B21984" t="s">
        <v>8514</v>
      </c>
    </row>
    <row r="21985" spans="1:2" x14ac:dyDescent="0.25">
      <c r="A21985">
        <v>52122100970</v>
      </c>
      <c r="B21985" t="s">
        <v>8519</v>
      </c>
    </row>
    <row r="21986" spans="1:2" x14ac:dyDescent="0.25">
      <c r="A21986">
        <v>52122100980</v>
      </c>
      <c r="B21986" t="s">
        <v>8520</v>
      </c>
    </row>
    <row r="21987" spans="1:2" x14ac:dyDescent="0.25">
      <c r="A21987">
        <v>52122100990</v>
      </c>
      <c r="B21987" t="s">
        <v>10</v>
      </c>
    </row>
    <row r="21988" spans="1:2" x14ac:dyDescent="0.25">
      <c r="A21988">
        <v>52122200</v>
      </c>
      <c r="B21988" t="e">
        <f>- - Blanqueados</f>
        <v>#NAME?</v>
      </c>
    </row>
    <row r="21989" spans="1:2" x14ac:dyDescent="0.25">
      <c r="A21989">
        <v>521222001</v>
      </c>
      <c r="B21989" t="s">
        <v>8535</v>
      </c>
    </row>
    <row r="21990" spans="1:2" x14ac:dyDescent="0.25">
      <c r="A21990">
        <v>52122200110</v>
      </c>
      <c r="B21990" t="s">
        <v>8482</v>
      </c>
    </row>
    <row r="21991" spans="1:2" x14ac:dyDescent="0.25">
      <c r="A21991">
        <v>52122200120</v>
      </c>
      <c r="B21991" t="s">
        <v>8515</v>
      </c>
    </row>
    <row r="21992" spans="1:2" x14ac:dyDescent="0.25">
      <c r="A21992">
        <v>52122200130</v>
      </c>
      <c r="B21992" t="s">
        <v>8516</v>
      </c>
    </row>
    <row r="21993" spans="1:2" x14ac:dyDescent="0.25">
      <c r="A21993">
        <v>52122200140</v>
      </c>
      <c r="B21993" t="s">
        <v>8517</v>
      </c>
    </row>
    <row r="21994" spans="1:2" x14ac:dyDescent="0.25">
      <c r="A21994">
        <v>52122200150</v>
      </c>
      <c r="B21994" t="s">
        <v>8518</v>
      </c>
    </row>
    <row r="21995" spans="1:2" x14ac:dyDescent="0.25">
      <c r="A21995">
        <v>52122200160</v>
      </c>
      <c r="B21995" t="s">
        <v>8514</v>
      </c>
    </row>
    <row r="21996" spans="1:2" x14ac:dyDescent="0.25">
      <c r="A21996">
        <v>52122200170</v>
      </c>
      <c r="B21996" t="s">
        <v>8519</v>
      </c>
    </row>
    <row r="21997" spans="1:2" x14ac:dyDescent="0.25">
      <c r="A21997">
        <v>52122200180</v>
      </c>
      <c r="B21997" t="s">
        <v>8520</v>
      </c>
    </row>
    <row r="21998" spans="1:2" x14ac:dyDescent="0.25">
      <c r="A21998">
        <v>52122200190</v>
      </c>
      <c r="B21998" t="s">
        <v>10</v>
      </c>
    </row>
    <row r="21999" spans="1:2" x14ac:dyDescent="0.25">
      <c r="A21999">
        <v>521222002</v>
      </c>
      <c r="B21999" t="s">
        <v>8506</v>
      </c>
    </row>
    <row r="22000" spans="1:2" x14ac:dyDescent="0.25">
      <c r="A22000">
        <v>52122200210</v>
      </c>
      <c r="B22000" t="s">
        <v>8482</v>
      </c>
    </row>
    <row r="22001" spans="1:2" x14ac:dyDescent="0.25">
      <c r="A22001">
        <v>52122200220</v>
      </c>
      <c r="B22001" t="s">
        <v>8515</v>
      </c>
    </row>
    <row r="22002" spans="1:2" x14ac:dyDescent="0.25">
      <c r="A22002">
        <v>52122200230</v>
      </c>
      <c r="B22002" t="s">
        <v>8516</v>
      </c>
    </row>
    <row r="22003" spans="1:2" x14ac:dyDescent="0.25">
      <c r="A22003">
        <v>52122200240</v>
      </c>
      <c r="B22003" t="s">
        <v>8517</v>
      </c>
    </row>
    <row r="22004" spans="1:2" x14ac:dyDescent="0.25">
      <c r="A22004">
        <v>52122200250</v>
      </c>
      <c r="B22004" t="s">
        <v>8518</v>
      </c>
    </row>
    <row r="22005" spans="1:2" x14ac:dyDescent="0.25">
      <c r="A22005">
        <v>52122200260</v>
      </c>
      <c r="B22005" t="s">
        <v>8514</v>
      </c>
    </row>
    <row r="22006" spans="1:2" x14ac:dyDescent="0.25">
      <c r="A22006">
        <v>52122200270</v>
      </c>
      <c r="B22006" t="s">
        <v>8519</v>
      </c>
    </row>
    <row r="22007" spans="1:2" x14ac:dyDescent="0.25">
      <c r="A22007">
        <v>52122200280</v>
      </c>
      <c r="B22007" t="s">
        <v>8520</v>
      </c>
    </row>
    <row r="22008" spans="1:2" x14ac:dyDescent="0.25">
      <c r="A22008">
        <v>52122200290</v>
      </c>
      <c r="B22008" t="s">
        <v>10</v>
      </c>
    </row>
    <row r="22009" spans="1:2" x14ac:dyDescent="0.25">
      <c r="A22009">
        <v>521222003</v>
      </c>
      <c r="B22009" t="s">
        <v>8498</v>
      </c>
    </row>
    <row r="22010" spans="1:2" x14ac:dyDescent="0.25">
      <c r="A22010">
        <v>52122200310</v>
      </c>
      <c r="B22010" t="s">
        <v>8482</v>
      </c>
    </row>
    <row r="22011" spans="1:2" x14ac:dyDescent="0.25">
      <c r="A22011">
        <v>52122200320</v>
      </c>
      <c r="B22011" t="s">
        <v>8515</v>
      </c>
    </row>
    <row r="22012" spans="1:2" x14ac:dyDescent="0.25">
      <c r="A22012">
        <v>52122200330</v>
      </c>
      <c r="B22012" t="s">
        <v>8516</v>
      </c>
    </row>
    <row r="22013" spans="1:2" x14ac:dyDescent="0.25">
      <c r="A22013">
        <v>52122200340</v>
      </c>
      <c r="B22013" t="s">
        <v>8517</v>
      </c>
    </row>
    <row r="22014" spans="1:2" x14ac:dyDescent="0.25">
      <c r="A22014">
        <v>52122200350</v>
      </c>
      <c r="B22014" t="s">
        <v>8518</v>
      </c>
    </row>
    <row r="22015" spans="1:2" x14ac:dyDescent="0.25">
      <c r="A22015">
        <v>52122200360</v>
      </c>
      <c r="B22015" t="s">
        <v>8514</v>
      </c>
    </row>
    <row r="22016" spans="1:2" x14ac:dyDescent="0.25">
      <c r="A22016">
        <v>52122200370</v>
      </c>
      <c r="B22016" t="s">
        <v>8519</v>
      </c>
    </row>
    <row r="22017" spans="1:2" x14ac:dyDescent="0.25">
      <c r="A22017">
        <v>52122200380</v>
      </c>
      <c r="B22017" t="s">
        <v>8520</v>
      </c>
    </row>
    <row r="22018" spans="1:2" x14ac:dyDescent="0.25">
      <c r="A22018">
        <v>52122200390</v>
      </c>
      <c r="B22018" t="s">
        <v>10</v>
      </c>
    </row>
    <row r="22019" spans="1:2" x14ac:dyDescent="0.25">
      <c r="A22019">
        <v>521222009</v>
      </c>
      <c r="B22019" t="s">
        <v>8500</v>
      </c>
    </row>
    <row r="22020" spans="1:2" x14ac:dyDescent="0.25">
      <c r="A22020">
        <v>52122200910</v>
      </c>
      <c r="B22020" t="s">
        <v>8482</v>
      </c>
    </row>
    <row r="22021" spans="1:2" x14ac:dyDescent="0.25">
      <c r="A22021">
        <v>52122200920</v>
      </c>
      <c r="B22021" t="s">
        <v>8515</v>
      </c>
    </row>
    <row r="22022" spans="1:2" x14ac:dyDescent="0.25">
      <c r="A22022">
        <v>52122200930</v>
      </c>
      <c r="B22022" t="s">
        <v>8516</v>
      </c>
    </row>
    <row r="22023" spans="1:2" x14ac:dyDescent="0.25">
      <c r="A22023">
        <v>52122200940</v>
      </c>
      <c r="B22023" t="s">
        <v>8517</v>
      </c>
    </row>
    <row r="22024" spans="1:2" x14ac:dyDescent="0.25">
      <c r="A22024">
        <v>52122200950</v>
      </c>
      <c r="B22024" t="s">
        <v>8518</v>
      </c>
    </row>
    <row r="22025" spans="1:2" x14ac:dyDescent="0.25">
      <c r="A22025">
        <v>52122200960</v>
      </c>
      <c r="B22025" t="s">
        <v>8514</v>
      </c>
    </row>
    <row r="22026" spans="1:2" x14ac:dyDescent="0.25">
      <c r="A22026">
        <v>52122200970</v>
      </c>
      <c r="B22026" t="s">
        <v>8519</v>
      </c>
    </row>
    <row r="22027" spans="1:2" x14ac:dyDescent="0.25">
      <c r="A22027">
        <v>52122200980</v>
      </c>
      <c r="B22027" t="s">
        <v>8520</v>
      </c>
    </row>
    <row r="22028" spans="1:2" x14ac:dyDescent="0.25">
      <c r="A22028">
        <v>52122200990</v>
      </c>
      <c r="B22028" t="s">
        <v>10</v>
      </c>
    </row>
    <row r="22029" spans="1:2" x14ac:dyDescent="0.25">
      <c r="A22029">
        <v>52122300</v>
      </c>
      <c r="B22029" t="e">
        <f>- - Teñidos</f>
        <v>#NAME?</v>
      </c>
    </row>
    <row r="22030" spans="1:2" x14ac:dyDescent="0.25">
      <c r="A22030">
        <v>521223001</v>
      </c>
      <c r="B22030" t="s">
        <v>8535</v>
      </c>
    </row>
    <row r="22031" spans="1:2" x14ac:dyDescent="0.25">
      <c r="A22031">
        <v>52122300110</v>
      </c>
      <c r="B22031" t="s">
        <v>8482</v>
      </c>
    </row>
    <row r="22032" spans="1:2" x14ac:dyDescent="0.25">
      <c r="A22032">
        <v>52122300120</v>
      </c>
      <c r="B22032" t="s">
        <v>8515</v>
      </c>
    </row>
    <row r="22033" spans="1:2" x14ac:dyDescent="0.25">
      <c r="A22033">
        <v>52122300130</v>
      </c>
      <c r="B22033" t="s">
        <v>8516</v>
      </c>
    </row>
    <row r="22034" spans="1:2" x14ac:dyDescent="0.25">
      <c r="A22034">
        <v>52122300140</v>
      </c>
      <c r="B22034" t="s">
        <v>8517</v>
      </c>
    </row>
    <row r="22035" spans="1:2" x14ac:dyDescent="0.25">
      <c r="A22035">
        <v>52122300150</v>
      </c>
      <c r="B22035" t="s">
        <v>8518</v>
      </c>
    </row>
    <row r="22036" spans="1:2" x14ac:dyDescent="0.25">
      <c r="A22036">
        <v>52122300160</v>
      </c>
      <c r="B22036" t="s">
        <v>8514</v>
      </c>
    </row>
    <row r="22037" spans="1:2" x14ac:dyDescent="0.25">
      <c r="A22037">
        <v>52122300170</v>
      </c>
      <c r="B22037" t="s">
        <v>8519</v>
      </c>
    </row>
    <row r="22038" spans="1:2" x14ac:dyDescent="0.25">
      <c r="A22038">
        <v>52122300180</v>
      </c>
      <c r="B22038" t="s">
        <v>8539</v>
      </c>
    </row>
    <row r="22039" spans="1:2" x14ac:dyDescent="0.25">
      <c r="A22039">
        <v>52122300190</v>
      </c>
      <c r="B22039" t="s">
        <v>10</v>
      </c>
    </row>
    <row r="22040" spans="1:2" x14ac:dyDescent="0.25">
      <c r="A22040">
        <v>521223002</v>
      </c>
      <c r="B22040" t="s">
        <v>8506</v>
      </c>
    </row>
    <row r="22041" spans="1:2" x14ac:dyDescent="0.25">
      <c r="A22041">
        <v>52122300210</v>
      </c>
      <c r="B22041" t="s">
        <v>8482</v>
      </c>
    </row>
    <row r="22042" spans="1:2" x14ac:dyDescent="0.25">
      <c r="A22042">
        <v>52122300220</v>
      </c>
      <c r="B22042" t="s">
        <v>8540</v>
      </c>
    </row>
    <row r="22043" spans="1:2" x14ac:dyDescent="0.25">
      <c r="A22043">
        <v>52122300230</v>
      </c>
      <c r="B22043" t="s">
        <v>8516</v>
      </c>
    </row>
    <row r="22044" spans="1:2" x14ac:dyDescent="0.25">
      <c r="A22044">
        <v>52122300240</v>
      </c>
      <c r="B22044" t="s">
        <v>8517</v>
      </c>
    </row>
    <row r="22045" spans="1:2" x14ac:dyDescent="0.25">
      <c r="A22045">
        <v>52122300250</v>
      </c>
      <c r="B22045" t="s">
        <v>8518</v>
      </c>
    </row>
    <row r="22046" spans="1:2" x14ac:dyDescent="0.25">
      <c r="A22046">
        <v>52122300260</v>
      </c>
      <c r="B22046" t="s">
        <v>8514</v>
      </c>
    </row>
    <row r="22047" spans="1:2" x14ac:dyDescent="0.25">
      <c r="A22047">
        <v>52122300270</v>
      </c>
      <c r="B22047" t="s">
        <v>8519</v>
      </c>
    </row>
    <row r="22048" spans="1:2" x14ac:dyDescent="0.25">
      <c r="A22048">
        <v>52122300280</v>
      </c>
      <c r="B22048" t="s">
        <v>8520</v>
      </c>
    </row>
    <row r="22049" spans="1:2" x14ac:dyDescent="0.25">
      <c r="A22049">
        <v>52122300290</v>
      </c>
      <c r="B22049" t="s">
        <v>10</v>
      </c>
    </row>
    <row r="22050" spans="1:2" x14ac:dyDescent="0.25">
      <c r="A22050">
        <v>521223003</v>
      </c>
      <c r="B22050" t="s">
        <v>8498</v>
      </c>
    </row>
    <row r="22051" spans="1:2" x14ac:dyDescent="0.25">
      <c r="A22051">
        <v>52122300310</v>
      </c>
      <c r="B22051" t="s">
        <v>8482</v>
      </c>
    </row>
    <row r="22052" spans="1:2" x14ac:dyDescent="0.25">
      <c r="A22052">
        <v>52122300320</v>
      </c>
      <c r="B22052" t="s">
        <v>8515</v>
      </c>
    </row>
    <row r="22053" spans="1:2" x14ac:dyDescent="0.25">
      <c r="A22053">
        <v>52122300330</v>
      </c>
      <c r="B22053" t="s">
        <v>8516</v>
      </c>
    </row>
    <row r="22054" spans="1:2" x14ac:dyDescent="0.25">
      <c r="A22054">
        <v>52122300340</v>
      </c>
      <c r="B22054" t="s">
        <v>8517</v>
      </c>
    </row>
    <row r="22055" spans="1:2" x14ac:dyDescent="0.25">
      <c r="A22055">
        <v>52122300350</v>
      </c>
      <c r="B22055" t="s">
        <v>8518</v>
      </c>
    </row>
    <row r="22056" spans="1:2" x14ac:dyDescent="0.25">
      <c r="A22056">
        <v>52122300360</v>
      </c>
      <c r="B22056" t="s">
        <v>8514</v>
      </c>
    </row>
    <row r="22057" spans="1:2" x14ac:dyDescent="0.25">
      <c r="A22057">
        <v>52122300370</v>
      </c>
      <c r="B22057" t="s">
        <v>8519</v>
      </c>
    </row>
    <row r="22058" spans="1:2" x14ac:dyDescent="0.25">
      <c r="A22058">
        <v>52122300380</v>
      </c>
      <c r="B22058" t="s">
        <v>8520</v>
      </c>
    </row>
    <row r="22059" spans="1:2" x14ac:dyDescent="0.25">
      <c r="A22059">
        <v>52122300390</v>
      </c>
      <c r="B22059" t="s">
        <v>10</v>
      </c>
    </row>
    <row r="22060" spans="1:2" x14ac:dyDescent="0.25">
      <c r="A22060">
        <v>521223009</v>
      </c>
      <c r="B22060" t="s">
        <v>8500</v>
      </c>
    </row>
    <row r="22061" spans="1:2" x14ac:dyDescent="0.25">
      <c r="A22061">
        <v>52122300910</v>
      </c>
      <c r="B22061" t="s">
        <v>8482</v>
      </c>
    </row>
    <row r="22062" spans="1:2" x14ac:dyDescent="0.25">
      <c r="A22062">
        <v>52122300920</v>
      </c>
      <c r="B22062" t="s">
        <v>8515</v>
      </c>
    </row>
    <row r="22063" spans="1:2" x14ac:dyDescent="0.25">
      <c r="A22063">
        <v>52122300930</v>
      </c>
      <c r="B22063" t="s">
        <v>8516</v>
      </c>
    </row>
    <row r="22064" spans="1:2" x14ac:dyDescent="0.25">
      <c r="A22064">
        <v>52122300940</v>
      </c>
      <c r="B22064" t="s">
        <v>8517</v>
      </c>
    </row>
    <row r="22065" spans="1:2" x14ac:dyDescent="0.25">
      <c r="A22065">
        <v>52122300950</v>
      </c>
      <c r="B22065" t="s">
        <v>8518</v>
      </c>
    </row>
    <row r="22066" spans="1:2" x14ac:dyDescent="0.25">
      <c r="A22066">
        <v>52122300960</v>
      </c>
      <c r="B22066" t="s">
        <v>8514</v>
      </c>
    </row>
    <row r="22067" spans="1:2" x14ac:dyDescent="0.25">
      <c r="A22067">
        <v>52122300970</v>
      </c>
      <c r="B22067" t="s">
        <v>8519</v>
      </c>
    </row>
    <row r="22068" spans="1:2" x14ac:dyDescent="0.25">
      <c r="A22068">
        <v>52122300980</v>
      </c>
      <c r="B22068" t="s">
        <v>8520</v>
      </c>
    </row>
    <row r="22069" spans="1:2" x14ac:dyDescent="0.25">
      <c r="A22069">
        <v>52122300990</v>
      </c>
      <c r="B22069" t="s">
        <v>10</v>
      </c>
    </row>
    <row r="22070" spans="1:2" x14ac:dyDescent="0.25">
      <c r="A22070">
        <v>52122400</v>
      </c>
      <c r="B22070" t="e">
        <f>- - Con hilados de distintos colores</f>
        <v>#NAME?</v>
      </c>
    </row>
    <row r="22071" spans="1:2" x14ac:dyDescent="0.25">
      <c r="A22071">
        <v>521224001</v>
      </c>
      <c r="B22071" t="s">
        <v>8535</v>
      </c>
    </row>
    <row r="22072" spans="1:2" x14ac:dyDescent="0.25">
      <c r="A22072">
        <v>52122400110</v>
      </c>
      <c r="B22072" t="s">
        <v>8482</v>
      </c>
    </row>
    <row r="22073" spans="1:2" x14ac:dyDescent="0.25">
      <c r="A22073">
        <v>52122400120</v>
      </c>
      <c r="B22073" t="s">
        <v>8515</v>
      </c>
    </row>
    <row r="22074" spans="1:2" x14ac:dyDescent="0.25">
      <c r="A22074">
        <v>52122400130</v>
      </c>
      <c r="B22074" t="s">
        <v>8516</v>
      </c>
    </row>
    <row r="22075" spans="1:2" x14ac:dyDescent="0.25">
      <c r="A22075">
        <v>52122400140</v>
      </c>
      <c r="B22075" t="s">
        <v>8517</v>
      </c>
    </row>
    <row r="22076" spans="1:2" x14ac:dyDescent="0.25">
      <c r="A22076">
        <v>52122400150</v>
      </c>
      <c r="B22076" t="s">
        <v>8518</v>
      </c>
    </row>
    <row r="22077" spans="1:2" x14ac:dyDescent="0.25">
      <c r="A22077">
        <v>52122400160</v>
      </c>
      <c r="B22077" t="s">
        <v>8514</v>
      </c>
    </row>
    <row r="22078" spans="1:2" x14ac:dyDescent="0.25">
      <c r="A22078">
        <v>52122400170</v>
      </c>
      <c r="B22078" t="s">
        <v>8519</v>
      </c>
    </row>
    <row r="22079" spans="1:2" x14ac:dyDescent="0.25">
      <c r="A22079">
        <v>52122400180</v>
      </c>
      <c r="B22079" t="s">
        <v>8520</v>
      </c>
    </row>
    <row r="22080" spans="1:2" x14ac:dyDescent="0.25">
      <c r="A22080">
        <v>52122400190</v>
      </c>
      <c r="B22080" t="s">
        <v>10</v>
      </c>
    </row>
    <row r="22081" spans="1:2" x14ac:dyDescent="0.25">
      <c r="A22081">
        <v>521224002</v>
      </c>
      <c r="B22081" t="s">
        <v>8506</v>
      </c>
    </row>
    <row r="22082" spans="1:2" x14ac:dyDescent="0.25">
      <c r="A22082">
        <v>52122400210</v>
      </c>
      <c r="B22082" t="s">
        <v>8482</v>
      </c>
    </row>
    <row r="22083" spans="1:2" x14ac:dyDescent="0.25">
      <c r="A22083">
        <v>52122400220</v>
      </c>
      <c r="B22083" t="s">
        <v>8515</v>
      </c>
    </row>
    <row r="22084" spans="1:2" x14ac:dyDescent="0.25">
      <c r="A22084">
        <v>52122400230</v>
      </c>
      <c r="B22084" t="s">
        <v>8516</v>
      </c>
    </row>
    <row r="22085" spans="1:2" x14ac:dyDescent="0.25">
      <c r="A22085">
        <v>52122400240</v>
      </c>
      <c r="B22085" t="s">
        <v>8517</v>
      </c>
    </row>
    <row r="22086" spans="1:2" x14ac:dyDescent="0.25">
      <c r="A22086">
        <v>52122400250</v>
      </c>
      <c r="B22086" t="s">
        <v>8518</v>
      </c>
    </row>
    <row r="22087" spans="1:2" x14ac:dyDescent="0.25">
      <c r="A22087">
        <v>52122400260</v>
      </c>
      <c r="B22087" t="s">
        <v>8514</v>
      </c>
    </row>
    <row r="22088" spans="1:2" x14ac:dyDescent="0.25">
      <c r="A22088">
        <v>52122400270</v>
      </c>
      <c r="B22088" t="s">
        <v>8519</v>
      </c>
    </row>
    <row r="22089" spans="1:2" x14ac:dyDescent="0.25">
      <c r="A22089">
        <v>52122400280</v>
      </c>
      <c r="B22089" t="s">
        <v>8520</v>
      </c>
    </row>
    <row r="22090" spans="1:2" x14ac:dyDescent="0.25">
      <c r="A22090">
        <v>52122400290</v>
      </c>
      <c r="B22090" t="s">
        <v>10</v>
      </c>
    </row>
    <row r="22091" spans="1:2" x14ac:dyDescent="0.25">
      <c r="A22091">
        <v>521224003</v>
      </c>
      <c r="B22091" t="s">
        <v>8498</v>
      </c>
    </row>
    <row r="22092" spans="1:2" x14ac:dyDescent="0.25">
      <c r="A22092">
        <v>52122400310</v>
      </c>
      <c r="B22092" t="s">
        <v>8482</v>
      </c>
    </row>
    <row r="22093" spans="1:2" x14ac:dyDescent="0.25">
      <c r="A22093">
        <v>52122400320</v>
      </c>
      <c r="B22093" t="s">
        <v>8515</v>
      </c>
    </row>
    <row r="22094" spans="1:2" x14ac:dyDescent="0.25">
      <c r="A22094">
        <v>52122400330</v>
      </c>
      <c r="B22094" t="s">
        <v>8516</v>
      </c>
    </row>
    <row r="22095" spans="1:2" x14ac:dyDescent="0.25">
      <c r="A22095">
        <v>52122400340</v>
      </c>
      <c r="B22095" t="s">
        <v>8517</v>
      </c>
    </row>
    <row r="22096" spans="1:2" x14ac:dyDescent="0.25">
      <c r="A22096">
        <v>52122400350</v>
      </c>
      <c r="B22096" t="s">
        <v>8518</v>
      </c>
    </row>
    <row r="22097" spans="1:2" x14ac:dyDescent="0.25">
      <c r="A22097">
        <v>52122400360</v>
      </c>
      <c r="B22097" t="s">
        <v>8514</v>
      </c>
    </row>
    <row r="22098" spans="1:2" x14ac:dyDescent="0.25">
      <c r="A22098">
        <v>52122400370</v>
      </c>
      <c r="B22098" t="s">
        <v>8519</v>
      </c>
    </row>
    <row r="22099" spans="1:2" x14ac:dyDescent="0.25">
      <c r="A22099">
        <v>52122400380</v>
      </c>
      <c r="B22099" t="s">
        <v>8520</v>
      </c>
    </row>
    <row r="22100" spans="1:2" x14ac:dyDescent="0.25">
      <c r="A22100">
        <v>52122400390</v>
      </c>
      <c r="B22100" t="s">
        <v>10</v>
      </c>
    </row>
    <row r="22101" spans="1:2" x14ac:dyDescent="0.25">
      <c r="A22101">
        <v>521224009</v>
      </c>
      <c r="B22101" t="s">
        <v>8500</v>
      </c>
    </row>
    <row r="22102" spans="1:2" x14ac:dyDescent="0.25">
      <c r="A22102">
        <v>52122400910</v>
      </c>
      <c r="B22102" t="s">
        <v>8482</v>
      </c>
    </row>
    <row r="22103" spans="1:2" x14ac:dyDescent="0.25">
      <c r="A22103">
        <v>52122400920</v>
      </c>
      <c r="B22103" t="s">
        <v>8515</v>
      </c>
    </row>
    <row r="22104" spans="1:2" x14ac:dyDescent="0.25">
      <c r="A22104">
        <v>52122400930</v>
      </c>
      <c r="B22104" t="s">
        <v>8516</v>
      </c>
    </row>
    <row r="22105" spans="1:2" x14ac:dyDescent="0.25">
      <c r="A22105">
        <v>52122400940</v>
      </c>
      <c r="B22105" t="s">
        <v>8517</v>
      </c>
    </row>
    <row r="22106" spans="1:2" x14ac:dyDescent="0.25">
      <c r="A22106">
        <v>52122400950</v>
      </c>
      <c r="B22106" t="s">
        <v>8518</v>
      </c>
    </row>
    <row r="22107" spans="1:2" x14ac:dyDescent="0.25">
      <c r="A22107">
        <v>52122400960</v>
      </c>
      <c r="B22107" t="s">
        <v>8514</v>
      </c>
    </row>
    <row r="22108" spans="1:2" x14ac:dyDescent="0.25">
      <c r="A22108">
        <v>52122400970</v>
      </c>
      <c r="B22108" t="s">
        <v>8519</v>
      </c>
    </row>
    <row r="22109" spans="1:2" x14ac:dyDescent="0.25">
      <c r="A22109">
        <v>52122400980</v>
      </c>
      <c r="B22109" t="s">
        <v>8520</v>
      </c>
    </row>
    <row r="22110" spans="1:2" x14ac:dyDescent="0.25">
      <c r="A22110">
        <v>52122400990</v>
      </c>
      <c r="B22110" t="s">
        <v>10</v>
      </c>
    </row>
    <row r="22111" spans="1:2" x14ac:dyDescent="0.25">
      <c r="A22111">
        <v>52122500</v>
      </c>
      <c r="B22111" t="e">
        <f>- - Estampados</f>
        <v>#NAME?</v>
      </c>
    </row>
    <row r="22112" spans="1:2" x14ac:dyDescent="0.25">
      <c r="A22112">
        <v>521225001</v>
      </c>
      <c r="B22112" t="s">
        <v>8535</v>
      </c>
    </row>
    <row r="22113" spans="1:2" x14ac:dyDescent="0.25">
      <c r="A22113">
        <v>52122500110</v>
      </c>
      <c r="B22113" t="s">
        <v>8482</v>
      </c>
    </row>
    <row r="22114" spans="1:2" x14ac:dyDescent="0.25">
      <c r="A22114">
        <v>52122500120</v>
      </c>
      <c r="B22114" t="s">
        <v>8515</v>
      </c>
    </row>
    <row r="22115" spans="1:2" x14ac:dyDescent="0.25">
      <c r="A22115">
        <v>52122500130</v>
      </c>
      <c r="B22115" t="s">
        <v>8516</v>
      </c>
    </row>
    <row r="22116" spans="1:2" x14ac:dyDescent="0.25">
      <c r="A22116">
        <v>52122500140</v>
      </c>
      <c r="B22116" t="s">
        <v>8517</v>
      </c>
    </row>
    <row r="22117" spans="1:2" x14ac:dyDescent="0.25">
      <c r="A22117">
        <v>52122500150</v>
      </c>
      <c r="B22117" t="s">
        <v>8518</v>
      </c>
    </row>
    <row r="22118" spans="1:2" x14ac:dyDescent="0.25">
      <c r="A22118">
        <v>52122500160</v>
      </c>
      <c r="B22118" t="s">
        <v>8514</v>
      </c>
    </row>
    <row r="22119" spans="1:2" x14ac:dyDescent="0.25">
      <c r="A22119">
        <v>52122500170</v>
      </c>
      <c r="B22119" t="s">
        <v>8519</v>
      </c>
    </row>
    <row r="22120" spans="1:2" x14ac:dyDescent="0.25">
      <c r="A22120">
        <v>52122500180</v>
      </c>
      <c r="B22120" t="s">
        <v>8520</v>
      </c>
    </row>
    <row r="22121" spans="1:2" x14ac:dyDescent="0.25">
      <c r="A22121">
        <v>52122500190</v>
      </c>
      <c r="B22121" t="s">
        <v>10</v>
      </c>
    </row>
    <row r="22122" spans="1:2" x14ac:dyDescent="0.25">
      <c r="A22122">
        <v>521225002</v>
      </c>
      <c r="B22122" t="s">
        <v>8506</v>
      </c>
    </row>
    <row r="22123" spans="1:2" x14ac:dyDescent="0.25">
      <c r="A22123">
        <v>52122500210</v>
      </c>
      <c r="B22123" t="s">
        <v>8482</v>
      </c>
    </row>
    <row r="22124" spans="1:2" x14ac:dyDescent="0.25">
      <c r="A22124">
        <v>52122500220</v>
      </c>
      <c r="B22124" t="s">
        <v>8515</v>
      </c>
    </row>
    <row r="22125" spans="1:2" x14ac:dyDescent="0.25">
      <c r="A22125">
        <v>52122500230</v>
      </c>
      <c r="B22125" t="s">
        <v>8516</v>
      </c>
    </row>
    <row r="22126" spans="1:2" x14ac:dyDescent="0.25">
      <c r="A22126">
        <v>52122500240</v>
      </c>
      <c r="B22126" t="s">
        <v>8517</v>
      </c>
    </row>
    <row r="22127" spans="1:2" x14ac:dyDescent="0.25">
      <c r="A22127">
        <v>52122500250</v>
      </c>
      <c r="B22127" t="s">
        <v>8518</v>
      </c>
    </row>
    <row r="22128" spans="1:2" x14ac:dyDescent="0.25">
      <c r="A22128">
        <v>52122500260</v>
      </c>
      <c r="B22128" t="s">
        <v>8514</v>
      </c>
    </row>
    <row r="22129" spans="1:2" x14ac:dyDescent="0.25">
      <c r="A22129">
        <v>52122500270</v>
      </c>
      <c r="B22129" t="s">
        <v>8519</v>
      </c>
    </row>
    <row r="22130" spans="1:2" x14ac:dyDescent="0.25">
      <c r="A22130">
        <v>52122500280</v>
      </c>
      <c r="B22130" t="s">
        <v>8520</v>
      </c>
    </row>
    <row r="22131" spans="1:2" x14ac:dyDescent="0.25">
      <c r="A22131">
        <v>52122500290</v>
      </c>
      <c r="B22131" t="s">
        <v>10</v>
      </c>
    </row>
    <row r="22132" spans="1:2" x14ac:dyDescent="0.25">
      <c r="A22132">
        <v>521225003</v>
      </c>
      <c r="B22132" t="s">
        <v>8498</v>
      </c>
    </row>
    <row r="22133" spans="1:2" x14ac:dyDescent="0.25">
      <c r="A22133">
        <v>52122500310</v>
      </c>
      <c r="B22133" t="s">
        <v>8482</v>
      </c>
    </row>
    <row r="22134" spans="1:2" x14ac:dyDescent="0.25">
      <c r="A22134">
        <v>52122500320</v>
      </c>
      <c r="B22134" t="s">
        <v>8515</v>
      </c>
    </row>
    <row r="22135" spans="1:2" x14ac:dyDescent="0.25">
      <c r="A22135">
        <v>52122500330</v>
      </c>
      <c r="B22135" t="s">
        <v>8516</v>
      </c>
    </row>
    <row r="22136" spans="1:2" x14ac:dyDescent="0.25">
      <c r="A22136">
        <v>52122500340</v>
      </c>
      <c r="B22136" t="s">
        <v>8517</v>
      </c>
    </row>
    <row r="22137" spans="1:2" x14ac:dyDescent="0.25">
      <c r="A22137">
        <v>52122500350</v>
      </c>
      <c r="B22137" t="s">
        <v>8518</v>
      </c>
    </row>
    <row r="22138" spans="1:2" x14ac:dyDescent="0.25">
      <c r="A22138">
        <v>52122500360</v>
      </c>
      <c r="B22138" t="s">
        <v>8514</v>
      </c>
    </row>
    <row r="22139" spans="1:2" x14ac:dyDescent="0.25">
      <c r="A22139">
        <v>52122500370</v>
      </c>
      <c r="B22139" t="s">
        <v>8519</v>
      </c>
    </row>
    <row r="22140" spans="1:2" x14ac:dyDescent="0.25">
      <c r="A22140">
        <v>52122500380</v>
      </c>
      <c r="B22140" t="s">
        <v>8520</v>
      </c>
    </row>
    <row r="22141" spans="1:2" x14ac:dyDescent="0.25">
      <c r="A22141">
        <v>52122500390</v>
      </c>
      <c r="B22141" t="s">
        <v>10</v>
      </c>
    </row>
    <row r="22142" spans="1:2" x14ac:dyDescent="0.25">
      <c r="A22142">
        <v>521225009</v>
      </c>
      <c r="B22142" t="s">
        <v>8500</v>
      </c>
    </row>
    <row r="22143" spans="1:2" x14ac:dyDescent="0.25">
      <c r="A22143">
        <v>52122500910</v>
      </c>
      <c r="B22143" t="s">
        <v>8482</v>
      </c>
    </row>
    <row r="22144" spans="1:2" x14ac:dyDescent="0.25">
      <c r="A22144">
        <v>52122500920</v>
      </c>
      <c r="B22144" t="s">
        <v>8515</v>
      </c>
    </row>
    <row r="22145" spans="1:2" x14ac:dyDescent="0.25">
      <c r="A22145">
        <v>52122500930</v>
      </c>
      <c r="B22145" t="s">
        <v>8516</v>
      </c>
    </row>
    <row r="22146" spans="1:2" x14ac:dyDescent="0.25">
      <c r="A22146">
        <v>52122500940</v>
      </c>
      <c r="B22146" t="s">
        <v>8517</v>
      </c>
    </row>
    <row r="22147" spans="1:2" x14ac:dyDescent="0.25">
      <c r="A22147">
        <v>52122500950</v>
      </c>
      <c r="B22147" t="s">
        <v>8518</v>
      </c>
    </row>
    <row r="22148" spans="1:2" x14ac:dyDescent="0.25">
      <c r="A22148">
        <v>52122500960</v>
      </c>
      <c r="B22148" t="s">
        <v>8514</v>
      </c>
    </row>
    <row r="22149" spans="1:2" x14ac:dyDescent="0.25">
      <c r="A22149">
        <v>52122500970</v>
      </c>
      <c r="B22149" t="s">
        <v>8519</v>
      </c>
    </row>
    <row r="22150" spans="1:2" x14ac:dyDescent="0.25">
      <c r="A22150">
        <v>52122500980</v>
      </c>
      <c r="B22150" t="s">
        <v>8520</v>
      </c>
    </row>
    <row r="22151" spans="1:2" x14ac:dyDescent="0.25">
      <c r="A22151">
        <v>52122500990</v>
      </c>
      <c r="B22151" t="s">
        <v>10</v>
      </c>
    </row>
    <row r="22152" spans="1:2" x14ac:dyDescent="0.25">
      <c r="A22152">
        <v>5301</v>
      </c>
      <c r="B22152" t="s">
        <v>8541</v>
      </c>
    </row>
    <row r="22153" spans="1:2" x14ac:dyDescent="0.25">
      <c r="A22153">
        <v>53011000000</v>
      </c>
      <c r="B22153" t="e">
        <f>-lino En bruto o enriado</f>
        <v>#NAME?</v>
      </c>
    </row>
    <row r="22154" spans="1:2" x14ac:dyDescent="0.25">
      <c r="A22154">
        <v>53012</v>
      </c>
      <c r="B22154" t="s">
        <v>8542</v>
      </c>
    </row>
    <row r="22155" spans="1:2" x14ac:dyDescent="0.25">
      <c r="A22155">
        <v>530121</v>
      </c>
      <c r="B22155" t="e">
        <f>- - Agramado o espadado</f>
        <v>#NAME?</v>
      </c>
    </row>
    <row r="22156" spans="1:2" x14ac:dyDescent="0.25">
      <c r="A22156">
        <v>53012110000</v>
      </c>
      <c r="B22156" t="s">
        <v>8543</v>
      </c>
    </row>
    <row r="22157" spans="1:2" x14ac:dyDescent="0.25">
      <c r="A22157">
        <v>53012120000</v>
      </c>
      <c r="B22157" t="s">
        <v>8544</v>
      </c>
    </row>
    <row r="22158" spans="1:2" x14ac:dyDescent="0.25">
      <c r="A22158">
        <v>530129</v>
      </c>
      <c r="B22158" t="e">
        <f>- - Los demas</f>
        <v>#NAME?</v>
      </c>
    </row>
    <row r="22159" spans="1:2" x14ac:dyDescent="0.25">
      <c r="A22159">
        <v>53012910000</v>
      </c>
      <c r="B22159" t="s">
        <v>8367</v>
      </c>
    </row>
    <row r="22160" spans="1:2" x14ac:dyDescent="0.25">
      <c r="A22160">
        <v>53012990000</v>
      </c>
      <c r="B22160" t="s">
        <v>10</v>
      </c>
    </row>
    <row r="22161" spans="1:2" x14ac:dyDescent="0.25">
      <c r="A22161">
        <v>53013000000</v>
      </c>
      <c r="B22161" t="e">
        <f>-Estopas y desperdicios de lino</f>
        <v>#NAME?</v>
      </c>
    </row>
    <row r="22162" spans="1:2" x14ac:dyDescent="0.25">
      <c r="A22162">
        <v>5302</v>
      </c>
      <c r="B22162" t="s">
        <v>8545</v>
      </c>
    </row>
    <row r="22163" spans="1:2" x14ac:dyDescent="0.25">
      <c r="A22163">
        <v>53021000000</v>
      </c>
      <c r="B22163" t="e">
        <f>-Cañamo En bruto o enriado</f>
        <v>#NAME?</v>
      </c>
    </row>
    <row r="22164" spans="1:2" x14ac:dyDescent="0.25">
      <c r="A22164">
        <v>53029000000</v>
      </c>
      <c r="B22164" t="e">
        <f>-Los demas</f>
        <v>#NAME?</v>
      </c>
    </row>
    <row r="22165" spans="1:2" x14ac:dyDescent="0.25">
      <c r="A22165">
        <v>5303</v>
      </c>
      <c r="B22165" t="s">
        <v>8546</v>
      </c>
    </row>
    <row r="22166" spans="1:2" x14ac:dyDescent="0.25">
      <c r="A22166">
        <v>530310</v>
      </c>
      <c r="B22166" t="e">
        <f>- Yute y demas fibras textiles del liber. En bruto o enriados</f>
        <v>#NAME?</v>
      </c>
    </row>
    <row r="22167" spans="1:2" x14ac:dyDescent="0.25">
      <c r="A22167">
        <v>53031010000</v>
      </c>
      <c r="B22167" t="s">
        <v>8547</v>
      </c>
    </row>
    <row r="22168" spans="1:2" x14ac:dyDescent="0.25">
      <c r="A22168">
        <v>53031090000</v>
      </c>
      <c r="B22168" t="s">
        <v>57</v>
      </c>
    </row>
    <row r="22169" spans="1:2" x14ac:dyDescent="0.25">
      <c r="A22169">
        <v>530390</v>
      </c>
      <c r="B22169" t="e">
        <f>- Los demas</f>
        <v>#NAME?</v>
      </c>
    </row>
    <row r="22170" spans="1:2" x14ac:dyDescent="0.25">
      <c r="A22170">
        <v>53039010000</v>
      </c>
      <c r="B22170" t="s">
        <v>8547</v>
      </c>
    </row>
    <row r="22171" spans="1:2" x14ac:dyDescent="0.25">
      <c r="A22171">
        <v>53039090000</v>
      </c>
      <c r="B22171" t="s">
        <v>10</v>
      </c>
    </row>
    <row r="22172" spans="1:2" x14ac:dyDescent="0.25">
      <c r="A22172">
        <v>530500</v>
      </c>
      <c r="B22172" t="s">
        <v>8548</v>
      </c>
    </row>
    <row r="22173" spans="1:2" x14ac:dyDescent="0.25">
      <c r="A22173">
        <v>53050010000</v>
      </c>
      <c r="B22173" t="s">
        <v>8549</v>
      </c>
    </row>
    <row r="22174" spans="1:2" x14ac:dyDescent="0.25">
      <c r="A22174">
        <v>53050090000</v>
      </c>
      <c r="B22174" t="s">
        <v>10</v>
      </c>
    </row>
    <row r="22175" spans="1:2" x14ac:dyDescent="0.25">
      <c r="A22175">
        <v>5306</v>
      </c>
      <c r="B22175" t="s">
        <v>8550</v>
      </c>
    </row>
    <row r="22176" spans="1:2" x14ac:dyDescent="0.25">
      <c r="A22176">
        <v>53061000</v>
      </c>
      <c r="B22176" t="e">
        <f>- sencillos</f>
        <v>#NAME?</v>
      </c>
    </row>
    <row r="22177" spans="1:2" x14ac:dyDescent="0.25">
      <c r="A22177">
        <v>53061000100</v>
      </c>
      <c r="B22177" t="s">
        <v>8390</v>
      </c>
    </row>
    <row r="22178" spans="1:2" x14ac:dyDescent="0.25">
      <c r="A22178">
        <v>53061000900</v>
      </c>
      <c r="B22178" t="s">
        <v>10</v>
      </c>
    </row>
    <row r="22179" spans="1:2" x14ac:dyDescent="0.25">
      <c r="A22179">
        <v>53062000</v>
      </c>
      <c r="B22179" t="e">
        <f>- retorcidos o cableados</f>
        <v>#NAME?</v>
      </c>
    </row>
    <row r="22180" spans="1:2" x14ac:dyDescent="0.25">
      <c r="A22180">
        <v>53062000100</v>
      </c>
      <c r="B22180" t="s">
        <v>8390</v>
      </c>
    </row>
    <row r="22181" spans="1:2" x14ac:dyDescent="0.25">
      <c r="A22181">
        <v>53062000900</v>
      </c>
      <c r="B22181" t="s">
        <v>10</v>
      </c>
    </row>
    <row r="22182" spans="1:2" x14ac:dyDescent="0.25">
      <c r="A22182">
        <v>5307</v>
      </c>
      <c r="B22182" t="s">
        <v>8551</v>
      </c>
    </row>
    <row r="22183" spans="1:2" x14ac:dyDescent="0.25">
      <c r="A22183">
        <v>530710</v>
      </c>
      <c r="B22183" t="e">
        <f>- sencillos</f>
        <v>#NAME?</v>
      </c>
    </row>
    <row r="22184" spans="1:2" x14ac:dyDescent="0.25">
      <c r="A22184">
        <v>53071010</v>
      </c>
      <c r="B22184" t="s">
        <v>8552</v>
      </c>
    </row>
    <row r="22185" spans="1:2" x14ac:dyDescent="0.25">
      <c r="A22185">
        <v>53071010100</v>
      </c>
      <c r="B22185" t="s">
        <v>8390</v>
      </c>
    </row>
    <row r="22186" spans="1:2" x14ac:dyDescent="0.25">
      <c r="A22186">
        <v>53071010900</v>
      </c>
      <c r="B22186" t="s">
        <v>10</v>
      </c>
    </row>
    <row r="22187" spans="1:2" x14ac:dyDescent="0.25">
      <c r="A22187">
        <v>53071090</v>
      </c>
      <c r="B22187" t="s">
        <v>10</v>
      </c>
    </row>
    <row r="22188" spans="1:2" x14ac:dyDescent="0.25">
      <c r="A22188">
        <v>53071090100</v>
      </c>
      <c r="B22188" t="s">
        <v>8390</v>
      </c>
    </row>
    <row r="22189" spans="1:2" x14ac:dyDescent="0.25">
      <c r="A22189">
        <v>53071090900</v>
      </c>
      <c r="B22189" t="s">
        <v>10</v>
      </c>
    </row>
    <row r="22190" spans="1:2" x14ac:dyDescent="0.25">
      <c r="A22190">
        <v>530720</v>
      </c>
      <c r="B22190" t="e">
        <f>- retorcidos o cableados</f>
        <v>#NAME?</v>
      </c>
    </row>
    <row r="22191" spans="1:2" x14ac:dyDescent="0.25">
      <c r="A22191">
        <v>53072010</v>
      </c>
      <c r="B22191" t="s">
        <v>8552</v>
      </c>
    </row>
    <row r="22192" spans="1:2" x14ac:dyDescent="0.25">
      <c r="A22192">
        <v>53072010100</v>
      </c>
      <c r="B22192" t="s">
        <v>8390</v>
      </c>
    </row>
    <row r="22193" spans="1:2" x14ac:dyDescent="0.25">
      <c r="A22193">
        <v>53072010900</v>
      </c>
      <c r="B22193" t="s">
        <v>10</v>
      </c>
    </row>
    <row r="22194" spans="1:2" x14ac:dyDescent="0.25">
      <c r="A22194">
        <v>53072090</v>
      </c>
      <c r="B22194" t="s">
        <v>10</v>
      </c>
    </row>
    <row r="22195" spans="1:2" x14ac:dyDescent="0.25">
      <c r="A22195">
        <v>53072090100</v>
      </c>
      <c r="B22195" t="s">
        <v>8390</v>
      </c>
    </row>
    <row r="22196" spans="1:2" x14ac:dyDescent="0.25">
      <c r="A22196">
        <v>53072090900</v>
      </c>
      <c r="B22196" t="s">
        <v>10</v>
      </c>
    </row>
    <row r="22197" spans="1:2" x14ac:dyDescent="0.25">
      <c r="A22197">
        <v>5308</v>
      </c>
      <c r="B22197" t="s">
        <v>8553</v>
      </c>
    </row>
    <row r="22198" spans="1:2" x14ac:dyDescent="0.25">
      <c r="A22198">
        <v>53081000</v>
      </c>
      <c r="B22198" t="e">
        <f>- hilados de coco</f>
        <v>#NAME?</v>
      </c>
    </row>
    <row r="22199" spans="1:2" x14ac:dyDescent="0.25">
      <c r="A22199">
        <v>53081000100</v>
      </c>
      <c r="B22199" t="s">
        <v>8390</v>
      </c>
    </row>
    <row r="22200" spans="1:2" x14ac:dyDescent="0.25">
      <c r="A22200">
        <v>53081000900</v>
      </c>
      <c r="B22200" t="s">
        <v>10</v>
      </c>
    </row>
    <row r="22201" spans="1:2" x14ac:dyDescent="0.25">
      <c r="A22201">
        <v>53082000</v>
      </c>
      <c r="B22201" t="e">
        <f>- hilados de Cañamo</f>
        <v>#NAME?</v>
      </c>
    </row>
    <row r="22202" spans="1:2" x14ac:dyDescent="0.25">
      <c r="A22202">
        <v>53082000100</v>
      </c>
      <c r="B22202" t="s">
        <v>8390</v>
      </c>
    </row>
    <row r="22203" spans="1:2" x14ac:dyDescent="0.25">
      <c r="A22203">
        <v>53082000900</v>
      </c>
      <c r="B22203" t="s">
        <v>10</v>
      </c>
    </row>
    <row r="22204" spans="1:2" x14ac:dyDescent="0.25">
      <c r="A22204">
        <v>53089000</v>
      </c>
      <c r="B22204" t="e">
        <f>- Los demas</f>
        <v>#NAME?</v>
      </c>
    </row>
    <row r="22205" spans="1:2" x14ac:dyDescent="0.25">
      <c r="A22205">
        <v>530890001</v>
      </c>
      <c r="B22205" t="s">
        <v>8554</v>
      </c>
    </row>
    <row r="22206" spans="1:2" x14ac:dyDescent="0.25">
      <c r="A22206">
        <v>53089000110</v>
      </c>
      <c r="B22206" t="s">
        <v>8390</v>
      </c>
    </row>
    <row r="22207" spans="1:2" x14ac:dyDescent="0.25">
      <c r="A22207">
        <v>53089000190</v>
      </c>
      <c r="B22207" t="s">
        <v>10</v>
      </c>
    </row>
    <row r="22208" spans="1:2" x14ac:dyDescent="0.25">
      <c r="A22208">
        <v>530890009</v>
      </c>
      <c r="B22208" t="s">
        <v>10</v>
      </c>
    </row>
    <row r="22209" spans="1:2" x14ac:dyDescent="0.25">
      <c r="A22209">
        <v>53089000910</v>
      </c>
      <c r="B22209" t="s">
        <v>8390</v>
      </c>
    </row>
    <row r="22210" spans="1:2" x14ac:dyDescent="0.25">
      <c r="A22210">
        <v>53089000990</v>
      </c>
      <c r="B22210" t="s">
        <v>10</v>
      </c>
    </row>
    <row r="22211" spans="1:2" x14ac:dyDescent="0.25">
      <c r="A22211">
        <v>5309</v>
      </c>
      <c r="B22211" t="s">
        <v>8555</v>
      </c>
    </row>
    <row r="22212" spans="1:2" x14ac:dyDescent="0.25">
      <c r="A22212">
        <v>53091</v>
      </c>
      <c r="B22212" t="s">
        <v>8556</v>
      </c>
    </row>
    <row r="22213" spans="1:2" x14ac:dyDescent="0.25">
      <c r="A22213">
        <v>53091100</v>
      </c>
      <c r="B22213" t="e">
        <f>- - crudos o Blanqueados</f>
        <v>#NAME?</v>
      </c>
    </row>
    <row r="22214" spans="1:2" x14ac:dyDescent="0.25">
      <c r="A22214">
        <v>53091100100</v>
      </c>
      <c r="B22214" t="s">
        <v>8284</v>
      </c>
    </row>
    <row r="22215" spans="1:2" x14ac:dyDescent="0.25">
      <c r="A22215">
        <v>53091100200</v>
      </c>
      <c r="B22215" t="s">
        <v>8557</v>
      </c>
    </row>
    <row r="22216" spans="1:2" x14ac:dyDescent="0.25">
      <c r="A22216">
        <v>53091100300</v>
      </c>
      <c r="B22216" t="s">
        <v>8558</v>
      </c>
    </row>
    <row r="22217" spans="1:2" x14ac:dyDescent="0.25">
      <c r="A22217">
        <v>53091100400</v>
      </c>
      <c r="B22217" t="s">
        <v>8559</v>
      </c>
    </row>
    <row r="22218" spans="1:2" x14ac:dyDescent="0.25">
      <c r="A22218">
        <v>53091900</v>
      </c>
      <c r="B22218" t="e">
        <f>- - Los demas</f>
        <v>#NAME?</v>
      </c>
    </row>
    <row r="22219" spans="1:2" x14ac:dyDescent="0.25">
      <c r="A22219">
        <v>530919001</v>
      </c>
      <c r="B22219" t="s">
        <v>626</v>
      </c>
    </row>
    <row r="22220" spans="1:2" x14ac:dyDescent="0.25">
      <c r="A22220">
        <v>53091900110</v>
      </c>
      <c r="B22220" t="s">
        <v>8284</v>
      </c>
    </row>
    <row r="22221" spans="1:2" x14ac:dyDescent="0.25">
      <c r="A22221">
        <v>53091900120</v>
      </c>
      <c r="B22221" t="s">
        <v>8557</v>
      </c>
    </row>
    <row r="22222" spans="1:2" x14ac:dyDescent="0.25">
      <c r="A22222">
        <v>53091900130</v>
      </c>
      <c r="B22222" t="s">
        <v>8558</v>
      </c>
    </row>
    <row r="22223" spans="1:2" x14ac:dyDescent="0.25">
      <c r="A22223">
        <v>53091900140</v>
      </c>
      <c r="B22223" t="s">
        <v>8559</v>
      </c>
    </row>
    <row r="22224" spans="1:2" x14ac:dyDescent="0.25">
      <c r="A22224">
        <v>530919002</v>
      </c>
      <c r="B22224" t="s">
        <v>8560</v>
      </c>
    </row>
    <row r="22225" spans="1:2" x14ac:dyDescent="0.25">
      <c r="A22225">
        <v>53091900210</v>
      </c>
      <c r="B22225" t="s">
        <v>8284</v>
      </c>
    </row>
    <row r="22226" spans="1:2" x14ac:dyDescent="0.25">
      <c r="A22226">
        <v>53091900220</v>
      </c>
      <c r="B22226" t="s">
        <v>8557</v>
      </c>
    </row>
    <row r="22227" spans="1:2" x14ac:dyDescent="0.25">
      <c r="A22227">
        <v>53091900230</v>
      </c>
      <c r="B22227" t="s">
        <v>8558</v>
      </c>
    </row>
    <row r="22228" spans="1:2" x14ac:dyDescent="0.25">
      <c r="A22228">
        <v>53091900240</v>
      </c>
      <c r="B22228" t="s">
        <v>8559</v>
      </c>
    </row>
    <row r="22229" spans="1:2" x14ac:dyDescent="0.25">
      <c r="A22229">
        <v>530919003</v>
      </c>
      <c r="B22229" t="s">
        <v>8561</v>
      </c>
    </row>
    <row r="22230" spans="1:2" x14ac:dyDescent="0.25">
      <c r="A22230">
        <v>53091900310</v>
      </c>
      <c r="B22230" t="s">
        <v>8284</v>
      </c>
    </row>
    <row r="22231" spans="1:2" x14ac:dyDescent="0.25">
      <c r="A22231">
        <v>53091900320</v>
      </c>
      <c r="B22231" t="s">
        <v>8557</v>
      </c>
    </row>
    <row r="22232" spans="1:2" x14ac:dyDescent="0.25">
      <c r="A22232">
        <v>53091900330</v>
      </c>
      <c r="B22232" t="s">
        <v>8558</v>
      </c>
    </row>
    <row r="22233" spans="1:2" x14ac:dyDescent="0.25">
      <c r="A22233">
        <v>53091900340</v>
      </c>
      <c r="B22233" t="s">
        <v>8559</v>
      </c>
    </row>
    <row r="22234" spans="1:2" x14ac:dyDescent="0.25">
      <c r="A22234">
        <v>53092</v>
      </c>
      <c r="B22234" t="s">
        <v>8562</v>
      </c>
    </row>
    <row r="22235" spans="1:2" x14ac:dyDescent="0.25">
      <c r="A22235">
        <v>53092100</v>
      </c>
      <c r="B22235" t="e">
        <f>- - crudos o Blanqueados</f>
        <v>#NAME?</v>
      </c>
    </row>
    <row r="22236" spans="1:2" x14ac:dyDescent="0.25">
      <c r="A22236">
        <v>53092100100</v>
      </c>
      <c r="B22236" t="s">
        <v>8284</v>
      </c>
    </row>
    <row r="22237" spans="1:2" x14ac:dyDescent="0.25">
      <c r="A22237">
        <v>53092100200</v>
      </c>
      <c r="B22237" t="s">
        <v>8557</v>
      </c>
    </row>
    <row r="22238" spans="1:2" x14ac:dyDescent="0.25">
      <c r="A22238">
        <v>53092100300</v>
      </c>
      <c r="B22238" t="s">
        <v>8558</v>
      </c>
    </row>
    <row r="22239" spans="1:2" x14ac:dyDescent="0.25">
      <c r="A22239">
        <v>53092100400</v>
      </c>
      <c r="B22239" t="s">
        <v>8559</v>
      </c>
    </row>
    <row r="22240" spans="1:2" x14ac:dyDescent="0.25">
      <c r="A22240">
        <v>53092900</v>
      </c>
      <c r="B22240" t="e">
        <f>- - Los demas</f>
        <v>#NAME?</v>
      </c>
    </row>
    <row r="22241" spans="1:2" x14ac:dyDescent="0.25">
      <c r="A22241">
        <v>530929001</v>
      </c>
      <c r="B22241" t="s">
        <v>626</v>
      </c>
    </row>
    <row r="22242" spans="1:2" x14ac:dyDescent="0.25">
      <c r="A22242">
        <v>53092900110</v>
      </c>
      <c r="B22242" t="s">
        <v>8284</v>
      </c>
    </row>
    <row r="22243" spans="1:2" x14ac:dyDescent="0.25">
      <c r="A22243">
        <v>53092900120</v>
      </c>
      <c r="B22243" t="s">
        <v>8557</v>
      </c>
    </row>
    <row r="22244" spans="1:2" x14ac:dyDescent="0.25">
      <c r="A22244">
        <v>53092900130</v>
      </c>
      <c r="B22244" t="s">
        <v>8558</v>
      </c>
    </row>
    <row r="22245" spans="1:2" x14ac:dyDescent="0.25">
      <c r="A22245">
        <v>53092900140</v>
      </c>
      <c r="B22245" t="s">
        <v>8559</v>
      </c>
    </row>
    <row r="22246" spans="1:2" x14ac:dyDescent="0.25">
      <c r="A22246">
        <v>530929002</v>
      </c>
      <c r="B22246" t="s">
        <v>8560</v>
      </c>
    </row>
    <row r="22247" spans="1:2" x14ac:dyDescent="0.25">
      <c r="A22247">
        <v>53092900210</v>
      </c>
      <c r="B22247" t="s">
        <v>8284</v>
      </c>
    </row>
    <row r="22248" spans="1:2" x14ac:dyDescent="0.25">
      <c r="A22248">
        <v>53092900220</v>
      </c>
      <c r="B22248" t="s">
        <v>8557</v>
      </c>
    </row>
    <row r="22249" spans="1:2" x14ac:dyDescent="0.25">
      <c r="A22249">
        <v>53092900230</v>
      </c>
      <c r="B22249" t="s">
        <v>8558</v>
      </c>
    </row>
    <row r="22250" spans="1:2" x14ac:dyDescent="0.25">
      <c r="A22250">
        <v>53092900240</v>
      </c>
      <c r="B22250" t="s">
        <v>8559</v>
      </c>
    </row>
    <row r="22251" spans="1:2" x14ac:dyDescent="0.25">
      <c r="A22251">
        <v>530929003</v>
      </c>
      <c r="B22251" t="s">
        <v>8561</v>
      </c>
    </row>
    <row r="22252" spans="1:2" x14ac:dyDescent="0.25">
      <c r="A22252">
        <v>53092900310</v>
      </c>
      <c r="B22252" t="s">
        <v>8284</v>
      </c>
    </row>
    <row r="22253" spans="1:2" x14ac:dyDescent="0.25">
      <c r="A22253">
        <v>53092900320</v>
      </c>
      <c r="B22253" t="s">
        <v>8557</v>
      </c>
    </row>
    <row r="22254" spans="1:2" x14ac:dyDescent="0.25">
      <c r="A22254">
        <v>53092900330</v>
      </c>
      <c r="B22254" t="s">
        <v>8558</v>
      </c>
    </row>
    <row r="22255" spans="1:2" x14ac:dyDescent="0.25">
      <c r="A22255">
        <v>53092900340</v>
      </c>
      <c r="B22255" t="s">
        <v>8559</v>
      </c>
    </row>
    <row r="22256" spans="1:2" x14ac:dyDescent="0.25">
      <c r="A22256">
        <v>5310</v>
      </c>
      <c r="B22256" t="s">
        <v>8563</v>
      </c>
    </row>
    <row r="22257" spans="1:2" x14ac:dyDescent="0.25">
      <c r="A22257">
        <v>531010</v>
      </c>
      <c r="B22257" t="e">
        <f>- crudos</f>
        <v>#NAME?</v>
      </c>
    </row>
    <row r="22258" spans="1:2" x14ac:dyDescent="0.25">
      <c r="A22258">
        <v>53101010000</v>
      </c>
      <c r="B22258" t="s">
        <v>8564</v>
      </c>
    </row>
    <row r="22259" spans="1:2" x14ac:dyDescent="0.25">
      <c r="A22259">
        <v>53101090000</v>
      </c>
      <c r="B22259" t="s">
        <v>10</v>
      </c>
    </row>
    <row r="22260" spans="1:2" x14ac:dyDescent="0.25">
      <c r="A22260">
        <v>53109000</v>
      </c>
      <c r="B22260" t="e">
        <f>- Los demas</f>
        <v>#NAME?</v>
      </c>
    </row>
    <row r="22261" spans="1:2" x14ac:dyDescent="0.25">
      <c r="A22261">
        <v>53109000100</v>
      </c>
      <c r="B22261" t="s">
        <v>8564</v>
      </c>
    </row>
    <row r="22262" spans="1:2" x14ac:dyDescent="0.25">
      <c r="A22262">
        <v>53109000900</v>
      </c>
      <c r="B22262" t="s">
        <v>10</v>
      </c>
    </row>
    <row r="22263" spans="1:2" x14ac:dyDescent="0.25">
      <c r="A22263">
        <v>53110000</v>
      </c>
      <c r="B22263" t="s">
        <v>8565</v>
      </c>
    </row>
    <row r="22264" spans="1:2" x14ac:dyDescent="0.25">
      <c r="A22264">
        <v>531100001</v>
      </c>
      <c r="B22264" t="s">
        <v>8566</v>
      </c>
    </row>
    <row r="22265" spans="1:2" x14ac:dyDescent="0.25">
      <c r="A22265">
        <v>5311000011</v>
      </c>
      <c r="B22265" t="s">
        <v>8567</v>
      </c>
    </row>
    <row r="22266" spans="1:2" x14ac:dyDescent="0.25">
      <c r="A22266">
        <v>53110000111</v>
      </c>
      <c r="B22266" t="s">
        <v>8284</v>
      </c>
    </row>
    <row r="22267" spans="1:2" x14ac:dyDescent="0.25">
      <c r="A22267">
        <v>53110000112</v>
      </c>
      <c r="B22267" t="s">
        <v>8557</v>
      </c>
    </row>
    <row r="22268" spans="1:2" x14ac:dyDescent="0.25">
      <c r="A22268">
        <v>53110000113</v>
      </c>
      <c r="B22268" t="s">
        <v>8558</v>
      </c>
    </row>
    <row r="22269" spans="1:2" x14ac:dyDescent="0.25">
      <c r="A22269">
        <v>53110000114</v>
      </c>
      <c r="B22269" t="s">
        <v>8568</v>
      </c>
    </row>
    <row r="22270" spans="1:2" x14ac:dyDescent="0.25">
      <c r="A22270">
        <v>53110000119</v>
      </c>
      <c r="B22270" t="s">
        <v>10</v>
      </c>
    </row>
    <row r="22271" spans="1:2" x14ac:dyDescent="0.25">
      <c r="A22271">
        <v>5311000012</v>
      </c>
      <c r="B22271" t="s">
        <v>626</v>
      </c>
    </row>
    <row r="22272" spans="1:2" x14ac:dyDescent="0.25">
      <c r="A22272">
        <v>53110000121</v>
      </c>
      <c r="B22272" t="s">
        <v>8284</v>
      </c>
    </row>
    <row r="22273" spans="1:2" x14ac:dyDescent="0.25">
      <c r="A22273">
        <v>53110000122</v>
      </c>
      <c r="B22273" t="s">
        <v>8557</v>
      </c>
    </row>
    <row r="22274" spans="1:2" x14ac:dyDescent="0.25">
      <c r="A22274">
        <v>53110000123</v>
      </c>
      <c r="B22274" t="s">
        <v>8558</v>
      </c>
    </row>
    <row r="22275" spans="1:2" x14ac:dyDescent="0.25">
      <c r="A22275">
        <v>53110000124</v>
      </c>
      <c r="B22275" t="s">
        <v>8568</v>
      </c>
    </row>
    <row r="22276" spans="1:2" x14ac:dyDescent="0.25">
      <c r="A22276">
        <v>53110000129</v>
      </c>
      <c r="B22276" t="s">
        <v>10</v>
      </c>
    </row>
    <row r="22277" spans="1:2" x14ac:dyDescent="0.25">
      <c r="A22277">
        <v>5311000013</v>
      </c>
      <c r="B22277" t="s">
        <v>8560</v>
      </c>
    </row>
    <row r="22278" spans="1:2" x14ac:dyDescent="0.25">
      <c r="A22278">
        <v>53110000131</v>
      </c>
      <c r="B22278" t="s">
        <v>8284</v>
      </c>
    </row>
    <row r="22279" spans="1:2" x14ac:dyDescent="0.25">
      <c r="A22279">
        <v>53110000132</v>
      </c>
      <c r="B22279" t="s">
        <v>8557</v>
      </c>
    </row>
    <row r="22280" spans="1:2" x14ac:dyDescent="0.25">
      <c r="A22280">
        <v>53110000133</v>
      </c>
      <c r="B22280" t="s">
        <v>8558</v>
      </c>
    </row>
    <row r="22281" spans="1:2" x14ac:dyDescent="0.25">
      <c r="A22281">
        <v>53110000134</v>
      </c>
      <c r="B22281" t="s">
        <v>8568</v>
      </c>
    </row>
    <row r="22282" spans="1:2" x14ac:dyDescent="0.25">
      <c r="A22282">
        <v>53110000139</v>
      </c>
      <c r="B22282" t="s">
        <v>10</v>
      </c>
    </row>
    <row r="22283" spans="1:2" x14ac:dyDescent="0.25">
      <c r="A22283">
        <v>5311000014</v>
      </c>
      <c r="B22283" t="s">
        <v>8561</v>
      </c>
    </row>
    <row r="22284" spans="1:2" x14ac:dyDescent="0.25">
      <c r="A22284">
        <v>53110000141</v>
      </c>
      <c r="B22284" t="s">
        <v>8284</v>
      </c>
    </row>
    <row r="22285" spans="1:2" x14ac:dyDescent="0.25">
      <c r="A22285">
        <v>53110000142</v>
      </c>
      <c r="B22285" t="s">
        <v>8557</v>
      </c>
    </row>
    <row r="22286" spans="1:2" x14ac:dyDescent="0.25">
      <c r="A22286">
        <v>53110000143</v>
      </c>
      <c r="B22286" t="s">
        <v>8558</v>
      </c>
    </row>
    <row r="22287" spans="1:2" x14ac:dyDescent="0.25">
      <c r="A22287">
        <v>53110000144</v>
      </c>
      <c r="B22287" t="s">
        <v>8568</v>
      </c>
    </row>
    <row r="22288" spans="1:2" x14ac:dyDescent="0.25">
      <c r="A22288">
        <v>53110000149</v>
      </c>
      <c r="B22288" t="s">
        <v>10</v>
      </c>
    </row>
    <row r="22289" spans="1:2" x14ac:dyDescent="0.25">
      <c r="A22289">
        <v>531100002</v>
      </c>
      <c r="B22289" t="s">
        <v>8569</v>
      </c>
    </row>
    <row r="22290" spans="1:2" x14ac:dyDescent="0.25">
      <c r="A22290">
        <v>5311000021</v>
      </c>
      <c r="B22290" t="s">
        <v>8567</v>
      </c>
    </row>
    <row r="22291" spans="1:2" x14ac:dyDescent="0.25">
      <c r="A22291">
        <v>53110000211</v>
      </c>
      <c r="B22291" t="s">
        <v>8284</v>
      </c>
    </row>
    <row r="22292" spans="1:2" x14ac:dyDescent="0.25">
      <c r="A22292">
        <v>53110000212</v>
      </c>
      <c r="B22292" t="s">
        <v>8557</v>
      </c>
    </row>
    <row r="22293" spans="1:2" x14ac:dyDescent="0.25">
      <c r="A22293">
        <v>53110000213</v>
      </c>
      <c r="B22293" t="s">
        <v>8558</v>
      </c>
    </row>
    <row r="22294" spans="1:2" x14ac:dyDescent="0.25">
      <c r="A22294">
        <v>53110000214</v>
      </c>
      <c r="B22294" t="s">
        <v>8568</v>
      </c>
    </row>
    <row r="22295" spans="1:2" x14ac:dyDescent="0.25">
      <c r="A22295">
        <v>53110000219</v>
      </c>
      <c r="B22295" t="s">
        <v>10</v>
      </c>
    </row>
    <row r="22296" spans="1:2" x14ac:dyDescent="0.25">
      <c r="A22296">
        <v>5311000022</v>
      </c>
      <c r="B22296" t="s">
        <v>626</v>
      </c>
    </row>
    <row r="22297" spans="1:2" x14ac:dyDescent="0.25">
      <c r="A22297">
        <v>53110000221</v>
      </c>
      <c r="B22297" t="s">
        <v>8284</v>
      </c>
    </row>
    <row r="22298" spans="1:2" x14ac:dyDescent="0.25">
      <c r="A22298">
        <v>53110000222</v>
      </c>
      <c r="B22298" t="s">
        <v>8557</v>
      </c>
    </row>
    <row r="22299" spans="1:2" x14ac:dyDescent="0.25">
      <c r="A22299">
        <v>53110000223</v>
      </c>
      <c r="B22299" t="s">
        <v>8558</v>
      </c>
    </row>
    <row r="22300" spans="1:2" x14ac:dyDescent="0.25">
      <c r="A22300">
        <v>53110000224</v>
      </c>
      <c r="B22300" t="s">
        <v>8568</v>
      </c>
    </row>
    <row r="22301" spans="1:2" x14ac:dyDescent="0.25">
      <c r="A22301">
        <v>53110000229</v>
      </c>
      <c r="B22301" t="s">
        <v>10</v>
      </c>
    </row>
    <row r="22302" spans="1:2" x14ac:dyDescent="0.25">
      <c r="A22302">
        <v>5311000023</v>
      </c>
      <c r="B22302" t="s">
        <v>8570</v>
      </c>
    </row>
    <row r="22303" spans="1:2" x14ac:dyDescent="0.25">
      <c r="A22303">
        <v>53110000231</v>
      </c>
      <c r="B22303" t="s">
        <v>8284</v>
      </c>
    </row>
    <row r="22304" spans="1:2" x14ac:dyDescent="0.25">
      <c r="A22304">
        <v>53110000232</v>
      </c>
      <c r="B22304" t="s">
        <v>8557</v>
      </c>
    </row>
    <row r="22305" spans="1:2" x14ac:dyDescent="0.25">
      <c r="A22305">
        <v>53110000233</v>
      </c>
      <c r="B22305" t="s">
        <v>8558</v>
      </c>
    </row>
    <row r="22306" spans="1:2" x14ac:dyDescent="0.25">
      <c r="A22306">
        <v>53110000234</v>
      </c>
      <c r="B22306" t="s">
        <v>8568</v>
      </c>
    </row>
    <row r="22307" spans="1:2" x14ac:dyDescent="0.25">
      <c r="A22307">
        <v>53110000239</v>
      </c>
      <c r="B22307" t="s">
        <v>10</v>
      </c>
    </row>
    <row r="22308" spans="1:2" x14ac:dyDescent="0.25">
      <c r="A22308">
        <v>5311000024</v>
      </c>
      <c r="B22308" t="s">
        <v>8561</v>
      </c>
    </row>
    <row r="22309" spans="1:2" x14ac:dyDescent="0.25">
      <c r="A22309">
        <v>53110000241</v>
      </c>
      <c r="B22309" t="s">
        <v>8284</v>
      </c>
    </row>
    <row r="22310" spans="1:2" x14ac:dyDescent="0.25">
      <c r="A22310">
        <v>53110000242</v>
      </c>
      <c r="B22310" t="s">
        <v>8557</v>
      </c>
    </row>
    <row r="22311" spans="1:2" x14ac:dyDescent="0.25">
      <c r="A22311">
        <v>53110000243</v>
      </c>
      <c r="B22311" t="s">
        <v>8558</v>
      </c>
    </row>
    <row r="22312" spans="1:2" x14ac:dyDescent="0.25">
      <c r="A22312">
        <v>53110000244</v>
      </c>
      <c r="B22312" t="s">
        <v>8568</v>
      </c>
    </row>
    <row r="22313" spans="1:2" x14ac:dyDescent="0.25">
      <c r="A22313">
        <v>53110000249</v>
      </c>
      <c r="B22313" t="s">
        <v>10</v>
      </c>
    </row>
    <row r="22314" spans="1:2" x14ac:dyDescent="0.25">
      <c r="A22314">
        <v>531100003</v>
      </c>
      <c r="B22314" t="s">
        <v>8571</v>
      </c>
    </row>
    <row r="22315" spans="1:2" x14ac:dyDescent="0.25">
      <c r="A22315">
        <v>53110000310</v>
      </c>
      <c r="B22315" t="s">
        <v>8572</v>
      </c>
    </row>
    <row r="22316" spans="1:2" x14ac:dyDescent="0.25">
      <c r="A22316">
        <v>53110000320</v>
      </c>
      <c r="B22316" t="s">
        <v>8568</v>
      </c>
    </row>
    <row r="22317" spans="1:2" x14ac:dyDescent="0.25">
      <c r="A22317">
        <v>53110000330</v>
      </c>
      <c r="B22317" t="s">
        <v>8573</v>
      </c>
    </row>
    <row r="22318" spans="1:2" x14ac:dyDescent="0.25">
      <c r="A22318">
        <v>53110000340</v>
      </c>
      <c r="B22318" t="s">
        <v>8574</v>
      </c>
    </row>
    <row r="22319" spans="1:2" x14ac:dyDescent="0.25">
      <c r="A22319">
        <v>53110000390</v>
      </c>
      <c r="B22319" t="s">
        <v>10</v>
      </c>
    </row>
    <row r="22320" spans="1:2" x14ac:dyDescent="0.25">
      <c r="A22320">
        <v>53110000900</v>
      </c>
      <c r="B22320" t="s">
        <v>10</v>
      </c>
    </row>
    <row r="22321" spans="1:2" x14ac:dyDescent="0.25">
      <c r="A22321">
        <v>5401</v>
      </c>
      <c r="B22321" t="s">
        <v>8575</v>
      </c>
    </row>
    <row r="22322" spans="1:2" x14ac:dyDescent="0.25">
      <c r="A22322">
        <v>540110</v>
      </c>
      <c r="B22322" t="e">
        <f>- de filamentos sinteticos</f>
        <v>#NAME?</v>
      </c>
    </row>
    <row r="22323" spans="1:2" x14ac:dyDescent="0.25">
      <c r="A22323">
        <v>5401101</v>
      </c>
      <c r="B22323" t="s">
        <v>5932</v>
      </c>
    </row>
    <row r="22324" spans="1:2" x14ac:dyDescent="0.25">
      <c r="A22324">
        <v>54011011000</v>
      </c>
      <c r="B22324" t="s">
        <v>8576</v>
      </c>
    </row>
    <row r="22325" spans="1:2" x14ac:dyDescent="0.25">
      <c r="A22325">
        <v>54011012000</v>
      </c>
      <c r="B22325" t="s">
        <v>7986</v>
      </c>
    </row>
    <row r="22326" spans="1:2" x14ac:dyDescent="0.25">
      <c r="A22326">
        <v>54011090</v>
      </c>
      <c r="B22326" t="s">
        <v>10</v>
      </c>
    </row>
    <row r="22327" spans="1:2" x14ac:dyDescent="0.25">
      <c r="A22327">
        <v>540110901</v>
      </c>
      <c r="B22327" t="s">
        <v>8577</v>
      </c>
    </row>
    <row r="22328" spans="1:2" x14ac:dyDescent="0.25">
      <c r="A22328">
        <v>54011090110</v>
      </c>
      <c r="B22328" t="s">
        <v>8576</v>
      </c>
    </row>
    <row r="22329" spans="1:2" x14ac:dyDescent="0.25">
      <c r="A22329">
        <v>54011090120</v>
      </c>
      <c r="B22329" t="s">
        <v>7986</v>
      </c>
    </row>
    <row r="22330" spans="1:2" x14ac:dyDescent="0.25">
      <c r="A22330">
        <v>540110902</v>
      </c>
      <c r="B22330" t="s">
        <v>8578</v>
      </c>
    </row>
    <row r="22331" spans="1:2" x14ac:dyDescent="0.25">
      <c r="A22331">
        <v>54011090210</v>
      </c>
      <c r="B22331" t="s">
        <v>8579</v>
      </c>
    </row>
    <row r="22332" spans="1:2" x14ac:dyDescent="0.25">
      <c r="A22332">
        <v>54011090220</v>
      </c>
      <c r="B22332" t="s">
        <v>7986</v>
      </c>
    </row>
    <row r="22333" spans="1:2" x14ac:dyDescent="0.25">
      <c r="A22333">
        <v>540110909</v>
      </c>
      <c r="B22333" t="s">
        <v>10</v>
      </c>
    </row>
    <row r="22334" spans="1:2" x14ac:dyDescent="0.25">
      <c r="A22334">
        <v>54011090910</v>
      </c>
      <c r="B22334" t="s">
        <v>8576</v>
      </c>
    </row>
    <row r="22335" spans="1:2" x14ac:dyDescent="0.25">
      <c r="A22335">
        <v>54011090990</v>
      </c>
      <c r="B22335" t="s">
        <v>8390</v>
      </c>
    </row>
    <row r="22336" spans="1:2" x14ac:dyDescent="0.25">
      <c r="A22336">
        <v>540120</v>
      </c>
      <c r="B22336" t="e">
        <f>- de filamentos artificiales</f>
        <v>#NAME?</v>
      </c>
    </row>
    <row r="22337" spans="1:2" x14ac:dyDescent="0.25">
      <c r="A22337">
        <v>5401201</v>
      </c>
      <c r="B22337" t="s">
        <v>8580</v>
      </c>
    </row>
    <row r="22338" spans="1:2" x14ac:dyDescent="0.25">
      <c r="A22338">
        <v>54012011000</v>
      </c>
      <c r="B22338" t="s">
        <v>8576</v>
      </c>
    </row>
    <row r="22339" spans="1:2" x14ac:dyDescent="0.25">
      <c r="A22339">
        <v>54012012000</v>
      </c>
      <c r="B22339" t="s">
        <v>7986</v>
      </c>
    </row>
    <row r="22340" spans="1:2" x14ac:dyDescent="0.25">
      <c r="A22340">
        <v>54012090</v>
      </c>
      <c r="B22340" t="s">
        <v>10</v>
      </c>
    </row>
    <row r="22341" spans="1:2" x14ac:dyDescent="0.25">
      <c r="A22341">
        <v>540120901</v>
      </c>
      <c r="B22341" t="s">
        <v>8581</v>
      </c>
    </row>
    <row r="22342" spans="1:2" x14ac:dyDescent="0.25">
      <c r="A22342">
        <v>54012090110</v>
      </c>
      <c r="B22342" t="s">
        <v>8576</v>
      </c>
    </row>
    <row r="22343" spans="1:2" x14ac:dyDescent="0.25">
      <c r="A22343">
        <v>54012090120</v>
      </c>
      <c r="B22343" t="s">
        <v>7986</v>
      </c>
    </row>
    <row r="22344" spans="1:2" x14ac:dyDescent="0.25">
      <c r="A22344">
        <v>540120909</v>
      </c>
      <c r="B22344" t="s">
        <v>10</v>
      </c>
    </row>
    <row r="22345" spans="1:2" x14ac:dyDescent="0.25">
      <c r="A22345">
        <v>54012090910</v>
      </c>
      <c r="B22345" t="s">
        <v>8576</v>
      </c>
    </row>
    <row r="22346" spans="1:2" x14ac:dyDescent="0.25">
      <c r="A22346">
        <v>54012090990</v>
      </c>
      <c r="B22346" t="s">
        <v>8390</v>
      </c>
    </row>
    <row r="22347" spans="1:2" x14ac:dyDescent="0.25">
      <c r="A22347">
        <v>5402</v>
      </c>
      <c r="B22347" t="s">
        <v>8582</v>
      </c>
    </row>
    <row r="22348" spans="1:2" x14ac:dyDescent="0.25">
      <c r="A22348">
        <v>54021</v>
      </c>
      <c r="B22348" t="s">
        <v>8583</v>
      </c>
    </row>
    <row r="22349" spans="1:2" x14ac:dyDescent="0.25">
      <c r="A22349">
        <v>54021100000</v>
      </c>
      <c r="B22349" t="e">
        <f>--de aramidas</f>
        <v>#NAME?</v>
      </c>
    </row>
    <row r="22350" spans="1:2" x14ac:dyDescent="0.25">
      <c r="A22350">
        <v>540219</v>
      </c>
      <c r="B22350" t="e">
        <f>- - Los demas</f>
        <v>#NAME?</v>
      </c>
    </row>
    <row r="22351" spans="1:2" x14ac:dyDescent="0.25">
      <c r="A22351">
        <v>54021910000</v>
      </c>
      <c r="B22351" t="s">
        <v>8584</v>
      </c>
    </row>
    <row r="22352" spans="1:2" x14ac:dyDescent="0.25">
      <c r="A22352">
        <v>54021990000</v>
      </c>
      <c r="B22352" t="s">
        <v>10</v>
      </c>
    </row>
    <row r="22353" spans="1:2" x14ac:dyDescent="0.25">
      <c r="A22353">
        <v>54022000</v>
      </c>
      <c r="B22353" t="e">
        <f>- hilados de alta tenacidad de poliesteres. incluso texturados</f>
        <v>#NAME?</v>
      </c>
    </row>
    <row r="22354" spans="1:2" x14ac:dyDescent="0.25">
      <c r="A22354">
        <v>54022000100</v>
      </c>
      <c r="B22354" t="s">
        <v>8585</v>
      </c>
    </row>
    <row r="22355" spans="1:2" x14ac:dyDescent="0.25">
      <c r="A22355">
        <v>54022000200</v>
      </c>
      <c r="B22355" t="s">
        <v>8586</v>
      </c>
    </row>
    <row r="22356" spans="1:2" x14ac:dyDescent="0.25">
      <c r="A22356">
        <v>54022000900</v>
      </c>
      <c r="B22356" t="s">
        <v>10</v>
      </c>
    </row>
    <row r="22357" spans="1:2" x14ac:dyDescent="0.25">
      <c r="A22357">
        <v>54023</v>
      </c>
      <c r="B22357" t="s">
        <v>8587</v>
      </c>
    </row>
    <row r="22358" spans="1:2" x14ac:dyDescent="0.25">
      <c r="A22358">
        <v>540231</v>
      </c>
      <c r="B22358" t="s">
        <v>8588</v>
      </c>
    </row>
    <row r="22359" spans="1:2" x14ac:dyDescent="0.25">
      <c r="A22359">
        <v>5402311</v>
      </c>
      <c r="B22359" t="s">
        <v>8584</v>
      </c>
    </row>
    <row r="22360" spans="1:2" x14ac:dyDescent="0.25">
      <c r="A22360">
        <v>54023111</v>
      </c>
      <c r="B22360" t="s">
        <v>626</v>
      </c>
    </row>
    <row r="22361" spans="1:2" x14ac:dyDescent="0.25">
      <c r="A22361">
        <v>54023111100</v>
      </c>
      <c r="B22361" t="s">
        <v>8589</v>
      </c>
    </row>
    <row r="22362" spans="1:2" x14ac:dyDescent="0.25">
      <c r="A22362">
        <v>54023111200</v>
      </c>
      <c r="B22362" t="s">
        <v>8590</v>
      </c>
    </row>
    <row r="22363" spans="1:2" x14ac:dyDescent="0.25">
      <c r="A22363">
        <v>54023111900</v>
      </c>
      <c r="B22363" t="s">
        <v>10</v>
      </c>
    </row>
    <row r="22364" spans="1:2" x14ac:dyDescent="0.25">
      <c r="A22364">
        <v>54023119</v>
      </c>
      <c r="B22364" t="s">
        <v>10</v>
      </c>
    </row>
    <row r="22365" spans="1:2" x14ac:dyDescent="0.25">
      <c r="A22365">
        <v>54023119100</v>
      </c>
      <c r="B22365" t="s">
        <v>8589</v>
      </c>
    </row>
    <row r="22366" spans="1:2" x14ac:dyDescent="0.25">
      <c r="A22366">
        <v>54023119200</v>
      </c>
      <c r="B22366" t="s">
        <v>8590</v>
      </c>
    </row>
    <row r="22367" spans="1:2" x14ac:dyDescent="0.25">
      <c r="A22367">
        <v>54023119900</v>
      </c>
      <c r="B22367" t="s">
        <v>10</v>
      </c>
    </row>
    <row r="22368" spans="1:2" x14ac:dyDescent="0.25">
      <c r="A22368">
        <v>54023190000</v>
      </c>
      <c r="B22368" t="s">
        <v>10</v>
      </c>
    </row>
    <row r="22369" spans="1:2" x14ac:dyDescent="0.25">
      <c r="A22369">
        <v>540232</v>
      </c>
      <c r="B22369" t="s">
        <v>8591</v>
      </c>
    </row>
    <row r="22370" spans="1:2" x14ac:dyDescent="0.25">
      <c r="A22370">
        <v>5402321</v>
      </c>
      <c r="B22370" t="s">
        <v>8584</v>
      </c>
    </row>
    <row r="22371" spans="1:2" x14ac:dyDescent="0.25">
      <c r="A22371">
        <v>54023211000</v>
      </c>
      <c r="B22371" t="s">
        <v>8592</v>
      </c>
    </row>
    <row r="22372" spans="1:2" x14ac:dyDescent="0.25">
      <c r="A22372">
        <v>54023219000</v>
      </c>
      <c r="B22372" t="s">
        <v>10</v>
      </c>
    </row>
    <row r="22373" spans="1:2" x14ac:dyDescent="0.25">
      <c r="A22373">
        <v>54023290000</v>
      </c>
      <c r="B22373" t="s">
        <v>10</v>
      </c>
    </row>
    <row r="22374" spans="1:2" x14ac:dyDescent="0.25">
      <c r="A22374">
        <v>540233</v>
      </c>
      <c r="B22374" t="e">
        <f>- - de poliesteres</f>
        <v>#NAME?</v>
      </c>
    </row>
    <row r="22375" spans="1:2" x14ac:dyDescent="0.25">
      <c r="A22375">
        <v>54023310</v>
      </c>
      <c r="B22375" t="s">
        <v>8441</v>
      </c>
    </row>
    <row r="22376" spans="1:2" x14ac:dyDescent="0.25">
      <c r="A22376">
        <v>54023310100</v>
      </c>
      <c r="B22376" t="s">
        <v>8593</v>
      </c>
    </row>
    <row r="22377" spans="1:2" x14ac:dyDescent="0.25">
      <c r="A22377">
        <v>540233102</v>
      </c>
      <c r="B22377" t="s">
        <v>8594</v>
      </c>
    </row>
    <row r="22378" spans="1:2" x14ac:dyDescent="0.25">
      <c r="A22378">
        <v>54023310210</v>
      </c>
      <c r="B22378" t="s">
        <v>8595</v>
      </c>
    </row>
    <row r="22379" spans="1:2" x14ac:dyDescent="0.25">
      <c r="A22379">
        <v>54023310220</v>
      </c>
      <c r="B22379" t="s">
        <v>8596</v>
      </c>
    </row>
    <row r="22380" spans="1:2" x14ac:dyDescent="0.25">
      <c r="A22380">
        <v>54023310300</v>
      </c>
      <c r="B22380" t="s">
        <v>8597</v>
      </c>
    </row>
    <row r="22381" spans="1:2" x14ac:dyDescent="0.25">
      <c r="A22381">
        <v>54023310900</v>
      </c>
      <c r="B22381" t="s">
        <v>10</v>
      </c>
    </row>
    <row r="22382" spans="1:2" x14ac:dyDescent="0.25">
      <c r="A22382">
        <v>54023320</v>
      </c>
      <c r="B22382" t="s">
        <v>626</v>
      </c>
    </row>
    <row r="22383" spans="1:2" x14ac:dyDescent="0.25">
      <c r="A22383">
        <v>54023320100</v>
      </c>
      <c r="B22383" t="s">
        <v>8593</v>
      </c>
    </row>
    <row r="22384" spans="1:2" x14ac:dyDescent="0.25">
      <c r="A22384">
        <v>540233202</v>
      </c>
      <c r="B22384" t="s">
        <v>8594</v>
      </c>
    </row>
    <row r="22385" spans="1:2" x14ac:dyDescent="0.25">
      <c r="A22385">
        <v>54023320210</v>
      </c>
      <c r="B22385" t="s">
        <v>8595</v>
      </c>
    </row>
    <row r="22386" spans="1:2" x14ac:dyDescent="0.25">
      <c r="A22386">
        <v>54023320220</v>
      </c>
      <c r="B22386" t="s">
        <v>8596</v>
      </c>
    </row>
    <row r="22387" spans="1:2" x14ac:dyDescent="0.25">
      <c r="A22387">
        <v>54023320300</v>
      </c>
      <c r="B22387" t="s">
        <v>8598</v>
      </c>
    </row>
    <row r="22388" spans="1:2" x14ac:dyDescent="0.25">
      <c r="A22388">
        <v>54023320900</v>
      </c>
      <c r="B22388" t="s">
        <v>10</v>
      </c>
    </row>
    <row r="22389" spans="1:2" x14ac:dyDescent="0.25">
      <c r="A22389">
        <v>54023390</v>
      </c>
      <c r="B22389" t="s">
        <v>10</v>
      </c>
    </row>
    <row r="22390" spans="1:2" x14ac:dyDescent="0.25">
      <c r="A22390">
        <v>54023390100</v>
      </c>
      <c r="B22390" t="s">
        <v>8599</v>
      </c>
    </row>
    <row r="22391" spans="1:2" x14ac:dyDescent="0.25">
      <c r="A22391">
        <v>54023390200</v>
      </c>
      <c r="B22391" t="s">
        <v>8594</v>
      </c>
    </row>
    <row r="22392" spans="1:2" x14ac:dyDescent="0.25">
      <c r="A22392">
        <v>54023390300</v>
      </c>
      <c r="B22392" t="s">
        <v>8597</v>
      </c>
    </row>
    <row r="22393" spans="1:2" x14ac:dyDescent="0.25">
      <c r="A22393">
        <v>54023390900</v>
      </c>
      <c r="B22393" t="s">
        <v>10</v>
      </c>
    </row>
    <row r="22394" spans="1:2" x14ac:dyDescent="0.25">
      <c r="A22394">
        <v>54023400</v>
      </c>
      <c r="B22394" t="e">
        <f>- - de Polipropileno</f>
        <v>#NAME?</v>
      </c>
    </row>
    <row r="22395" spans="1:2" x14ac:dyDescent="0.25">
      <c r="A22395">
        <v>54023400100</v>
      </c>
      <c r="B22395" t="s">
        <v>8600</v>
      </c>
    </row>
    <row r="22396" spans="1:2" x14ac:dyDescent="0.25">
      <c r="A22396">
        <v>54023400900</v>
      </c>
      <c r="B22396" t="s">
        <v>10</v>
      </c>
    </row>
    <row r="22397" spans="1:2" x14ac:dyDescent="0.25">
      <c r="A22397">
        <v>54023900000</v>
      </c>
      <c r="B22397" t="e">
        <f>--Los demas</f>
        <v>#NAME?</v>
      </c>
    </row>
    <row r="22398" spans="1:2" x14ac:dyDescent="0.25">
      <c r="A22398">
        <v>54024</v>
      </c>
      <c r="B22398" t="s">
        <v>8601</v>
      </c>
    </row>
    <row r="22399" spans="1:2" x14ac:dyDescent="0.25">
      <c r="A22399">
        <v>54024400</v>
      </c>
      <c r="B22399" t="e">
        <f>- - de elastomeros</f>
        <v>#NAME?</v>
      </c>
    </row>
    <row r="22400" spans="1:2" x14ac:dyDescent="0.25">
      <c r="A22400">
        <v>540244001</v>
      </c>
      <c r="B22400" t="s">
        <v>8602</v>
      </c>
    </row>
    <row r="22401" spans="1:2" x14ac:dyDescent="0.25">
      <c r="A22401">
        <v>54024400110</v>
      </c>
      <c r="B22401" t="s">
        <v>8603</v>
      </c>
    </row>
    <row r="22402" spans="1:2" x14ac:dyDescent="0.25">
      <c r="A22402">
        <v>54024400190</v>
      </c>
      <c r="B22402" t="s">
        <v>10</v>
      </c>
    </row>
    <row r="22403" spans="1:2" x14ac:dyDescent="0.25">
      <c r="A22403">
        <v>540244009</v>
      </c>
      <c r="B22403" t="s">
        <v>10</v>
      </c>
    </row>
    <row r="22404" spans="1:2" x14ac:dyDescent="0.25">
      <c r="A22404">
        <v>54024400910</v>
      </c>
      <c r="B22404" t="s">
        <v>8603</v>
      </c>
    </row>
    <row r="22405" spans="1:2" x14ac:dyDescent="0.25">
      <c r="A22405">
        <v>54024400990</v>
      </c>
      <c r="B22405" t="s">
        <v>10</v>
      </c>
    </row>
    <row r="22406" spans="1:2" x14ac:dyDescent="0.25">
      <c r="A22406">
        <v>540245</v>
      </c>
      <c r="B22406" t="e">
        <f>- - Los demas. de nailon o demas Poliamidas</f>
        <v>#NAME?</v>
      </c>
    </row>
    <row r="22407" spans="1:2" x14ac:dyDescent="0.25">
      <c r="A22407">
        <v>54024510000</v>
      </c>
      <c r="B22407" t="s">
        <v>8604</v>
      </c>
    </row>
    <row r="22408" spans="1:2" x14ac:dyDescent="0.25">
      <c r="A22408">
        <v>54024520</v>
      </c>
      <c r="B22408" t="s">
        <v>8584</v>
      </c>
    </row>
    <row r="22409" spans="1:2" x14ac:dyDescent="0.25">
      <c r="A22409">
        <v>540245201</v>
      </c>
      <c r="B22409" t="s">
        <v>8605</v>
      </c>
    </row>
    <row r="22410" spans="1:2" x14ac:dyDescent="0.25">
      <c r="A22410">
        <v>54024520110</v>
      </c>
      <c r="B22410" t="s">
        <v>8606</v>
      </c>
    </row>
    <row r="22411" spans="1:2" x14ac:dyDescent="0.25">
      <c r="A22411">
        <v>54024520120</v>
      </c>
      <c r="B22411" t="s">
        <v>8607</v>
      </c>
    </row>
    <row r="22412" spans="1:2" x14ac:dyDescent="0.25">
      <c r="A22412">
        <v>54024520190</v>
      </c>
      <c r="B22412" t="s">
        <v>10</v>
      </c>
    </row>
    <row r="22413" spans="1:2" x14ac:dyDescent="0.25">
      <c r="A22413">
        <v>540245209</v>
      </c>
      <c r="B22413" t="s">
        <v>10</v>
      </c>
    </row>
    <row r="22414" spans="1:2" x14ac:dyDescent="0.25">
      <c r="A22414">
        <v>54024520910</v>
      </c>
      <c r="B22414" t="s">
        <v>8589</v>
      </c>
    </row>
    <row r="22415" spans="1:2" x14ac:dyDescent="0.25">
      <c r="A22415">
        <v>54024520920</v>
      </c>
      <c r="B22415" t="s">
        <v>8590</v>
      </c>
    </row>
    <row r="22416" spans="1:2" x14ac:dyDescent="0.25">
      <c r="A22416">
        <v>54024520990</v>
      </c>
      <c r="B22416" t="s">
        <v>10</v>
      </c>
    </row>
    <row r="22417" spans="1:2" x14ac:dyDescent="0.25">
      <c r="A22417">
        <v>54024590000</v>
      </c>
      <c r="B22417" t="s">
        <v>10</v>
      </c>
    </row>
    <row r="22418" spans="1:2" x14ac:dyDescent="0.25">
      <c r="A22418">
        <v>54024600</v>
      </c>
      <c r="B22418" t="e">
        <f>- - Los demas. de poliesteres parcialmente orientados</f>
        <v>#NAME?</v>
      </c>
    </row>
    <row r="22419" spans="1:2" x14ac:dyDescent="0.25">
      <c r="A22419">
        <v>54024600100</v>
      </c>
      <c r="B22419" t="s">
        <v>8608</v>
      </c>
    </row>
    <row r="22420" spans="1:2" x14ac:dyDescent="0.25">
      <c r="A22420">
        <v>54024600200</v>
      </c>
      <c r="B22420" t="s">
        <v>8609</v>
      </c>
    </row>
    <row r="22421" spans="1:2" x14ac:dyDescent="0.25">
      <c r="A22421">
        <v>54024600300</v>
      </c>
      <c r="B22421" t="s">
        <v>8610</v>
      </c>
    </row>
    <row r="22422" spans="1:2" x14ac:dyDescent="0.25">
      <c r="A22422">
        <v>54024600900</v>
      </c>
      <c r="B22422" t="s">
        <v>10</v>
      </c>
    </row>
    <row r="22423" spans="1:2" x14ac:dyDescent="0.25">
      <c r="A22423">
        <v>540247</v>
      </c>
      <c r="B22423" t="e">
        <f>- - Los demas. de poliesteres</f>
        <v>#NAME?</v>
      </c>
    </row>
    <row r="22424" spans="1:2" x14ac:dyDescent="0.25">
      <c r="A22424">
        <v>54024710</v>
      </c>
      <c r="B22424" t="s">
        <v>8441</v>
      </c>
    </row>
    <row r="22425" spans="1:2" x14ac:dyDescent="0.25">
      <c r="A22425">
        <v>54024710100</v>
      </c>
      <c r="B22425" t="s">
        <v>8608</v>
      </c>
    </row>
    <row r="22426" spans="1:2" x14ac:dyDescent="0.25">
      <c r="A22426">
        <v>54024710200</v>
      </c>
      <c r="B22426" t="s">
        <v>8611</v>
      </c>
    </row>
    <row r="22427" spans="1:2" x14ac:dyDescent="0.25">
      <c r="A22427">
        <v>54024710300</v>
      </c>
      <c r="B22427" t="s">
        <v>8612</v>
      </c>
    </row>
    <row r="22428" spans="1:2" x14ac:dyDescent="0.25">
      <c r="A22428">
        <v>54024710900</v>
      </c>
      <c r="B22428" t="s">
        <v>10</v>
      </c>
    </row>
    <row r="22429" spans="1:2" x14ac:dyDescent="0.25">
      <c r="A22429">
        <v>54024720</v>
      </c>
      <c r="B22429" t="s">
        <v>626</v>
      </c>
    </row>
    <row r="22430" spans="1:2" x14ac:dyDescent="0.25">
      <c r="A22430">
        <v>54024720100</v>
      </c>
      <c r="B22430" t="s">
        <v>8608</v>
      </c>
    </row>
    <row r="22431" spans="1:2" x14ac:dyDescent="0.25">
      <c r="A22431">
        <v>54024720200</v>
      </c>
      <c r="B22431" t="s">
        <v>8613</v>
      </c>
    </row>
    <row r="22432" spans="1:2" x14ac:dyDescent="0.25">
      <c r="A22432">
        <v>54024720300</v>
      </c>
      <c r="B22432" t="s">
        <v>8610</v>
      </c>
    </row>
    <row r="22433" spans="1:2" x14ac:dyDescent="0.25">
      <c r="A22433">
        <v>54024720900</v>
      </c>
      <c r="B22433" t="s">
        <v>10</v>
      </c>
    </row>
    <row r="22434" spans="1:2" x14ac:dyDescent="0.25">
      <c r="A22434">
        <v>54024790</v>
      </c>
      <c r="B22434" t="s">
        <v>10</v>
      </c>
    </row>
    <row r="22435" spans="1:2" x14ac:dyDescent="0.25">
      <c r="A22435">
        <v>54024790100</v>
      </c>
      <c r="B22435" t="s">
        <v>8608</v>
      </c>
    </row>
    <row r="22436" spans="1:2" x14ac:dyDescent="0.25">
      <c r="A22436">
        <v>54024790200</v>
      </c>
      <c r="B22436" t="s">
        <v>8613</v>
      </c>
    </row>
    <row r="22437" spans="1:2" x14ac:dyDescent="0.25">
      <c r="A22437">
        <v>54024790300</v>
      </c>
      <c r="B22437" t="s">
        <v>8610</v>
      </c>
    </row>
    <row r="22438" spans="1:2" x14ac:dyDescent="0.25">
      <c r="A22438">
        <v>54024790900</v>
      </c>
      <c r="B22438" t="s">
        <v>10</v>
      </c>
    </row>
    <row r="22439" spans="1:2" x14ac:dyDescent="0.25">
      <c r="A22439">
        <v>54024800</v>
      </c>
      <c r="B22439" t="e">
        <f>- - Los demas. de Polipropileno</f>
        <v>#NAME?</v>
      </c>
    </row>
    <row r="22440" spans="1:2" x14ac:dyDescent="0.25">
      <c r="A22440">
        <v>540248001</v>
      </c>
      <c r="B22440" t="s">
        <v>8614</v>
      </c>
    </row>
    <row r="22441" spans="1:2" x14ac:dyDescent="0.25">
      <c r="A22441">
        <v>54024800110</v>
      </c>
      <c r="B22441" t="s">
        <v>8615</v>
      </c>
    </row>
    <row r="22442" spans="1:2" x14ac:dyDescent="0.25">
      <c r="A22442">
        <v>54024800120</v>
      </c>
      <c r="B22442" t="s">
        <v>8616</v>
      </c>
    </row>
    <row r="22443" spans="1:2" x14ac:dyDescent="0.25">
      <c r="A22443">
        <v>54024800900</v>
      </c>
      <c r="B22443" t="s">
        <v>10</v>
      </c>
    </row>
    <row r="22444" spans="1:2" x14ac:dyDescent="0.25">
      <c r="A22444">
        <v>540249</v>
      </c>
      <c r="B22444" t="e">
        <f>- - Los demas</f>
        <v>#NAME?</v>
      </c>
    </row>
    <row r="22445" spans="1:2" x14ac:dyDescent="0.25">
      <c r="A22445">
        <v>54024910000</v>
      </c>
      <c r="B22445" t="s">
        <v>8617</v>
      </c>
    </row>
    <row r="22446" spans="1:2" x14ac:dyDescent="0.25">
      <c r="A22446">
        <v>54024990000</v>
      </c>
      <c r="B22446" t="s">
        <v>10</v>
      </c>
    </row>
    <row r="22447" spans="1:2" x14ac:dyDescent="0.25">
      <c r="A22447">
        <v>54025</v>
      </c>
      <c r="B22447" t="s">
        <v>8618</v>
      </c>
    </row>
    <row r="22448" spans="1:2" x14ac:dyDescent="0.25">
      <c r="A22448">
        <v>540251</v>
      </c>
      <c r="B22448" t="e">
        <f>- - de nailon o demas Poliamidas</f>
        <v>#NAME?</v>
      </c>
    </row>
    <row r="22449" spans="1:2" x14ac:dyDescent="0.25">
      <c r="A22449">
        <v>54025110000</v>
      </c>
      <c r="B22449" t="s">
        <v>8604</v>
      </c>
    </row>
    <row r="22450" spans="1:2" x14ac:dyDescent="0.25">
      <c r="A22450">
        <v>54025190000</v>
      </c>
      <c r="B22450" t="s">
        <v>10</v>
      </c>
    </row>
    <row r="22451" spans="1:2" x14ac:dyDescent="0.25">
      <c r="A22451">
        <v>54025200000</v>
      </c>
      <c r="B22451" t="e">
        <f>--de poliesteres</f>
        <v>#NAME?</v>
      </c>
    </row>
    <row r="22452" spans="1:2" x14ac:dyDescent="0.25">
      <c r="A22452">
        <v>54025300000</v>
      </c>
      <c r="B22452" t="e">
        <f>--de Polipropileno</f>
        <v>#NAME?</v>
      </c>
    </row>
    <row r="22453" spans="1:2" x14ac:dyDescent="0.25">
      <c r="A22453">
        <v>54025900000</v>
      </c>
      <c r="B22453" t="e">
        <f>--Los demas</f>
        <v>#NAME?</v>
      </c>
    </row>
    <row r="22454" spans="1:2" x14ac:dyDescent="0.25">
      <c r="A22454">
        <v>54026</v>
      </c>
      <c r="B22454" t="s">
        <v>8619</v>
      </c>
    </row>
    <row r="22455" spans="1:2" x14ac:dyDescent="0.25">
      <c r="A22455">
        <v>540261</v>
      </c>
      <c r="B22455" t="e">
        <f>- - de nailon o demas Poliamidas</f>
        <v>#NAME?</v>
      </c>
    </row>
    <row r="22456" spans="1:2" x14ac:dyDescent="0.25">
      <c r="A22456">
        <v>54026110000</v>
      </c>
      <c r="B22456" t="s">
        <v>8604</v>
      </c>
    </row>
    <row r="22457" spans="1:2" x14ac:dyDescent="0.25">
      <c r="A22457">
        <v>54026190000</v>
      </c>
      <c r="B22457" t="s">
        <v>10</v>
      </c>
    </row>
    <row r="22458" spans="1:2" x14ac:dyDescent="0.25">
      <c r="A22458">
        <v>54026200000</v>
      </c>
      <c r="B22458" t="e">
        <f>--de poliesteres</f>
        <v>#NAME?</v>
      </c>
    </row>
    <row r="22459" spans="1:2" x14ac:dyDescent="0.25">
      <c r="A22459">
        <v>54026300000</v>
      </c>
      <c r="B22459" t="e">
        <f>--de Polipropileno</f>
        <v>#NAME?</v>
      </c>
    </row>
    <row r="22460" spans="1:2" x14ac:dyDescent="0.25">
      <c r="A22460">
        <v>54026900000</v>
      </c>
      <c r="B22460" t="e">
        <f>--Los demas</f>
        <v>#NAME?</v>
      </c>
    </row>
    <row r="22461" spans="1:2" x14ac:dyDescent="0.25">
      <c r="A22461">
        <v>5403</v>
      </c>
      <c r="B22461" t="s">
        <v>8620</v>
      </c>
    </row>
    <row r="22462" spans="1:2" x14ac:dyDescent="0.25">
      <c r="A22462">
        <v>54031000000</v>
      </c>
      <c r="B22462" t="e">
        <f>-hilados de alta tenacidad de rayon viscosa</f>
        <v>#NAME?</v>
      </c>
    </row>
    <row r="22463" spans="1:2" x14ac:dyDescent="0.25">
      <c r="A22463">
        <v>54033</v>
      </c>
      <c r="B22463" t="s">
        <v>8621</v>
      </c>
    </row>
    <row r="22464" spans="1:2" x14ac:dyDescent="0.25">
      <c r="A22464">
        <v>540331</v>
      </c>
      <c r="B22464" t="s">
        <v>8622</v>
      </c>
    </row>
    <row r="22465" spans="1:2" x14ac:dyDescent="0.25">
      <c r="A22465">
        <v>54033110000</v>
      </c>
      <c r="B22465" t="s">
        <v>8567</v>
      </c>
    </row>
    <row r="22466" spans="1:2" x14ac:dyDescent="0.25">
      <c r="A22466">
        <v>54033190000</v>
      </c>
      <c r="B22466" t="s">
        <v>10</v>
      </c>
    </row>
    <row r="22467" spans="1:2" x14ac:dyDescent="0.25">
      <c r="A22467">
        <v>54033200000</v>
      </c>
      <c r="B22467" t="s">
        <v>8623</v>
      </c>
    </row>
    <row r="22468" spans="1:2" x14ac:dyDescent="0.25">
      <c r="A22468">
        <v>54033300000</v>
      </c>
      <c r="B22468" t="e">
        <f>--de Acetato de celulosa</f>
        <v>#NAME?</v>
      </c>
    </row>
    <row r="22469" spans="1:2" x14ac:dyDescent="0.25">
      <c r="A22469">
        <v>54033900000</v>
      </c>
      <c r="B22469" t="e">
        <f>--Los demas</f>
        <v>#NAME?</v>
      </c>
    </row>
    <row r="22470" spans="1:2" x14ac:dyDescent="0.25">
      <c r="A22470">
        <v>54034</v>
      </c>
      <c r="B22470" t="s">
        <v>8619</v>
      </c>
    </row>
    <row r="22471" spans="1:2" x14ac:dyDescent="0.25">
      <c r="A22471">
        <v>54034100000</v>
      </c>
      <c r="B22471" t="e">
        <f>--de rayon viscosa</f>
        <v>#NAME?</v>
      </c>
    </row>
    <row r="22472" spans="1:2" x14ac:dyDescent="0.25">
      <c r="A22472">
        <v>54034200000</v>
      </c>
      <c r="B22472" t="e">
        <f>--de Acetato de celulosa</f>
        <v>#NAME?</v>
      </c>
    </row>
    <row r="22473" spans="1:2" x14ac:dyDescent="0.25">
      <c r="A22473">
        <v>54034900000</v>
      </c>
      <c r="B22473" t="e">
        <f>--Los demas</f>
        <v>#NAME?</v>
      </c>
    </row>
    <row r="22474" spans="1:2" x14ac:dyDescent="0.25">
      <c r="A22474">
        <v>5404</v>
      </c>
      <c r="B22474" t="s">
        <v>8624</v>
      </c>
    </row>
    <row r="22475" spans="1:2" x14ac:dyDescent="0.25">
      <c r="A22475">
        <v>54041</v>
      </c>
      <c r="B22475" t="s">
        <v>8625</v>
      </c>
    </row>
    <row r="22476" spans="1:2" x14ac:dyDescent="0.25">
      <c r="A22476">
        <v>54041100000</v>
      </c>
      <c r="B22476" t="e">
        <f>--de elastomeros</f>
        <v>#NAME?</v>
      </c>
    </row>
    <row r="22477" spans="1:2" x14ac:dyDescent="0.25">
      <c r="A22477">
        <v>54041200000</v>
      </c>
      <c r="B22477" t="e">
        <f>--Los demas. de Polipropileno</f>
        <v>#NAME?</v>
      </c>
    </row>
    <row r="22478" spans="1:2" x14ac:dyDescent="0.25">
      <c r="A22478">
        <v>540419</v>
      </c>
      <c r="B22478" t="e">
        <f>- - Los demas</f>
        <v>#NAME?</v>
      </c>
    </row>
    <row r="22479" spans="1:2" x14ac:dyDescent="0.25">
      <c r="A22479">
        <v>5404191</v>
      </c>
      <c r="B22479" t="s">
        <v>8626</v>
      </c>
    </row>
    <row r="22480" spans="1:2" x14ac:dyDescent="0.25">
      <c r="A22480">
        <v>54041911000</v>
      </c>
      <c r="B22480" t="s">
        <v>8627</v>
      </c>
    </row>
    <row r="22481" spans="1:2" x14ac:dyDescent="0.25">
      <c r="A22481">
        <v>54041919</v>
      </c>
      <c r="B22481" t="s">
        <v>10</v>
      </c>
    </row>
    <row r="22482" spans="1:2" x14ac:dyDescent="0.25">
      <c r="A22482">
        <v>54041919100</v>
      </c>
      <c r="B22482" t="s">
        <v>8390</v>
      </c>
    </row>
    <row r="22483" spans="1:2" x14ac:dyDescent="0.25">
      <c r="A22483">
        <v>54041919900</v>
      </c>
      <c r="B22483" t="s">
        <v>10</v>
      </c>
    </row>
    <row r="22484" spans="1:2" x14ac:dyDescent="0.25">
      <c r="A22484">
        <v>54041990</v>
      </c>
      <c r="B22484" t="s">
        <v>10</v>
      </c>
    </row>
    <row r="22485" spans="1:2" x14ac:dyDescent="0.25">
      <c r="A22485">
        <v>54041990100</v>
      </c>
      <c r="B22485" t="s">
        <v>8390</v>
      </c>
    </row>
    <row r="22486" spans="1:2" x14ac:dyDescent="0.25">
      <c r="A22486">
        <v>540419909</v>
      </c>
      <c r="B22486" t="s">
        <v>10</v>
      </c>
    </row>
    <row r="22487" spans="1:2" x14ac:dyDescent="0.25">
      <c r="A22487">
        <v>54041990910</v>
      </c>
      <c r="B22487" t="s">
        <v>5574</v>
      </c>
    </row>
    <row r="22488" spans="1:2" x14ac:dyDescent="0.25">
      <c r="A22488">
        <v>54041990990</v>
      </c>
      <c r="B22488" t="s">
        <v>10</v>
      </c>
    </row>
    <row r="22489" spans="1:2" x14ac:dyDescent="0.25">
      <c r="A22489">
        <v>54049000000</v>
      </c>
      <c r="B22489" t="e">
        <f>-las demas</f>
        <v>#NAME?</v>
      </c>
    </row>
    <row r="22490" spans="1:2" x14ac:dyDescent="0.25">
      <c r="A22490">
        <v>54050000</v>
      </c>
      <c r="B22490" t="s">
        <v>8628</v>
      </c>
    </row>
    <row r="22491" spans="1:2" x14ac:dyDescent="0.25">
      <c r="A22491">
        <v>540500001</v>
      </c>
      <c r="B22491" t="s">
        <v>6639</v>
      </c>
    </row>
    <row r="22492" spans="1:2" x14ac:dyDescent="0.25">
      <c r="A22492">
        <v>54050000110</v>
      </c>
      <c r="B22492" t="s">
        <v>8390</v>
      </c>
    </row>
    <row r="22493" spans="1:2" x14ac:dyDescent="0.25">
      <c r="A22493">
        <v>54050000190</v>
      </c>
      <c r="B22493" t="s">
        <v>10</v>
      </c>
    </row>
    <row r="22494" spans="1:2" x14ac:dyDescent="0.25">
      <c r="A22494">
        <v>540500009</v>
      </c>
      <c r="B22494" t="s">
        <v>10</v>
      </c>
    </row>
    <row r="22495" spans="1:2" x14ac:dyDescent="0.25">
      <c r="A22495">
        <v>54050000910</v>
      </c>
      <c r="B22495" t="s">
        <v>8390</v>
      </c>
    </row>
    <row r="22496" spans="1:2" x14ac:dyDescent="0.25">
      <c r="A22496">
        <v>54050000990</v>
      </c>
      <c r="B22496" t="s">
        <v>10</v>
      </c>
    </row>
    <row r="22497" spans="1:2" x14ac:dyDescent="0.25">
      <c r="A22497">
        <v>540600</v>
      </c>
      <c r="B22497" t="s">
        <v>8629</v>
      </c>
    </row>
    <row r="22498" spans="1:2" x14ac:dyDescent="0.25">
      <c r="A22498">
        <v>54060010000</v>
      </c>
      <c r="B22498" t="s">
        <v>8630</v>
      </c>
    </row>
    <row r="22499" spans="1:2" x14ac:dyDescent="0.25">
      <c r="A22499">
        <v>54060020000</v>
      </c>
      <c r="B22499" t="s">
        <v>8631</v>
      </c>
    </row>
    <row r="22500" spans="1:2" x14ac:dyDescent="0.25">
      <c r="A22500">
        <v>5407</v>
      </c>
      <c r="B22500" t="s">
        <v>8632</v>
      </c>
    </row>
    <row r="22501" spans="1:2" x14ac:dyDescent="0.25">
      <c r="A22501">
        <v>540710</v>
      </c>
      <c r="B22501" t="e">
        <f>- tejidos fabricados Con hilados de alta tenacidad de nailon o demas Poliamidas o de poliesteres</f>
        <v>#NAME?</v>
      </c>
    </row>
    <row r="22502" spans="1:2" x14ac:dyDescent="0.25">
      <c r="A22502">
        <v>5407101</v>
      </c>
      <c r="B22502" t="s">
        <v>8633</v>
      </c>
    </row>
    <row r="22503" spans="1:2" x14ac:dyDescent="0.25">
      <c r="A22503">
        <v>54071011000</v>
      </c>
      <c r="B22503" t="s">
        <v>8603</v>
      </c>
    </row>
    <row r="22504" spans="1:2" x14ac:dyDescent="0.25">
      <c r="A22504">
        <v>54071019</v>
      </c>
      <c r="B22504" t="s">
        <v>10</v>
      </c>
    </row>
    <row r="22505" spans="1:2" x14ac:dyDescent="0.25">
      <c r="A22505">
        <v>54071019100</v>
      </c>
      <c r="B22505" t="s">
        <v>6664</v>
      </c>
    </row>
    <row r="22506" spans="1:2" x14ac:dyDescent="0.25">
      <c r="A22506">
        <v>54071019900</v>
      </c>
      <c r="B22506" t="s">
        <v>10</v>
      </c>
    </row>
    <row r="22507" spans="1:2" x14ac:dyDescent="0.25">
      <c r="A22507">
        <v>5407102</v>
      </c>
      <c r="B22507" t="s">
        <v>8634</v>
      </c>
    </row>
    <row r="22508" spans="1:2" x14ac:dyDescent="0.25">
      <c r="A22508">
        <v>54071021000</v>
      </c>
      <c r="B22508" t="s">
        <v>8603</v>
      </c>
    </row>
    <row r="22509" spans="1:2" x14ac:dyDescent="0.25">
      <c r="A22509">
        <v>54071029</v>
      </c>
      <c r="B22509" t="s">
        <v>10</v>
      </c>
    </row>
    <row r="22510" spans="1:2" x14ac:dyDescent="0.25">
      <c r="A22510">
        <v>54071029100</v>
      </c>
      <c r="B22510" t="s">
        <v>6664</v>
      </c>
    </row>
    <row r="22511" spans="1:2" x14ac:dyDescent="0.25">
      <c r="A22511">
        <v>54071029900</v>
      </c>
      <c r="B22511" t="s">
        <v>10</v>
      </c>
    </row>
    <row r="22512" spans="1:2" x14ac:dyDescent="0.25">
      <c r="A22512">
        <v>54072000</v>
      </c>
      <c r="B22512" t="e">
        <f>- tejidos fabricados Con tiras o formas similares</f>
        <v>#NAME?</v>
      </c>
    </row>
    <row r="22513" spans="1:2" x14ac:dyDescent="0.25">
      <c r="A22513">
        <v>540720001</v>
      </c>
      <c r="B22513" t="s">
        <v>5414</v>
      </c>
    </row>
    <row r="22514" spans="1:2" x14ac:dyDescent="0.25">
      <c r="A22514">
        <v>5407200011</v>
      </c>
      <c r="B22514" t="s">
        <v>8635</v>
      </c>
    </row>
    <row r="22515" spans="1:2" x14ac:dyDescent="0.25">
      <c r="A22515">
        <v>54072000111</v>
      </c>
      <c r="B22515" t="s">
        <v>8636</v>
      </c>
    </row>
    <row r="22516" spans="1:2" x14ac:dyDescent="0.25">
      <c r="A22516">
        <v>54072000112</v>
      </c>
      <c r="B22516" t="s">
        <v>8637</v>
      </c>
    </row>
    <row r="22517" spans="1:2" x14ac:dyDescent="0.25">
      <c r="A22517">
        <v>54072000113</v>
      </c>
      <c r="B22517" t="s">
        <v>8638</v>
      </c>
    </row>
    <row r="22518" spans="1:2" x14ac:dyDescent="0.25">
      <c r="A22518">
        <v>54072000119</v>
      </c>
      <c r="B22518" t="s">
        <v>10</v>
      </c>
    </row>
    <row r="22519" spans="1:2" x14ac:dyDescent="0.25">
      <c r="A22519">
        <v>5407200019</v>
      </c>
      <c r="B22519" t="s">
        <v>10</v>
      </c>
    </row>
    <row r="22520" spans="1:2" x14ac:dyDescent="0.25">
      <c r="A22520">
        <v>54072000191</v>
      </c>
      <c r="B22520" t="s">
        <v>8636</v>
      </c>
    </row>
    <row r="22521" spans="1:2" x14ac:dyDescent="0.25">
      <c r="A22521">
        <v>54072000192</v>
      </c>
      <c r="B22521" t="s">
        <v>8637</v>
      </c>
    </row>
    <row r="22522" spans="1:2" x14ac:dyDescent="0.25">
      <c r="A22522">
        <v>54072000193</v>
      </c>
      <c r="B22522" t="s">
        <v>8638</v>
      </c>
    </row>
    <row r="22523" spans="1:2" x14ac:dyDescent="0.25">
      <c r="A22523">
        <v>54072000199</v>
      </c>
      <c r="B22523" t="s">
        <v>10</v>
      </c>
    </row>
    <row r="22524" spans="1:2" x14ac:dyDescent="0.25">
      <c r="A22524">
        <v>540720002</v>
      </c>
      <c r="B22524" t="s">
        <v>5415</v>
      </c>
    </row>
    <row r="22525" spans="1:2" x14ac:dyDescent="0.25">
      <c r="A22525">
        <v>5407200021</v>
      </c>
      <c r="B22525" t="s">
        <v>8635</v>
      </c>
    </row>
    <row r="22526" spans="1:2" x14ac:dyDescent="0.25">
      <c r="A22526">
        <v>54072000211</v>
      </c>
      <c r="B22526" t="s">
        <v>8636</v>
      </c>
    </row>
    <row r="22527" spans="1:2" x14ac:dyDescent="0.25">
      <c r="A22527">
        <v>54072000212</v>
      </c>
      <c r="B22527" t="s">
        <v>8637</v>
      </c>
    </row>
    <row r="22528" spans="1:2" x14ac:dyDescent="0.25">
      <c r="A22528">
        <v>54072000213</v>
      </c>
      <c r="B22528" t="s">
        <v>8638</v>
      </c>
    </row>
    <row r="22529" spans="1:2" x14ac:dyDescent="0.25">
      <c r="A22529">
        <v>54072000219</v>
      </c>
      <c r="B22529" t="s">
        <v>10</v>
      </c>
    </row>
    <row r="22530" spans="1:2" x14ac:dyDescent="0.25">
      <c r="A22530">
        <v>5407200029</v>
      </c>
      <c r="B22530" t="s">
        <v>10</v>
      </c>
    </row>
    <row r="22531" spans="1:2" x14ac:dyDescent="0.25">
      <c r="A22531">
        <v>54072000291</v>
      </c>
      <c r="B22531" t="s">
        <v>8636</v>
      </c>
    </row>
    <row r="22532" spans="1:2" x14ac:dyDescent="0.25">
      <c r="A22532">
        <v>54072000292</v>
      </c>
      <c r="B22532" t="s">
        <v>8637</v>
      </c>
    </row>
    <row r="22533" spans="1:2" x14ac:dyDescent="0.25">
      <c r="A22533">
        <v>54072000293</v>
      </c>
      <c r="B22533" t="s">
        <v>8638</v>
      </c>
    </row>
    <row r="22534" spans="1:2" x14ac:dyDescent="0.25">
      <c r="A22534">
        <v>54072000299</v>
      </c>
      <c r="B22534" t="s">
        <v>10</v>
      </c>
    </row>
    <row r="22535" spans="1:2" x14ac:dyDescent="0.25">
      <c r="A22535">
        <v>540720009</v>
      </c>
      <c r="B22535" t="s">
        <v>10</v>
      </c>
    </row>
    <row r="22536" spans="1:2" x14ac:dyDescent="0.25">
      <c r="A22536">
        <v>5407200091</v>
      </c>
      <c r="B22536" t="s">
        <v>8635</v>
      </c>
    </row>
    <row r="22537" spans="1:2" x14ac:dyDescent="0.25">
      <c r="A22537">
        <v>54072000911</v>
      </c>
      <c r="B22537" t="s">
        <v>8636</v>
      </c>
    </row>
    <row r="22538" spans="1:2" x14ac:dyDescent="0.25">
      <c r="A22538">
        <v>54072000912</v>
      </c>
      <c r="B22538" t="s">
        <v>8637</v>
      </c>
    </row>
    <row r="22539" spans="1:2" x14ac:dyDescent="0.25">
      <c r="A22539">
        <v>54072000913</v>
      </c>
      <c r="B22539" t="s">
        <v>8638</v>
      </c>
    </row>
    <row r="22540" spans="1:2" x14ac:dyDescent="0.25">
      <c r="A22540">
        <v>54072000919</v>
      </c>
      <c r="B22540" t="s">
        <v>10</v>
      </c>
    </row>
    <row r="22541" spans="1:2" x14ac:dyDescent="0.25">
      <c r="A22541">
        <v>5407200099</v>
      </c>
      <c r="B22541" t="s">
        <v>10</v>
      </c>
    </row>
    <row r="22542" spans="1:2" x14ac:dyDescent="0.25">
      <c r="A22542">
        <v>54072000991</v>
      </c>
      <c r="B22542" t="s">
        <v>8636</v>
      </c>
    </row>
    <row r="22543" spans="1:2" x14ac:dyDescent="0.25">
      <c r="A22543">
        <v>54072000992</v>
      </c>
      <c r="B22543" t="s">
        <v>8637</v>
      </c>
    </row>
    <row r="22544" spans="1:2" x14ac:dyDescent="0.25">
      <c r="A22544">
        <v>54072000993</v>
      </c>
      <c r="B22544" t="s">
        <v>8638</v>
      </c>
    </row>
    <row r="22545" spans="1:2" x14ac:dyDescent="0.25">
      <c r="A22545">
        <v>54072000999</v>
      </c>
      <c r="B22545" t="s">
        <v>10</v>
      </c>
    </row>
    <row r="22546" spans="1:2" x14ac:dyDescent="0.25">
      <c r="A22546">
        <v>54073000000</v>
      </c>
      <c r="B22546" t="s">
        <v>8639</v>
      </c>
    </row>
    <row r="22547" spans="1:2" x14ac:dyDescent="0.25">
      <c r="A22547">
        <v>54074</v>
      </c>
      <c r="B22547" t="s">
        <v>8640</v>
      </c>
    </row>
    <row r="22548" spans="1:2" x14ac:dyDescent="0.25">
      <c r="A22548">
        <v>54074100</v>
      </c>
      <c r="B22548" t="e">
        <f>- - crudos o Blanqueados</f>
        <v>#NAME?</v>
      </c>
    </row>
    <row r="22549" spans="1:2" x14ac:dyDescent="0.25">
      <c r="A22549">
        <v>540741001</v>
      </c>
      <c r="B22549" t="s">
        <v>8535</v>
      </c>
    </row>
    <row r="22550" spans="1:2" x14ac:dyDescent="0.25">
      <c r="A22550">
        <v>54074100110</v>
      </c>
      <c r="B22550" t="s">
        <v>8641</v>
      </c>
    </row>
    <row r="22551" spans="1:2" x14ac:dyDescent="0.25">
      <c r="A22551">
        <v>54074100120</v>
      </c>
      <c r="B22551" t="s">
        <v>8642</v>
      </c>
    </row>
    <row r="22552" spans="1:2" x14ac:dyDescent="0.25">
      <c r="A22552">
        <v>54074100130</v>
      </c>
      <c r="B22552" t="s">
        <v>8643</v>
      </c>
    </row>
    <row r="22553" spans="1:2" x14ac:dyDescent="0.25">
      <c r="A22553">
        <v>54074100140</v>
      </c>
      <c r="B22553" t="s">
        <v>8644</v>
      </c>
    </row>
    <row r="22554" spans="1:2" x14ac:dyDescent="0.25">
      <c r="A22554">
        <v>54074100150</v>
      </c>
      <c r="B22554" t="s">
        <v>8645</v>
      </c>
    </row>
    <row r="22555" spans="1:2" x14ac:dyDescent="0.25">
      <c r="A22555">
        <v>54074100190</v>
      </c>
      <c r="B22555" t="s">
        <v>57</v>
      </c>
    </row>
    <row r="22556" spans="1:2" x14ac:dyDescent="0.25">
      <c r="A22556">
        <v>540741002</v>
      </c>
      <c r="B22556" t="s">
        <v>8506</v>
      </c>
    </row>
    <row r="22557" spans="1:2" x14ac:dyDescent="0.25">
      <c r="A22557">
        <v>54074100210</v>
      </c>
      <c r="B22557" t="s">
        <v>8641</v>
      </c>
    </row>
    <row r="22558" spans="1:2" x14ac:dyDescent="0.25">
      <c r="A22558">
        <v>54074100220</v>
      </c>
      <c r="B22558" t="s">
        <v>8642</v>
      </c>
    </row>
    <row r="22559" spans="1:2" x14ac:dyDescent="0.25">
      <c r="A22559">
        <v>54074100230</v>
      </c>
      <c r="B22559" t="s">
        <v>8643</v>
      </c>
    </row>
    <row r="22560" spans="1:2" x14ac:dyDescent="0.25">
      <c r="A22560">
        <v>54074100240</v>
      </c>
      <c r="B22560" t="s">
        <v>8644</v>
      </c>
    </row>
    <row r="22561" spans="1:2" x14ac:dyDescent="0.25">
      <c r="A22561">
        <v>54074100250</v>
      </c>
      <c r="B22561" t="s">
        <v>8645</v>
      </c>
    </row>
    <row r="22562" spans="1:2" x14ac:dyDescent="0.25">
      <c r="A22562">
        <v>54074100290</v>
      </c>
      <c r="B22562" t="s">
        <v>57</v>
      </c>
    </row>
    <row r="22563" spans="1:2" x14ac:dyDescent="0.25">
      <c r="A22563">
        <v>540741003</v>
      </c>
      <c r="B22563" t="s">
        <v>8498</v>
      </c>
    </row>
    <row r="22564" spans="1:2" x14ac:dyDescent="0.25">
      <c r="A22564">
        <v>54074100310</v>
      </c>
      <c r="B22564" t="s">
        <v>8641</v>
      </c>
    </row>
    <row r="22565" spans="1:2" x14ac:dyDescent="0.25">
      <c r="A22565">
        <v>54074100320</v>
      </c>
      <c r="B22565" t="s">
        <v>8642</v>
      </c>
    </row>
    <row r="22566" spans="1:2" x14ac:dyDescent="0.25">
      <c r="A22566">
        <v>54074100330</v>
      </c>
      <c r="B22566" t="s">
        <v>8643</v>
      </c>
    </row>
    <row r="22567" spans="1:2" x14ac:dyDescent="0.25">
      <c r="A22567">
        <v>54074100340</v>
      </c>
      <c r="B22567" t="s">
        <v>8644</v>
      </c>
    </row>
    <row r="22568" spans="1:2" x14ac:dyDescent="0.25">
      <c r="A22568">
        <v>54074100350</v>
      </c>
      <c r="B22568" t="s">
        <v>8645</v>
      </c>
    </row>
    <row r="22569" spans="1:2" x14ac:dyDescent="0.25">
      <c r="A22569">
        <v>54074100390</v>
      </c>
      <c r="B22569" t="s">
        <v>57</v>
      </c>
    </row>
    <row r="22570" spans="1:2" x14ac:dyDescent="0.25">
      <c r="A22570">
        <v>540741009</v>
      </c>
      <c r="B22570" t="s">
        <v>8500</v>
      </c>
    </row>
    <row r="22571" spans="1:2" x14ac:dyDescent="0.25">
      <c r="A22571">
        <v>54074100910</v>
      </c>
      <c r="B22571" t="s">
        <v>8641</v>
      </c>
    </row>
    <row r="22572" spans="1:2" x14ac:dyDescent="0.25">
      <c r="A22572">
        <v>54074100920</v>
      </c>
      <c r="B22572" t="s">
        <v>8642</v>
      </c>
    </row>
    <row r="22573" spans="1:2" x14ac:dyDescent="0.25">
      <c r="A22573">
        <v>54074100930</v>
      </c>
      <c r="B22573" t="s">
        <v>8643</v>
      </c>
    </row>
    <row r="22574" spans="1:2" x14ac:dyDescent="0.25">
      <c r="A22574">
        <v>54074100940</v>
      </c>
      <c r="B22574" t="s">
        <v>8644</v>
      </c>
    </row>
    <row r="22575" spans="1:2" x14ac:dyDescent="0.25">
      <c r="A22575">
        <v>54074100950</v>
      </c>
      <c r="B22575" t="s">
        <v>8645</v>
      </c>
    </row>
    <row r="22576" spans="1:2" x14ac:dyDescent="0.25">
      <c r="A22576">
        <v>54074100990</v>
      </c>
      <c r="B22576" t="s">
        <v>57</v>
      </c>
    </row>
    <row r="22577" spans="1:2" x14ac:dyDescent="0.25">
      <c r="A22577">
        <v>54074200</v>
      </c>
      <c r="B22577" t="e">
        <f>- - Teñidos</f>
        <v>#NAME?</v>
      </c>
    </row>
    <row r="22578" spans="1:2" x14ac:dyDescent="0.25">
      <c r="A22578">
        <v>540742001</v>
      </c>
      <c r="B22578" t="s">
        <v>8535</v>
      </c>
    </row>
    <row r="22579" spans="1:2" x14ac:dyDescent="0.25">
      <c r="A22579">
        <v>5407420011</v>
      </c>
      <c r="B22579" t="s">
        <v>8641</v>
      </c>
    </row>
    <row r="22580" spans="1:2" x14ac:dyDescent="0.25">
      <c r="A22580">
        <v>54074200111</v>
      </c>
      <c r="B22580" t="s">
        <v>8584</v>
      </c>
    </row>
    <row r="22581" spans="1:2" x14ac:dyDescent="0.25">
      <c r="A22581">
        <v>54074200119</v>
      </c>
      <c r="B22581" t="s">
        <v>57</v>
      </c>
    </row>
    <row r="22582" spans="1:2" x14ac:dyDescent="0.25">
      <c r="A22582">
        <v>5407420012</v>
      </c>
      <c r="B22582" t="s">
        <v>8642</v>
      </c>
    </row>
    <row r="22583" spans="1:2" x14ac:dyDescent="0.25">
      <c r="A22583">
        <v>54074200121</v>
      </c>
      <c r="B22583" t="s">
        <v>8584</v>
      </c>
    </row>
    <row r="22584" spans="1:2" x14ac:dyDescent="0.25">
      <c r="A22584">
        <v>54074200129</v>
      </c>
      <c r="B22584" t="s">
        <v>57</v>
      </c>
    </row>
    <row r="22585" spans="1:2" x14ac:dyDescent="0.25">
      <c r="A22585">
        <v>5407420013</v>
      </c>
      <c r="B22585" t="s">
        <v>8643</v>
      </c>
    </row>
    <row r="22586" spans="1:2" x14ac:dyDescent="0.25">
      <c r="A22586">
        <v>54074200131</v>
      </c>
      <c r="B22586" t="s">
        <v>8584</v>
      </c>
    </row>
    <row r="22587" spans="1:2" x14ac:dyDescent="0.25">
      <c r="A22587">
        <v>54074200139</v>
      </c>
      <c r="B22587" t="s">
        <v>57</v>
      </c>
    </row>
    <row r="22588" spans="1:2" x14ac:dyDescent="0.25">
      <c r="A22588">
        <v>5407420014</v>
      </c>
      <c r="B22588" t="s">
        <v>8644</v>
      </c>
    </row>
    <row r="22589" spans="1:2" x14ac:dyDescent="0.25">
      <c r="A22589">
        <v>54074200141</v>
      </c>
      <c r="B22589" t="s">
        <v>8584</v>
      </c>
    </row>
    <row r="22590" spans="1:2" x14ac:dyDescent="0.25">
      <c r="A22590">
        <v>54074200149</v>
      </c>
      <c r="B22590" t="s">
        <v>57</v>
      </c>
    </row>
    <row r="22591" spans="1:2" x14ac:dyDescent="0.25">
      <c r="A22591">
        <v>5407420015</v>
      </c>
      <c r="B22591" t="s">
        <v>8645</v>
      </c>
    </row>
    <row r="22592" spans="1:2" x14ac:dyDescent="0.25">
      <c r="A22592">
        <v>54074200151</v>
      </c>
      <c r="B22592" t="s">
        <v>8584</v>
      </c>
    </row>
    <row r="22593" spans="1:2" x14ac:dyDescent="0.25">
      <c r="A22593">
        <v>54074200159</v>
      </c>
      <c r="B22593" t="s">
        <v>57</v>
      </c>
    </row>
    <row r="22594" spans="1:2" x14ac:dyDescent="0.25">
      <c r="A22594">
        <v>5407420019</v>
      </c>
      <c r="B22594" t="s">
        <v>57</v>
      </c>
    </row>
    <row r="22595" spans="1:2" x14ac:dyDescent="0.25">
      <c r="A22595">
        <v>54074200191</v>
      </c>
      <c r="B22595" t="s">
        <v>8584</v>
      </c>
    </row>
    <row r="22596" spans="1:2" x14ac:dyDescent="0.25">
      <c r="A22596">
        <v>54074200199</v>
      </c>
      <c r="B22596" t="s">
        <v>57</v>
      </c>
    </row>
    <row r="22597" spans="1:2" x14ac:dyDescent="0.25">
      <c r="A22597">
        <v>540742002</v>
      </c>
      <c r="B22597" t="s">
        <v>8506</v>
      </c>
    </row>
    <row r="22598" spans="1:2" x14ac:dyDescent="0.25">
      <c r="A22598">
        <v>5407420021</v>
      </c>
      <c r="B22598" t="s">
        <v>8641</v>
      </c>
    </row>
    <row r="22599" spans="1:2" x14ac:dyDescent="0.25">
      <c r="A22599">
        <v>54074200211</v>
      </c>
      <c r="B22599" t="s">
        <v>8584</v>
      </c>
    </row>
    <row r="22600" spans="1:2" x14ac:dyDescent="0.25">
      <c r="A22600">
        <v>54074200219</v>
      </c>
      <c r="B22600" t="s">
        <v>57</v>
      </c>
    </row>
    <row r="22601" spans="1:2" x14ac:dyDescent="0.25">
      <c r="A22601">
        <v>5407420022</v>
      </c>
      <c r="B22601" t="s">
        <v>8642</v>
      </c>
    </row>
    <row r="22602" spans="1:2" x14ac:dyDescent="0.25">
      <c r="A22602">
        <v>54074200221</v>
      </c>
      <c r="B22602" t="s">
        <v>8584</v>
      </c>
    </row>
    <row r="22603" spans="1:2" x14ac:dyDescent="0.25">
      <c r="A22603">
        <v>54074200229</v>
      </c>
      <c r="B22603" t="s">
        <v>57</v>
      </c>
    </row>
    <row r="22604" spans="1:2" x14ac:dyDescent="0.25">
      <c r="A22604">
        <v>5407420023</v>
      </c>
      <c r="B22604" t="s">
        <v>8643</v>
      </c>
    </row>
    <row r="22605" spans="1:2" x14ac:dyDescent="0.25">
      <c r="A22605">
        <v>54074200231</v>
      </c>
      <c r="B22605" t="s">
        <v>8584</v>
      </c>
    </row>
    <row r="22606" spans="1:2" x14ac:dyDescent="0.25">
      <c r="A22606">
        <v>54074200239</v>
      </c>
      <c r="B22606" t="s">
        <v>57</v>
      </c>
    </row>
    <row r="22607" spans="1:2" x14ac:dyDescent="0.25">
      <c r="A22607">
        <v>5407420024</v>
      </c>
      <c r="B22607" t="s">
        <v>8644</v>
      </c>
    </row>
    <row r="22608" spans="1:2" x14ac:dyDescent="0.25">
      <c r="A22608">
        <v>54074200241</v>
      </c>
      <c r="B22608" t="s">
        <v>8584</v>
      </c>
    </row>
    <row r="22609" spans="1:2" x14ac:dyDescent="0.25">
      <c r="A22609">
        <v>54074200249</v>
      </c>
      <c r="B22609" t="s">
        <v>57</v>
      </c>
    </row>
    <row r="22610" spans="1:2" x14ac:dyDescent="0.25">
      <c r="A22610">
        <v>5407420025</v>
      </c>
      <c r="B22610" t="s">
        <v>8645</v>
      </c>
    </row>
    <row r="22611" spans="1:2" x14ac:dyDescent="0.25">
      <c r="A22611">
        <v>54074200251</v>
      </c>
      <c r="B22611" t="s">
        <v>8584</v>
      </c>
    </row>
    <row r="22612" spans="1:2" x14ac:dyDescent="0.25">
      <c r="A22612">
        <v>54074200259</v>
      </c>
      <c r="B22612" t="s">
        <v>57</v>
      </c>
    </row>
    <row r="22613" spans="1:2" x14ac:dyDescent="0.25">
      <c r="A22613">
        <v>5407420029</v>
      </c>
      <c r="B22613" t="s">
        <v>57</v>
      </c>
    </row>
    <row r="22614" spans="1:2" x14ac:dyDescent="0.25">
      <c r="A22614">
        <v>54074200291</v>
      </c>
      <c r="B22614" t="s">
        <v>8584</v>
      </c>
    </row>
    <row r="22615" spans="1:2" x14ac:dyDescent="0.25">
      <c r="A22615">
        <v>54074200299</v>
      </c>
      <c r="B22615" t="s">
        <v>57</v>
      </c>
    </row>
    <row r="22616" spans="1:2" x14ac:dyDescent="0.25">
      <c r="A22616">
        <v>540742003</v>
      </c>
      <c r="B22616" t="s">
        <v>8498</v>
      </c>
    </row>
    <row r="22617" spans="1:2" x14ac:dyDescent="0.25">
      <c r="A22617">
        <v>5407420031</v>
      </c>
      <c r="B22617" t="s">
        <v>8641</v>
      </c>
    </row>
    <row r="22618" spans="1:2" x14ac:dyDescent="0.25">
      <c r="A22618">
        <v>54074200311</v>
      </c>
      <c r="B22618" t="s">
        <v>8584</v>
      </c>
    </row>
    <row r="22619" spans="1:2" x14ac:dyDescent="0.25">
      <c r="A22619">
        <v>54074200319</v>
      </c>
      <c r="B22619" t="s">
        <v>57</v>
      </c>
    </row>
    <row r="22620" spans="1:2" x14ac:dyDescent="0.25">
      <c r="A22620">
        <v>5407420032</v>
      </c>
      <c r="B22620" t="s">
        <v>8642</v>
      </c>
    </row>
    <row r="22621" spans="1:2" x14ac:dyDescent="0.25">
      <c r="A22621">
        <v>54074200321</v>
      </c>
      <c r="B22621" t="s">
        <v>8584</v>
      </c>
    </row>
    <row r="22622" spans="1:2" x14ac:dyDescent="0.25">
      <c r="A22622">
        <v>54074200329</v>
      </c>
      <c r="B22622" t="s">
        <v>57</v>
      </c>
    </row>
    <row r="22623" spans="1:2" x14ac:dyDescent="0.25">
      <c r="A22623">
        <v>5407420033</v>
      </c>
      <c r="B22623" t="s">
        <v>8643</v>
      </c>
    </row>
    <row r="22624" spans="1:2" x14ac:dyDescent="0.25">
      <c r="A22624">
        <v>54074200331</v>
      </c>
      <c r="B22624" t="s">
        <v>8584</v>
      </c>
    </row>
    <row r="22625" spans="1:2" x14ac:dyDescent="0.25">
      <c r="A22625">
        <v>54074200339</v>
      </c>
      <c r="B22625" t="s">
        <v>57</v>
      </c>
    </row>
    <row r="22626" spans="1:2" x14ac:dyDescent="0.25">
      <c r="A22626">
        <v>5407420034</v>
      </c>
      <c r="B22626" t="s">
        <v>8644</v>
      </c>
    </row>
    <row r="22627" spans="1:2" x14ac:dyDescent="0.25">
      <c r="A22627">
        <v>54074200341</v>
      </c>
      <c r="B22627" t="s">
        <v>8584</v>
      </c>
    </row>
    <row r="22628" spans="1:2" x14ac:dyDescent="0.25">
      <c r="A22628">
        <v>54074200349</v>
      </c>
      <c r="B22628" t="s">
        <v>57</v>
      </c>
    </row>
    <row r="22629" spans="1:2" x14ac:dyDescent="0.25">
      <c r="A22629">
        <v>5407420035</v>
      </c>
      <c r="B22629" t="s">
        <v>8645</v>
      </c>
    </row>
    <row r="22630" spans="1:2" x14ac:dyDescent="0.25">
      <c r="A22630">
        <v>54074200351</v>
      </c>
      <c r="B22630" t="s">
        <v>8584</v>
      </c>
    </row>
    <row r="22631" spans="1:2" x14ac:dyDescent="0.25">
      <c r="A22631">
        <v>54074200359</v>
      </c>
      <c r="B22631" t="s">
        <v>57</v>
      </c>
    </row>
    <row r="22632" spans="1:2" x14ac:dyDescent="0.25">
      <c r="A22632">
        <v>5407420039</v>
      </c>
      <c r="B22632" t="s">
        <v>57</v>
      </c>
    </row>
    <row r="22633" spans="1:2" x14ac:dyDescent="0.25">
      <c r="A22633">
        <v>54074200391</v>
      </c>
      <c r="B22633" t="s">
        <v>8584</v>
      </c>
    </row>
    <row r="22634" spans="1:2" x14ac:dyDescent="0.25">
      <c r="A22634">
        <v>54074200399</v>
      </c>
      <c r="B22634" t="s">
        <v>57</v>
      </c>
    </row>
    <row r="22635" spans="1:2" x14ac:dyDescent="0.25">
      <c r="A22635">
        <v>540742009</v>
      </c>
      <c r="B22635" t="s">
        <v>8500</v>
      </c>
    </row>
    <row r="22636" spans="1:2" x14ac:dyDescent="0.25">
      <c r="A22636">
        <v>5407420091</v>
      </c>
      <c r="B22636" t="s">
        <v>8641</v>
      </c>
    </row>
    <row r="22637" spans="1:2" x14ac:dyDescent="0.25">
      <c r="A22637">
        <v>54074200911</v>
      </c>
      <c r="B22637" t="s">
        <v>8584</v>
      </c>
    </row>
    <row r="22638" spans="1:2" x14ac:dyDescent="0.25">
      <c r="A22638">
        <v>54074200919</v>
      </c>
      <c r="B22638" t="s">
        <v>57</v>
      </c>
    </row>
    <row r="22639" spans="1:2" x14ac:dyDescent="0.25">
      <c r="A22639">
        <v>5407420092</v>
      </c>
      <c r="B22639" t="s">
        <v>8642</v>
      </c>
    </row>
    <row r="22640" spans="1:2" x14ac:dyDescent="0.25">
      <c r="A22640">
        <v>54074200921</v>
      </c>
      <c r="B22640" t="s">
        <v>8584</v>
      </c>
    </row>
    <row r="22641" spans="1:2" x14ac:dyDescent="0.25">
      <c r="A22641">
        <v>54074200929</v>
      </c>
      <c r="B22641" t="s">
        <v>57</v>
      </c>
    </row>
    <row r="22642" spans="1:2" x14ac:dyDescent="0.25">
      <c r="A22642">
        <v>5407420093</v>
      </c>
      <c r="B22642" t="s">
        <v>8643</v>
      </c>
    </row>
    <row r="22643" spans="1:2" x14ac:dyDescent="0.25">
      <c r="A22643">
        <v>54074200931</v>
      </c>
      <c r="B22643" t="s">
        <v>8584</v>
      </c>
    </row>
    <row r="22644" spans="1:2" x14ac:dyDescent="0.25">
      <c r="A22644">
        <v>54074200939</v>
      </c>
      <c r="B22644" t="s">
        <v>57</v>
      </c>
    </row>
    <row r="22645" spans="1:2" x14ac:dyDescent="0.25">
      <c r="A22645">
        <v>5407420094</v>
      </c>
      <c r="B22645" t="s">
        <v>8644</v>
      </c>
    </row>
    <row r="22646" spans="1:2" x14ac:dyDescent="0.25">
      <c r="A22646">
        <v>54074200941</v>
      </c>
      <c r="B22646" t="s">
        <v>8584</v>
      </c>
    </row>
    <row r="22647" spans="1:2" x14ac:dyDescent="0.25">
      <c r="A22647">
        <v>54074200949</v>
      </c>
      <c r="B22647" t="s">
        <v>57</v>
      </c>
    </row>
    <row r="22648" spans="1:2" x14ac:dyDescent="0.25">
      <c r="A22648">
        <v>5407420095</v>
      </c>
      <c r="B22648" t="s">
        <v>8645</v>
      </c>
    </row>
    <row r="22649" spans="1:2" x14ac:dyDescent="0.25">
      <c r="A22649">
        <v>54074200951</v>
      </c>
      <c r="B22649" t="s">
        <v>8584</v>
      </c>
    </row>
    <row r="22650" spans="1:2" x14ac:dyDescent="0.25">
      <c r="A22650">
        <v>54074200959</v>
      </c>
      <c r="B22650" t="s">
        <v>57</v>
      </c>
    </row>
    <row r="22651" spans="1:2" x14ac:dyDescent="0.25">
      <c r="A22651">
        <v>5407420099</v>
      </c>
      <c r="B22651" t="s">
        <v>57</v>
      </c>
    </row>
    <row r="22652" spans="1:2" x14ac:dyDescent="0.25">
      <c r="A22652">
        <v>54074200991</v>
      </c>
      <c r="B22652" t="s">
        <v>8584</v>
      </c>
    </row>
    <row r="22653" spans="1:2" x14ac:dyDescent="0.25">
      <c r="A22653">
        <v>54074200999</v>
      </c>
      <c r="B22653" t="s">
        <v>57</v>
      </c>
    </row>
    <row r="22654" spans="1:2" x14ac:dyDescent="0.25">
      <c r="A22654">
        <v>54074300</v>
      </c>
      <c r="B22654" t="e">
        <f>- - Con hilados de distintos colores</f>
        <v>#NAME?</v>
      </c>
    </row>
    <row r="22655" spans="1:2" x14ac:dyDescent="0.25">
      <c r="A22655">
        <v>540743001</v>
      </c>
      <c r="B22655" t="s">
        <v>8535</v>
      </c>
    </row>
    <row r="22656" spans="1:2" x14ac:dyDescent="0.25">
      <c r="A22656">
        <v>54074300110</v>
      </c>
      <c r="B22656" t="s">
        <v>8641</v>
      </c>
    </row>
    <row r="22657" spans="1:2" x14ac:dyDescent="0.25">
      <c r="A22657">
        <v>54074300120</v>
      </c>
      <c r="B22657" t="s">
        <v>8642</v>
      </c>
    </row>
    <row r="22658" spans="1:2" x14ac:dyDescent="0.25">
      <c r="A22658">
        <v>54074300130</v>
      </c>
      <c r="B22658" t="s">
        <v>8643</v>
      </c>
    </row>
    <row r="22659" spans="1:2" x14ac:dyDescent="0.25">
      <c r="A22659">
        <v>54074300140</v>
      </c>
      <c r="B22659" t="s">
        <v>8644</v>
      </c>
    </row>
    <row r="22660" spans="1:2" x14ac:dyDescent="0.25">
      <c r="A22660">
        <v>54074300150</v>
      </c>
      <c r="B22660" t="s">
        <v>8645</v>
      </c>
    </row>
    <row r="22661" spans="1:2" x14ac:dyDescent="0.25">
      <c r="A22661">
        <v>54074300190</v>
      </c>
      <c r="B22661" t="s">
        <v>57</v>
      </c>
    </row>
    <row r="22662" spans="1:2" x14ac:dyDescent="0.25">
      <c r="A22662">
        <v>540743002</v>
      </c>
      <c r="B22662" t="s">
        <v>8506</v>
      </c>
    </row>
    <row r="22663" spans="1:2" x14ac:dyDescent="0.25">
      <c r="A22663">
        <v>54074300210</v>
      </c>
      <c r="B22663" t="s">
        <v>8641</v>
      </c>
    </row>
    <row r="22664" spans="1:2" x14ac:dyDescent="0.25">
      <c r="A22664">
        <v>54074300220</v>
      </c>
      <c r="B22664" t="s">
        <v>8642</v>
      </c>
    </row>
    <row r="22665" spans="1:2" x14ac:dyDescent="0.25">
      <c r="A22665">
        <v>54074300230</v>
      </c>
      <c r="B22665" t="s">
        <v>8643</v>
      </c>
    </row>
    <row r="22666" spans="1:2" x14ac:dyDescent="0.25">
      <c r="A22666">
        <v>54074300240</v>
      </c>
      <c r="B22666" t="s">
        <v>8644</v>
      </c>
    </row>
    <row r="22667" spans="1:2" x14ac:dyDescent="0.25">
      <c r="A22667">
        <v>54074300250</v>
      </c>
      <c r="B22667" t="s">
        <v>8645</v>
      </c>
    </row>
    <row r="22668" spans="1:2" x14ac:dyDescent="0.25">
      <c r="A22668">
        <v>54074300290</v>
      </c>
      <c r="B22668" t="s">
        <v>57</v>
      </c>
    </row>
    <row r="22669" spans="1:2" x14ac:dyDescent="0.25">
      <c r="A22669">
        <v>540743003</v>
      </c>
      <c r="B22669" t="s">
        <v>8646</v>
      </c>
    </row>
    <row r="22670" spans="1:2" x14ac:dyDescent="0.25">
      <c r="A22670">
        <v>54074300310</v>
      </c>
      <c r="B22670" t="s">
        <v>8641</v>
      </c>
    </row>
    <row r="22671" spans="1:2" x14ac:dyDescent="0.25">
      <c r="A22671">
        <v>54074300320</v>
      </c>
      <c r="B22671" t="s">
        <v>8642</v>
      </c>
    </row>
    <row r="22672" spans="1:2" x14ac:dyDescent="0.25">
      <c r="A22672">
        <v>54074300330</v>
      </c>
      <c r="B22672" t="s">
        <v>8643</v>
      </c>
    </row>
    <row r="22673" spans="1:2" x14ac:dyDescent="0.25">
      <c r="A22673">
        <v>54074300340</v>
      </c>
      <c r="B22673" t="s">
        <v>8644</v>
      </c>
    </row>
    <row r="22674" spans="1:2" x14ac:dyDescent="0.25">
      <c r="A22674">
        <v>54074300350</v>
      </c>
      <c r="B22674" t="s">
        <v>8645</v>
      </c>
    </row>
    <row r="22675" spans="1:2" x14ac:dyDescent="0.25">
      <c r="A22675">
        <v>54074300390</v>
      </c>
      <c r="B22675" t="s">
        <v>57</v>
      </c>
    </row>
    <row r="22676" spans="1:2" x14ac:dyDescent="0.25">
      <c r="A22676">
        <v>540743009</v>
      </c>
      <c r="B22676" t="s">
        <v>8500</v>
      </c>
    </row>
    <row r="22677" spans="1:2" x14ac:dyDescent="0.25">
      <c r="A22677">
        <v>54074300910</v>
      </c>
      <c r="B22677" t="s">
        <v>8641</v>
      </c>
    </row>
    <row r="22678" spans="1:2" x14ac:dyDescent="0.25">
      <c r="A22678">
        <v>54074300920</v>
      </c>
      <c r="B22678" t="s">
        <v>8642</v>
      </c>
    </row>
    <row r="22679" spans="1:2" x14ac:dyDescent="0.25">
      <c r="A22679">
        <v>54074300930</v>
      </c>
      <c r="B22679" t="s">
        <v>8643</v>
      </c>
    </row>
    <row r="22680" spans="1:2" x14ac:dyDescent="0.25">
      <c r="A22680">
        <v>54074300940</v>
      </c>
      <c r="B22680" t="s">
        <v>8644</v>
      </c>
    </row>
    <row r="22681" spans="1:2" x14ac:dyDescent="0.25">
      <c r="A22681">
        <v>54074300950</v>
      </c>
      <c r="B22681" t="s">
        <v>8645</v>
      </c>
    </row>
    <row r="22682" spans="1:2" x14ac:dyDescent="0.25">
      <c r="A22682">
        <v>54074300990</v>
      </c>
      <c r="B22682" t="s">
        <v>57</v>
      </c>
    </row>
    <row r="22683" spans="1:2" x14ac:dyDescent="0.25">
      <c r="A22683">
        <v>54074400</v>
      </c>
      <c r="B22683" t="e">
        <f>- - Estampados</f>
        <v>#NAME?</v>
      </c>
    </row>
    <row r="22684" spans="1:2" x14ac:dyDescent="0.25">
      <c r="A22684">
        <v>540744001</v>
      </c>
      <c r="B22684" t="s">
        <v>8535</v>
      </c>
    </row>
    <row r="22685" spans="1:2" x14ac:dyDescent="0.25">
      <c r="A22685">
        <v>54074400110</v>
      </c>
      <c r="B22685" t="s">
        <v>8641</v>
      </c>
    </row>
    <row r="22686" spans="1:2" x14ac:dyDescent="0.25">
      <c r="A22686">
        <v>54074400120</v>
      </c>
      <c r="B22686" t="s">
        <v>8642</v>
      </c>
    </row>
    <row r="22687" spans="1:2" x14ac:dyDescent="0.25">
      <c r="A22687">
        <v>54074400130</v>
      </c>
      <c r="B22687" t="s">
        <v>8643</v>
      </c>
    </row>
    <row r="22688" spans="1:2" x14ac:dyDescent="0.25">
      <c r="A22688">
        <v>54074400140</v>
      </c>
      <c r="B22688" t="s">
        <v>8644</v>
      </c>
    </row>
    <row r="22689" spans="1:2" x14ac:dyDescent="0.25">
      <c r="A22689">
        <v>54074400150</v>
      </c>
      <c r="B22689" t="s">
        <v>8645</v>
      </c>
    </row>
    <row r="22690" spans="1:2" x14ac:dyDescent="0.25">
      <c r="A22690">
        <v>54074400190</v>
      </c>
      <c r="B22690" t="s">
        <v>57</v>
      </c>
    </row>
    <row r="22691" spans="1:2" x14ac:dyDescent="0.25">
      <c r="A22691">
        <v>540744002</v>
      </c>
      <c r="B22691" t="s">
        <v>8647</v>
      </c>
    </row>
    <row r="22692" spans="1:2" x14ac:dyDescent="0.25">
      <c r="A22692">
        <v>54074400210</v>
      </c>
      <c r="B22692" t="s">
        <v>8641</v>
      </c>
    </row>
    <row r="22693" spans="1:2" x14ac:dyDescent="0.25">
      <c r="A22693">
        <v>54074400220</v>
      </c>
      <c r="B22693" t="s">
        <v>8642</v>
      </c>
    </row>
    <row r="22694" spans="1:2" x14ac:dyDescent="0.25">
      <c r="A22694">
        <v>54074400230</v>
      </c>
      <c r="B22694" t="s">
        <v>8643</v>
      </c>
    </row>
    <row r="22695" spans="1:2" x14ac:dyDescent="0.25">
      <c r="A22695">
        <v>54074400240</v>
      </c>
      <c r="B22695" t="s">
        <v>8644</v>
      </c>
    </row>
    <row r="22696" spans="1:2" x14ac:dyDescent="0.25">
      <c r="A22696">
        <v>54074400250</v>
      </c>
      <c r="B22696" t="s">
        <v>8645</v>
      </c>
    </row>
    <row r="22697" spans="1:2" x14ac:dyDescent="0.25">
      <c r="A22697">
        <v>54074400290</v>
      </c>
      <c r="B22697" t="s">
        <v>57</v>
      </c>
    </row>
    <row r="22698" spans="1:2" x14ac:dyDescent="0.25">
      <c r="A22698">
        <v>540744003</v>
      </c>
      <c r="B22698" t="s">
        <v>8646</v>
      </c>
    </row>
    <row r="22699" spans="1:2" x14ac:dyDescent="0.25">
      <c r="A22699">
        <v>54074400310</v>
      </c>
      <c r="B22699" t="s">
        <v>8641</v>
      </c>
    </row>
    <row r="22700" spans="1:2" x14ac:dyDescent="0.25">
      <c r="A22700">
        <v>54074400320</v>
      </c>
      <c r="B22700" t="s">
        <v>8642</v>
      </c>
    </row>
    <row r="22701" spans="1:2" x14ac:dyDescent="0.25">
      <c r="A22701">
        <v>54074400330</v>
      </c>
      <c r="B22701" t="s">
        <v>8643</v>
      </c>
    </row>
    <row r="22702" spans="1:2" x14ac:dyDescent="0.25">
      <c r="A22702">
        <v>54074400340</v>
      </c>
      <c r="B22702" t="s">
        <v>8644</v>
      </c>
    </row>
    <row r="22703" spans="1:2" x14ac:dyDescent="0.25">
      <c r="A22703">
        <v>54074400350</v>
      </c>
      <c r="B22703" t="s">
        <v>8645</v>
      </c>
    </row>
    <row r="22704" spans="1:2" x14ac:dyDescent="0.25">
      <c r="A22704">
        <v>54074400390</v>
      </c>
      <c r="B22704" t="s">
        <v>57</v>
      </c>
    </row>
    <row r="22705" spans="1:2" x14ac:dyDescent="0.25">
      <c r="A22705">
        <v>540744009</v>
      </c>
      <c r="B22705" t="s">
        <v>8500</v>
      </c>
    </row>
    <row r="22706" spans="1:2" x14ac:dyDescent="0.25">
      <c r="A22706">
        <v>54074400910</v>
      </c>
      <c r="B22706" t="s">
        <v>8641</v>
      </c>
    </row>
    <row r="22707" spans="1:2" x14ac:dyDescent="0.25">
      <c r="A22707">
        <v>54074400920</v>
      </c>
      <c r="B22707" t="s">
        <v>8642</v>
      </c>
    </row>
    <row r="22708" spans="1:2" x14ac:dyDescent="0.25">
      <c r="A22708">
        <v>54074400930</v>
      </c>
      <c r="B22708" t="s">
        <v>8643</v>
      </c>
    </row>
    <row r="22709" spans="1:2" x14ac:dyDescent="0.25">
      <c r="A22709">
        <v>54074400940</v>
      </c>
      <c r="B22709" t="s">
        <v>8644</v>
      </c>
    </row>
    <row r="22710" spans="1:2" x14ac:dyDescent="0.25">
      <c r="A22710">
        <v>54074400950</v>
      </c>
      <c r="B22710" t="s">
        <v>8645</v>
      </c>
    </row>
    <row r="22711" spans="1:2" x14ac:dyDescent="0.25">
      <c r="A22711">
        <v>54074400990</v>
      </c>
      <c r="B22711" t="s">
        <v>57</v>
      </c>
    </row>
    <row r="22712" spans="1:2" x14ac:dyDescent="0.25">
      <c r="A22712">
        <v>54075</v>
      </c>
      <c r="B22712" t="s">
        <v>8648</v>
      </c>
    </row>
    <row r="22713" spans="1:2" x14ac:dyDescent="0.25">
      <c r="A22713">
        <v>54075100</v>
      </c>
      <c r="B22713" t="e">
        <f>- - crudos o Blanqueados</f>
        <v>#NAME?</v>
      </c>
    </row>
    <row r="22714" spans="1:2" x14ac:dyDescent="0.25">
      <c r="A22714">
        <v>540751001</v>
      </c>
      <c r="B22714" t="s">
        <v>8649</v>
      </c>
    </row>
    <row r="22715" spans="1:2" x14ac:dyDescent="0.25">
      <c r="A22715">
        <v>54075100110</v>
      </c>
      <c r="B22715" t="s">
        <v>8641</v>
      </c>
    </row>
    <row r="22716" spans="1:2" x14ac:dyDescent="0.25">
      <c r="A22716">
        <v>54075100120</v>
      </c>
      <c r="B22716" t="s">
        <v>8642</v>
      </c>
    </row>
    <row r="22717" spans="1:2" x14ac:dyDescent="0.25">
      <c r="A22717">
        <v>54075100130</v>
      </c>
      <c r="B22717" t="s">
        <v>8643</v>
      </c>
    </row>
    <row r="22718" spans="1:2" x14ac:dyDescent="0.25">
      <c r="A22718">
        <v>54075100140</v>
      </c>
      <c r="B22718" t="s">
        <v>8644</v>
      </c>
    </row>
    <row r="22719" spans="1:2" x14ac:dyDescent="0.25">
      <c r="A22719">
        <v>54075100150</v>
      </c>
      <c r="B22719" t="s">
        <v>8645</v>
      </c>
    </row>
    <row r="22720" spans="1:2" x14ac:dyDescent="0.25">
      <c r="A22720">
        <v>54075100190</v>
      </c>
      <c r="B22720" t="s">
        <v>57</v>
      </c>
    </row>
    <row r="22721" spans="1:2" x14ac:dyDescent="0.25">
      <c r="A22721">
        <v>540751002</v>
      </c>
      <c r="B22721" t="s">
        <v>8506</v>
      </c>
    </row>
    <row r="22722" spans="1:2" x14ac:dyDescent="0.25">
      <c r="A22722">
        <v>54075100210</v>
      </c>
      <c r="B22722" t="s">
        <v>8641</v>
      </c>
    </row>
    <row r="22723" spans="1:2" x14ac:dyDescent="0.25">
      <c r="A22723">
        <v>54075100220</v>
      </c>
      <c r="B22723" t="s">
        <v>8642</v>
      </c>
    </row>
    <row r="22724" spans="1:2" x14ac:dyDescent="0.25">
      <c r="A22724">
        <v>54075100230</v>
      </c>
      <c r="B22724" t="s">
        <v>8643</v>
      </c>
    </row>
    <row r="22725" spans="1:2" x14ac:dyDescent="0.25">
      <c r="A22725">
        <v>54075100240</v>
      </c>
      <c r="B22725" t="s">
        <v>8644</v>
      </c>
    </row>
    <row r="22726" spans="1:2" x14ac:dyDescent="0.25">
      <c r="A22726">
        <v>54075100250</v>
      </c>
      <c r="B22726" t="s">
        <v>8645</v>
      </c>
    </row>
    <row r="22727" spans="1:2" x14ac:dyDescent="0.25">
      <c r="A22727">
        <v>54075100290</v>
      </c>
      <c r="B22727" t="s">
        <v>57</v>
      </c>
    </row>
    <row r="22728" spans="1:2" x14ac:dyDescent="0.25">
      <c r="A22728">
        <v>540751003</v>
      </c>
      <c r="B22728" t="s">
        <v>8498</v>
      </c>
    </row>
    <row r="22729" spans="1:2" x14ac:dyDescent="0.25">
      <c r="A22729">
        <v>54075100310</v>
      </c>
      <c r="B22729" t="s">
        <v>8641</v>
      </c>
    </row>
    <row r="22730" spans="1:2" x14ac:dyDescent="0.25">
      <c r="A22730">
        <v>54075100320</v>
      </c>
      <c r="B22730" t="s">
        <v>8642</v>
      </c>
    </row>
    <row r="22731" spans="1:2" x14ac:dyDescent="0.25">
      <c r="A22731">
        <v>54075100330</v>
      </c>
      <c r="B22731" t="s">
        <v>8643</v>
      </c>
    </row>
    <row r="22732" spans="1:2" x14ac:dyDescent="0.25">
      <c r="A22732">
        <v>54075100340</v>
      </c>
      <c r="B22732" t="s">
        <v>8644</v>
      </c>
    </row>
    <row r="22733" spans="1:2" x14ac:dyDescent="0.25">
      <c r="A22733">
        <v>54075100350</v>
      </c>
      <c r="B22733" t="s">
        <v>8645</v>
      </c>
    </row>
    <row r="22734" spans="1:2" x14ac:dyDescent="0.25">
      <c r="A22734">
        <v>54075100390</v>
      </c>
      <c r="B22734" t="s">
        <v>57</v>
      </c>
    </row>
    <row r="22735" spans="1:2" x14ac:dyDescent="0.25">
      <c r="A22735">
        <v>540751009</v>
      </c>
      <c r="B22735" t="s">
        <v>8500</v>
      </c>
    </row>
    <row r="22736" spans="1:2" x14ac:dyDescent="0.25">
      <c r="A22736">
        <v>54075100910</v>
      </c>
      <c r="B22736" t="s">
        <v>8641</v>
      </c>
    </row>
    <row r="22737" spans="1:2" x14ac:dyDescent="0.25">
      <c r="A22737">
        <v>54075100920</v>
      </c>
      <c r="B22737" t="s">
        <v>8642</v>
      </c>
    </row>
    <row r="22738" spans="1:2" x14ac:dyDescent="0.25">
      <c r="A22738">
        <v>54075100930</v>
      </c>
      <c r="B22738" t="s">
        <v>8643</v>
      </c>
    </row>
    <row r="22739" spans="1:2" x14ac:dyDescent="0.25">
      <c r="A22739">
        <v>54075100940</v>
      </c>
      <c r="B22739" t="s">
        <v>8644</v>
      </c>
    </row>
    <row r="22740" spans="1:2" x14ac:dyDescent="0.25">
      <c r="A22740">
        <v>54075100950</v>
      </c>
      <c r="B22740" t="s">
        <v>8645</v>
      </c>
    </row>
    <row r="22741" spans="1:2" x14ac:dyDescent="0.25">
      <c r="A22741">
        <v>54075100990</v>
      </c>
      <c r="B22741" t="s">
        <v>57</v>
      </c>
    </row>
    <row r="22742" spans="1:2" x14ac:dyDescent="0.25">
      <c r="A22742">
        <v>540752</v>
      </c>
      <c r="B22742" t="e">
        <f>- - Teñidos</f>
        <v>#NAME?</v>
      </c>
    </row>
    <row r="22743" spans="1:2" x14ac:dyDescent="0.25">
      <c r="A22743">
        <v>54075210</v>
      </c>
      <c r="B22743" t="s">
        <v>8633</v>
      </c>
    </row>
    <row r="22744" spans="1:2" x14ac:dyDescent="0.25">
      <c r="A22744">
        <v>540752101</v>
      </c>
      <c r="B22744" t="s">
        <v>8535</v>
      </c>
    </row>
    <row r="22745" spans="1:2" x14ac:dyDescent="0.25">
      <c r="A22745">
        <v>54075210110</v>
      </c>
      <c r="B22745" t="s">
        <v>8641</v>
      </c>
    </row>
    <row r="22746" spans="1:2" x14ac:dyDescent="0.25">
      <c r="A22746">
        <v>54075210120</v>
      </c>
      <c r="B22746" t="s">
        <v>8642</v>
      </c>
    </row>
    <row r="22747" spans="1:2" x14ac:dyDescent="0.25">
      <c r="A22747">
        <v>54075210130</v>
      </c>
      <c r="B22747" t="s">
        <v>8643</v>
      </c>
    </row>
    <row r="22748" spans="1:2" x14ac:dyDescent="0.25">
      <c r="A22748">
        <v>54075210140</v>
      </c>
      <c r="B22748" t="s">
        <v>8644</v>
      </c>
    </row>
    <row r="22749" spans="1:2" x14ac:dyDescent="0.25">
      <c r="A22749">
        <v>54075210150</v>
      </c>
      <c r="B22749" t="s">
        <v>8645</v>
      </c>
    </row>
    <row r="22750" spans="1:2" x14ac:dyDescent="0.25">
      <c r="A22750">
        <v>54075210190</v>
      </c>
      <c r="B22750" t="s">
        <v>57</v>
      </c>
    </row>
    <row r="22751" spans="1:2" x14ac:dyDescent="0.25">
      <c r="A22751">
        <v>540752102</v>
      </c>
      <c r="B22751" t="s">
        <v>8506</v>
      </c>
    </row>
    <row r="22752" spans="1:2" x14ac:dyDescent="0.25">
      <c r="A22752">
        <v>54075210210</v>
      </c>
      <c r="B22752" t="s">
        <v>8641</v>
      </c>
    </row>
    <row r="22753" spans="1:2" x14ac:dyDescent="0.25">
      <c r="A22753">
        <v>54075210220</v>
      </c>
      <c r="B22753" t="s">
        <v>8642</v>
      </c>
    </row>
    <row r="22754" spans="1:2" x14ac:dyDescent="0.25">
      <c r="A22754">
        <v>54075210230</v>
      </c>
      <c r="B22754" t="s">
        <v>8643</v>
      </c>
    </row>
    <row r="22755" spans="1:2" x14ac:dyDescent="0.25">
      <c r="A22755">
        <v>54075210240</v>
      </c>
      <c r="B22755" t="s">
        <v>8644</v>
      </c>
    </row>
    <row r="22756" spans="1:2" x14ac:dyDescent="0.25">
      <c r="A22756">
        <v>54075210250</v>
      </c>
      <c r="B22756" t="s">
        <v>8645</v>
      </c>
    </row>
    <row r="22757" spans="1:2" x14ac:dyDescent="0.25">
      <c r="A22757">
        <v>54075210290</v>
      </c>
      <c r="B22757" t="s">
        <v>57</v>
      </c>
    </row>
    <row r="22758" spans="1:2" x14ac:dyDescent="0.25">
      <c r="A22758">
        <v>540752103</v>
      </c>
      <c r="B22758" t="s">
        <v>8498</v>
      </c>
    </row>
    <row r="22759" spans="1:2" x14ac:dyDescent="0.25">
      <c r="A22759">
        <v>54075210310</v>
      </c>
      <c r="B22759" t="s">
        <v>8641</v>
      </c>
    </row>
    <row r="22760" spans="1:2" x14ac:dyDescent="0.25">
      <c r="A22760">
        <v>54075210320</v>
      </c>
      <c r="B22760" t="s">
        <v>8642</v>
      </c>
    </row>
    <row r="22761" spans="1:2" x14ac:dyDescent="0.25">
      <c r="A22761">
        <v>54075210330</v>
      </c>
      <c r="B22761" t="s">
        <v>8643</v>
      </c>
    </row>
    <row r="22762" spans="1:2" x14ac:dyDescent="0.25">
      <c r="A22762">
        <v>54075210340</v>
      </c>
      <c r="B22762" t="s">
        <v>8644</v>
      </c>
    </row>
    <row r="22763" spans="1:2" x14ac:dyDescent="0.25">
      <c r="A22763">
        <v>54075210350</v>
      </c>
      <c r="B22763" t="s">
        <v>8645</v>
      </c>
    </row>
    <row r="22764" spans="1:2" x14ac:dyDescent="0.25">
      <c r="A22764">
        <v>54075210390</v>
      </c>
      <c r="B22764" t="s">
        <v>57</v>
      </c>
    </row>
    <row r="22765" spans="1:2" x14ac:dyDescent="0.25">
      <c r="A22765">
        <v>540752109</v>
      </c>
      <c r="B22765" t="s">
        <v>8500</v>
      </c>
    </row>
    <row r="22766" spans="1:2" x14ac:dyDescent="0.25">
      <c r="A22766">
        <v>54075210910</v>
      </c>
      <c r="B22766" t="s">
        <v>8641</v>
      </c>
    </row>
    <row r="22767" spans="1:2" x14ac:dyDescent="0.25">
      <c r="A22767">
        <v>54075210920</v>
      </c>
      <c r="B22767" t="s">
        <v>8642</v>
      </c>
    </row>
    <row r="22768" spans="1:2" x14ac:dyDescent="0.25">
      <c r="A22768">
        <v>54075210930</v>
      </c>
      <c r="B22768" t="s">
        <v>8643</v>
      </c>
    </row>
    <row r="22769" spans="1:2" x14ac:dyDescent="0.25">
      <c r="A22769">
        <v>54075210940</v>
      </c>
      <c r="B22769" t="s">
        <v>8644</v>
      </c>
    </row>
    <row r="22770" spans="1:2" x14ac:dyDescent="0.25">
      <c r="A22770">
        <v>54075210950</v>
      </c>
      <c r="B22770" t="s">
        <v>8645</v>
      </c>
    </row>
    <row r="22771" spans="1:2" x14ac:dyDescent="0.25">
      <c r="A22771">
        <v>54075210990</v>
      </c>
      <c r="B22771" t="s">
        <v>57</v>
      </c>
    </row>
    <row r="22772" spans="1:2" x14ac:dyDescent="0.25">
      <c r="A22772">
        <v>54075220</v>
      </c>
      <c r="B22772" t="s">
        <v>8634</v>
      </c>
    </row>
    <row r="22773" spans="1:2" x14ac:dyDescent="0.25">
      <c r="A22773">
        <v>540752201</v>
      </c>
      <c r="B22773" t="s">
        <v>8535</v>
      </c>
    </row>
    <row r="22774" spans="1:2" x14ac:dyDescent="0.25">
      <c r="A22774">
        <v>54075220110</v>
      </c>
      <c r="B22774" t="s">
        <v>8641</v>
      </c>
    </row>
    <row r="22775" spans="1:2" x14ac:dyDescent="0.25">
      <c r="A22775">
        <v>54075220120</v>
      </c>
      <c r="B22775" t="s">
        <v>8642</v>
      </c>
    </row>
    <row r="22776" spans="1:2" x14ac:dyDescent="0.25">
      <c r="A22776">
        <v>54075220130</v>
      </c>
      <c r="B22776" t="s">
        <v>8643</v>
      </c>
    </row>
    <row r="22777" spans="1:2" x14ac:dyDescent="0.25">
      <c r="A22777">
        <v>54075220140</v>
      </c>
      <c r="B22777" t="s">
        <v>8644</v>
      </c>
    </row>
    <row r="22778" spans="1:2" x14ac:dyDescent="0.25">
      <c r="A22778">
        <v>54075220150</v>
      </c>
      <c r="B22778" t="s">
        <v>8645</v>
      </c>
    </row>
    <row r="22779" spans="1:2" x14ac:dyDescent="0.25">
      <c r="A22779">
        <v>54075220190</v>
      </c>
      <c r="B22779" t="s">
        <v>57</v>
      </c>
    </row>
    <row r="22780" spans="1:2" x14ac:dyDescent="0.25">
      <c r="A22780">
        <v>540752202</v>
      </c>
      <c r="B22780" t="s">
        <v>8506</v>
      </c>
    </row>
    <row r="22781" spans="1:2" x14ac:dyDescent="0.25">
      <c r="A22781">
        <v>54075220210</v>
      </c>
      <c r="B22781" t="s">
        <v>8641</v>
      </c>
    </row>
    <row r="22782" spans="1:2" x14ac:dyDescent="0.25">
      <c r="A22782">
        <v>54075220220</v>
      </c>
      <c r="B22782" t="s">
        <v>8642</v>
      </c>
    </row>
    <row r="22783" spans="1:2" x14ac:dyDescent="0.25">
      <c r="A22783">
        <v>54075220230</v>
      </c>
      <c r="B22783" t="s">
        <v>8643</v>
      </c>
    </row>
    <row r="22784" spans="1:2" x14ac:dyDescent="0.25">
      <c r="A22784">
        <v>54075220240</v>
      </c>
      <c r="B22784" t="s">
        <v>8644</v>
      </c>
    </row>
    <row r="22785" spans="1:2" x14ac:dyDescent="0.25">
      <c r="A22785">
        <v>54075220250</v>
      </c>
      <c r="B22785" t="s">
        <v>8645</v>
      </c>
    </row>
    <row r="22786" spans="1:2" x14ac:dyDescent="0.25">
      <c r="A22786">
        <v>54075220290</v>
      </c>
      <c r="B22786" t="s">
        <v>57</v>
      </c>
    </row>
    <row r="22787" spans="1:2" x14ac:dyDescent="0.25">
      <c r="A22787">
        <v>540752203</v>
      </c>
      <c r="B22787" t="s">
        <v>8498</v>
      </c>
    </row>
    <row r="22788" spans="1:2" x14ac:dyDescent="0.25">
      <c r="A22788">
        <v>54075220310</v>
      </c>
      <c r="B22788" t="s">
        <v>8641</v>
      </c>
    </row>
    <row r="22789" spans="1:2" x14ac:dyDescent="0.25">
      <c r="A22789">
        <v>54075220320</v>
      </c>
      <c r="B22789" t="s">
        <v>8642</v>
      </c>
    </row>
    <row r="22790" spans="1:2" x14ac:dyDescent="0.25">
      <c r="A22790">
        <v>54075220330</v>
      </c>
      <c r="B22790" t="s">
        <v>8643</v>
      </c>
    </row>
    <row r="22791" spans="1:2" x14ac:dyDescent="0.25">
      <c r="A22791">
        <v>54075220340</v>
      </c>
      <c r="B22791" t="s">
        <v>8644</v>
      </c>
    </row>
    <row r="22792" spans="1:2" x14ac:dyDescent="0.25">
      <c r="A22792">
        <v>54075220350</v>
      </c>
      <c r="B22792" t="s">
        <v>8645</v>
      </c>
    </row>
    <row r="22793" spans="1:2" x14ac:dyDescent="0.25">
      <c r="A22793">
        <v>54075220390</v>
      </c>
      <c r="B22793" t="s">
        <v>57</v>
      </c>
    </row>
    <row r="22794" spans="1:2" x14ac:dyDescent="0.25">
      <c r="A22794">
        <v>540752209</v>
      </c>
      <c r="B22794" t="s">
        <v>8500</v>
      </c>
    </row>
    <row r="22795" spans="1:2" x14ac:dyDescent="0.25">
      <c r="A22795">
        <v>54075220910</v>
      </c>
      <c r="B22795" t="s">
        <v>8641</v>
      </c>
    </row>
    <row r="22796" spans="1:2" x14ac:dyDescent="0.25">
      <c r="A22796">
        <v>54075220920</v>
      </c>
      <c r="B22796" t="s">
        <v>8642</v>
      </c>
    </row>
    <row r="22797" spans="1:2" x14ac:dyDescent="0.25">
      <c r="A22797">
        <v>54075220930</v>
      </c>
      <c r="B22797" t="s">
        <v>8643</v>
      </c>
    </row>
    <row r="22798" spans="1:2" x14ac:dyDescent="0.25">
      <c r="A22798">
        <v>54075220940</v>
      </c>
      <c r="B22798" t="s">
        <v>8644</v>
      </c>
    </row>
    <row r="22799" spans="1:2" x14ac:dyDescent="0.25">
      <c r="A22799">
        <v>54075220950</v>
      </c>
      <c r="B22799" t="s">
        <v>8645</v>
      </c>
    </row>
    <row r="22800" spans="1:2" x14ac:dyDescent="0.25">
      <c r="A22800">
        <v>54075220990</v>
      </c>
      <c r="B22800" t="s">
        <v>57</v>
      </c>
    </row>
    <row r="22801" spans="1:2" x14ac:dyDescent="0.25">
      <c r="A22801">
        <v>54075300</v>
      </c>
      <c r="B22801" t="e">
        <f>- - Con hilados de distintos colores</f>
        <v>#NAME?</v>
      </c>
    </row>
    <row r="22802" spans="1:2" x14ac:dyDescent="0.25">
      <c r="A22802">
        <v>540753001</v>
      </c>
      <c r="B22802" t="s">
        <v>8535</v>
      </c>
    </row>
    <row r="22803" spans="1:2" x14ac:dyDescent="0.25">
      <c r="A22803">
        <v>54075300110</v>
      </c>
      <c r="B22803" t="s">
        <v>8641</v>
      </c>
    </row>
    <row r="22804" spans="1:2" x14ac:dyDescent="0.25">
      <c r="A22804">
        <v>54075300120</v>
      </c>
      <c r="B22804" t="s">
        <v>8642</v>
      </c>
    </row>
    <row r="22805" spans="1:2" x14ac:dyDescent="0.25">
      <c r="A22805">
        <v>54075300130</v>
      </c>
      <c r="B22805" t="s">
        <v>8643</v>
      </c>
    </row>
    <row r="22806" spans="1:2" x14ac:dyDescent="0.25">
      <c r="A22806">
        <v>54075300140</v>
      </c>
      <c r="B22806" t="s">
        <v>8644</v>
      </c>
    </row>
    <row r="22807" spans="1:2" x14ac:dyDescent="0.25">
      <c r="A22807">
        <v>54075300150</v>
      </c>
      <c r="B22807" t="s">
        <v>8645</v>
      </c>
    </row>
    <row r="22808" spans="1:2" x14ac:dyDescent="0.25">
      <c r="A22808">
        <v>54075300190</v>
      </c>
      <c r="B22808" t="s">
        <v>10</v>
      </c>
    </row>
    <row r="22809" spans="1:2" x14ac:dyDescent="0.25">
      <c r="A22809">
        <v>540753002</v>
      </c>
      <c r="B22809" t="s">
        <v>8506</v>
      </c>
    </row>
    <row r="22810" spans="1:2" x14ac:dyDescent="0.25">
      <c r="A22810">
        <v>54075300210</v>
      </c>
      <c r="B22810" t="s">
        <v>8641</v>
      </c>
    </row>
    <row r="22811" spans="1:2" x14ac:dyDescent="0.25">
      <c r="A22811">
        <v>54075300220</v>
      </c>
      <c r="B22811" t="s">
        <v>8642</v>
      </c>
    </row>
    <row r="22812" spans="1:2" x14ac:dyDescent="0.25">
      <c r="A22812">
        <v>54075300230</v>
      </c>
      <c r="B22812" t="s">
        <v>8643</v>
      </c>
    </row>
    <row r="22813" spans="1:2" x14ac:dyDescent="0.25">
      <c r="A22813">
        <v>54075300240</v>
      </c>
      <c r="B22813" t="s">
        <v>8644</v>
      </c>
    </row>
    <row r="22814" spans="1:2" x14ac:dyDescent="0.25">
      <c r="A22814">
        <v>54075300250</v>
      </c>
      <c r="B22814" t="s">
        <v>8645</v>
      </c>
    </row>
    <row r="22815" spans="1:2" x14ac:dyDescent="0.25">
      <c r="A22815">
        <v>54075300290</v>
      </c>
      <c r="B22815" t="s">
        <v>57</v>
      </c>
    </row>
    <row r="22816" spans="1:2" x14ac:dyDescent="0.25">
      <c r="A22816">
        <v>540753003</v>
      </c>
      <c r="B22816" t="s">
        <v>8498</v>
      </c>
    </row>
    <row r="22817" spans="1:2" x14ac:dyDescent="0.25">
      <c r="A22817">
        <v>54075300310</v>
      </c>
      <c r="B22817" t="s">
        <v>8641</v>
      </c>
    </row>
    <row r="22818" spans="1:2" x14ac:dyDescent="0.25">
      <c r="A22818">
        <v>54075300320</v>
      </c>
      <c r="B22818" t="s">
        <v>8642</v>
      </c>
    </row>
    <row r="22819" spans="1:2" x14ac:dyDescent="0.25">
      <c r="A22819">
        <v>54075300330</v>
      </c>
      <c r="B22819" t="s">
        <v>8643</v>
      </c>
    </row>
    <row r="22820" spans="1:2" x14ac:dyDescent="0.25">
      <c r="A22820">
        <v>54075300340</v>
      </c>
      <c r="B22820" t="s">
        <v>8644</v>
      </c>
    </row>
    <row r="22821" spans="1:2" x14ac:dyDescent="0.25">
      <c r="A22821">
        <v>54075300350</v>
      </c>
      <c r="B22821" t="s">
        <v>8645</v>
      </c>
    </row>
    <row r="22822" spans="1:2" x14ac:dyDescent="0.25">
      <c r="A22822">
        <v>54075300390</v>
      </c>
      <c r="B22822" t="s">
        <v>57</v>
      </c>
    </row>
    <row r="22823" spans="1:2" x14ac:dyDescent="0.25">
      <c r="A22823">
        <v>540753009</v>
      </c>
      <c r="B22823" t="s">
        <v>8500</v>
      </c>
    </row>
    <row r="22824" spans="1:2" x14ac:dyDescent="0.25">
      <c r="A22824">
        <v>54075300910</v>
      </c>
      <c r="B22824" t="s">
        <v>8641</v>
      </c>
    </row>
    <row r="22825" spans="1:2" x14ac:dyDescent="0.25">
      <c r="A22825">
        <v>54075300920</v>
      </c>
      <c r="B22825" t="s">
        <v>8642</v>
      </c>
    </row>
    <row r="22826" spans="1:2" x14ac:dyDescent="0.25">
      <c r="A22826">
        <v>54075300930</v>
      </c>
      <c r="B22826" t="s">
        <v>8643</v>
      </c>
    </row>
    <row r="22827" spans="1:2" x14ac:dyDescent="0.25">
      <c r="A22827">
        <v>54075300940</v>
      </c>
      <c r="B22827" t="s">
        <v>8644</v>
      </c>
    </row>
    <row r="22828" spans="1:2" x14ac:dyDescent="0.25">
      <c r="A22828">
        <v>54075300950</v>
      </c>
      <c r="B22828" t="s">
        <v>8645</v>
      </c>
    </row>
    <row r="22829" spans="1:2" x14ac:dyDescent="0.25">
      <c r="A22829">
        <v>54075300990</v>
      </c>
      <c r="B22829" t="s">
        <v>57</v>
      </c>
    </row>
    <row r="22830" spans="1:2" x14ac:dyDescent="0.25">
      <c r="A22830">
        <v>54075400</v>
      </c>
      <c r="B22830" t="e">
        <f>- - Estampados</f>
        <v>#NAME?</v>
      </c>
    </row>
    <row r="22831" spans="1:2" x14ac:dyDescent="0.25">
      <c r="A22831">
        <v>540754001</v>
      </c>
      <c r="B22831" t="s">
        <v>8535</v>
      </c>
    </row>
    <row r="22832" spans="1:2" x14ac:dyDescent="0.25">
      <c r="A22832">
        <v>54075400110</v>
      </c>
      <c r="B22832" t="s">
        <v>8641</v>
      </c>
    </row>
    <row r="22833" spans="1:2" x14ac:dyDescent="0.25">
      <c r="A22833">
        <v>54075400120</v>
      </c>
      <c r="B22833" t="s">
        <v>8642</v>
      </c>
    </row>
    <row r="22834" spans="1:2" x14ac:dyDescent="0.25">
      <c r="A22834">
        <v>54075400130</v>
      </c>
      <c r="B22834" t="s">
        <v>8643</v>
      </c>
    </row>
    <row r="22835" spans="1:2" x14ac:dyDescent="0.25">
      <c r="A22835">
        <v>54075400140</v>
      </c>
      <c r="B22835" t="s">
        <v>8644</v>
      </c>
    </row>
    <row r="22836" spans="1:2" x14ac:dyDescent="0.25">
      <c r="A22836">
        <v>54075400150</v>
      </c>
      <c r="B22836" t="s">
        <v>8645</v>
      </c>
    </row>
    <row r="22837" spans="1:2" x14ac:dyDescent="0.25">
      <c r="A22837">
        <v>54075400190</v>
      </c>
      <c r="B22837" t="s">
        <v>57</v>
      </c>
    </row>
    <row r="22838" spans="1:2" x14ac:dyDescent="0.25">
      <c r="A22838">
        <v>540754002</v>
      </c>
      <c r="B22838" t="s">
        <v>8506</v>
      </c>
    </row>
    <row r="22839" spans="1:2" x14ac:dyDescent="0.25">
      <c r="A22839">
        <v>54075400210</v>
      </c>
      <c r="B22839" t="s">
        <v>8641</v>
      </c>
    </row>
    <row r="22840" spans="1:2" x14ac:dyDescent="0.25">
      <c r="A22840">
        <v>54075400220</v>
      </c>
      <c r="B22840" t="s">
        <v>8642</v>
      </c>
    </row>
    <row r="22841" spans="1:2" x14ac:dyDescent="0.25">
      <c r="A22841">
        <v>54075400230</v>
      </c>
      <c r="B22841" t="s">
        <v>8643</v>
      </c>
    </row>
    <row r="22842" spans="1:2" x14ac:dyDescent="0.25">
      <c r="A22842">
        <v>54075400240</v>
      </c>
      <c r="B22842" t="s">
        <v>8644</v>
      </c>
    </row>
    <row r="22843" spans="1:2" x14ac:dyDescent="0.25">
      <c r="A22843">
        <v>54075400250</v>
      </c>
      <c r="B22843" t="s">
        <v>8645</v>
      </c>
    </row>
    <row r="22844" spans="1:2" x14ac:dyDescent="0.25">
      <c r="A22844">
        <v>54075400290</v>
      </c>
      <c r="B22844" t="s">
        <v>57</v>
      </c>
    </row>
    <row r="22845" spans="1:2" x14ac:dyDescent="0.25">
      <c r="A22845">
        <v>540754003</v>
      </c>
      <c r="B22845" t="s">
        <v>8498</v>
      </c>
    </row>
    <row r="22846" spans="1:2" x14ac:dyDescent="0.25">
      <c r="A22846">
        <v>54075400310</v>
      </c>
      <c r="B22846" t="s">
        <v>8641</v>
      </c>
    </row>
    <row r="22847" spans="1:2" x14ac:dyDescent="0.25">
      <c r="A22847">
        <v>54075400320</v>
      </c>
      <c r="B22847" t="s">
        <v>8642</v>
      </c>
    </row>
    <row r="22848" spans="1:2" x14ac:dyDescent="0.25">
      <c r="A22848">
        <v>54075400330</v>
      </c>
      <c r="B22848" t="s">
        <v>8643</v>
      </c>
    </row>
    <row r="22849" spans="1:2" x14ac:dyDescent="0.25">
      <c r="A22849">
        <v>54075400340</v>
      </c>
      <c r="B22849" t="s">
        <v>8644</v>
      </c>
    </row>
    <row r="22850" spans="1:2" x14ac:dyDescent="0.25">
      <c r="A22850">
        <v>54075400350</v>
      </c>
      <c r="B22850" t="s">
        <v>8645</v>
      </c>
    </row>
    <row r="22851" spans="1:2" x14ac:dyDescent="0.25">
      <c r="A22851">
        <v>54075400390</v>
      </c>
      <c r="B22851" t="s">
        <v>57</v>
      </c>
    </row>
    <row r="22852" spans="1:2" x14ac:dyDescent="0.25">
      <c r="A22852">
        <v>540754009</v>
      </c>
      <c r="B22852" t="s">
        <v>8500</v>
      </c>
    </row>
    <row r="22853" spans="1:2" x14ac:dyDescent="0.25">
      <c r="A22853">
        <v>54075400910</v>
      </c>
      <c r="B22853" t="s">
        <v>8641</v>
      </c>
    </row>
    <row r="22854" spans="1:2" x14ac:dyDescent="0.25">
      <c r="A22854">
        <v>54075400920</v>
      </c>
      <c r="B22854" t="s">
        <v>8642</v>
      </c>
    </row>
    <row r="22855" spans="1:2" x14ac:dyDescent="0.25">
      <c r="A22855">
        <v>54075400930</v>
      </c>
      <c r="B22855" t="s">
        <v>8643</v>
      </c>
    </row>
    <row r="22856" spans="1:2" x14ac:dyDescent="0.25">
      <c r="A22856">
        <v>54075400940</v>
      </c>
      <c r="B22856" t="s">
        <v>8644</v>
      </c>
    </row>
    <row r="22857" spans="1:2" x14ac:dyDescent="0.25">
      <c r="A22857">
        <v>54075400950</v>
      </c>
      <c r="B22857" t="s">
        <v>8645</v>
      </c>
    </row>
    <row r="22858" spans="1:2" x14ac:dyDescent="0.25">
      <c r="A22858">
        <v>54075400990</v>
      </c>
      <c r="B22858" t="s">
        <v>57</v>
      </c>
    </row>
    <row r="22859" spans="1:2" x14ac:dyDescent="0.25">
      <c r="A22859">
        <v>54076</v>
      </c>
      <c r="B22859" t="s">
        <v>8650</v>
      </c>
    </row>
    <row r="22860" spans="1:2" x14ac:dyDescent="0.25">
      <c r="A22860">
        <v>54076100</v>
      </c>
      <c r="B22860" t="s">
        <v>8651</v>
      </c>
    </row>
    <row r="22861" spans="1:2" x14ac:dyDescent="0.25">
      <c r="A22861">
        <v>540761001</v>
      </c>
      <c r="B22861" t="s">
        <v>8652</v>
      </c>
    </row>
    <row r="22862" spans="1:2" x14ac:dyDescent="0.25">
      <c r="A22862">
        <v>5407610011</v>
      </c>
      <c r="B22862" t="s">
        <v>8653</v>
      </c>
    </row>
    <row r="22863" spans="1:2" x14ac:dyDescent="0.25">
      <c r="A22863">
        <v>54076100111</v>
      </c>
      <c r="B22863" t="s">
        <v>8641</v>
      </c>
    </row>
    <row r="22864" spans="1:2" x14ac:dyDescent="0.25">
      <c r="A22864">
        <v>54076100112</v>
      </c>
      <c r="B22864" t="s">
        <v>8642</v>
      </c>
    </row>
    <row r="22865" spans="1:2" x14ac:dyDescent="0.25">
      <c r="A22865">
        <v>54076100113</v>
      </c>
      <c r="B22865" t="s">
        <v>8643</v>
      </c>
    </row>
    <row r="22866" spans="1:2" x14ac:dyDescent="0.25">
      <c r="A22866">
        <v>54076100114</v>
      </c>
      <c r="B22866" t="s">
        <v>8644</v>
      </c>
    </row>
    <row r="22867" spans="1:2" x14ac:dyDescent="0.25">
      <c r="A22867">
        <v>54076100115</v>
      </c>
      <c r="B22867" t="s">
        <v>8645</v>
      </c>
    </row>
    <row r="22868" spans="1:2" x14ac:dyDescent="0.25">
      <c r="A22868">
        <v>54076100119</v>
      </c>
      <c r="B22868" t="s">
        <v>57</v>
      </c>
    </row>
    <row r="22869" spans="1:2" x14ac:dyDescent="0.25">
      <c r="A22869">
        <v>5407610012</v>
      </c>
      <c r="B22869" t="s">
        <v>8506</v>
      </c>
    </row>
    <row r="22870" spans="1:2" x14ac:dyDescent="0.25">
      <c r="A22870">
        <v>54076100121</v>
      </c>
      <c r="B22870" t="s">
        <v>8641</v>
      </c>
    </row>
    <row r="22871" spans="1:2" x14ac:dyDescent="0.25">
      <c r="A22871">
        <v>54076100122</v>
      </c>
      <c r="B22871" t="s">
        <v>8642</v>
      </c>
    </row>
    <row r="22872" spans="1:2" x14ac:dyDescent="0.25">
      <c r="A22872">
        <v>54076100123</v>
      </c>
      <c r="B22872" t="s">
        <v>8643</v>
      </c>
    </row>
    <row r="22873" spans="1:2" x14ac:dyDescent="0.25">
      <c r="A22873">
        <v>54076100124</v>
      </c>
      <c r="B22873" t="s">
        <v>8644</v>
      </c>
    </row>
    <row r="22874" spans="1:2" x14ac:dyDescent="0.25">
      <c r="A22874">
        <v>54076100125</v>
      </c>
      <c r="B22874" t="s">
        <v>8645</v>
      </c>
    </row>
    <row r="22875" spans="1:2" x14ac:dyDescent="0.25">
      <c r="A22875">
        <v>54076100129</v>
      </c>
      <c r="B22875" t="s">
        <v>57</v>
      </c>
    </row>
    <row r="22876" spans="1:2" x14ac:dyDescent="0.25">
      <c r="A22876">
        <v>5407610013</v>
      </c>
      <c r="B22876" t="s">
        <v>8498</v>
      </c>
    </row>
    <row r="22877" spans="1:2" x14ac:dyDescent="0.25">
      <c r="A22877">
        <v>54076100131</v>
      </c>
      <c r="B22877" t="s">
        <v>8641</v>
      </c>
    </row>
    <row r="22878" spans="1:2" x14ac:dyDescent="0.25">
      <c r="A22878">
        <v>54076100132</v>
      </c>
      <c r="B22878" t="s">
        <v>8642</v>
      </c>
    </row>
    <row r="22879" spans="1:2" x14ac:dyDescent="0.25">
      <c r="A22879">
        <v>54076100133</v>
      </c>
      <c r="B22879" t="s">
        <v>8643</v>
      </c>
    </row>
    <row r="22880" spans="1:2" x14ac:dyDescent="0.25">
      <c r="A22880">
        <v>54076100134</v>
      </c>
      <c r="B22880" t="s">
        <v>8644</v>
      </c>
    </row>
    <row r="22881" spans="1:2" x14ac:dyDescent="0.25">
      <c r="A22881">
        <v>54076100135</v>
      </c>
      <c r="B22881" t="s">
        <v>8645</v>
      </c>
    </row>
    <row r="22882" spans="1:2" x14ac:dyDescent="0.25">
      <c r="A22882">
        <v>54076100139</v>
      </c>
      <c r="B22882" t="s">
        <v>57</v>
      </c>
    </row>
    <row r="22883" spans="1:2" x14ac:dyDescent="0.25">
      <c r="A22883">
        <v>5407610014</v>
      </c>
      <c r="B22883" t="s">
        <v>8654</v>
      </c>
    </row>
    <row r="22884" spans="1:2" x14ac:dyDescent="0.25">
      <c r="A22884">
        <v>54076100141</v>
      </c>
      <c r="B22884" t="s">
        <v>8641</v>
      </c>
    </row>
    <row r="22885" spans="1:2" x14ac:dyDescent="0.25">
      <c r="A22885">
        <v>54076100142</v>
      </c>
      <c r="B22885" t="s">
        <v>8642</v>
      </c>
    </row>
    <row r="22886" spans="1:2" x14ac:dyDescent="0.25">
      <c r="A22886">
        <v>54076100143</v>
      </c>
      <c r="B22886" t="s">
        <v>8643</v>
      </c>
    </row>
    <row r="22887" spans="1:2" x14ac:dyDescent="0.25">
      <c r="A22887">
        <v>54076100144</v>
      </c>
      <c r="B22887" t="s">
        <v>8644</v>
      </c>
    </row>
    <row r="22888" spans="1:2" x14ac:dyDescent="0.25">
      <c r="A22888">
        <v>54076100145</v>
      </c>
      <c r="B22888" t="s">
        <v>8645</v>
      </c>
    </row>
    <row r="22889" spans="1:2" x14ac:dyDescent="0.25">
      <c r="A22889">
        <v>54076100149</v>
      </c>
      <c r="B22889" t="s">
        <v>10</v>
      </c>
    </row>
    <row r="22890" spans="1:2" x14ac:dyDescent="0.25">
      <c r="A22890">
        <v>5407610019</v>
      </c>
      <c r="B22890" t="s">
        <v>8500</v>
      </c>
    </row>
    <row r="22891" spans="1:2" x14ac:dyDescent="0.25">
      <c r="A22891">
        <v>54076100191</v>
      </c>
      <c r="B22891" t="s">
        <v>8641</v>
      </c>
    </row>
    <row r="22892" spans="1:2" x14ac:dyDescent="0.25">
      <c r="A22892">
        <v>54076100192</v>
      </c>
      <c r="B22892" t="s">
        <v>8642</v>
      </c>
    </row>
    <row r="22893" spans="1:2" x14ac:dyDescent="0.25">
      <c r="A22893">
        <v>54076100193</v>
      </c>
      <c r="B22893" t="s">
        <v>8643</v>
      </c>
    </row>
    <row r="22894" spans="1:2" x14ac:dyDescent="0.25">
      <c r="A22894">
        <v>54076100194</v>
      </c>
      <c r="B22894" t="s">
        <v>8644</v>
      </c>
    </row>
    <row r="22895" spans="1:2" x14ac:dyDescent="0.25">
      <c r="A22895">
        <v>54076100195</v>
      </c>
      <c r="B22895" t="s">
        <v>8645</v>
      </c>
    </row>
    <row r="22896" spans="1:2" x14ac:dyDescent="0.25">
      <c r="A22896">
        <v>54076100199</v>
      </c>
      <c r="B22896" t="s">
        <v>57</v>
      </c>
    </row>
    <row r="22897" spans="1:2" x14ac:dyDescent="0.25">
      <c r="A22897">
        <v>540761002</v>
      </c>
      <c r="B22897" t="s">
        <v>626</v>
      </c>
    </row>
    <row r="22898" spans="1:2" x14ac:dyDescent="0.25">
      <c r="A22898">
        <v>5407610021</v>
      </c>
      <c r="B22898" t="s">
        <v>8653</v>
      </c>
    </row>
    <row r="22899" spans="1:2" x14ac:dyDescent="0.25">
      <c r="A22899">
        <v>54076100211</v>
      </c>
      <c r="B22899" t="s">
        <v>8641</v>
      </c>
    </row>
    <row r="22900" spans="1:2" x14ac:dyDescent="0.25">
      <c r="A22900">
        <v>54076100212</v>
      </c>
      <c r="B22900" t="s">
        <v>8642</v>
      </c>
    </row>
    <row r="22901" spans="1:2" x14ac:dyDescent="0.25">
      <c r="A22901">
        <v>54076100213</v>
      </c>
      <c r="B22901" t="s">
        <v>8643</v>
      </c>
    </row>
    <row r="22902" spans="1:2" x14ac:dyDescent="0.25">
      <c r="A22902">
        <v>54076100214</v>
      </c>
      <c r="B22902" t="s">
        <v>8644</v>
      </c>
    </row>
    <row r="22903" spans="1:2" x14ac:dyDescent="0.25">
      <c r="A22903">
        <v>54076100215</v>
      </c>
      <c r="B22903" t="s">
        <v>8645</v>
      </c>
    </row>
    <row r="22904" spans="1:2" x14ac:dyDescent="0.25">
      <c r="A22904">
        <v>54076100219</v>
      </c>
      <c r="B22904" t="s">
        <v>57</v>
      </c>
    </row>
    <row r="22905" spans="1:2" x14ac:dyDescent="0.25">
      <c r="A22905">
        <v>5407610022</v>
      </c>
      <c r="B22905" t="s">
        <v>8506</v>
      </c>
    </row>
    <row r="22906" spans="1:2" x14ac:dyDescent="0.25">
      <c r="A22906">
        <v>54076100221</v>
      </c>
      <c r="B22906" t="s">
        <v>8641</v>
      </c>
    </row>
    <row r="22907" spans="1:2" x14ac:dyDescent="0.25">
      <c r="A22907">
        <v>54076100222</v>
      </c>
      <c r="B22907" t="s">
        <v>8642</v>
      </c>
    </row>
    <row r="22908" spans="1:2" x14ac:dyDescent="0.25">
      <c r="A22908">
        <v>54076100223</v>
      </c>
      <c r="B22908" t="s">
        <v>8643</v>
      </c>
    </row>
    <row r="22909" spans="1:2" x14ac:dyDescent="0.25">
      <c r="A22909">
        <v>54076100224</v>
      </c>
      <c r="B22909" t="s">
        <v>8644</v>
      </c>
    </row>
    <row r="22910" spans="1:2" x14ac:dyDescent="0.25">
      <c r="A22910">
        <v>54076100225</v>
      </c>
      <c r="B22910" t="s">
        <v>8645</v>
      </c>
    </row>
    <row r="22911" spans="1:2" x14ac:dyDescent="0.25">
      <c r="A22911">
        <v>54076100229</v>
      </c>
      <c r="B22911" t="s">
        <v>57</v>
      </c>
    </row>
    <row r="22912" spans="1:2" x14ac:dyDescent="0.25">
      <c r="A22912">
        <v>5407610023</v>
      </c>
      <c r="B22912" t="s">
        <v>8498</v>
      </c>
    </row>
    <row r="22913" spans="1:2" x14ac:dyDescent="0.25">
      <c r="A22913">
        <v>54076100231</v>
      </c>
      <c r="B22913" t="s">
        <v>8641</v>
      </c>
    </row>
    <row r="22914" spans="1:2" x14ac:dyDescent="0.25">
      <c r="A22914">
        <v>54076100232</v>
      </c>
      <c r="B22914" t="s">
        <v>8642</v>
      </c>
    </row>
    <row r="22915" spans="1:2" x14ac:dyDescent="0.25">
      <c r="A22915">
        <v>54076100233</v>
      </c>
      <c r="B22915" t="s">
        <v>8643</v>
      </c>
    </row>
    <row r="22916" spans="1:2" x14ac:dyDescent="0.25">
      <c r="A22916">
        <v>54076100234</v>
      </c>
      <c r="B22916" t="s">
        <v>8644</v>
      </c>
    </row>
    <row r="22917" spans="1:2" x14ac:dyDescent="0.25">
      <c r="A22917">
        <v>54076100235</v>
      </c>
      <c r="B22917" t="s">
        <v>8645</v>
      </c>
    </row>
    <row r="22918" spans="1:2" x14ac:dyDescent="0.25">
      <c r="A22918">
        <v>54076100239</v>
      </c>
      <c r="B22918" t="s">
        <v>57</v>
      </c>
    </row>
    <row r="22919" spans="1:2" x14ac:dyDescent="0.25">
      <c r="A22919">
        <v>5407610024</v>
      </c>
      <c r="B22919" t="s">
        <v>8654</v>
      </c>
    </row>
    <row r="22920" spans="1:2" x14ac:dyDescent="0.25">
      <c r="A22920">
        <v>54076100241</v>
      </c>
      <c r="B22920" t="s">
        <v>8641</v>
      </c>
    </row>
    <row r="22921" spans="1:2" x14ac:dyDescent="0.25">
      <c r="A22921">
        <v>54076100242</v>
      </c>
      <c r="B22921" t="s">
        <v>8642</v>
      </c>
    </row>
    <row r="22922" spans="1:2" x14ac:dyDescent="0.25">
      <c r="A22922">
        <v>54076100243</v>
      </c>
      <c r="B22922" t="s">
        <v>8643</v>
      </c>
    </row>
    <row r="22923" spans="1:2" x14ac:dyDescent="0.25">
      <c r="A22923">
        <v>54076100244</v>
      </c>
      <c r="B22923" t="s">
        <v>8644</v>
      </c>
    </row>
    <row r="22924" spans="1:2" x14ac:dyDescent="0.25">
      <c r="A22924">
        <v>54076100245</v>
      </c>
      <c r="B22924" t="s">
        <v>8645</v>
      </c>
    </row>
    <row r="22925" spans="1:2" x14ac:dyDescent="0.25">
      <c r="A22925">
        <v>54076100249</v>
      </c>
      <c r="B22925" t="s">
        <v>10</v>
      </c>
    </row>
    <row r="22926" spans="1:2" x14ac:dyDescent="0.25">
      <c r="A22926">
        <v>5407610029</v>
      </c>
      <c r="B22926" t="s">
        <v>8500</v>
      </c>
    </row>
    <row r="22927" spans="1:2" x14ac:dyDescent="0.25">
      <c r="A22927">
        <v>54076100291</v>
      </c>
      <c r="B22927" t="s">
        <v>8641</v>
      </c>
    </row>
    <row r="22928" spans="1:2" x14ac:dyDescent="0.25">
      <c r="A22928">
        <v>54076100292</v>
      </c>
      <c r="B22928" t="s">
        <v>8642</v>
      </c>
    </row>
    <row r="22929" spans="1:2" x14ac:dyDescent="0.25">
      <c r="A22929">
        <v>54076100293</v>
      </c>
      <c r="B22929" t="s">
        <v>8643</v>
      </c>
    </row>
    <row r="22930" spans="1:2" x14ac:dyDescent="0.25">
      <c r="A22930">
        <v>54076100294</v>
      </c>
      <c r="B22930" t="s">
        <v>8644</v>
      </c>
    </row>
    <row r="22931" spans="1:2" x14ac:dyDescent="0.25">
      <c r="A22931">
        <v>54076100295</v>
      </c>
      <c r="B22931" t="s">
        <v>8645</v>
      </c>
    </row>
    <row r="22932" spans="1:2" x14ac:dyDescent="0.25">
      <c r="A22932">
        <v>54076100299</v>
      </c>
      <c r="B22932" t="s">
        <v>57</v>
      </c>
    </row>
    <row r="22933" spans="1:2" x14ac:dyDescent="0.25">
      <c r="A22933">
        <v>540761003</v>
      </c>
      <c r="B22933" t="s">
        <v>8655</v>
      </c>
    </row>
    <row r="22934" spans="1:2" x14ac:dyDescent="0.25">
      <c r="A22934">
        <v>5407610031</v>
      </c>
      <c r="B22934" t="s">
        <v>8653</v>
      </c>
    </row>
    <row r="22935" spans="1:2" x14ac:dyDescent="0.25">
      <c r="A22935">
        <v>54076100311</v>
      </c>
      <c r="B22935" t="s">
        <v>8641</v>
      </c>
    </row>
    <row r="22936" spans="1:2" x14ac:dyDescent="0.25">
      <c r="A22936">
        <v>54076100312</v>
      </c>
      <c r="B22936" t="s">
        <v>8642</v>
      </c>
    </row>
    <row r="22937" spans="1:2" x14ac:dyDescent="0.25">
      <c r="A22937">
        <v>54076100313</v>
      </c>
      <c r="B22937" t="s">
        <v>8643</v>
      </c>
    </row>
    <row r="22938" spans="1:2" x14ac:dyDescent="0.25">
      <c r="A22938">
        <v>54076100314</v>
      </c>
      <c r="B22938" t="s">
        <v>8644</v>
      </c>
    </row>
    <row r="22939" spans="1:2" x14ac:dyDescent="0.25">
      <c r="A22939">
        <v>54076100315</v>
      </c>
      <c r="B22939" t="s">
        <v>8645</v>
      </c>
    </row>
    <row r="22940" spans="1:2" x14ac:dyDescent="0.25">
      <c r="A22940">
        <v>54076100319</v>
      </c>
      <c r="B22940" t="s">
        <v>57</v>
      </c>
    </row>
    <row r="22941" spans="1:2" x14ac:dyDescent="0.25">
      <c r="A22941">
        <v>5407610032</v>
      </c>
      <c r="B22941" t="s">
        <v>8506</v>
      </c>
    </row>
    <row r="22942" spans="1:2" x14ac:dyDescent="0.25">
      <c r="A22942">
        <v>54076100321</v>
      </c>
      <c r="B22942" t="s">
        <v>8641</v>
      </c>
    </row>
    <row r="22943" spans="1:2" x14ac:dyDescent="0.25">
      <c r="A22943">
        <v>54076100322</v>
      </c>
      <c r="B22943" t="s">
        <v>8642</v>
      </c>
    </row>
    <row r="22944" spans="1:2" x14ac:dyDescent="0.25">
      <c r="A22944">
        <v>54076100323</v>
      </c>
      <c r="B22944" t="s">
        <v>8643</v>
      </c>
    </row>
    <row r="22945" spans="1:2" x14ac:dyDescent="0.25">
      <c r="A22945">
        <v>54076100324</v>
      </c>
      <c r="B22945" t="s">
        <v>8644</v>
      </c>
    </row>
    <row r="22946" spans="1:2" x14ac:dyDescent="0.25">
      <c r="A22946">
        <v>54076100325</v>
      </c>
      <c r="B22946" t="s">
        <v>8645</v>
      </c>
    </row>
    <row r="22947" spans="1:2" x14ac:dyDescent="0.25">
      <c r="A22947">
        <v>54076100329</v>
      </c>
      <c r="B22947" t="s">
        <v>57</v>
      </c>
    </row>
    <row r="22948" spans="1:2" x14ac:dyDescent="0.25">
      <c r="A22948">
        <v>5407610033</v>
      </c>
      <c r="B22948" t="s">
        <v>8498</v>
      </c>
    </row>
    <row r="22949" spans="1:2" x14ac:dyDescent="0.25">
      <c r="A22949">
        <v>54076100331</v>
      </c>
      <c r="B22949" t="s">
        <v>8641</v>
      </c>
    </row>
    <row r="22950" spans="1:2" x14ac:dyDescent="0.25">
      <c r="A22950">
        <v>54076100332</v>
      </c>
      <c r="B22950" t="s">
        <v>8642</v>
      </c>
    </row>
    <row r="22951" spans="1:2" x14ac:dyDescent="0.25">
      <c r="A22951">
        <v>54076100333</v>
      </c>
      <c r="B22951" t="s">
        <v>8643</v>
      </c>
    </row>
    <row r="22952" spans="1:2" x14ac:dyDescent="0.25">
      <c r="A22952">
        <v>54076100334</v>
      </c>
      <c r="B22952" t="s">
        <v>8644</v>
      </c>
    </row>
    <row r="22953" spans="1:2" x14ac:dyDescent="0.25">
      <c r="A22953">
        <v>54076100335</v>
      </c>
      <c r="B22953" t="s">
        <v>8645</v>
      </c>
    </row>
    <row r="22954" spans="1:2" x14ac:dyDescent="0.25">
      <c r="A22954">
        <v>54076100339</v>
      </c>
      <c r="B22954" t="s">
        <v>57</v>
      </c>
    </row>
    <row r="22955" spans="1:2" x14ac:dyDescent="0.25">
      <c r="A22955">
        <v>5407610034</v>
      </c>
      <c r="B22955" t="s">
        <v>8654</v>
      </c>
    </row>
    <row r="22956" spans="1:2" x14ac:dyDescent="0.25">
      <c r="A22956">
        <v>54076100341</v>
      </c>
      <c r="B22956" t="s">
        <v>8641</v>
      </c>
    </row>
    <row r="22957" spans="1:2" x14ac:dyDescent="0.25">
      <c r="A22957">
        <v>54076100342</v>
      </c>
      <c r="B22957" t="s">
        <v>8642</v>
      </c>
    </row>
    <row r="22958" spans="1:2" x14ac:dyDescent="0.25">
      <c r="A22958">
        <v>54076100343</v>
      </c>
      <c r="B22958" t="s">
        <v>8643</v>
      </c>
    </row>
    <row r="22959" spans="1:2" x14ac:dyDescent="0.25">
      <c r="A22959">
        <v>54076100344</v>
      </c>
      <c r="B22959" t="s">
        <v>8644</v>
      </c>
    </row>
    <row r="22960" spans="1:2" x14ac:dyDescent="0.25">
      <c r="A22960">
        <v>54076100345</v>
      </c>
      <c r="B22960" t="s">
        <v>8656</v>
      </c>
    </row>
    <row r="22961" spans="1:2" x14ac:dyDescent="0.25">
      <c r="A22961">
        <v>54076100349</v>
      </c>
      <c r="B22961" t="s">
        <v>10</v>
      </c>
    </row>
    <row r="22962" spans="1:2" x14ac:dyDescent="0.25">
      <c r="A22962">
        <v>5407610039</v>
      </c>
      <c r="B22962" t="s">
        <v>8500</v>
      </c>
    </row>
    <row r="22963" spans="1:2" x14ac:dyDescent="0.25">
      <c r="A22963">
        <v>54076100391</v>
      </c>
      <c r="B22963" t="s">
        <v>8641</v>
      </c>
    </row>
    <row r="22964" spans="1:2" x14ac:dyDescent="0.25">
      <c r="A22964">
        <v>54076100392</v>
      </c>
      <c r="B22964" t="s">
        <v>8642</v>
      </c>
    </row>
    <row r="22965" spans="1:2" x14ac:dyDescent="0.25">
      <c r="A22965">
        <v>54076100393</v>
      </c>
      <c r="B22965" t="s">
        <v>8643</v>
      </c>
    </row>
    <row r="22966" spans="1:2" x14ac:dyDescent="0.25">
      <c r="A22966">
        <v>54076100394</v>
      </c>
      <c r="B22966" t="s">
        <v>8644</v>
      </c>
    </row>
    <row r="22967" spans="1:2" x14ac:dyDescent="0.25">
      <c r="A22967">
        <v>54076100395</v>
      </c>
      <c r="B22967" t="s">
        <v>8645</v>
      </c>
    </row>
    <row r="22968" spans="1:2" x14ac:dyDescent="0.25">
      <c r="A22968">
        <v>54076100399</v>
      </c>
      <c r="B22968" t="s">
        <v>57</v>
      </c>
    </row>
    <row r="22969" spans="1:2" x14ac:dyDescent="0.25">
      <c r="A22969">
        <v>540761004</v>
      </c>
      <c r="B22969" t="s">
        <v>8657</v>
      </c>
    </row>
    <row r="22970" spans="1:2" x14ac:dyDescent="0.25">
      <c r="A22970">
        <v>5407610041</v>
      </c>
      <c r="B22970" t="s">
        <v>8653</v>
      </c>
    </row>
    <row r="22971" spans="1:2" x14ac:dyDescent="0.25">
      <c r="A22971">
        <v>54076100411</v>
      </c>
      <c r="B22971" t="s">
        <v>8641</v>
      </c>
    </row>
    <row r="22972" spans="1:2" x14ac:dyDescent="0.25">
      <c r="A22972">
        <v>54076100412</v>
      </c>
      <c r="B22972" t="s">
        <v>8642</v>
      </c>
    </row>
    <row r="22973" spans="1:2" x14ac:dyDescent="0.25">
      <c r="A22973">
        <v>54076100413</v>
      </c>
      <c r="B22973" t="s">
        <v>8643</v>
      </c>
    </row>
    <row r="22974" spans="1:2" x14ac:dyDescent="0.25">
      <c r="A22974">
        <v>54076100414</v>
      </c>
      <c r="B22974" t="s">
        <v>8644</v>
      </c>
    </row>
    <row r="22975" spans="1:2" x14ac:dyDescent="0.25">
      <c r="A22975">
        <v>54076100415</v>
      </c>
      <c r="B22975" t="s">
        <v>8645</v>
      </c>
    </row>
    <row r="22976" spans="1:2" x14ac:dyDescent="0.25">
      <c r="A22976">
        <v>54076100419</v>
      </c>
      <c r="B22976" t="s">
        <v>57</v>
      </c>
    </row>
    <row r="22977" spans="1:2" x14ac:dyDescent="0.25">
      <c r="A22977">
        <v>5407610042</v>
      </c>
      <c r="B22977" t="s">
        <v>8506</v>
      </c>
    </row>
    <row r="22978" spans="1:2" x14ac:dyDescent="0.25">
      <c r="A22978">
        <v>54076100421</v>
      </c>
      <c r="B22978" t="s">
        <v>8641</v>
      </c>
    </row>
    <row r="22979" spans="1:2" x14ac:dyDescent="0.25">
      <c r="A22979">
        <v>54076100422</v>
      </c>
      <c r="B22979" t="s">
        <v>8642</v>
      </c>
    </row>
    <row r="22980" spans="1:2" x14ac:dyDescent="0.25">
      <c r="A22980">
        <v>54076100423</v>
      </c>
      <c r="B22980" t="s">
        <v>8643</v>
      </c>
    </row>
    <row r="22981" spans="1:2" x14ac:dyDescent="0.25">
      <c r="A22981">
        <v>54076100424</v>
      </c>
      <c r="B22981" t="s">
        <v>8644</v>
      </c>
    </row>
    <row r="22982" spans="1:2" x14ac:dyDescent="0.25">
      <c r="A22982">
        <v>54076100425</v>
      </c>
      <c r="B22982" t="s">
        <v>8645</v>
      </c>
    </row>
    <row r="22983" spans="1:2" x14ac:dyDescent="0.25">
      <c r="A22983">
        <v>54076100429</v>
      </c>
      <c r="B22983" t="s">
        <v>57</v>
      </c>
    </row>
    <row r="22984" spans="1:2" x14ac:dyDescent="0.25">
      <c r="A22984">
        <v>5407610043</v>
      </c>
      <c r="B22984" t="s">
        <v>8498</v>
      </c>
    </row>
    <row r="22985" spans="1:2" x14ac:dyDescent="0.25">
      <c r="A22985">
        <v>54076100431</v>
      </c>
      <c r="B22985" t="s">
        <v>8641</v>
      </c>
    </row>
    <row r="22986" spans="1:2" x14ac:dyDescent="0.25">
      <c r="A22986">
        <v>54076100432</v>
      </c>
      <c r="B22986" t="s">
        <v>8642</v>
      </c>
    </row>
    <row r="22987" spans="1:2" x14ac:dyDescent="0.25">
      <c r="A22987">
        <v>54076100433</v>
      </c>
      <c r="B22987" t="s">
        <v>8643</v>
      </c>
    </row>
    <row r="22988" spans="1:2" x14ac:dyDescent="0.25">
      <c r="A22988">
        <v>54076100434</v>
      </c>
      <c r="B22988" t="s">
        <v>8644</v>
      </c>
    </row>
    <row r="22989" spans="1:2" x14ac:dyDescent="0.25">
      <c r="A22989">
        <v>54076100435</v>
      </c>
      <c r="B22989" t="s">
        <v>8645</v>
      </c>
    </row>
    <row r="22990" spans="1:2" x14ac:dyDescent="0.25">
      <c r="A22990">
        <v>54076100439</v>
      </c>
      <c r="B22990" t="s">
        <v>57</v>
      </c>
    </row>
    <row r="22991" spans="1:2" x14ac:dyDescent="0.25">
      <c r="A22991">
        <v>5407610044</v>
      </c>
      <c r="B22991" t="s">
        <v>8658</v>
      </c>
    </row>
    <row r="22992" spans="1:2" x14ac:dyDescent="0.25">
      <c r="A22992">
        <v>54076100441</v>
      </c>
      <c r="B22992" t="s">
        <v>8641</v>
      </c>
    </row>
    <row r="22993" spans="1:2" x14ac:dyDescent="0.25">
      <c r="A22993">
        <v>54076100442</v>
      </c>
      <c r="B22993" t="s">
        <v>8642</v>
      </c>
    </row>
    <row r="22994" spans="1:2" x14ac:dyDescent="0.25">
      <c r="A22994">
        <v>54076100443</v>
      </c>
      <c r="B22994" t="s">
        <v>8643</v>
      </c>
    </row>
    <row r="22995" spans="1:2" x14ac:dyDescent="0.25">
      <c r="A22995">
        <v>54076100444</v>
      </c>
      <c r="B22995" t="s">
        <v>8644</v>
      </c>
    </row>
    <row r="22996" spans="1:2" x14ac:dyDescent="0.25">
      <c r="A22996">
        <v>54076100445</v>
      </c>
      <c r="B22996" t="s">
        <v>8645</v>
      </c>
    </row>
    <row r="22997" spans="1:2" x14ac:dyDescent="0.25">
      <c r="A22997">
        <v>54076100449</v>
      </c>
      <c r="B22997" t="s">
        <v>10</v>
      </c>
    </row>
    <row r="22998" spans="1:2" x14ac:dyDescent="0.25">
      <c r="A22998">
        <v>5407610049</v>
      </c>
      <c r="B22998" t="s">
        <v>8500</v>
      </c>
    </row>
    <row r="22999" spans="1:2" x14ac:dyDescent="0.25">
      <c r="A22999">
        <v>54076100491</v>
      </c>
      <c r="B22999" t="s">
        <v>8641</v>
      </c>
    </row>
    <row r="23000" spans="1:2" x14ac:dyDescent="0.25">
      <c r="A23000">
        <v>54076100492</v>
      </c>
      <c r="B23000" t="s">
        <v>8642</v>
      </c>
    </row>
    <row r="23001" spans="1:2" x14ac:dyDescent="0.25">
      <c r="A23001">
        <v>54076100493</v>
      </c>
      <c r="B23001" t="s">
        <v>8643</v>
      </c>
    </row>
    <row r="23002" spans="1:2" x14ac:dyDescent="0.25">
      <c r="A23002">
        <v>54076100494</v>
      </c>
      <c r="B23002" t="s">
        <v>8644</v>
      </c>
    </row>
    <row r="23003" spans="1:2" x14ac:dyDescent="0.25">
      <c r="A23003">
        <v>54076100495</v>
      </c>
      <c r="B23003" t="s">
        <v>8645</v>
      </c>
    </row>
    <row r="23004" spans="1:2" x14ac:dyDescent="0.25">
      <c r="A23004">
        <v>54076100499</v>
      </c>
      <c r="B23004" t="s">
        <v>57</v>
      </c>
    </row>
    <row r="23005" spans="1:2" x14ac:dyDescent="0.25">
      <c r="A23005">
        <v>54076900</v>
      </c>
      <c r="B23005" t="e">
        <f>- - Los demas</f>
        <v>#NAME?</v>
      </c>
    </row>
    <row r="23006" spans="1:2" x14ac:dyDescent="0.25">
      <c r="A23006">
        <v>540769001</v>
      </c>
      <c r="B23006" t="s">
        <v>8652</v>
      </c>
    </row>
    <row r="23007" spans="1:2" x14ac:dyDescent="0.25">
      <c r="A23007">
        <v>5407690011</v>
      </c>
      <c r="B23007" t="s">
        <v>8659</v>
      </c>
    </row>
    <row r="23008" spans="1:2" x14ac:dyDescent="0.25">
      <c r="A23008">
        <v>54076900111</v>
      </c>
      <c r="B23008" t="s">
        <v>8641</v>
      </c>
    </row>
    <row r="23009" spans="1:2" x14ac:dyDescent="0.25">
      <c r="A23009">
        <v>54076900112</v>
      </c>
      <c r="B23009" t="s">
        <v>8642</v>
      </c>
    </row>
    <row r="23010" spans="1:2" x14ac:dyDescent="0.25">
      <c r="A23010">
        <v>54076900113</v>
      </c>
      <c r="B23010" t="s">
        <v>8643</v>
      </c>
    </row>
    <row r="23011" spans="1:2" x14ac:dyDescent="0.25">
      <c r="A23011">
        <v>54076900114</v>
      </c>
      <c r="B23011" t="s">
        <v>8644</v>
      </c>
    </row>
    <row r="23012" spans="1:2" x14ac:dyDescent="0.25">
      <c r="A23012">
        <v>54076900115</v>
      </c>
      <c r="B23012" t="s">
        <v>8645</v>
      </c>
    </row>
    <row r="23013" spans="1:2" x14ac:dyDescent="0.25">
      <c r="A23013">
        <v>54076900119</v>
      </c>
      <c r="B23013" t="s">
        <v>57</v>
      </c>
    </row>
    <row r="23014" spans="1:2" x14ac:dyDescent="0.25">
      <c r="A23014">
        <v>5407690012</v>
      </c>
      <c r="B23014" t="s">
        <v>8506</v>
      </c>
    </row>
    <row r="23015" spans="1:2" x14ac:dyDescent="0.25">
      <c r="A23015">
        <v>54076900121</v>
      </c>
      <c r="B23015" t="s">
        <v>8641</v>
      </c>
    </row>
    <row r="23016" spans="1:2" x14ac:dyDescent="0.25">
      <c r="A23016">
        <v>54076900122</v>
      </c>
      <c r="B23016" t="s">
        <v>8642</v>
      </c>
    </row>
    <row r="23017" spans="1:2" x14ac:dyDescent="0.25">
      <c r="A23017">
        <v>54076900123</v>
      </c>
      <c r="B23017" t="s">
        <v>8643</v>
      </c>
    </row>
    <row r="23018" spans="1:2" x14ac:dyDescent="0.25">
      <c r="A23018">
        <v>54076900124</v>
      </c>
      <c r="B23018" t="s">
        <v>8644</v>
      </c>
    </row>
    <row r="23019" spans="1:2" x14ac:dyDescent="0.25">
      <c r="A23019">
        <v>54076900125</v>
      </c>
      <c r="B23019" t="s">
        <v>8645</v>
      </c>
    </row>
    <row r="23020" spans="1:2" x14ac:dyDescent="0.25">
      <c r="A23020">
        <v>54076900129</v>
      </c>
      <c r="B23020" t="s">
        <v>57</v>
      </c>
    </row>
    <row r="23021" spans="1:2" x14ac:dyDescent="0.25">
      <c r="A23021">
        <v>5407690013</v>
      </c>
      <c r="B23021" t="s">
        <v>8498</v>
      </c>
    </row>
    <row r="23022" spans="1:2" x14ac:dyDescent="0.25">
      <c r="A23022">
        <v>54076900131</v>
      </c>
      <c r="B23022" t="s">
        <v>8641</v>
      </c>
    </row>
    <row r="23023" spans="1:2" x14ac:dyDescent="0.25">
      <c r="A23023">
        <v>54076900132</v>
      </c>
      <c r="B23023" t="s">
        <v>8642</v>
      </c>
    </row>
    <row r="23024" spans="1:2" x14ac:dyDescent="0.25">
      <c r="A23024">
        <v>54076900133</v>
      </c>
      <c r="B23024" t="s">
        <v>8643</v>
      </c>
    </row>
    <row r="23025" spans="1:2" x14ac:dyDescent="0.25">
      <c r="A23025">
        <v>54076900134</v>
      </c>
      <c r="B23025" t="s">
        <v>8644</v>
      </c>
    </row>
    <row r="23026" spans="1:2" x14ac:dyDescent="0.25">
      <c r="A23026">
        <v>54076900135</v>
      </c>
      <c r="B23026" t="s">
        <v>8645</v>
      </c>
    </row>
    <row r="23027" spans="1:2" x14ac:dyDescent="0.25">
      <c r="A23027">
        <v>54076900139</v>
      </c>
      <c r="B23027" t="s">
        <v>57</v>
      </c>
    </row>
    <row r="23028" spans="1:2" x14ac:dyDescent="0.25">
      <c r="A23028">
        <v>5407690014</v>
      </c>
      <c r="B23028" t="s">
        <v>8654</v>
      </c>
    </row>
    <row r="23029" spans="1:2" x14ac:dyDescent="0.25">
      <c r="A23029">
        <v>54076900141</v>
      </c>
      <c r="B23029" t="s">
        <v>8641</v>
      </c>
    </row>
    <row r="23030" spans="1:2" x14ac:dyDescent="0.25">
      <c r="A23030">
        <v>54076900142</v>
      </c>
      <c r="B23030" t="s">
        <v>8642</v>
      </c>
    </row>
    <row r="23031" spans="1:2" x14ac:dyDescent="0.25">
      <c r="A23031">
        <v>54076900143</v>
      </c>
      <c r="B23031" t="s">
        <v>8643</v>
      </c>
    </row>
    <row r="23032" spans="1:2" x14ac:dyDescent="0.25">
      <c r="A23032">
        <v>54076900144</v>
      </c>
      <c r="B23032" t="s">
        <v>8644</v>
      </c>
    </row>
    <row r="23033" spans="1:2" x14ac:dyDescent="0.25">
      <c r="A23033">
        <v>54076900145</v>
      </c>
      <c r="B23033" t="s">
        <v>8645</v>
      </c>
    </row>
    <row r="23034" spans="1:2" x14ac:dyDescent="0.25">
      <c r="A23034">
        <v>54076900149</v>
      </c>
      <c r="B23034" t="s">
        <v>10</v>
      </c>
    </row>
    <row r="23035" spans="1:2" x14ac:dyDescent="0.25">
      <c r="A23035">
        <v>5407690019</v>
      </c>
      <c r="B23035" t="s">
        <v>8500</v>
      </c>
    </row>
    <row r="23036" spans="1:2" x14ac:dyDescent="0.25">
      <c r="A23036">
        <v>54076900191</v>
      </c>
      <c r="B23036" t="s">
        <v>8641</v>
      </c>
    </row>
    <row r="23037" spans="1:2" x14ac:dyDescent="0.25">
      <c r="A23037">
        <v>54076900192</v>
      </c>
      <c r="B23037" t="s">
        <v>8642</v>
      </c>
    </row>
    <row r="23038" spans="1:2" x14ac:dyDescent="0.25">
      <c r="A23038">
        <v>54076900193</v>
      </c>
      <c r="B23038" t="s">
        <v>8643</v>
      </c>
    </row>
    <row r="23039" spans="1:2" x14ac:dyDescent="0.25">
      <c r="A23039">
        <v>54076900194</v>
      </c>
      <c r="B23039" t="s">
        <v>8644</v>
      </c>
    </row>
    <row r="23040" spans="1:2" x14ac:dyDescent="0.25">
      <c r="A23040">
        <v>54076900195</v>
      </c>
      <c r="B23040" t="s">
        <v>8645</v>
      </c>
    </row>
    <row r="23041" spans="1:2" x14ac:dyDescent="0.25">
      <c r="A23041">
        <v>54076900199</v>
      </c>
      <c r="B23041" t="s">
        <v>57</v>
      </c>
    </row>
    <row r="23042" spans="1:2" x14ac:dyDescent="0.25">
      <c r="A23042">
        <v>540769002</v>
      </c>
      <c r="B23042" t="s">
        <v>8660</v>
      </c>
    </row>
    <row r="23043" spans="1:2" x14ac:dyDescent="0.25">
      <c r="A23043">
        <v>5407690021</v>
      </c>
      <c r="B23043" t="s">
        <v>8659</v>
      </c>
    </row>
    <row r="23044" spans="1:2" x14ac:dyDescent="0.25">
      <c r="A23044">
        <v>54076900211</v>
      </c>
      <c r="B23044" t="s">
        <v>8641</v>
      </c>
    </row>
    <row r="23045" spans="1:2" x14ac:dyDescent="0.25">
      <c r="A23045">
        <v>54076900212</v>
      </c>
      <c r="B23045" t="s">
        <v>8642</v>
      </c>
    </row>
    <row r="23046" spans="1:2" x14ac:dyDescent="0.25">
      <c r="A23046">
        <v>54076900213</v>
      </c>
      <c r="B23046" t="s">
        <v>8643</v>
      </c>
    </row>
    <row r="23047" spans="1:2" x14ac:dyDescent="0.25">
      <c r="A23047">
        <v>54076900214</v>
      </c>
      <c r="B23047" t="s">
        <v>8644</v>
      </c>
    </row>
    <row r="23048" spans="1:2" x14ac:dyDescent="0.25">
      <c r="A23048">
        <v>54076900215</v>
      </c>
      <c r="B23048" t="s">
        <v>8645</v>
      </c>
    </row>
    <row r="23049" spans="1:2" x14ac:dyDescent="0.25">
      <c r="A23049">
        <v>54076900219</v>
      </c>
      <c r="B23049" t="s">
        <v>57</v>
      </c>
    </row>
    <row r="23050" spans="1:2" x14ac:dyDescent="0.25">
      <c r="A23050">
        <v>5407690022</v>
      </c>
      <c r="B23050" t="s">
        <v>8506</v>
      </c>
    </row>
    <row r="23051" spans="1:2" x14ac:dyDescent="0.25">
      <c r="A23051">
        <v>54076900221</v>
      </c>
      <c r="B23051" t="s">
        <v>8641</v>
      </c>
    </row>
    <row r="23052" spans="1:2" x14ac:dyDescent="0.25">
      <c r="A23052">
        <v>54076900222</v>
      </c>
      <c r="B23052" t="s">
        <v>8642</v>
      </c>
    </row>
    <row r="23053" spans="1:2" x14ac:dyDescent="0.25">
      <c r="A23053">
        <v>54076900223</v>
      </c>
      <c r="B23053" t="s">
        <v>8643</v>
      </c>
    </row>
    <row r="23054" spans="1:2" x14ac:dyDescent="0.25">
      <c r="A23054">
        <v>54076900224</v>
      </c>
      <c r="B23054" t="s">
        <v>8644</v>
      </c>
    </row>
    <row r="23055" spans="1:2" x14ac:dyDescent="0.25">
      <c r="A23055">
        <v>54076900225</v>
      </c>
      <c r="B23055" t="s">
        <v>8645</v>
      </c>
    </row>
    <row r="23056" spans="1:2" x14ac:dyDescent="0.25">
      <c r="A23056">
        <v>54076900229</v>
      </c>
      <c r="B23056" t="s">
        <v>57</v>
      </c>
    </row>
    <row r="23057" spans="1:2" x14ac:dyDescent="0.25">
      <c r="A23057">
        <v>5407690023</v>
      </c>
      <c r="B23057" t="s">
        <v>8498</v>
      </c>
    </row>
    <row r="23058" spans="1:2" x14ac:dyDescent="0.25">
      <c r="A23058">
        <v>54076900231</v>
      </c>
      <c r="B23058" t="s">
        <v>8641</v>
      </c>
    </row>
    <row r="23059" spans="1:2" x14ac:dyDescent="0.25">
      <c r="A23059">
        <v>54076900232</v>
      </c>
      <c r="B23059" t="s">
        <v>8642</v>
      </c>
    </row>
    <row r="23060" spans="1:2" x14ac:dyDescent="0.25">
      <c r="A23060">
        <v>54076900233</v>
      </c>
      <c r="B23060" t="s">
        <v>8643</v>
      </c>
    </row>
    <row r="23061" spans="1:2" x14ac:dyDescent="0.25">
      <c r="A23061">
        <v>54076900234</v>
      </c>
      <c r="B23061" t="s">
        <v>8644</v>
      </c>
    </row>
    <row r="23062" spans="1:2" x14ac:dyDescent="0.25">
      <c r="A23062">
        <v>54076900235</v>
      </c>
      <c r="B23062" t="s">
        <v>8645</v>
      </c>
    </row>
    <row r="23063" spans="1:2" x14ac:dyDescent="0.25">
      <c r="A23063">
        <v>54076900239</v>
      </c>
      <c r="B23063" t="s">
        <v>57</v>
      </c>
    </row>
    <row r="23064" spans="1:2" x14ac:dyDescent="0.25">
      <c r="A23064">
        <v>5407690024</v>
      </c>
      <c r="B23064" t="s">
        <v>8654</v>
      </c>
    </row>
    <row r="23065" spans="1:2" x14ac:dyDescent="0.25">
      <c r="A23065">
        <v>54076900241</v>
      </c>
      <c r="B23065" t="s">
        <v>8641</v>
      </c>
    </row>
    <row r="23066" spans="1:2" x14ac:dyDescent="0.25">
      <c r="A23066">
        <v>54076900242</v>
      </c>
      <c r="B23066" t="s">
        <v>8642</v>
      </c>
    </row>
    <row r="23067" spans="1:2" x14ac:dyDescent="0.25">
      <c r="A23067">
        <v>54076900243</v>
      </c>
      <c r="B23067" t="s">
        <v>8643</v>
      </c>
    </row>
    <row r="23068" spans="1:2" x14ac:dyDescent="0.25">
      <c r="A23068">
        <v>54076900244</v>
      </c>
      <c r="B23068" t="s">
        <v>8644</v>
      </c>
    </row>
    <row r="23069" spans="1:2" x14ac:dyDescent="0.25">
      <c r="A23069">
        <v>54076900245</v>
      </c>
      <c r="B23069" t="s">
        <v>8645</v>
      </c>
    </row>
    <row r="23070" spans="1:2" x14ac:dyDescent="0.25">
      <c r="A23070">
        <v>54076900249</v>
      </c>
      <c r="B23070" t="s">
        <v>10</v>
      </c>
    </row>
    <row r="23071" spans="1:2" x14ac:dyDescent="0.25">
      <c r="A23071">
        <v>5407690029</v>
      </c>
      <c r="B23071" t="s">
        <v>8500</v>
      </c>
    </row>
    <row r="23072" spans="1:2" x14ac:dyDescent="0.25">
      <c r="A23072">
        <v>54076900291</v>
      </c>
      <c r="B23072" t="s">
        <v>8641</v>
      </c>
    </row>
    <row r="23073" spans="1:2" x14ac:dyDescent="0.25">
      <c r="A23073">
        <v>54076900292</v>
      </c>
      <c r="B23073" t="s">
        <v>8642</v>
      </c>
    </row>
    <row r="23074" spans="1:2" x14ac:dyDescent="0.25">
      <c r="A23074">
        <v>54076900293</v>
      </c>
      <c r="B23074" t="s">
        <v>8643</v>
      </c>
    </row>
    <row r="23075" spans="1:2" x14ac:dyDescent="0.25">
      <c r="A23075">
        <v>54076900294</v>
      </c>
      <c r="B23075" t="s">
        <v>8644</v>
      </c>
    </row>
    <row r="23076" spans="1:2" x14ac:dyDescent="0.25">
      <c r="A23076">
        <v>54076900295</v>
      </c>
      <c r="B23076" t="s">
        <v>8645</v>
      </c>
    </row>
    <row r="23077" spans="1:2" x14ac:dyDescent="0.25">
      <c r="A23077">
        <v>54076900299</v>
      </c>
      <c r="B23077" t="s">
        <v>57</v>
      </c>
    </row>
    <row r="23078" spans="1:2" x14ac:dyDescent="0.25">
      <c r="A23078">
        <v>540769003</v>
      </c>
      <c r="B23078" t="s">
        <v>8655</v>
      </c>
    </row>
    <row r="23079" spans="1:2" x14ac:dyDescent="0.25">
      <c r="A23079">
        <v>5407690031</v>
      </c>
      <c r="B23079" t="s">
        <v>8659</v>
      </c>
    </row>
    <row r="23080" spans="1:2" x14ac:dyDescent="0.25">
      <c r="A23080">
        <v>54076900311</v>
      </c>
      <c r="B23080" t="s">
        <v>8641</v>
      </c>
    </row>
    <row r="23081" spans="1:2" x14ac:dyDescent="0.25">
      <c r="A23081">
        <v>54076900312</v>
      </c>
      <c r="B23081" t="s">
        <v>8642</v>
      </c>
    </row>
    <row r="23082" spans="1:2" x14ac:dyDescent="0.25">
      <c r="A23082">
        <v>54076900313</v>
      </c>
      <c r="B23082" t="s">
        <v>8643</v>
      </c>
    </row>
    <row r="23083" spans="1:2" x14ac:dyDescent="0.25">
      <c r="A23083">
        <v>54076900314</v>
      </c>
      <c r="B23083" t="s">
        <v>8644</v>
      </c>
    </row>
    <row r="23084" spans="1:2" x14ac:dyDescent="0.25">
      <c r="A23084">
        <v>54076900315</v>
      </c>
      <c r="B23084" t="s">
        <v>8645</v>
      </c>
    </row>
    <row r="23085" spans="1:2" x14ac:dyDescent="0.25">
      <c r="A23085">
        <v>54076900319</v>
      </c>
      <c r="B23085" t="s">
        <v>57</v>
      </c>
    </row>
    <row r="23086" spans="1:2" x14ac:dyDescent="0.25">
      <c r="A23086">
        <v>5407690032</v>
      </c>
      <c r="B23086" t="s">
        <v>8506</v>
      </c>
    </row>
    <row r="23087" spans="1:2" x14ac:dyDescent="0.25">
      <c r="A23087">
        <v>54076900321</v>
      </c>
      <c r="B23087" t="s">
        <v>8641</v>
      </c>
    </row>
    <row r="23088" spans="1:2" x14ac:dyDescent="0.25">
      <c r="A23088">
        <v>54076900322</v>
      </c>
      <c r="B23088" t="s">
        <v>8642</v>
      </c>
    </row>
    <row r="23089" spans="1:2" x14ac:dyDescent="0.25">
      <c r="A23089">
        <v>54076900323</v>
      </c>
      <c r="B23089" t="s">
        <v>8643</v>
      </c>
    </row>
    <row r="23090" spans="1:2" x14ac:dyDescent="0.25">
      <c r="A23090">
        <v>54076900324</v>
      </c>
      <c r="B23090" t="s">
        <v>8644</v>
      </c>
    </row>
    <row r="23091" spans="1:2" x14ac:dyDescent="0.25">
      <c r="A23091">
        <v>54076900325</v>
      </c>
      <c r="B23091" t="s">
        <v>8645</v>
      </c>
    </row>
    <row r="23092" spans="1:2" x14ac:dyDescent="0.25">
      <c r="A23092">
        <v>54076900329</v>
      </c>
      <c r="B23092" t="s">
        <v>57</v>
      </c>
    </row>
    <row r="23093" spans="1:2" x14ac:dyDescent="0.25">
      <c r="A23093">
        <v>5407690033</v>
      </c>
      <c r="B23093" t="s">
        <v>8498</v>
      </c>
    </row>
    <row r="23094" spans="1:2" x14ac:dyDescent="0.25">
      <c r="A23094">
        <v>54076900331</v>
      </c>
      <c r="B23094" t="s">
        <v>8641</v>
      </c>
    </row>
    <row r="23095" spans="1:2" x14ac:dyDescent="0.25">
      <c r="A23095">
        <v>54076900332</v>
      </c>
      <c r="B23095" t="s">
        <v>8642</v>
      </c>
    </row>
    <row r="23096" spans="1:2" x14ac:dyDescent="0.25">
      <c r="A23096">
        <v>54076900333</v>
      </c>
      <c r="B23096" t="s">
        <v>8643</v>
      </c>
    </row>
    <row r="23097" spans="1:2" x14ac:dyDescent="0.25">
      <c r="A23097">
        <v>54076900334</v>
      </c>
      <c r="B23097" t="s">
        <v>8644</v>
      </c>
    </row>
    <row r="23098" spans="1:2" x14ac:dyDescent="0.25">
      <c r="A23098">
        <v>54076900335</v>
      </c>
      <c r="B23098" t="s">
        <v>8645</v>
      </c>
    </row>
    <row r="23099" spans="1:2" x14ac:dyDescent="0.25">
      <c r="A23099">
        <v>54076900339</v>
      </c>
      <c r="B23099" t="s">
        <v>57</v>
      </c>
    </row>
    <row r="23100" spans="1:2" x14ac:dyDescent="0.25">
      <c r="A23100">
        <v>5407690034</v>
      </c>
      <c r="B23100" t="s">
        <v>8654</v>
      </c>
    </row>
    <row r="23101" spans="1:2" x14ac:dyDescent="0.25">
      <c r="A23101">
        <v>54076900341</v>
      </c>
      <c r="B23101" t="s">
        <v>8641</v>
      </c>
    </row>
    <row r="23102" spans="1:2" x14ac:dyDescent="0.25">
      <c r="A23102">
        <v>54076900342</v>
      </c>
      <c r="B23102" t="s">
        <v>8642</v>
      </c>
    </row>
    <row r="23103" spans="1:2" x14ac:dyDescent="0.25">
      <c r="A23103">
        <v>54076900343</v>
      </c>
      <c r="B23103" t="s">
        <v>8643</v>
      </c>
    </row>
    <row r="23104" spans="1:2" x14ac:dyDescent="0.25">
      <c r="A23104">
        <v>54076900344</v>
      </c>
      <c r="B23104" t="s">
        <v>8644</v>
      </c>
    </row>
    <row r="23105" spans="1:2" x14ac:dyDescent="0.25">
      <c r="A23105">
        <v>54076900345</v>
      </c>
      <c r="B23105" t="s">
        <v>8645</v>
      </c>
    </row>
    <row r="23106" spans="1:2" x14ac:dyDescent="0.25">
      <c r="A23106">
        <v>54076900349</v>
      </c>
      <c r="B23106" t="s">
        <v>10</v>
      </c>
    </row>
    <row r="23107" spans="1:2" x14ac:dyDescent="0.25">
      <c r="A23107">
        <v>5407690039</v>
      </c>
      <c r="B23107" t="s">
        <v>8500</v>
      </c>
    </row>
    <row r="23108" spans="1:2" x14ac:dyDescent="0.25">
      <c r="A23108">
        <v>54076900391</v>
      </c>
      <c r="B23108" t="s">
        <v>8641</v>
      </c>
    </row>
    <row r="23109" spans="1:2" x14ac:dyDescent="0.25">
      <c r="A23109">
        <v>54076900392</v>
      </c>
      <c r="B23109" t="s">
        <v>8642</v>
      </c>
    </row>
    <row r="23110" spans="1:2" x14ac:dyDescent="0.25">
      <c r="A23110">
        <v>54076900393</v>
      </c>
      <c r="B23110" t="s">
        <v>8643</v>
      </c>
    </row>
    <row r="23111" spans="1:2" x14ac:dyDescent="0.25">
      <c r="A23111">
        <v>54076900394</v>
      </c>
      <c r="B23111" t="s">
        <v>8644</v>
      </c>
    </row>
    <row r="23112" spans="1:2" x14ac:dyDescent="0.25">
      <c r="A23112">
        <v>54076900395</v>
      </c>
      <c r="B23112" t="s">
        <v>8645</v>
      </c>
    </row>
    <row r="23113" spans="1:2" x14ac:dyDescent="0.25">
      <c r="A23113">
        <v>54076900399</v>
      </c>
      <c r="B23113" t="s">
        <v>57</v>
      </c>
    </row>
    <row r="23114" spans="1:2" x14ac:dyDescent="0.25">
      <c r="A23114">
        <v>540769004</v>
      </c>
      <c r="B23114" t="s">
        <v>8561</v>
      </c>
    </row>
    <row r="23115" spans="1:2" x14ac:dyDescent="0.25">
      <c r="A23115">
        <v>5407690041</v>
      </c>
      <c r="B23115" t="s">
        <v>8659</v>
      </c>
    </row>
    <row r="23116" spans="1:2" x14ac:dyDescent="0.25">
      <c r="A23116">
        <v>54076900411</v>
      </c>
      <c r="B23116" t="s">
        <v>8641</v>
      </c>
    </row>
    <row r="23117" spans="1:2" x14ac:dyDescent="0.25">
      <c r="A23117">
        <v>54076900412</v>
      </c>
      <c r="B23117" t="s">
        <v>8642</v>
      </c>
    </row>
    <row r="23118" spans="1:2" x14ac:dyDescent="0.25">
      <c r="A23118">
        <v>54076900413</v>
      </c>
      <c r="B23118" t="s">
        <v>8643</v>
      </c>
    </row>
    <row r="23119" spans="1:2" x14ac:dyDescent="0.25">
      <c r="A23119">
        <v>54076900414</v>
      </c>
      <c r="B23119" t="s">
        <v>8644</v>
      </c>
    </row>
    <row r="23120" spans="1:2" x14ac:dyDescent="0.25">
      <c r="A23120">
        <v>54076900415</v>
      </c>
      <c r="B23120" t="s">
        <v>8645</v>
      </c>
    </row>
    <row r="23121" spans="1:2" x14ac:dyDescent="0.25">
      <c r="A23121">
        <v>54076900419</v>
      </c>
      <c r="B23121" t="s">
        <v>57</v>
      </c>
    </row>
    <row r="23122" spans="1:2" x14ac:dyDescent="0.25">
      <c r="A23122">
        <v>5407690042</v>
      </c>
      <c r="B23122" t="s">
        <v>8506</v>
      </c>
    </row>
    <row r="23123" spans="1:2" x14ac:dyDescent="0.25">
      <c r="A23123">
        <v>54076900421</v>
      </c>
      <c r="B23123" t="s">
        <v>8641</v>
      </c>
    </row>
    <row r="23124" spans="1:2" x14ac:dyDescent="0.25">
      <c r="A23124">
        <v>54076900422</v>
      </c>
      <c r="B23124" t="s">
        <v>8642</v>
      </c>
    </row>
    <row r="23125" spans="1:2" x14ac:dyDescent="0.25">
      <c r="A23125">
        <v>54076900423</v>
      </c>
      <c r="B23125" t="s">
        <v>8643</v>
      </c>
    </row>
    <row r="23126" spans="1:2" x14ac:dyDescent="0.25">
      <c r="A23126">
        <v>54076900424</v>
      </c>
      <c r="B23126" t="s">
        <v>8644</v>
      </c>
    </row>
    <row r="23127" spans="1:2" x14ac:dyDescent="0.25">
      <c r="A23127">
        <v>54076900425</v>
      </c>
      <c r="B23127" t="s">
        <v>8645</v>
      </c>
    </row>
    <row r="23128" spans="1:2" x14ac:dyDescent="0.25">
      <c r="A23128">
        <v>54076900429</v>
      </c>
      <c r="B23128" t="s">
        <v>57</v>
      </c>
    </row>
    <row r="23129" spans="1:2" x14ac:dyDescent="0.25">
      <c r="A23129">
        <v>5407690043</v>
      </c>
      <c r="B23129" t="s">
        <v>8498</v>
      </c>
    </row>
    <row r="23130" spans="1:2" x14ac:dyDescent="0.25">
      <c r="A23130">
        <v>54076900431</v>
      </c>
      <c r="B23130" t="s">
        <v>8641</v>
      </c>
    </row>
    <row r="23131" spans="1:2" x14ac:dyDescent="0.25">
      <c r="A23131">
        <v>54076900432</v>
      </c>
      <c r="B23131" t="s">
        <v>8642</v>
      </c>
    </row>
    <row r="23132" spans="1:2" x14ac:dyDescent="0.25">
      <c r="A23132">
        <v>54076900433</v>
      </c>
      <c r="B23132" t="s">
        <v>8643</v>
      </c>
    </row>
    <row r="23133" spans="1:2" x14ac:dyDescent="0.25">
      <c r="A23133">
        <v>54076900434</v>
      </c>
      <c r="B23133" t="s">
        <v>8644</v>
      </c>
    </row>
    <row r="23134" spans="1:2" x14ac:dyDescent="0.25">
      <c r="A23134">
        <v>54076900435</v>
      </c>
      <c r="B23134" t="s">
        <v>8645</v>
      </c>
    </row>
    <row r="23135" spans="1:2" x14ac:dyDescent="0.25">
      <c r="A23135">
        <v>54076900439</v>
      </c>
      <c r="B23135" t="s">
        <v>57</v>
      </c>
    </row>
    <row r="23136" spans="1:2" x14ac:dyDescent="0.25">
      <c r="A23136">
        <v>5407690044</v>
      </c>
      <c r="B23136" t="s">
        <v>8654</v>
      </c>
    </row>
    <row r="23137" spans="1:2" x14ac:dyDescent="0.25">
      <c r="A23137">
        <v>54076900441</v>
      </c>
      <c r="B23137" t="s">
        <v>8641</v>
      </c>
    </row>
    <row r="23138" spans="1:2" x14ac:dyDescent="0.25">
      <c r="A23138">
        <v>54076900442</v>
      </c>
      <c r="B23138" t="s">
        <v>8642</v>
      </c>
    </row>
    <row r="23139" spans="1:2" x14ac:dyDescent="0.25">
      <c r="A23139">
        <v>54076900443</v>
      </c>
      <c r="B23139" t="s">
        <v>8643</v>
      </c>
    </row>
    <row r="23140" spans="1:2" x14ac:dyDescent="0.25">
      <c r="A23140">
        <v>54076900444</v>
      </c>
      <c r="B23140" t="s">
        <v>8644</v>
      </c>
    </row>
    <row r="23141" spans="1:2" x14ac:dyDescent="0.25">
      <c r="A23141">
        <v>54076900445</v>
      </c>
      <c r="B23141" t="s">
        <v>8645</v>
      </c>
    </row>
    <row r="23142" spans="1:2" x14ac:dyDescent="0.25">
      <c r="A23142">
        <v>54076900449</v>
      </c>
      <c r="B23142" t="s">
        <v>10</v>
      </c>
    </row>
    <row r="23143" spans="1:2" x14ac:dyDescent="0.25">
      <c r="A23143">
        <v>5407690049</v>
      </c>
      <c r="B23143" t="s">
        <v>8500</v>
      </c>
    </row>
    <row r="23144" spans="1:2" x14ac:dyDescent="0.25">
      <c r="A23144">
        <v>54076900491</v>
      </c>
      <c r="B23144" t="s">
        <v>8641</v>
      </c>
    </row>
    <row r="23145" spans="1:2" x14ac:dyDescent="0.25">
      <c r="A23145">
        <v>54076900492</v>
      </c>
      <c r="B23145" t="s">
        <v>8642</v>
      </c>
    </row>
    <row r="23146" spans="1:2" x14ac:dyDescent="0.25">
      <c r="A23146">
        <v>54076900493</v>
      </c>
      <c r="B23146" t="s">
        <v>8643</v>
      </c>
    </row>
    <row r="23147" spans="1:2" x14ac:dyDescent="0.25">
      <c r="A23147">
        <v>54076900494</v>
      </c>
      <c r="B23147" t="s">
        <v>8644</v>
      </c>
    </row>
    <row r="23148" spans="1:2" x14ac:dyDescent="0.25">
      <c r="A23148">
        <v>54076900495</v>
      </c>
      <c r="B23148" t="s">
        <v>8645</v>
      </c>
    </row>
    <row r="23149" spans="1:2" x14ac:dyDescent="0.25">
      <c r="A23149">
        <v>54076900499</v>
      </c>
      <c r="B23149" t="s">
        <v>57</v>
      </c>
    </row>
    <row r="23150" spans="1:2" x14ac:dyDescent="0.25">
      <c r="A23150">
        <v>54077</v>
      </c>
      <c r="B23150" t="s">
        <v>8661</v>
      </c>
    </row>
    <row r="23151" spans="1:2" x14ac:dyDescent="0.25">
      <c r="A23151">
        <v>54077100</v>
      </c>
      <c r="B23151" t="e">
        <f>- - crudos o Blanqueados</f>
        <v>#NAME?</v>
      </c>
    </row>
    <row r="23152" spans="1:2" x14ac:dyDescent="0.25">
      <c r="A23152">
        <v>540771001</v>
      </c>
      <c r="B23152" t="s">
        <v>8662</v>
      </c>
    </row>
    <row r="23153" spans="1:2" x14ac:dyDescent="0.25">
      <c r="A23153">
        <v>54077100110</v>
      </c>
      <c r="B23153" t="s">
        <v>8663</v>
      </c>
    </row>
    <row r="23154" spans="1:2" x14ac:dyDescent="0.25">
      <c r="A23154">
        <v>54077100120</v>
      </c>
      <c r="B23154" t="s">
        <v>8664</v>
      </c>
    </row>
    <row r="23155" spans="1:2" x14ac:dyDescent="0.25">
      <c r="A23155">
        <v>54077100130</v>
      </c>
      <c r="B23155" t="s">
        <v>8665</v>
      </c>
    </row>
    <row r="23156" spans="1:2" x14ac:dyDescent="0.25">
      <c r="A23156">
        <v>54077100190</v>
      </c>
      <c r="B23156" t="s">
        <v>10</v>
      </c>
    </row>
    <row r="23157" spans="1:2" x14ac:dyDescent="0.25">
      <c r="A23157">
        <v>540771002</v>
      </c>
      <c r="B23157" t="s">
        <v>8666</v>
      </c>
    </row>
    <row r="23158" spans="1:2" x14ac:dyDescent="0.25">
      <c r="A23158">
        <v>54077100210</v>
      </c>
      <c r="B23158" t="s">
        <v>8288</v>
      </c>
    </row>
    <row r="23159" spans="1:2" x14ac:dyDescent="0.25">
      <c r="A23159">
        <v>54077100220</v>
      </c>
      <c r="B23159" t="s">
        <v>8664</v>
      </c>
    </row>
    <row r="23160" spans="1:2" x14ac:dyDescent="0.25">
      <c r="A23160">
        <v>54077100230</v>
      </c>
      <c r="B23160" t="s">
        <v>8665</v>
      </c>
    </row>
    <row r="23161" spans="1:2" x14ac:dyDescent="0.25">
      <c r="A23161">
        <v>54077100290</v>
      </c>
      <c r="B23161" t="s">
        <v>10</v>
      </c>
    </row>
    <row r="23162" spans="1:2" x14ac:dyDescent="0.25">
      <c r="A23162">
        <v>540771003</v>
      </c>
      <c r="B23162" t="s">
        <v>5932</v>
      </c>
    </row>
    <row r="23163" spans="1:2" x14ac:dyDescent="0.25">
      <c r="A23163">
        <v>54077100310</v>
      </c>
      <c r="B23163" t="s">
        <v>8288</v>
      </c>
    </row>
    <row r="23164" spans="1:2" x14ac:dyDescent="0.25">
      <c r="A23164">
        <v>54077100320</v>
      </c>
      <c r="B23164" t="s">
        <v>8663</v>
      </c>
    </row>
    <row r="23165" spans="1:2" x14ac:dyDescent="0.25">
      <c r="A23165">
        <v>54077100330</v>
      </c>
      <c r="B23165" t="s">
        <v>8667</v>
      </c>
    </row>
    <row r="23166" spans="1:2" x14ac:dyDescent="0.25">
      <c r="A23166">
        <v>54077100390</v>
      </c>
      <c r="B23166" t="s">
        <v>10</v>
      </c>
    </row>
    <row r="23167" spans="1:2" x14ac:dyDescent="0.25">
      <c r="A23167">
        <v>540771004</v>
      </c>
      <c r="B23167" t="s">
        <v>5414</v>
      </c>
    </row>
    <row r="23168" spans="1:2" x14ac:dyDescent="0.25">
      <c r="A23168">
        <v>54077100410</v>
      </c>
      <c r="B23168" t="s">
        <v>8288</v>
      </c>
    </row>
    <row r="23169" spans="1:2" x14ac:dyDescent="0.25">
      <c r="A23169">
        <v>54077100420</v>
      </c>
      <c r="B23169" t="s">
        <v>8663</v>
      </c>
    </row>
    <row r="23170" spans="1:2" x14ac:dyDescent="0.25">
      <c r="A23170">
        <v>54077100430</v>
      </c>
      <c r="B23170" t="s">
        <v>8664</v>
      </c>
    </row>
    <row r="23171" spans="1:2" x14ac:dyDescent="0.25">
      <c r="A23171">
        <v>54077100490</v>
      </c>
      <c r="B23171" t="s">
        <v>10</v>
      </c>
    </row>
    <row r="23172" spans="1:2" x14ac:dyDescent="0.25">
      <c r="A23172">
        <v>54077100900</v>
      </c>
      <c r="B23172" t="s">
        <v>10</v>
      </c>
    </row>
    <row r="23173" spans="1:2" x14ac:dyDescent="0.25">
      <c r="A23173">
        <v>54077200</v>
      </c>
      <c r="B23173" t="e">
        <f>- - Teñidos</f>
        <v>#NAME?</v>
      </c>
    </row>
    <row r="23174" spans="1:2" x14ac:dyDescent="0.25">
      <c r="A23174">
        <v>540772001</v>
      </c>
      <c r="B23174" t="s">
        <v>8662</v>
      </c>
    </row>
    <row r="23175" spans="1:2" x14ac:dyDescent="0.25">
      <c r="A23175">
        <v>54077200110</v>
      </c>
      <c r="B23175" t="s">
        <v>8663</v>
      </c>
    </row>
    <row r="23176" spans="1:2" x14ac:dyDescent="0.25">
      <c r="A23176">
        <v>54077200120</v>
      </c>
      <c r="B23176" t="s">
        <v>8664</v>
      </c>
    </row>
    <row r="23177" spans="1:2" x14ac:dyDescent="0.25">
      <c r="A23177">
        <v>54077200130</v>
      </c>
      <c r="B23177" t="s">
        <v>8665</v>
      </c>
    </row>
    <row r="23178" spans="1:2" x14ac:dyDescent="0.25">
      <c r="A23178">
        <v>54077200190</v>
      </c>
      <c r="B23178" t="s">
        <v>10</v>
      </c>
    </row>
    <row r="23179" spans="1:2" x14ac:dyDescent="0.25">
      <c r="A23179">
        <v>540772002</v>
      </c>
      <c r="B23179" t="s">
        <v>8666</v>
      </c>
    </row>
    <row r="23180" spans="1:2" x14ac:dyDescent="0.25">
      <c r="A23180">
        <v>54077200210</v>
      </c>
      <c r="B23180" t="s">
        <v>8288</v>
      </c>
    </row>
    <row r="23181" spans="1:2" x14ac:dyDescent="0.25">
      <c r="A23181">
        <v>54077200220</v>
      </c>
      <c r="B23181" t="s">
        <v>8664</v>
      </c>
    </row>
    <row r="23182" spans="1:2" x14ac:dyDescent="0.25">
      <c r="A23182">
        <v>54077200230</v>
      </c>
      <c r="B23182" t="s">
        <v>8665</v>
      </c>
    </row>
    <row r="23183" spans="1:2" x14ac:dyDescent="0.25">
      <c r="A23183">
        <v>54077200290</v>
      </c>
      <c r="B23183" t="s">
        <v>10</v>
      </c>
    </row>
    <row r="23184" spans="1:2" x14ac:dyDescent="0.25">
      <c r="A23184">
        <v>540772003</v>
      </c>
      <c r="B23184" t="s">
        <v>5932</v>
      </c>
    </row>
    <row r="23185" spans="1:2" x14ac:dyDescent="0.25">
      <c r="A23185">
        <v>54077200310</v>
      </c>
      <c r="B23185" t="s">
        <v>8288</v>
      </c>
    </row>
    <row r="23186" spans="1:2" x14ac:dyDescent="0.25">
      <c r="A23186">
        <v>54077200320</v>
      </c>
      <c r="B23186" t="s">
        <v>8663</v>
      </c>
    </row>
    <row r="23187" spans="1:2" x14ac:dyDescent="0.25">
      <c r="A23187">
        <v>54077200330</v>
      </c>
      <c r="B23187" t="s">
        <v>8665</v>
      </c>
    </row>
    <row r="23188" spans="1:2" x14ac:dyDescent="0.25">
      <c r="A23188">
        <v>54077200390</v>
      </c>
      <c r="B23188" t="s">
        <v>10</v>
      </c>
    </row>
    <row r="23189" spans="1:2" x14ac:dyDescent="0.25">
      <c r="A23189">
        <v>540772004</v>
      </c>
      <c r="B23189" t="s">
        <v>5414</v>
      </c>
    </row>
    <row r="23190" spans="1:2" x14ac:dyDescent="0.25">
      <c r="A23190">
        <v>54077200410</v>
      </c>
      <c r="B23190" t="s">
        <v>8288</v>
      </c>
    </row>
    <row r="23191" spans="1:2" x14ac:dyDescent="0.25">
      <c r="A23191">
        <v>54077200420</v>
      </c>
      <c r="B23191" t="s">
        <v>8663</v>
      </c>
    </row>
    <row r="23192" spans="1:2" x14ac:dyDescent="0.25">
      <c r="A23192">
        <v>54077200430</v>
      </c>
      <c r="B23192" t="s">
        <v>8664</v>
      </c>
    </row>
    <row r="23193" spans="1:2" x14ac:dyDescent="0.25">
      <c r="A23193">
        <v>54077200490</v>
      </c>
      <c r="B23193" t="s">
        <v>10</v>
      </c>
    </row>
    <row r="23194" spans="1:2" x14ac:dyDescent="0.25">
      <c r="A23194">
        <v>54077200900</v>
      </c>
      <c r="B23194" t="s">
        <v>10</v>
      </c>
    </row>
    <row r="23195" spans="1:2" x14ac:dyDescent="0.25">
      <c r="A23195">
        <v>54077300</v>
      </c>
      <c r="B23195" t="e">
        <f>- - Con hilados de distintos colores</f>
        <v>#NAME?</v>
      </c>
    </row>
    <row r="23196" spans="1:2" x14ac:dyDescent="0.25">
      <c r="A23196">
        <v>540773001</v>
      </c>
      <c r="B23196" t="s">
        <v>8662</v>
      </c>
    </row>
    <row r="23197" spans="1:2" x14ac:dyDescent="0.25">
      <c r="A23197">
        <v>54077300110</v>
      </c>
      <c r="B23197" t="s">
        <v>8663</v>
      </c>
    </row>
    <row r="23198" spans="1:2" x14ac:dyDescent="0.25">
      <c r="A23198">
        <v>54077300120</v>
      </c>
      <c r="B23198" t="s">
        <v>8664</v>
      </c>
    </row>
    <row r="23199" spans="1:2" x14ac:dyDescent="0.25">
      <c r="A23199">
        <v>54077300130</v>
      </c>
      <c r="B23199" t="s">
        <v>8665</v>
      </c>
    </row>
    <row r="23200" spans="1:2" x14ac:dyDescent="0.25">
      <c r="A23200">
        <v>54077300190</v>
      </c>
      <c r="B23200" t="s">
        <v>10</v>
      </c>
    </row>
    <row r="23201" spans="1:2" x14ac:dyDescent="0.25">
      <c r="A23201">
        <v>540773002</v>
      </c>
      <c r="B23201" t="s">
        <v>8666</v>
      </c>
    </row>
    <row r="23202" spans="1:2" x14ac:dyDescent="0.25">
      <c r="A23202">
        <v>54077300210</v>
      </c>
      <c r="B23202" t="s">
        <v>8288</v>
      </c>
    </row>
    <row r="23203" spans="1:2" x14ac:dyDescent="0.25">
      <c r="A23203">
        <v>54077300220</v>
      </c>
      <c r="B23203" t="s">
        <v>8664</v>
      </c>
    </row>
    <row r="23204" spans="1:2" x14ac:dyDescent="0.25">
      <c r="A23204">
        <v>54077300230</v>
      </c>
      <c r="B23204" t="s">
        <v>8665</v>
      </c>
    </row>
    <row r="23205" spans="1:2" x14ac:dyDescent="0.25">
      <c r="A23205">
        <v>54077300290</v>
      </c>
      <c r="B23205" t="s">
        <v>10</v>
      </c>
    </row>
    <row r="23206" spans="1:2" x14ac:dyDescent="0.25">
      <c r="A23206">
        <v>540773003</v>
      </c>
      <c r="B23206" t="s">
        <v>5932</v>
      </c>
    </row>
    <row r="23207" spans="1:2" x14ac:dyDescent="0.25">
      <c r="A23207">
        <v>54077300310</v>
      </c>
      <c r="B23207" t="s">
        <v>8288</v>
      </c>
    </row>
    <row r="23208" spans="1:2" x14ac:dyDescent="0.25">
      <c r="A23208">
        <v>54077300320</v>
      </c>
      <c r="B23208" t="s">
        <v>8663</v>
      </c>
    </row>
    <row r="23209" spans="1:2" x14ac:dyDescent="0.25">
      <c r="A23209">
        <v>54077300330</v>
      </c>
      <c r="B23209" t="s">
        <v>8665</v>
      </c>
    </row>
    <row r="23210" spans="1:2" x14ac:dyDescent="0.25">
      <c r="A23210">
        <v>54077300390</v>
      </c>
      <c r="B23210" t="s">
        <v>10</v>
      </c>
    </row>
    <row r="23211" spans="1:2" x14ac:dyDescent="0.25">
      <c r="A23211">
        <v>540773004</v>
      </c>
      <c r="B23211" t="s">
        <v>5414</v>
      </c>
    </row>
    <row r="23212" spans="1:2" x14ac:dyDescent="0.25">
      <c r="A23212">
        <v>54077300410</v>
      </c>
      <c r="B23212" t="s">
        <v>8288</v>
      </c>
    </row>
    <row r="23213" spans="1:2" x14ac:dyDescent="0.25">
      <c r="A23213">
        <v>54077300420</v>
      </c>
      <c r="B23213" t="s">
        <v>8668</v>
      </c>
    </row>
    <row r="23214" spans="1:2" x14ac:dyDescent="0.25">
      <c r="A23214">
        <v>54077300430</v>
      </c>
      <c r="B23214" t="s">
        <v>8664</v>
      </c>
    </row>
    <row r="23215" spans="1:2" x14ac:dyDescent="0.25">
      <c r="A23215">
        <v>54077300490</v>
      </c>
      <c r="B23215" t="s">
        <v>10</v>
      </c>
    </row>
    <row r="23216" spans="1:2" x14ac:dyDescent="0.25">
      <c r="A23216">
        <v>54077300900</v>
      </c>
      <c r="B23216" t="s">
        <v>10</v>
      </c>
    </row>
    <row r="23217" spans="1:2" x14ac:dyDescent="0.25">
      <c r="A23217">
        <v>54077400</v>
      </c>
      <c r="B23217" t="e">
        <f>- - Estampados</f>
        <v>#NAME?</v>
      </c>
    </row>
    <row r="23218" spans="1:2" x14ac:dyDescent="0.25">
      <c r="A23218">
        <v>540774001</v>
      </c>
      <c r="B23218" t="s">
        <v>8662</v>
      </c>
    </row>
    <row r="23219" spans="1:2" x14ac:dyDescent="0.25">
      <c r="A23219">
        <v>54077400110</v>
      </c>
      <c r="B23219" t="s">
        <v>8663</v>
      </c>
    </row>
    <row r="23220" spans="1:2" x14ac:dyDescent="0.25">
      <c r="A23220">
        <v>54077400120</v>
      </c>
      <c r="B23220" t="s">
        <v>8664</v>
      </c>
    </row>
    <row r="23221" spans="1:2" x14ac:dyDescent="0.25">
      <c r="A23221">
        <v>54077400130</v>
      </c>
      <c r="B23221" t="s">
        <v>8665</v>
      </c>
    </row>
    <row r="23222" spans="1:2" x14ac:dyDescent="0.25">
      <c r="A23222">
        <v>54077400190</v>
      </c>
      <c r="B23222" t="s">
        <v>10</v>
      </c>
    </row>
    <row r="23223" spans="1:2" x14ac:dyDescent="0.25">
      <c r="A23223">
        <v>540774002</v>
      </c>
      <c r="B23223" t="s">
        <v>8666</v>
      </c>
    </row>
    <row r="23224" spans="1:2" x14ac:dyDescent="0.25">
      <c r="A23224">
        <v>54077400210</v>
      </c>
      <c r="B23224" t="s">
        <v>8288</v>
      </c>
    </row>
    <row r="23225" spans="1:2" x14ac:dyDescent="0.25">
      <c r="A23225">
        <v>54077400220</v>
      </c>
      <c r="B23225" t="s">
        <v>8664</v>
      </c>
    </row>
    <row r="23226" spans="1:2" x14ac:dyDescent="0.25">
      <c r="A23226">
        <v>54077400230</v>
      </c>
      <c r="B23226" t="s">
        <v>8665</v>
      </c>
    </row>
    <row r="23227" spans="1:2" x14ac:dyDescent="0.25">
      <c r="A23227">
        <v>54077400290</v>
      </c>
      <c r="B23227" t="s">
        <v>10</v>
      </c>
    </row>
    <row r="23228" spans="1:2" x14ac:dyDescent="0.25">
      <c r="A23228">
        <v>540774003</v>
      </c>
      <c r="B23228" t="s">
        <v>5932</v>
      </c>
    </row>
    <row r="23229" spans="1:2" x14ac:dyDescent="0.25">
      <c r="A23229">
        <v>54077400310</v>
      </c>
      <c r="B23229" t="s">
        <v>8288</v>
      </c>
    </row>
    <row r="23230" spans="1:2" x14ac:dyDescent="0.25">
      <c r="A23230">
        <v>54077400320</v>
      </c>
      <c r="B23230" t="s">
        <v>8663</v>
      </c>
    </row>
    <row r="23231" spans="1:2" x14ac:dyDescent="0.25">
      <c r="A23231">
        <v>54077400330</v>
      </c>
      <c r="B23231" t="s">
        <v>8665</v>
      </c>
    </row>
    <row r="23232" spans="1:2" x14ac:dyDescent="0.25">
      <c r="A23232">
        <v>54077400390</v>
      </c>
      <c r="B23232" t="s">
        <v>10</v>
      </c>
    </row>
    <row r="23233" spans="1:2" x14ac:dyDescent="0.25">
      <c r="A23233">
        <v>540774004</v>
      </c>
      <c r="B23233" t="s">
        <v>5414</v>
      </c>
    </row>
    <row r="23234" spans="1:2" x14ac:dyDescent="0.25">
      <c r="A23234">
        <v>54077400410</v>
      </c>
      <c r="B23234" t="s">
        <v>8288</v>
      </c>
    </row>
    <row r="23235" spans="1:2" x14ac:dyDescent="0.25">
      <c r="A23235">
        <v>54077400420</v>
      </c>
      <c r="B23235" t="s">
        <v>8663</v>
      </c>
    </row>
    <row r="23236" spans="1:2" x14ac:dyDescent="0.25">
      <c r="A23236">
        <v>54077400430</v>
      </c>
      <c r="B23236" t="s">
        <v>8664</v>
      </c>
    </row>
    <row r="23237" spans="1:2" x14ac:dyDescent="0.25">
      <c r="A23237">
        <v>54077400490</v>
      </c>
      <c r="B23237" t="s">
        <v>10</v>
      </c>
    </row>
    <row r="23238" spans="1:2" x14ac:dyDescent="0.25">
      <c r="A23238">
        <v>54077400900</v>
      </c>
      <c r="B23238" t="s">
        <v>10</v>
      </c>
    </row>
    <row r="23239" spans="1:2" x14ac:dyDescent="0.25">
      <c r="A23239">
        <v>54078</v>
      </c>
      <c r="B23239" t="s">
        <v>8669</v>
      </c>
    </row>
    <row r="23240" spans="1:2" x14ac:dyDescent="0.25">
      <c r="A23240">
        <v>54078100000</v>
      </c>
      <c r="B23240" t="e">
        <f>--crudos o Blanqueados</f>
        <v>#NAME?</v>
      </c>
    </row>
    <row r="23241" spans="1:2" x14ac:dyDescent="0.25">
      <c r="A23241">
        <v>54078200000</v>
      </c>
      <c r="B23241" t="e">
        <f>--Teñidos</f>
        <v>#NAME?</v>
      </c>
    </row>
    <row r="23242" spans="1:2" x14ac:dyDescent="0.25">
      <c r="A23242">
        <v>54078300000</v>
      </c>
      <c r="B23242" t="e">
        <f>--Con hilados de distintos colores</f>
        <v>#NAME?</v>
      </c>
    </row>
    <row r="23243" spans="1:2" x14ac:dyDescent="0.25">
      <c r="A23243">
        <v>54078400000</v>
      </c>
      <c r="B23243" t="e">
        <f>--Estampados</f>
        <v>#NAME?</v>
      </c>
    </row>
    <row r="23244" spans="1:2" x14ac:dyDescent="0.25">
      <c r="A23244">
        <v>54079</v>
      </c>
      <c r="B23244" t="s">
        <v>8670</v>
      </c>
    </row>
    <row r="23245" spans="1:2" x14ac:dyDescent="0.25">
      <c r="A23245">
        <v>54079100000</v>
      </c>
      <c r="B23245" t="e">
        <f>--crudos o Blanqueados</f>
        <v>#NAME?</v>
      </c>
    </row>
    <row r="23246" spans="1:2" x14ac:dyDescent="0.25">
      <c r="A23246">
        <v>54079200000</v>
      </c>
      <c r="B23246" t="e">
        <f>--Teñidos</f>
        <v>#NAME?</v>
      </c>
    </row>
    <row r="23247" spans="1:2" x14ac:dyDescent="0.25">
      <c r="A23247">
        <v>54079300000</v>
      </c>
      <c r="B23247" t="e">
        <f>--Con hilados de distintos colores</f>
        <v>#NAME?</v>
      </c>
    </row>
    <row r="23248" spans="1:2" x14ac:dyDescent="0.25">
      <c r="A23248">
        <v>54079400000</v>
      </c>
      <c r="B23248" t="e">
        <f>--Estampados</f>
        <v>#NAME?</v>
      </c>
    </row>
    <row r="23249" spans="1:2" x14ac:dyDescent="0.25">
      <c r="A23249">
        <v>5408</v>
      </c>
      <c r="B23249" t="s">
        <v>8671</v>
      </c>
    </row>
    <row r="23250" spans="1:2" x14ac:dyDescent="0.25">
      <c r="A23250">
        <v>54081000000</v>
      </c>
      <c r="B23250" t="e">
        <f>-tejidos fabricados Con hilados de alta tenacidad de rayon viscosa</f>
        <v>#NAME?</v>
      </c>
    </row>
    <row r="23251" spans="1:2" x14ac:dyDescent="0.25">
      <c r="A23251">
        <v>54082</v>
      </c>
      <c r="B23251" t="s">
        <v>8672</v>
      </c>
    </row>
    <row r="23252" spans="1:2" x14ac:dyDescent="0.25">
      <c r="A23252">
        <v>54082100</v>
      </c>
      <c r="B23252" t="e">
        <f>- - crudos o Blanqueados</f>
        <v>#NAME?</v>
      </c>
    </row>
    <row r="23253" spans="1:2" x14ac:dyDescent="0.25">
      <c r="A23253">
        <v>540821001</v>
      </c>
      <c r="B23253" t="s">
        <v>8535</v>
      </c>
    </row>
    <row r="23254" spans="1:2" x14ac:dyDescent="0.25">
      <c r="A23254">
        <v>54082100110</v>
      </c>
      <c r="B23254" t="s">
        <v>8641</v>
      </c>
    </row>
    <row r="23255" spans="1:2" x14ac:dyDescent="0.25">
      <c r="A23255">
        <v>54082100120</v>
      </c>
      <c r="B23255" t="s">
        <v>8642</v>
      </c>
    </row>
    <row r="23256" spans="1:2" x14ac:dyDescent="0.25">
      <c r="A23256">
        <v>54082100130</v>
      </c>
      <c r="B23256" t="s">
        <v>8643</v>
      </c>
    </row>
    <row r="23257" spans="1:2" x14ac:dyDescent="0.25">
      <c r="A23257">
        <v>54082100140</v>
      </c>
      <c r="B23257" t="s">
        <v>8644</v>
      </c>
    </row>
    <row r="23258" spans="1:2" x14ac:dyDescent="0.25">
      <c r="A23258">
        <v>54082100150</v>
      </c>
      <c r="B23258" t="s">
        <v>8645</v>
      </c>
    </row>
    <row r="23259" spans="1:2" x14ac:dyDescent="0.25">
      <c r="A23259">
        <v>54082100190</v>
      </c>
      <c r="B23259" t="s">
        <v>57</v>
      </c>
    </row>
    <row r="23260" spans="1:2" x14ac:dyDescent="0.25">
      <c r="A23260">
        <v>540821002</v>
      </c>
      <c r="B23260" t="s">
        <v>8673</v>
      </c>
    </row>
    <row r="23261" spans="1:2" x14ac:dyDescent="0.25">
      <c r="A23261">
        <v>54082100210</v>
      </c>
      <c r="B23261" t="s">
        <v>8641</v>
      </c>
    </row>
    <row r="23262" spans="1:2" x14ac:dyDescent="0.25">
      <c r="A23262">
        <v>54082100220</v>
      </c>
      <c r="B23262" t="s">
        <v>8642</v>
      </c>
    </row>
    <row r="23263" spans="1:2" x14ac:dyDescent="0.25">
      <c r="A23263">
        <v>54082100230</v>
      </c>
      <c r="B23263" t="s">
        <v>8643</v>
      </c>
    </row>
    <row r="23264" spans="1:2" x14ac:dyDescent="0.25">
      <c r="A23264">
        <v>54082100240</v>
      </c>
      <c r="B23264" t="s">
        <v>8644</v>
      </c>
    </row>
    <row r="23265" spans="1:2" x14ac:dyDescent="0.25">
      <c r="A23265">
        <v>54082100250</v>
      </c>
      <c r="B23265" t="s">
        <v>8645</v>
      </c>
    </row>
    <row r="23266" spans="1:2" x14ac:dyDescent="0.25">
      <c r="A23266">
        <v>54082100290</v>
      </c>
      <c r="B23266" t="s">
        <v>57</v>
      </c>
    </row>
    <row r="23267" spans="1:2" x14ac:dyDescent="0.25">
      <c r="A23267">
        <v>540821003</v>
      </c>
      <c r="B23267" t="s">
        <v>8498</v>
      </c>
    </row>
    <row r="23268" spans="1:2" x14ac:dyDescent="0.25">
      <c r="A23268">
        <v>54082100310</v>
      </c>
      <c r="B23268" t="s">
        <v>8641</v>
      </c>
    </row>
    <row r="23269" spans="1:2" x14ac:dyDescent="0.25">
      <c r="A23269">
        <v>54082100320</v>
      </c>
      <c r="B23269" t="s">
        <v>8642</v>
      </c>
    </row>
    <row r="23270" spans="1:2" x14ac:dyDescent="0.25">
      <c r="A23270">
        <v>54082100330</v>
      </c>
      <c r="B23270" t="s">
        <v>8643</v>
      </c>
    </row>
    <row r="23271" spans="1:2" x14ac:dyDescent="0.25">
      <c r="A23271">
        <v>54082100340</v>
      </c>
      <c r="B23271" t="s">
        <v>8644</v>
      </c>
    </row>
    <row r="23272" spans="1:2" x14ac:dyDescent="0.25">
      <c r="A23272">
        <v>54082100350</v>
      </c>
      <c r="B23272" t="s">
        <v>8645</v>
      </c>
    </row>
    <row r="23273" spans="1:2" x14ac:dyDescent="0.25">
      <c r="A23273">
        <v>54082100390</v>
      </c>
      <c r="B23273" t="s">
        <v>8674</v>
      </c>
    </row>
    <row r="23274" spans="1:2" x14ac:dyDescent="0.25">
      <c r="A23274">
        <v>540821009</v>
      </c>
      <c r="B23274" t="s">
        <v>8500</v>
      </c>
    </row>
    <row r="23275" spans="1:2" x14ac:dyDescent="0.25">
      <c r="A23275">
        <v>54082100910</v>
      </c>
      <c r="B23275" t="s">
        <v>8641</v>
      </c>
    </row>
    <row r="23276" spans="1:2" x14ac:dyDescent="0.25">
      <c r="A23276">
        <v>54082100920</v>
      </c>
      <c r="B23276" t="s">
        <v>8642</v>
      </c>
    </row>
    <row r="23277" spans="1:2" x14ac:dyDescent="0.25">
      <c r="A23277">
        <v>54082100930</v>
      </c>
      <c r="B23277" t="s">
        <v>8643</v>
      </c>
    </row>
    <row r="23278" spans="1:2" x14ac:dyDescent="0.25">
      <c r="A23278">
        <v>54082100940</v>
      </c>
      <c r="B23278" t="s">
        <v>8644</v>
      </c>
    </row>
    <row r="23279" spans="1:2" x14ac:dyDescent="0.25">
      <c r="A23279">
        <v>54082100950</v>
      </c>
      <c r="B23279" t="s">
        <v>8645</v>
      </c>
    </row>
    <row r="23280" spans="1:2" x14ac:dyDescent="0.25">
      <c r="A23280">
        <v>54082100990</v>
      </c>
      <c r="B23280" t="s">
        <v>57</v>
      </c>
    </row>
    <row r="23281" spans="1:2" x14ac:dyDescent="0.25">
      <c r="A23281">
        <v>54082200</v>
      </c>
      <c r="B23281" t="e">
        <f>- - Teñidos</f>
        <v>#NAME?</v>
      </c>
    </row>
    <row r="23282" spans="1:2" x14ac:dyDescent="0.25">
      <c r="A23282">
        <v>540822001</v>
      </c>
      <c r="B23282" t="s">
        <v>8675</v>
      </c>
    </row>
    <row r="23283" spans="1:2" x14ac:dyDescent="0.25">
      <c r="A23283">
        <v>5408220011</v>
      </c>
      <c r="B23283" t="s">
        <v>8535</v>
      </c>
    </row>
    <row r="23284" spans="1:2" x14ac:dyDescent="0.25">
      <c r="A23284">
        <v>54082200111</v>
      </c>
      <c r="B23284" t="s">
        <v>8641</v>
      </c>
    </row>
    <row r="23285" spans="1:2" x14ac:dyDescent="0.25">
      <c r="A23285">
        <v>54082200112</v>
      </c>
      <c r="B23285" t="s">
        <v>8642</v>
      </c>
    </row>
    <row r="23286" spans="1:2" x14ac:dyDescent="0.25">
      <c r="A23286">
        <v>54082200113</v>
      </c>
      <c r="B23286" t="s">
        <v>8643</v>
      </c>
    </row>
    <row r="23287" spans="1:2" x14ac:dyDescent="0.25">
      <c r="A23287">
        <v>54082200114</v>
      </c>
      <c r="B23287" t="s">
        <v>8644</v>
      </c>
    </row>
    <row r="23288" spans="1:2" x14ac:dyDescent="0.25">
      <c r="A23288">
        <v>54082200115</v>
      </c>
      <c r="B23288" t="s">
        <v>8645</v>
      </c>
    </row>
    <row r="23289" spans="1:2" x14ac:dyDescent="0.25">
      <c r="A23289">
        <v>54082200119</v>
      </c>
      <c r="B23289" t="s">
        <v>57</v>
      </c>
    </row>
    <row r="23290" spans="1:2" x14ac:dyDescent="0.25">
      <c r="A23290">
        <v>5408220012</v>
      </c>
      <c r="B23290" t="s">
        <v>8673</v>
      </c>
    </row>
    <row r="23291" spans="1:2" x14ac:dyDescent="0.25">
      <c r="A23291">
        <v>54082200121</v>
      </c>
      <c r="B23291" t="s">
        <v>8641</v>
      </c>
    </row>
    <row r="23292" spans="1:2" x14ac:dyDescent="0.25">
      <c r="A23292">
        <v>54082200122</v>
      </c>
      <c r="B23292" t="s">
        <v>8642</v>
      </c>
    </row>
    <row r="23293" spans="1:2" x14ac:dyDescent="0.25">
      <c r="A23293">
        <v>54082200123</v>
      </c>
      <c r="B23293" t="s">
        <v>8643</v>
      </c>
    </row>
    <row r="23294" spans="1:2" x14ac:dyDescent="0.25">
      <c r="A23294">
        <v>54082200124</v>
      </c>
      <c r="B23294" t="s">
        <v>8644</v>
      </c>
    </row>
    <row r="23295" spans="1:2" x14ac:dyDescent="0.25">
      <c r="A23295">
        <v>54082200125</v>
      </c>
      <c r="B23295" t="s">
        <v>8645</v>
      </c>
    </row>
    <row r="23296" spans="1:2" x14ac:dyDescent="0.25">
      <c r="A23296">
        <v>54082200129</v>
      </c>
      <c r="B23296" t="s">
        <v>57</v>
      </c>
    </row>
    <row r="23297" spans="1:2" x14ac:dyDescent="0.25">
      <c r="A23297">
        <v>5408220013</v>
      </c>
      <c r="B23297" t="s">
        <v>8498</v>
      </c>
    </row>
    <row r="23298" spans="1:2" x14ac:dyDescent="0.25">
      <c r="A23298">
        <v>54082200131</v>
      </c>
      <c r="B23298" t="s">
        <v>8641</v>
      </c>
    </row>
    <row r="23299" spans="1:2" x14ac:dyDescent="0.25">
      <c r="A23299">
        <v>54082200132</v>
      </c>
      <c r="B23299" t="s">
        <v>8642</v>
      </c>
    </row>
    <row r="23300" spans="1:2" x14ac:dyDescent="0.25">
      <c r="A23300">
        <v>54082200133</v>
      </c>
      <c r="B23300" t="s">
        <v>8643</v>
      </c>
    </row>
    <row r="23301" spans="1:2" x14ac:dyDescent="0.25">
      <c r="A23301">
        <v>54082200134</v>
      </c>
      <c r="B23301" t="s">
        <v>8644</v>
      </c>
    </row>
    <row r="23302" spans="1:2" x14ac:dyDescent="0.25">
      <c r="A23302">
        <v>54082200135</v>
      </c>
      <c r="B23302" t="s">
        <v>8645</v>
      </c>
    </row>
    <row r="23303" spans="1:2" x14ac:dyDescent="0.25">
      <c r="A23303">
        <v>54082200139</v>
      </c>
      <c r="B23303" t="s">
        <v>57</v>
      </c>
    </row>
    <row r="23304" spans="1:2" x14ac:dyDescent="0.25">
      <c r="A23304">
        <v>5408220019</v>
      </c>
      <c r="B23304" t="s">
        <v>8500</v>
      </c>
    </row>
    <row r="23305" spans="1:2" x14ac:dyDescent="0.25">
      <c r="A23305">
        <v>54082200191</v>
      </c>
      <c r="B23305" t="s">
        <v>8641</v>
      </c>
    </row>
    <row r="23306" spans="1:2" x14ac:dyDescent="0.25">
      <c r="A23306">
        <v>54082200192</v>
      </c>
      <c r="B23306" t="s">
        <v>8642</v>
      </c>
    </row>
    <row r="23307" spans="1:2" x14ac:dyDescent="0.25">
      <c r="A23307">
        <v>54082200193</v>
      </c>
      <c r="B23307" t="s">
        <v>8643</v>
      </c>
    </row>
    <row r="23308" spans="1:2" x14ac:dyDescent="0.25">
      <c r="A23308">
        <v>54082200194</v>
      </c>
      <c r="B23308" t="s">
        <v>8644</v>
      </c>
    </row>
    <row r="23309" spans="1:2" x14ac:dyDescent="0.25">
      <c r="A23309">
        <v>54082200195</v>
      </c>
      <c r="B23309" t="s">
        <v>8645</v>
      </c>
    </row>
    <row r="23310" spans="1:2" x14ac:dyDescent="0.25">
      <c r="A23310">
        <v>54082200199</v>
      </c>
      <c r="B23310" t="s">
        <v>57</v>
      </c>
    </row>
    <row r="23311" spans="1:2" x14ac:dyDescent="0.25">
      <c r="A23311">
        <v>540822009</v>
      </c>
      <c r="B23311" t="s">
        <v>10</v>
      </c>
    </row>
    <row r="23312" spans="1:2" x14ac:dyDescent="0.25">
      <c r="A23312">
        <v>5408220091</v>
      </c>
      <c r="B23312" t="s">
        <v>8535</v>
      </c>
    </row>
    <row r="23313" spans="1:2" x14ac:dyDescent="0.25">
      <c r="A23313">
        <v>54082200911</v>
      </c>
      <c r="B23313" t="s">
        <v>8641</v>
      </c>
    </row>
    <row r="23314" spans="1:2" x14ac:dyDescent="0.25">
      <c r="A23314">
        <v>54082200912</v>
      </c>
      <c r="B23314" t="s">
        <v>8642</v>
      </c>
    </row>
    <row r="23315" spans="1:2" x14ac:dyDescent="0.25">
      <c r="A23315">
        <v>54082200913</v>
      </c>
      <c r="B23315" t="s">
        <v>8643</v>
      </c>
    </row>
    <row r="23316" spans="1:2" x14ac:dyDescent="0.25">
      <c r="A23316">
        <v>54082200914</v>
      </c>
      <c r="B23316" t="s">
        <v>8644</v>
      </c>
    </row>
    <row r="23317" spans="1:2" x14ac:dyDescent="0.25">
      <c r="A23317">
        <v>54082200915</v>
      </c>
      <c r="B23317" t="s">
        <v>8645</v>
      </c>
    </row>
    <row r="23318" spans="1:2" x14ac:dyDescent="0.25">
      <c r="A23318">
        <v>54082200919</v>
      </c>
      <c r="B23318" t="s">
        <v>57</v>
      </c>
    </row>
    <row r="23319" spans="1:2" x14ac:dyDescent="0.25">
      <c r="A23319">
        <v>5408220092</v>
      </c>
      <c r="B23319" t="s">
        <v>8673</v>
      </c>
    </row>
    <row r="23320" spans="1:2" x14ac:dyDescent="0.25">
      <c r="A23320">
        <v>54082200921</v>
      </c>
      <c r="B23320" t="s">
        <v>8641</v>
      </c>
    </row>
    <row r="23321" spans="1:2" x14ac:dyDescent="0.25">
      <c r="A23321">
        <v>54082200922</v>
      </c>
      <c r="B23321" t="s">
        <v>8642</v>
      </c>
    </row>
    <row r="23322" spans="1:2" x14ac:dyDescent="0.25">
      <c r="A23322">
        <v>54082200923</v>
      </c>
      <c r="B23322" t="s">
        <v>8643</v>
      </c>
    </row>
    <row r="23323" spans="1:2" x14ac:dyDescent="0.25">
      <c r="A23323">
        <v>54082200924</v>
      </c>
      <c r="B23323" t="s">
        <v>8644</v>
      </c>
    </row>
    <row r="23324" spans="1:2" x14ac:dyDescent="0.25">
      <c r="A23324">
        <v>54082200925</v>
      </c>
      <c r="B23324" t="s">
        <v>8645</v>
      </c>
    </row>
    <row r="23325" spans="1:2" x14ac:dyDescent="0.25">
      <c r="A23325">
        <v>54082200929</v>
      </c>
      <c r="B23325" t="s">
        <v>57</v>
      </c>
    </row>
    <row r="23326" spans="1:2" x14ac:dyDescent="0.25">
      <c r="A23326">
        <v>5408220093</v>
      </c>
      <c r="B23326" t="s">
        <v>8498</v>
      </c>
    </row>
    <row r="23327" spans="1:2" x14ac:dyDescent="0.25">
      <c r="A23327">
        <v>54082200931</v>
      </c>
      <c r="B23327" t="s">
        <v>8641</v>
      </c>
    </row>
    <row r="23328" spans="1:2" x14ac:dyDescent="0.25">
      <c r="A23328">
        <v>54082200932</v>
      </c>
      <c r="B23328" t="s">
        <v>8642</v>
      </c>
    </row>
    <row r="23329" spans="1:2" x14ac:dyDescent="0.25">
      <c r="A23329">
        <v>54082200933</v>
      </c>
      <c r="B23329" t="s">
        <v>8643</v>
      </c>
    </row>
    <row r="23330" spans="1:2" x14ac:dyDescent="0.25">
      <c r="A23330">
        <v>54082200934</v>
      </c>
      <c r="B23330" t="s">
        <v>8644</v>
      </c>
    </row>
    <row r="23331" spans="1:2" x14ac:dyDescent="0.25">
      <c r="A23331">
        <v>54082200935</v>
      </c>
      <c r="B23331" t="s">
        <v>8645</v>
      </c>
    </row>
    <row r="23332" spans="1:2" x14ac:dyDescent="0.25">
      <c r="A23332">
        <v>54082200939</v>
      </c>
      <c r="B23332" t="s">
        <v>57</v>
      </c>
    </row>
    <row r="23333" spans="1:2" x14ac:dyDescent="0.25">
      <c r="A23333">
        <v>5408220099</v>
      </c>
      <c r="B23333" t="s">
        <v>8500</v>
      </c>
    </row>
    <row r="23334" spans="1:2" x14ac:dyDescent="0.25">
      <c r="A23334">
        <v>54082200991</v>
      </c>
      <c r="B23334" t="s">
        <v>8641</v>
      </c>
    </row>
    <row r="23335" spans="1:2" x14ac:dyDescent="0.25">
      <c r="A23335">
        <v>54082200992</v>
      </c>
      <c r="B23335" t="s">
        <v>8642</v>
      </c>
    </row>
    <row r="23336" spans="1:2" x14ac:dyDescent="0.25">
      <c r="A23336">
        <v>54082200993</v>
      </c>
      <c r="B23336" t="s">
        <v>8643</v>
      </c>
    </row>
    <row r="23337" spans="1:2" x14ac:dyDescent="0.25">
      <c r="A23337">
        <v>54082200994</v>
      </c>
      <c r="B23337" t="s">
        <v>8644</v>
      </c>
    </row>
    <row r="23338" spans="1:2" x14ac:dyDescent="0.25">
      <c r="A23338">
        <v>54082200995</v>
      </c>
      <c r="B23338" t="s">
        <v>8645</v>
      </c>
    </row>
    <row r="23339" spans="1:2" x14ac:dyDescent="0.25">
      <c r="A23339">
        <v>54082200999</v>
      </c>
      <c r="B23339" t="s">
        <v>57</v>
      </c>
    </row>
    <row r="23340" spans="1:2" x14ac:dyDescent="0.25">
      <c r="A23340">
        <v>54082300</v>
      </c>
      <c r="B23340" t="e">
        <f>- - Con hilados de distintos colores</f>
        <v>#NAME?</v>
      </c>
    </row>
    <row r="23341" spans="1:2" x14ac:dyDescent="0.25">
      <c r="A23341">
        <v>540823001</v>
      </c>
      <c r="B23341" t="s">
        <v>8535</v>
      </c>
    </row>
    <row r="23342" spans="1:2" x14ac:dyDescent="0.25">
      <c r="A23342">
        <v>54082300110</v>
      </c>
      <c r="B23342" t="s">
        <v>8641</v>
      </c>
    </row>
    <row r="23343" spans="1:2" x14ac:dyDescent="0.25">
      <c r="A23343">
        <v>54082300120</v>
      </c>
      <c r="B23343" t="s">
        <v>8642</v>
      </c>
    </row>
    <row r="23344" spans="1:2" x14ac:dyDescent="0.25">
      <c r="A23344">
        <v>54082300130</v>
      </c>
      <c r="B23344" t="s">
        <v>8643</v>
      </c>
    </row>
    <row r="23345" spans="1:2" x14ac:dyDescent="0.25">
      <c r="A23345">
        <v>54082300140</v>
      </c>
      <c r="B23345" t="s">
        <v>8644</v>
      </c>
    </row>
    <row r="23346" spans="1:2" x14ac:dyDescent="0.25">
      <c r="A23346">
        <v>54082300150</v>
      </c>
      <c r="B23346" t="s">
        <v>8645</v>
      </c>
    </row>
    <row r="23347" spans="1:2" x14ac:dyDescent="0.25">
      <c r="A23347">
        <v>54082300190</v>
      </c>
      <c r="B23347" t="s">
        <v>57</v>
      </c>
    </row>
    <row r="23348" spans="1:2" x14ac:dyDescent="0.25">
      <c r="A23348">
        <v>540823002</v>
      </c>
      <c r="B23348" t="s">
        <v>8673</v>
      </c>
    </row>
    <row r="23349" spans="1:2" x14ac:dyDescent="0.25">
      <c r="A23349">
        <v>54082300210</v>
      </c>
      <c r="B23349" t="s">
        <v>8641</v>
      </c>
    </row>
    <row r="23350" spans="1:2" x14ac:dyDescent="0.25">
      <c r="A23350">
        <v>54082300220</v>
      </c>
      <c r="B23350" t="s">
        <v>8642</v>
      </c>
    </row>
    <row r="23351" spans="1:2" x14ac:dyDescent="0.25">
      <c r="A23351">
        <v>54082300230</v>
      </c>
      <c r="B23351" t="s">
        <v>8643</v>
      </c>
    </row>
    <row r="23352" spans="1:2" x14ac:dyDescent="0.25">
      <c r="A23352">
        <v>54082300240</v>
      </c>
      <c r="B23352" t="s">
        <v>8644</v>
      </c>
    </row>
    <row r="23353" spans="1:2" x14ac:dyDescent="0.25">
      <c r="A23353">
        <v>54082300250</v>
      </c>
      <c r="B23353" t="s">
        <v>8645</v>
      </c>
    </row>
    <row r="23354" spans="1:2" x14ac:dyDescent="0.25">
      <c r="A23354">
        <v>54082300290</v>
      </c>
      <c r="B23354" t="s">
        <v>57</v>
      </c>
    </row>
    <row r="23355" spans="1:2" x14ac:dyDescent="0.25">
      <c r="A23355">
        <v>540823003</v>
      </c>
      <c r="B23355" t="s">
        <v>8498</v>
      </c>
    </row>
    <row r="23356" spans="1:2" x14ac:dyDescent="0.25">
      <c r="A23356">
        <v>54082300310</v>
      </c>
      <c r="B23356" t="s">
        <v>8641</v>
      </c>
    </row>
    <row r="23357" spans="1:2" x14ac:dyDescent="0.25">
      <c r="A23357">
        <v>54082300320</v>
      </c>
      <c r="B23357" t="s">
        <v>8642</v>
      </c>
    </row>
    <row r="23358" spans="1:2" x14ac:dyDescent="0.25">
      <c r="A23358">
        <v>54082300330</v>
      </c>
      <c r="B23358" t="s">
        <v>8643</v>
      </c>
    </row>
    <row r="23359" spans="1:2" x14ac:dyDescent="0.25">
      <c r="A23359">
        <v>54082300340</v>
      </c>
      <c r="B23359" t="s">
        <v>8644</v>
      </c>
    </row>
    <row r="23360" spans="1:2" x14ac:dyDescent="0.25">
      <c r="A23360">
        <v>54082300350</v>
      </c>
      <c r="B23360" t="s">
        <v>8645</v>
      </c>
    </row>
    <row r="23361" spans="1:2" x14ac:dyDescent="0.25">
      <c r="A23361">
        <v>54082300390</v>
      </c>
      <c r="B23361" t="s">
        <v>57</v>
      </c>
    </row>
    <row r="23362" spans="1:2" x14ac:dyDescent="0.25">
      <c r="A23362">
        <v>540823009</v>
      </c>
      <c r="B23362" t="s">
        <v>8500</v>
      </c>
    </row>
    <row r="23363" spans="1:2" x14ac:dyDescent="0.25">
      <c r="A23363">
        <v>54082300910</v>
      </c>
      <c r="B23363" t="s">
        <v>8641</v>
      </c>
    </row>
    <row r="23364" spans="1:2" x14ac:dyDescent="0.25">
      <c r="A23364">
        <v>54082300920</v>
      </c>
      <c r="B23364" t="s">
        <v>8642</v>
      </c>
    </row>
    <row r="23365" spans="1:2" x14ac:dyDescent="0.25">
      <c r="A23365">
        <v>54082300930</v>
      </c>
      <c r="B23365" t="s">
        <v>8643</v>
      </c>
    </row>
    <row r="23366" spans="1:2" x14ac:dyDescent="0.25">
      <c r="A23366">
        <v>54082300940</v>
      </c>
      <c r="B23366" t="s">
        <v>8644</v>
      </c>
    </row>
    <row r="23367" spans="1:2" x14ac:dyDescent="0.25">
      <c r="A23367">
        <v>54082300950</v>
      </c>
      <c r="B23367" t="s">
        <v>8645</v>
      </c>
    </row>
    <row r="23368" spans="1:2" x14ac:dyDescent="0.25">
      <c r="A23368">
        <v>54082300990</v>
      </c>
      <c r="B23368" t="s">
        <v>57</v>
      </c>
    </row>
    <row r="23369" spans="1:2" x14ac:dyDescent="0.25">
      <c r="A23369">
        <v>54082400</v>
      </c>
      <c r="B23369" t="e">
        <f>- - Estampados</f>
        <v>#NAME?</v>
      </c>
    </row>
    <row r="23370" spans="1:2" x14ac:dyDescent="0.25">
      <c r="A23370">
        <v>540824001</v>
      </c>
      <c r="B23370" t="s">
        <v>8535</v>
      </c>
    </row>
    <row r="23371" spans="1:2" x14ac:dyDescent="0.25">
      <c r="A23371">
        <v>54082400110</v>
      </c>
      <c r="B23371" t="s">
        <v>8641</v>
      </c>
    </row>
    <row r="23372" spans="1:2" x14ac:dyDescent="0.25">
      <c r="A23372">
        <v>54082400120</v>
      </c>
      <c r="B23372" t="s">
        <v>8642</v>
      </c>
    </row>
    <row r="23373" spans="1:2" x14ac:dyDescent="0.25">
      <c r="A23373">
        <v>54082400130</v>
      </c>
      <c r="B23373" t="s">
        <v>8643</v>
      </c>
    </row>
    <row r="23374" spans="1:2" x14ac:dyDescent="0.25">
      <c r="A23374">
        <v>54082400140</v>
      </c>
      <c r="B23374" t="s">
        <v>8644</v>
      </c>
    </row>
    <row r="23375" spans="1:2" x14ac:dyDescent="0.25">
      <c r="A23375">
        <v>54082400150</v>
      </c>
      <c r="B23375" t="s">
        <v>8645</v>
      </c>
    </row>
    <row r="23376" spans="1:2" x14ac:dyDescent="0.25">
      <c r="A23376">
        <v>54082400190</v>
      </c>
      <c r="B23376" t="s">
        <v>57</v>
      </c>
    </row>
    <row r="23377" spans="1:2" x14ac:dyDescent="0.25">
      <c r="A23377">
        <v>540824002</v>
      </c>
      <c r="B23377" t="s">
        <v>8673</v>
      </c>
    </row>
    <row r="23378" spans="1:2" x14ac:dyDescent="0.25">
      <c r="A23378">
        <v>54082400210</v>
      </c>
      <c r="B23378" t="s">
        <v>8641</v>
      </c>
    </row>
    <row r="23379" spans="1:2" x14ac:dyDescent="0.25">
      <c r="A23379">
        <v>54082400220</v>
      </c>
      <c r="B23379" t="s">
        <v>8642</v>
      </c>
    </row>
    <row r="23380" spans="1:2" x14ac:dyDescent="0.25">
      <c r="A23380">
        <v>54082400230</v>
      </c>
      <c r="B23380" t="s">
        <v>8643</v>
      </c>
    </row>
    <row r="23381" spans="1:2" x14ac:dyDescent="0.25">
      <c r="A23381">
        <v>54082400240</v>
      </c>
      <c r="B23381" t="s">
        <v>8644</v>
      </c>
    </row>
    <row r="23382" spans="1:2" x14ac:dyDescent="0.25">
      <c r="A23382">
        <v>54082400250</v>
      </c>
      <c r="B23382" t="s">
        <v>8645</v>
      </c>
    </row>
    <row r="23383" spans="1:2" x14ac:dyDescent="0.25">
      <c r="A23383">
        <v>54082400290</v>
      </c>
      <c r="B23383" t="s">
        <v>57</v>
      </c>
    </row>
    <row r="23384" spans="1:2" x14ac:dyDescent="0.25">
      <c r="A23384">
        <v>540824003</v>
      </c>
      <c r="B23384" t="s">
        <v>8498</v>
      </c>
    </row>
    <row r="23385" spans="1:2" x14ac:dyDescent="0.25">
      <c r="A23385">
        <v>54082400310</v>
      </c>
      <c r="B23385" t="s">
        <v>8641</v>
      </c>
    </row>
    <row r="23386" spans="1:2" x14ac:dyDescent="0.25">
      <c r="A23386">
        <v>54082400320</v>
      </c>
      <c r="B23386" t="s">
        <v>8642</v>
      </c>
    </row>
    <row r="23387" spans="1:2" x14ac:dyDescent="0.25">
      <c r="A23387">
        <v>54082400330</v>
      </c>
      <c r="B23387" t="s">
        <v>8643</v>
      </c>
    </row>
    <row r="23388" spans="1:2" x14ac:dyDescent="0.25">
      <c r="A23388">
        <v>54082400340</v>
      </c>
      <c r="B23388" t="s">
        <v>8644</v>
      </c>
    </row>
    <row r="23389" spans="1:2" x14ac:dyDescent="0.25">
      <c r="A23389">
        <v>54082400350</v>
      </c>
      <c r="B23389" t="s">
        <v>8645</v>
      </c>
    </row>
    <row r="23390" spans="1:2" x14ac:dyDescent="0.25">
      <c r="A23390">
        <v>54082400390</v>
      </c>
      <c r="B23390" t="s">
        <v>57</v>
      </c>
    </row>
    <row r="23391" spans="1:2" x14ac:dyDescent="0.25">
      <c r="A23391">
        <v>540824009</v>
      </c>
      <c r="B23391" t="s">
        <v>8500</v>
      </c>
    </row>
    <row r="23392" spans="1:2" x14ac:dyDescent="0.25">
      <c r="A23392">
        <v>54082400910</v>
      </c>
      <c r="B23392" t="s">
        <v>8641</v>
      </c>
    </row>
    <row r="23393" spans="1:2" x14ac:dyDescent="0.25">
      <c r="A23393">
        <v>54082400920</v>
      </c>
      <c r="B23393" t="s">
        <v>8642</v>
      </c>
    </row>
    <row r="23394" spans="1:2" x14ac:dyDescent="0.25">
      <c r="A23394">
        <v>54082400930</v>
      </c>
      <c r="B23394" t="s">
        <v>8643</v>
      </c>
    </row>
    <row r="23395" spans="1:2" x14ac:dyDescent="0.25">
      <c r="A23395">
        <v>54082400940</v>
      </c>
      <c r="B23395" t="s">
        <v>8644</v>
      </c>
    </row>
    <row r="23396" spans="1:2" x14ac:dyDescent="0.25">
      <c r="A23396">
        <v>54082400950</v>
      </c>
      <c r="B23396" t="s">
        <v>8645</v>
      </c>
    </row>
    <row r="23397" spans="1:2" x14ac:dyDescent="0.25">
      <c r="A23397">
        <v>54082400990</v>
      </c>
      <c r="B23397" t="s">
        <v>57</v>
      </c>
    </row>
    <row r="23398" spans="1:2" x14ac:dyDescent="0.25">
      <c r="A23398">
        <v>54083</v>
      </c>
      <c r="B23398" t="s">
        <v>8670</v>
      </c>
    </row>
    <row r="23399" spans="1:2" x14ac:dyDescent="0.25">
      <c r="A23399">
        <v>54083100000</v>
      </c>
      <c r="B23399" t="e">
        <f>--crudos o Blanqueados</f>
        <v>#NAME?</v>
      </c>
    </row>
    <row r="23400" spans="1:2" x14ac:dyDescent="0.25">
      <c r="A23400">
        <v>54083200000</v>
      </c>
      <c r="B23400" t="e">
        <f>--Teñidos</f>
        <v>#NAME?</v>
      </c>
    </row>
    <row r="23401" spans="1:2" x14ac:dyDescent="0.25">
      <c r="A23401">
        <v>54083300000</v>
      </c>
      <c r="B23401" t="e">
        <f>--Con hilados de distintos colores</f>
        <v>#NAME?</v>
      </c>
    </row>
    <row r="23402" spans="1:2" x14ac:dyDescent="0.25">
      <c r="A23402">
        <v>54083400000</v>
      </c>
      <c r="B23402" t="e">
        <f>--Estampados</f>
        <v>#NAME?</v>
      </c>
    </row>
    <row r="23403" spans="1:2" x14ac:dyDescent="0.25">
      <c r="A23403">
        <v>5501</v>
      </c>
      <c r="B23403" t="s">
        <v>8676</v>
      </c>
    </row>
    <row r="23404" spans="1:2" x14ac:dyDescent="0.25">
      <c r="A23404">
        <v>55011000000</v>
      </c>
      <c r="B23404" t="e">
        <f>-de nailon o demas Poliamidas</f>
        <v>#NAME?</v>
      </c>
    </row>
    <row r="23405" spans="1:2" x14ac:dyDescent="0.25">
      <c r="A23405">
        <v>55012000000</v>
      </c>
      <c r="B23405" t="e">
        <f>-de poliesteres</f>
        <v>#NAME?</v>
      </c>
    </row>
    <row r="23406" spans="1:2" x14ac:dyDescent="0.25">
      <c r="A23406">
        <v>55013000000</v>
      </c>
      <c r="B23406" t="e">
        <f>-acrilicos o modacrilicos</f>
        <v>#NAME?</v>
      </c>
    </row>
    <row r="23407" spans="1:2" x14ac:dyDescent="0.25">
      <c r="A23407">
        <v>55014000000</v>
      </c>
      <c r="B23407" t="e">
        <f>-de Polipropileno</f>
        <v>#NAME?</v>
      </c>
    </row>
    <row r="23408" spans="1:2" x14ac:dyDescent="0.25">
      <c r="A23408">
        <v>55019000000</v>
      </c>
      <c r="B23408" t="e">
        <f>-Los demas</f>
        <v>#NAME?</v>
      </c>
    </row>
    <row r="23409" spans="1:2" x14ac:dyDescent="0.25">
      <c r="A23409">
        <v>5502</v>
      </c>
      <c r="B23409" t="s">
        <v>8677</v>
      </c>
    </row>
    <row r="23410" spans="1:2" x14ac:dyDescent="0.25">
      <c r="A23410">
        <v>55021000000</v>
      </c>
      <c r="B23410" t="e">
        <f>-de Acetato de celulosa</f>
        <v>#NAME?</v>
      </c>
    </row>
    <row r="23411" spans="1:2" x14ac:dyDescent="0.25">
      <c r="A23411">
        <v>550290</v>
      </c>
      <c r="B23411" t="e">
        <f>- Los demas</f>
        <v>#NAME?</v>
      </c>
    </row>
    <row r="23412" spans="1:2" x14ac:dyDescent="0.25">
      <c r="A23412">
        <v>55029010000</v>
      </c>
      <c r="B23412" t="s">
        <v>8581</v>
      </c>
    </row>
    <row r="23413" spans="1:2" x14ac:dyDescent="0.25">
      <c r="A23413">
        <v>55029090000</v>
      </c>
      <c r="B23413" t="s">
        <v>10</v>
      </c>
    </row>
    <row r="23414" spans="1:2" x14ac:dyDescent="0.25">
      <c r="A23414">
        <v>5503</v>
      </c>
      <c r="B23414" t="s">
        <v>8678</v>
      </c>
    </row>
    <row r="23415" spans="1:2" x14ac:dyDescent="0.25">
      <c r="A23415">
        <v>55031</v>
      </c>
      <c r="B23415" t="s">
        <v>8679</v>
      </c>
    </row>
    <row r="23416" spans="1:2" x14ac:dyDescent="0.25">
      <c r="A23416">
        <v>55031100000</v>
      </c>
      <c r="B23416" t="e">
        <f>--de aramidas</f>
        <v>#NAME?</v>
      </c>
    </row>
    <row r="23417" spans="1:2" x14ac:dyDescent="0.25">
      <c r="A23417">
        <v>550319</v>
      </c>
      <c r="B23417" t="e">
        <f>- - las demas</f>
        <v>#NAME?</v>
      </c>
    </row>
    <row r="23418" spans="1:2" x14ac:dyDescent="0.25">
      <c r="A23418">
        <v>55031910000</v>
      </c>
      <c r="B23418" t="s">
        <v>8680</v>
      </c>
    </row>
    <row r="23419" spans="1:2" x14ac:dyDescent="0.25">
      <c r="A23419">
        <v>55031990000</v>
      </c>
      <c r="B23419" t="s">
        <v>57</v>
      </c>
    </row>
    <row r="23420" spans="1:2" x14ac:dyDescent="0.25">
      <c r="A23420">
        <v>550320</v>
      </c>
      <c r="B23420" t="e">
        <f>- de poliesteres</f>
        <v>#NAME?</v>
      </c>
    </row>
    <row r="23421" spans="1:2" x14ac:dyDescent="0.25">
      <c r="A23421">
        <v>55032010000</v>
      </c>
      <c r="B23421" t="s">
        <v>8681</v>
      </c>
    </row>
    <row r="23422" spans="1:2" x14ac:dyDescent="0.25">
      <c r="A23422">
        <v>55032090000</v>
      </c>
      <c r="B23422" t="s">
        <v>57</v>
      </c>
    </row>
    <row r="23423" spans="1:2" x14ac:dyDescent="0.25">
      <c r="A23423">
        <v>55033000000</v>
      </c>
      <c r="B23423" t="e">
        <f>-Acrilicas o modacrilicas</f>
        <v>#NAME?</v>
      </c>
    </row>
    <row r="23424" spans="1:2" x14ac:dyDescent="0.25">
      <c r="A23424">
        <v>55034000000</v>
      </c>
      <c r="B23424" t="e">
        <f>-de Polipropileno</f>
        <v>#NAME?</v>
      </c>
    </row>
    <row r="23425" spans="1:2" x14ac:dyDescent="0.25">
      <c r="A23425">
        <v>550390</v>
      </c>
      <c r="B23425" t="e">
        <f>- las demas</f>
        <v>#NAME?</v>
      </c>
    </row>
    <row r="23426" spans="1:2" x14ac:dyDescent="0.25">
      <c r="A23426">
        <v>55039010000</v>
      </c>
      <c r="B23426" t="s">
        <v>8680</v>
      </c>
    </row>
    <row r="23427" spans="1:2" x14ac:dyDescent="0.25">
      <c r="A23427">
        <v>55039020000</v>
      </c>
      <c r="B23427" t="s">
        <v>6824</v>
      </c>
    </row>
    <row r="23428" spans="1:2" x14ac:dyDescent="0.25">
      <c r="A23428">
        <v>55039090000</v>
      </c>
      <c r="B23428" t="s">
        <v>57</v>
      </c>
    </row>
    <row r="23429" spans="1:2" x14ac:dyDescent="0.25">
      <c r="A23429">
        <v>5504</v>
      </c>
      <c r="B23429" t="s">
        <v>8682</v>
      </c>
    </row>
    <row r="23430" spans="1:2" x14ac:dyDescent="0.25">
      <c r="A23430">
        <v>55041000000</v>
      </c>
      <c r="B23430" t="e">
        <f>-de rayon viscosa</f>
        <v>#NAME?</v>
      </c>
    </row>
    <row r="23431" spans="1:2" x14ac:dyDescent="0.25">
      <c r="A23431">
        <v>550490</v>
      </c>
      <c r="B23431" t="e">
        <f>- las demas</f>
        <v>#NAME?</v>
      </c>
    </row>
    <row r="23432" spans="1:2" x14ac:dyDescent="0.25">
      <c r="A23432">
        <v>55049010000</v>
      </c>
      <c r="B23432" t="s">
        <v>8683</v>
      </c>
    </row>
    <row r="23433" spans="1:2" x14ac:dyDescent="0.25">
      <c r="A23433">
        <v>55049090000</v>
      </c>
      <c r="B23433" t="s">
        <v>57</v>
      </c>
    </row>
    <row r="23434" spans="1:2" x14ac:dyDescent="0.25">
      <c r="A23434">
        <v>5505</v>
      </c>
      <c r="B23434" t="s">
        <v>8684</v>
      </c>
    </row>
    <row r="23435" spans="1:2" x14ac:dyDescent="0.25">
      <c r="A23435">
        <v>55051000000</v>
      </c>
      <c r="B23435" t="e">
        <f>-de fibras sinteticas</f>
        <v>#NAME?</v>
      </c>
    </row>
    <row r="23436" spans="1:2" x14ac:dyDescent="0.25">
      <c r="A23436">
        <v>55052000000</v>
      </c>
      <c r="B23436" t="e">
        <f>-de fibras artificiales</f>
        <v>#NAME?</v>
      </c>
    </row>
    <row r="23437" spans="1:2" x14ac:dyDescent="0.25">
      <c r="A23437">
        <v>5506</v>
      </c>
      <c r="B23437" t="s">
        <v>8685</v>
      </c>
    </row>
    <row r="23438" spans="1:2" x14ac:dyDescent="0.25">
      <c r="A23438">
        <v>55061000000</v>
      </c>
      <c r="B23438" t="e">
        <f>-de nailon o demas Poliamidas</f>
        <v>#NAME?</v>
      </c>
    </row>
    <row r="23439" spans="1:2" x14ac:dyDescent="0.25">
      <c r="A23439">
        <v>55062000000</v>
      </c>
      <c r="B23439" t="e">
        <f>-de poliesteres</f>
        <v>#NAME?</v>
      </c>
    </row>
    <row r="23440" spans="1:2" x14ac:dyDescent="0.25">
      <c r="A23440">
        <v>55063000000</v>
      </c>
      <c r="B23440" t="e">
        <f>-Acrilicas o modacrilicas</f>
        <v>#NAME?</v>
      </c>
    </row>
    <row r="23441" spans="1:2" x14ac:dyDescent="0.25">
      <c r="A23441">
        <v>55064000000</v>
      </c>
      <c r="B23441" t="e">
        <f>-de Polipropileno</f>
        <v>#NAME?</v>
      </c>
    </row>
    <row r="23442" spans="1:2" x14ac:dyDescent="0.25">
      <c r="A23442">
        <v>55069000000</v>
      </c>
      <c r="B23442" t="e">
        <f>-las demas</f>
        <v>#NAME?</v>
      </c>
    </row>
    <row r="23443" spans="1:2" x14ac:dyDescent="0.25">
      <c r="A23443">
        <v>55070000000</v>
      </c>
      <c r="B23443" t="s">
        <v>8686</v>
      </c>
    </row>
    <row r="23444" spans="1:2" x14ac:dyDescent="0.25">
      <c r="A23444">
        <v>5508</v>
      </c>
      <c r="B23444" t="s">
        <v>8687</v>
      </c>
    </row>
    <row r="23445" spans="1:2" x14ac:dyDescent="0.25">
      <c r="A23445">
        <v>55081000</v>
      </c>
      <c r="B23445" t="e">
        <f>- de fibras sinteticas discontinuas</f>
        <v>#NAME?</v>
      </c>
    </row>
    <row r="23446" spans="1:2" x14ac:dyDescent="0.25">
      <c r="A23446">
        <v>55081000100</v>
      </c>
      <c r="B23446" t="s">
        <v>8390</v>
      </c>
    </row>
    <row r="23447" spans="1:2" x14ac:dyDescent="0.25">
      <c r="A23447">
        <v>55081000900</v>
      </c>
      <c r="B23447" t="s">
        <v>10</v>
      </c>
    </row>
    <row r="23448" spans="1:2" x14ac:dyDescent="0.25">
      <c r="A23448">
        <v>55082000</v>
      </c>
      <c r="B23448" t="e">
        <f>- de fibras artificiales discontinuas</f>
        <v>#NAME?</v>
      </c>
    </row>
    <row r="23449" spans="1:2" x14ac:dyDescent="0.25">
      <c r="A23449">
        <v>55082000100</v>
      </c>
      <c r="B23449" t="s">
        <v>8390</v>
      </c>
    </row>
    <row r="23450" spans="1:2" x14ac:dyDescent="0.25">
      <c r="A23450">
        <v>55082000900</v>
      </c>
      <c r="B23450" t="s">
        <v>10</v>
      </c>
    </row>
    <row r="23451" spans="1:2" x14ac:dyDescent="0.25">
      <c r="A23451">
        <v>5509</v>
      </c>
      <c r="B23451" t="s">
        <v>8688</v>
      </c>
    </row>
    <row r="23452" spans="1:2" x14ac:dyDescent="0.25">
      <c r="A23452">
        <v>55091</v>
      </c>
      <c r="B23452" t="s">
        <v>8689</v>
      </c>
    </row>
    <row r="23453" spans="1:2" x14ac:dyDescent="0.25">
      <c r="A23453">
        <v>55091100000</v>
      </c>
      <c r="B23453" t="e">
        <f>--sencillos</f>
        <v>#NAME?</v>
      </c>
    </row>
    <row r="23454" spans="1:2" x14ac:dyDescent="0.25">
      <c r="A23454">
        <v>550912</v>
      </c>
      <c r="B23454" t="e">
        <f>- - retorcidos o cableados</f>
        <v>#NAME?</v>
      </c>
    </row>
    <row r="23455" spans="1:2" x14ac:dyDescent="0.25">
      <c r="A23455">
        <v>55091210000</v>
      </c>
      <c r="B23455" t="s">
        <v>8603</v>
      </c>
    </row>
    <row r="23456" spans="1:2" x14ac:dyDescent="0.25">
      <c r="A23456">
        <v>55091290000</v>
      </c>
      <c r="B23456" t="s">
        <v>10</v>
      </c>
    </row>
    <row r="23457" spans="1:2" x14ac:dyDescent="0.25">
      <c r="A23457">
        <v>55092</v>
      </c>
      <c r="B23457" t="s">
        <v>8690</v>
      </c>
    </row>
    <row r="23458" spans="1:2" x14ac:dyDescent="0.25">
      <c r="A23458">
        <v>55092100</v>
      </c>
      <c r="B23458" t="e">
        <f>- - sencillos</f>
        <v>#NAME?</v>
      </c>
    </row>
    <row r="23459" spans="1:2" x14ac:dyDescent="0.25">
      <c r="A23459">
        <v>55092100100</v>
      </c>
      <c r="B23459" t="s">
        <v>8436</v>
      </c>
    </row>
    <row r="23460" spans="1:2" x14ac:dyDescent="0.25">
      <c r="A23460">
        <v>55092100200</v>
      </c>
      <c r="B23460" t="s">
        <v>8437</v>
      </c>
    </row>
    <row r="23461" spans="1:2" x14ac:dyDescent="0.25">
      <c r="A23461">
        <v>55092100300</v>
      </c>
      <c r="B23461" t="s">
        <v>8438</v>
      </c>
    </row>
    <row r="23462" spans="1:2" x14ac:dyDescent="0.25">
      <c r="A23462">
        <v>55092100400</v>
      </c>
      <c r="B23462" t="s">
        <v>8439</v>
      </c>
    </row>
    <row r="23463" spans="1:2" x14ac:dyDescent="0.25">
      <c r="A23463">
        <v>55092100500</v>
      </c>
      <c r="B23463" t="s">
        <v>8691</v>
      </c>
    </row>
    <row r="23464" spans="1:2" x14ac:dyDescent="0.25">
      <c r="A23464">
        <v>55092100600</v>
      </c>
      <c r="B23464" t="s">
        <v>8692</v>
      </c>
    </row>
    <row r="23465" spans="1:2" x14ac:dyDescent="0.25">
      <c r="A23465">
        <v>55092100900</v>
      </c>
      <c r="B23465" t="s">
        <v>10</v>
      </c>
    </row>
    <row r="23466" spans="1:2" x14ac:dyDescent="0.25">
      <c r="A23466">
        <v>55092200</v>
      </c>
      <c r="B23466" t="e">
        <f>- - retorcidos o cableados</f>
        <v>#NAME?</v>
      </c>
    </row>
    <row r="23467" spans="1:2" x14ac:dyDescent="0.25">
      <c r="A23467">
        <v>55092200100</v>
      </c>
      <c r="B23467" t="s">
        <v>8451</v>
      </c>
    </row>
    <row r="23468" spans="1:2" x14ac:dyDescent="0.25">
      <c r="A23468">
        <v>55092200200</v>
      </c>
      <c r="B23468" t="s">
        <v>8452</v>
      </c>
    </row>
    <row r="23469" spans="1:2" x14ac:dyDescent="0.25">
      <c r="A23469">
        <v>55092200300</v>
      </c>
      <c r="B23469" t="s">
        <v>8459</v>
      </c>
    </row>
    <row r="23470" spans="1:2" x14ac:dyDescent="0.25">
      <c r="A23470">
        <v>55092200400</v>
      </c>
      <c r="B23470" t="s">
        <v>8454</v>
      </c>
    </row>
    <row r="23471" spans="1:2" x14ac:dyDescent="0.25">
      <c r="A23471">
        <v>55092200500</v>
      </c>
      <c r="B23471" t="s">
        <v>8693</v>
      </c>
    </row>
    <row r="23472" spans="1:2" x14ac:dyDescent="0.25">
      <c r="A23472">
        <v>55092200600</v>
      </c>
      <c r="B23472" t="s">
        <v>8694</v>
      </c>
    </row>
    <row r="23473" spans="1:2" x14ac:dyDescent="0.25">
      <c r="A23473">
        <v>55092200900</v>
      </c>
      <c r="B23473" t="s">
        <v>10</v>
      </c>
    </row>
    <row r="23474" spans="1:2" x14ac:dyDescent="0.25">
      <c r="A23474">
        <v>55093</v>
      </c>
      <c r="B23474" t="s">
        <v>8695</v>
      </c>
    </row>
    <row r="23475" spans="1:2" x14ac:dyDescent="0.25">
      <c r="A23475">
        <v>55093100</v>
      </c>
      <c r="B23475" t="e">
        <f>- - sencillos</f>
        <v>#NAME?</v>
      </c>
    </row>
    <row r="23476" spans="1:2" x14ac:dyDescent="0.25">
      <c r="A23476">
        <v>550931001</v>
      </c>
      <c r="B23476" t="s">
        <v>8696</v>
      </c>
    </row>
    <row r="23477" spans="1:2" x14ac:dyDescent="0.25">
      <c r="A23477">
        <v>5509310011</v>
      </c>
      <c r="B23477" t="s">
        <v>8697</v>
      </c>
    </row>
    <row r="23478" spans="1:2" x14ac:dyDescent="0.25">
      <c r="A23478">
        <v>55093100111</v>
      </c>
      <c r="B23478" t="s">
        <v>8567</v>
      </c>
    </row>
    <row r="23479" spans="1:2" x14ac:dyDescent="0.25">
      <c r="A23479">
        <v>55093100112</v>
      </c>
      <c r="B23479" t="s">
        <v>626</v>
      </c>
    </row>
    <row r="23480" spans="1:2" x14ac:dyDescent="0.25">
      <c r="A23480">
        <v>55093100119</v>
      </c>
      <c r="B23480" t="s">
        <v>10</v>
      </c>
    </row>
    <row r="23481" spans="1:2" x14ac:dyDescent="0.25">
      <c r="A23481">
        <v>5509310012</v>
      </c>
      <c r="B23481" t="s">
        <v>8698</v>
      </c>
    </row>
    <row r="23482" spans="1:2" x14ac:dyDescent="0.25">
      <c r="A23482">
        <v>55093100121</v>
      </c>
      <c r="B23482" t="s">
        <v>8567</v>
      </c>
    </row>
    <row r="23483" spans="1:2" x14ac:dyDescent="0.25">
      <c r="A23483">
        <v>55093100122</v>
      </c>
      <c r="B23483" t="s">
        <v>626</v>
      </c>
    </row>
    <row r="23484" spans="1:2" x14ac:dyDescent="0.25">
      <c r="A23484">
        <v>55093100129</v>
      </c>
      <c r="B23484" t="s">
        <v>10</v>
      </c>
    </row>
    <row r="23485" spans="1:2" x14ac:dyDescent="0.25">
      <c r="A23485">
        <v>550931002</v>
      </c>
      <c r="B23485" t="s">
        <v>8699</v>
      </c>
    </row>
    <row r="23486" spans="1:2" x14ac:dyDescent="0.25">
      <c r="A23486">
        <v>5509310021</v>
      </c>
      <c r="B23486" t="s">
        <v>8697</v>
      </c>
    </row>
    <row r="23487" spans="1:2" x14ac:dyDescent="0.25">
      <c r="A23487">
        <v>55093100211</v>
      </c>
      <c r="B23487" t="s">
        <v>8567</v>
      </c>
    </row>
    <row r="23488" spans="1:2" x14ac:dyDescent="0.25">
      <c r="A23488">
        <v>55093100212</v>
      </c>
      <c r="B23488" t="s">
        <v>626</v>
      </c>
    </row>
    <row r="23489" spans="1:2" x14ac:dyDescent="0.25">
      <c r="A23489">
        <v>55093100219</v>
      </c>
      <c r="B23489" t="s">
        <v>10</v>
      </c>
    </row>
    <row r="23490" spans="1:2" x14ac:dyDescent="0.25">
      <c r="A23490">
        <v>5509310022</v>
      </c>
      <c r="B23490" t="s">
        <v>8698</v>
      </c>
    </row>
    <row r="23491" spans="1:2" x14ac:dyDescent="0.25">
      <c r="A23491">
        <v>55093100221</v>
      </c>
      <c r="B23491" t="s">
        <v>8567</v>
      </c>
    </row>
    <row r="23492" spans="1:2" x14ac:dyDescent="0.25">
      <c r="A23492">
        <v>55093100222</v>
      </c>
      <c r="B23492" t="s">
        <v>626</v>
      </c>
    </row>
    <row r="23493" spans="1:2" x14ac:dyDescent="0.25">
      <c r="A23493">
        <v>55093100229</v>
      </c>
      <c r="B23493" t="s">
        <v>10</v>
      </c>
    </row>
    <row r="23494" spans="1:2" x14ac:dyDescent="0.25">
      <c r="A23494">
        <v>55093200</v>
      </c>
      <c r="B23494" t="e">
        <f>- - retorcidos o cableados</f>
        <v>#NAME?</v>
      </c>
    </row>
    <row r="23495" spans="1:2" x14ac:dyDescent="0.25">
      <c r="A23495">
        <v>550932003</v>
      </c>
      <c r="B23495" t="s">
        <v>8700</v>
      </c>
    </row>
    <row r="23496" spans="1:2" x14ac:dyDescent="0.25">
      <c r="A23496">
        <v>5509320031</v>
      </c>
      <c r="B23496" t="s">
        <v>8696</v>
      </c>
    </row>
    <row r="23497" spans="1:2" x14ac:dyDescent="0.25">
      <c r="A23497">
        <v>55093200311</v>
      </c>
      <c r="B23497" t="s">
        <v>8701</v>
      </c>
    </row>
    <row r="23498" spans="1:2" x14ac:dyDescent="0.25">
      <c r="A23498">
        <v>55093200312</v>
      </c>
      <c r="B23498" t="s">
        <v>8702</v>
      </c>
    </row>
    <row r="23499" spans="1:2" x14ac:dyDescent="0.25">
      <c r="A23499">
        <v>5509320032</v>
      </c>
      <c r="B23499" t="s">
        <v>8699</v>
      </c>
    </row>
    <row r="23500" spans="1:2" x14ac:dyDescent="0.25">
      <c r="A23500">
        <v>55093200321</v>
      </c>
      <c r="B23500" t="s">
        <v>8701</v>
      </c>
    </row>
    <row r="23501" spans="1:2" x14ac:dyDescent="0.25">
      <c r="A23501">
        <v>55093200322</v>
      </c>
      <c r="B23501" t="s">
        <v>8702</v>
      </c>
    </row>
    <row r="23502" spans="1:2" x14ac:dyDescent="0.25">
      <c r="A23502">
        <v>550932004</v>
      </c>
      <c r="B23502" t="s">
        <v>8703</v>
      </c>
    </row>
    <row r="23503" spans="1:2" x14ac:dyDescent="0.25">
      <c r="A23503">
        <v>5509320041</v>
      </c>
      <c r="B23503" t="s">
        <v>8704</v>
      </c>
    </row>
    <row r="23504" spans="1:2" x14ac:dyDescent="0.25">
      <c r="A23504">
        <v>55093200411</v>
      </c>
      <c r="B23504" t="s">
        <v>8701</v>
      </c>
    </row>
    <row r="23505" spans="1:2" x14ac:dyDescent="0.25">
      <c r="A23505">
        <v>55093200412</v>
      </c>
      <c r="B23505" t="s">
        <v>8702</v>
      </c>
    </row>
    <row r="23506" spans="1:2" x14ac:dyDescent="0.25">
      <c r="A23506">
        <v>5509320042</v>
      </c>
      <c r="B23506" t="s">
        <v>8699</v>
      </c>
    </row>
    <row r="23507" spans="1:2" x14ac:dyDescent="0.25">
      <c r="A23507">
        <v>55093200421</v>
      </c>
      <c r="B23507" t="s">
        <v>8701</v>
      </c>
    </row>
    <row r="23508" spans="1:2" x14ac:dyDescent="0.25">
      <c r="A23508">
        <v>55093200422</v>
      </c>
      <c r="B23508" t="s">
        <v>8702</v>
      </c>
    </row>
    <row r="23509" spans="1:2" x14ac:dyDescent="0.25">
      <c r="A23509">
        <v>55094</v>
      </c>
      <c r="B23509" t="s">
        <v>8705</v>
      </c>
    </row>
    <row r="23510" spans="1:2" x14ac:dyDescent="0.25">
      <c r="A23510">
        <v>55094100</v>
      </c>
      <c r="B23510" t="e">
        <f>- - sencillos</f>
        <v>#NAME?</v>
      </c>
    </row>
    <row r="23511" spans="1:2" x14ac:dyDescent="0.25">
      <c r="A23511">
        <v>55094100100</v>
      </c>
      <c r="B23511" t="s">
        <v>8436</v>
      </c>
    </row>
    <row r="23512" spans="1:2" x14ac:dyDescent="0.25">
      <c r="A23512">
        <v>55094100200</v>
      </c>
      <c r="B23512" t="s">
        <v>8437</v>
      </c>
    </row>
    <row r="23513" spans="1:2" x14ac:dyDescent="0.25">
      <c r="A23513">
        <v>55094100300</v>
      </c>
      <c r="B23513" t="s">
        <v>8438</v>
      </c>
    </row>
    <row r="23514" spans="1:2" x14ac:dyDescent="0.25">
      <c r="A23514">
        <v>55094100400</v>
      </c>
      <c r="B23514" t="s">
        <v>8439</v>
      </c>
    </row>
    <row r="23515" spans="1:2" x14ac:dyDescent="0.25">
      <c r="A23515">
        <v>55094100500</v>
      </c>
      <c r="B23515" t="s">
        <v>8691</v>
      </c>
    </row>
    <row r="23516" spans="1:2" x14ac:dyDescent="0.25">
      <c r="A23516">
        <v>55094100600</v>
      </c>
      <c r="B23516" t="s">
        <v>8706</v>
      </c>
    </row>
    <row r="23517" spans="1:2" x14ac:dyDescent="0.25">
      <c r="A23517">
        <v>55094100900</v>
      </c>
      <c r="B23517" t="s">
        <v>3484</v>
      </c>
    </row>
    <row r="23518" spans="1:2" x14ac:dyDescent="0.25">
      <c r="A23518">
        <v>55094200</v>
      </c>
      <c r="B23518" t="e">
        <f>- - retorcidos o cableados</f>
        <v>#NAME?</v>
      </c>
    </row>
    <row r="23519" spans="1:2" x14ac:dyDescent="0.25">
      <c r="A23519">
        <v>55094200100</v>
      </c>
      <c r="B23519" t="s">
        <v>8707</v>
      </c>
    </row>
    <row r="23520" spans="1:2" x14ac:dyDescent="0.25">
      <c r="A23520">
        <v>55094200200</v>
      </c>
      <c r="B23520" t="s">
        <v>8708</v>
      </c>
    </row>
    <row r="23521" spans="1:2" x14ac:dyDescent="0.25">
      <c r="A23521">
        <v>55094200300</v>
      </c>
      <c r="B23521" t="s">
        <v>8709</v>
      </c>
    </row>
    <row r="23522" spans="1:2" x14ac:dyDescent="0.25">
      <c r="A23522">
        <v>55094200400</v>
      </c>
      <c r="B23522" t="s">
        <v>8710</v>
      </c>
    </row>
    <row r="23523" spans="1:2" x14ac:dyDescent="0.25">
      <c r="A23523">
        <v>55094200500</v>
      </c>
      <c r="B23523" t="s">
        <v>8711</v>
      </c>
    </row>
    <row r="23524" spans="1:2" x14ac:dyDescent="0.25">
      <c r="A23524">
        <v>55094200600</v>
      </c>
      <c r="B23524" t="s">
        <v>8712</v>
      </c>
    </row>
    <row r="23525" spans="1:2" x14ac:dyDescent="0.25">
      <c r="A23525">
        <v>55094200900</v>
      </c>
      <c r="B23525" t="s">
        <v>10</v>
      </c>
    </row>
    <row r="23526" spans="1:2" x14ac:dyDescent="0.25">
      <c r="A23526">
        <v>55095</v>
      </c>
      <c r="B23526" t="s">
        <v>8713</v>
      </c>
    </row>
    <row r="23527" spans="1:2" x14ac:dyDescent="0.25">
      <c r="A23527">
        <v>55095100</v>
      </c>
      <c r="B23527" t="e">
        <f>- - mezclados exclusiva o principalmente Con fibras artificiales discontinuas</f>
        <v>#NAME?</v>
      </c>
    </row>
    <row r="23528" spans="1:2" x14ac:dyDescent="0.25">
      <c r="A23528">
        <v>550951001</v>
      </c>
      <c r="B23528" t="s">
        <v>8714</v>
      </c>
    </row>
    <row r="23529" spans="1:2" x14ac:dyDescent="0.25">
      <c r="A23529">
        <v>55095100110</v>
      </c>
      <c r="B23529" t="s">
        <v>8436</v>
      </c>
    </row>
    <row r="23530" spans="1:2" x14ac:dyDescent="0.25">
      <c r="A23530">
        <v>55095100120</v>
      </c>
      <c r="B23530" t="s">
        <v>8437</v>
      </c>
    </row>
    <row r="23531" spans="1:2" x14ac:dyDescent="0.25">
      <c r="A23531">
        <v>55095100130</v>
      </c>
      <c r="B23531" t="s">
        <v>8438</v>
      </c>
    </row>
    <row r="23532" spans="1:2" x14ac:dyDescent="0.25">
      <c r="A23532">
        <v>55095100140</v>
      </c>
      <c r="B23532" t="s">
        <v>8439</v>
      </c>
    </row>
    <row r="23533" spans="1:2" x14ac:dyDescent="0.25">
      <c r="A23533">
        <v>55095100150</v>
      </c>
      <c r="B23533" t="s">
        <v>8691</v>
      </c>
    </row>
    <row r="23534" spans="1:2" x14ac:dyDescent="0.25">
      <c r="A23534">
        <v>55095100160</v>
      </c>
      <c r="B23534" t="s">
        <v>8692</v>
      </c>
    </row>
    <row r="23535" spans="1:2" x14ac:dyDescent="0.25">
      <c r="A23535">
        <v>55095100190</v>
      </c>
      <c r="B23535" t="s">
        <v>10</v>
      </c>
    </row>
    <row r="23536" spans="1:2" x14ac:dyDescent="0.25">
      <c r="A23536">
        <v>55095100200</v>
      </c>
      <c r="B23536" t="s">
        <v>8383</v>
      </c>
    </row>
    <row r="23537" spans="1:2" x14ac:dyDescent="0.25">
      <c r="A23537">
        <v>55095200000</v>
      </c>
      <c r="B23537" t="e">
        <f>--mezclados exclusiva o principalmente Con lana o Pelo fino</f>
        <v>#NAME?</v>
      </c>
    </row>
    <row r="23538" spans="1:2" x14ac:dyDescent="0.25">
      <c r="A23538">
        <v>55095300</v>
      </c>
      <c r="B23538" t="e">
        <f>- - mezclados exclusiva o principalmente Con algodon</f>
        <v>#NAME?</v>
      </c>
    </row>
    <row r="23539" spans="1:2" x14ac:dyDescent="0.25">
      <c r="A23539">
        <v>550953001</v>
      </c>
      <c r="B23539" t="s">
        <v>8714</v>
      </c>
    </row>
    <row r="23540" spans="1:2" x14ac:dyDescent="0.25">
      <c r="A23540">
        <v>55095300110</v>
      </c>
      <c r="B23540" t="s">
        <v>8436</v>
      </c>
    </row>
    <row r="23541" spans="1:2" x14ac:dyDescent="0.25">
      <c r="A23541">
        <v>55095300120</v>
      </c>
      <c r="B23541" t="s">
        <v>8437</v>
      </c>
    </row>
    <row r="23542" spans="1:2" x14ac:dyDescent="0.25">
      <c r="A23542">
        <v>55095300130</v>
      </c>
      <c r="B23542" t="s">
        <v>8438</v>
      </c>
    </row>
    <row r="23543" spans="1:2" x14ac:dyDescent="0.25">
      <c r="A23543">
        <v>55095300140</v>
      </c>
      <c r="B23543" t="s">
        <v>8439</v>
      </c>
    </row>
    <row r="23544" spans="1:2" x14ac:dyDescent="0.25">
      <c r="A23544">
        <v>55095300150</v>
      </c>
      <c r="B23544" t="s">
        <v>8691</v>
      </c>
    </row>
    <row r="23545" spans="1:2" x14ac:dyDescent="0.25">
      <c r="A23545">
        <v>55095300160</v>
      </c>
      <c r="B23545" t="s">
        <v>8692</v>
      </c>
    </row>
    <row r="23546" spans="1:2" x14ac:dyDescent="0.25">
      <c r="A23546">
        <v>55095300190</v>
      </c>
      <c r="B23546" t="s">
        <v>10</v>
      </c>
    </row>
    <row r="23547" spans="1:2" x14ac:dyDescent="0.25">
      <c r="A23547">
        <v>55095300200</v>
      </c>
      <c r="B23547" t="s">
        <v>8383</v>
      </c>
    </row>
    <row r="23548" spans="1:2" x14ac:dyDescent="0.25">
      <c r="A23548">
        <v>55095900000</v>
      </c>
      <c r="B23548" t="e">
        <f>--Los demas</f>
        <v>#NAME?</v>
      </c>
    </row>
    <row r="23549" spans="1:2" x14ac:dyDescent="0.25">
      <c r="A23549">
        <v>55096</v>
      </c>
      <c r="B23549" t="s">
        <v>8715</v>
      </c>
    </row>
    <row r="23550" spans="1:2" x14ac:dyDescent="0.25">
      <c r="A23550">
        <v>55096100000</v>
      </c>
      <c r="B23550" t="e">
        <f>--mezclados exclusiva o principalmente Con lana o Pelo fino</f>
        <v>#NAME?</v>
      </c>
    </row>
    <row r="23551" spans="1:2" x14ac:dyDescent="0.25">
      <c r="A23551">
        <v>55096200000</v>
      </c>
      <c r="B23551" t="e">
        <f>--mezclados exclusiva o principalmente Con algodon</f>
        <v>#NAME?</v>
      </c>
    </row>
    <row r="23552" spans="1:2" x14ac:dyDescent="0.25">
      <c r="A23552">
        <v>55096900000</v>
      </c>
      <c r="B23552" t="e">
        <f>--Los demas</f>
        <v>#NAME?</v>
      </c>
    </row>
    <row r="23553" spans="1:2" x14ac:dyDescent="0.25">
      <c r="A23553">
        <v>55099</v>
      </c>
      <c r="B23553" t="s">
        <v>8716</v>
      </c>
    </row>
    <row r="23554" spans="1:2" x14ac:dyDescent="0.25">
      <c r="A23554">
        <v>55099100000</v>
      </c>
      <c r="B23554" t="e">
        <f>--mezclados exclusiva o principalmente Con lana o Pelo fino</f>
        <v>#NAME?</v>
      </c>
    </row>
    <row r="23555" spans="1:2" x14ac:dyDescent="0.25">
      <c r="A23555">
        <v>55099200000</v>
      </c>
      <c r="B23555" t="e">
        <f>--mezclados exclusiva o principalmente Con algodon</f>
        <v>#NAME?</v>
      </c>
    </row>
    <row r="23556" spans="1:2" x14ac:dyDescent="0.25">
      <c r="A23556">
        <v>55099900000</v>
      </c>
      <c r="B23556" t="e">
        <f>--Los demas</f>
        <v>#NAME?</v>
      </c>
    </row>
    <row r="23557" spans="1:2" x14ac:dyDescent="0.25">
      <c r="A23557">
        <v>5510</v>
      </c>
      <c r="B23557" t="s">
        <v>8717</v>
      </c>
    </row>
    <row r="23558" spans="1:2" x14ac:dyDescent="0.25">
      <c r="A23558">
        <v>55101</v>
      </c>
      <c r="B23558" t="s">
        <v>8718</v>
      </c>
    </row>
    <row r="23559" spans="1:2" x14ac:dyDescent="0.25">
      <c r="A23559">
        <v>551011</v>
      </c>
      <c r="B23559" t="e">
        <f>- - sencillos</f>
        <v>#NAME?</v>
      </c>
    </row>
    <row r="23560" spans="1:2" x14ac:dyDescent="0.25">
      <c r="A23560">
        <v>5510111</v>
      </c>
      <c r="B23560" t="s">
        <v>8719</v>
      </c>
    </row>
    <row r="23561" spans="1:2" x14ac:dyDescent="0.25">
      <c r="A23561">
        <v>55101111000</v>
      </c>
      <c r="B23561" t="s">
        <v>8720</v>
      </c>
    </row>
    <row r="23562" spans="1:2" x14ac:dyDescent="0.25">
      <c r="A23562">
        <v>55101112000</v>
      </c>
      <c r="B23562" t="s">
        <v>8721</v>
      </c>
    </row>
    <row r="23563" spans="1:2" x14ac:dyDescent="0.25">
      <c r="A23563">
        <v>55101113000</v>
      </c>
      <c r="B23563" t="s">
        <v>8683</v>
      </c>
    </row>
    <row r="23564" spans="1:2" x14ac:dyDescent="0.25">
      <c r="A23564">
        <v>55101119000</v>
      </c>
      <c r="B23564" t="s">
        <v>10</v>
      </c>
    </row>
    <row r="23565" spans="1:2" x14ac:dyDescent="0.25">
      <c r="A23565">
        <v>55101190000</v>
      </c>
      <c r="B23565" t="s">
        <v>10</v>
      </c>
    </row>
    <row r="23566" spans="1:2" x14ac:dyDescent="0.25">
      <c r="A23566">
        <v>551012</v>
      </c>
      <c r="B23566" t="e">
        <f>- - retorcidos o cableados</f>
        <v>#NAME?</v>
      </c>
    </row>
    <row r="23567" spans="1:2" x14ac:dyDescent="0.25">
      <c r="A23567">
        <v>5510121</v>
      </c>
      <c r="B23567" t="s">
        <v>8719</v>
      </c>
    </row>
    <row r="23568" spans="1:2" x14ac:dyDescent="0.25">
      <c r="A23568">
        <v>55101211000</v>
      </c>
      <c r="B23568" t="s">
        <v>8720</v>
      </c>
    </row>
    <row r="23569" spans="1:2" x14ac:dyDescent="0.25">
      <c r="A23569">
        <v>55101212000</v>
      </c>
      <c r="B23569" t="s">
        <v>8721</v>
      </c>
    </row>
    <row r="23570" spans="1:2" x14ac:dyDescent="0.25">
      <c r="A23570">
        <v>55101213000</v>
      </c>
      <c r="B23570" t="s">
        <v>8683</v>
      </c>
    </row>
    <row r="23571" spans="1:2" x14ac:dyDescent="0.25">
      <c r="A23571">
        <v>55101219000</v>
      </c>
      <c r="B23571" t="s">
        <v>10</v>
      </c>
    </row>
    <row r="23572" spans="1:2" x14ac:dyDescent="0.25">
      <c r="A23572">
        <v>55101290000</v>
      </c>
      <c r="B23572" t="s">
        <v>10</v>
      </c>
    </row>
    <row r="23573" spans="1:2" x14ac:dyDescent="0.25">
      <c r="A23573">
        <v>551020</v>
      </c>
      <c r="B23573" t="e">
        <f>- Los demas hilados mezclados exclusiva o principalmente Con lana o Pelo fino</f>
        <v>#NAME?</v>
      </c>
    </row>
    <row r="23574" spans="1:2" x14ac:dyDescent="0.25">
      <c r="A23574">
        <v>5510201</v>
      </c>
      <c r="B23574" t="s">
        <v>8719</v>
      </c>
    </row>
    <row r="23575" spans="1:2" x14ac:dyDescent="0.25">
      <c r="A23575">
        <v>55102011000</v>
      </c>
      <c r="B23575" t="s">
        <v>8720</v>
      </c>
    </row>
    <row r="23576" spans="1:2" x14ac:dyDescent="0.25">
      <c r="A23576">
        <v>55102012000</v>
      </c>
      <c r="B23576" t="s">
        <v>8721</v>
      </c>
    </row>
    <row r="23577" spans="1:2" x14ac:dyDescent="0.25">
      <c r="A23577">
        <v>55102013000</v>
      </c>
      <c r="B23577" t="s">
        <v>8683</v>
      </c>
    </row>
    <row r="23578" spans="1:2" x14ac:dyDescent="0.25">
      <c r="A23578">
        <v>55102019000</v>
      </c>
      <c r="B23578" t="s">
        <v>10</v>
      </c>
    </row>
    <row r="23579" spans="1:2" x14ac:dyDescent="0.25">
      <c r="A23579">
        <v>55102090000</v>
      </c>
      <c r="B23579" t="s">
        <v>10</v>
      </c>
    </row>
    <row r="23580" spans="1:2" x14ac:dyDescent="0.25">
      <c r="A23580">
        <v>551030</v>
      </c>
      <c r="B23580" t="e">
        <f>- Los demas hilados mezclados exclusiva o principalmente Con algodon</f>
        <v>#NAME?</v>
      </c>
    </row>
    <row r="23581" spans="1:2" x14ac:dyDescent="0.25">
      <c r="A23581">
        <v>5510301</v>
      </c>
      <c r="B23581" t="s">
        <v>8719</v>
      </c>
    </row>
    <row r="23582" spans="1:2" x14ac:dyDescent="0.25">
      <c r="A23582">
        <v>55103011000</v>
      </c>
      <c r="B23582" t="s">
        <v>8720</v>
      </c>
    </row>
    <row r="23583" spans="1:2" x14ac:dyDescent="0.25">
      <c r="A23583">
        <v>55103012000</v>
      </c>
      <c r="B23583" t="s">
        <v>8721</v>
      </c>
    </row>
    <row r="23584" spans="1:2" x14ac:dyDescent="0.25">
      <c r="A23584">
        <v>55103013000</v>
      </c>
      <c r="B23584" t="s">
        <v>8683</v>
      </c>
    </row>
    <row r="23585" spans="1:2" x14ac:dyDescent="0.25">
      <c r="A23585">
        <v>55103019000</v>
      </c>
      <c r="B23585" t="s">
        <v>10</v>
      </c>
    </row>
    <row r="23586" spans="1:2" x14ac:dyDescent="0.25">
      <c r="A23586">
        <v>55103090000</v>
      </c>
      <c r="B23586" t="s">
        <v>10</v>
      </c>
    </row>
    <row r="23587" spans="1:2" x14ac:dyDescent="0.25">
      <c r="A23587">
        <v>551090</v>
      </c>
      <c r="B23587" t="e">
        <f>- Los demas hilados</f>
        <v>#NAME?</v>
      </c>
    </row>
    <row r="23588" spans="1:2" x14ac:dyDescent="0.25">
      <c r="A23588">
        <v>5510901</v>
      </c>
      <c r="B23588" t="s">
        <v>8719</v>
      </c>
    </row>
    <row r="23589" spans="1:2" x14ac:dyDescent="0.25">
      <c r="A23589">
        <v>55109011000</v>
      </c>
      <c r="B23589" t="s">
        <v>8720</v>
      </c>
    </row>
    <row r="23590" spans="1:2" x14ac:dyDescent="0.25">
      <c r="A23590">
        <v>55109012000</v>
      </c>
      <c r="B23590" t="s">
        <v>8721</v>
      </c>
    </row>
    <row r="23591" spans="1:2" x14ac:dyDescent="0.25">
      <c r="A23591">
        <v>55109013000</v>
      </c>
      <c r="B23591" t="s">
        <v>8683</v>
      </c>
    </row>
    <row r="23592" spans="1:2" x14ac:dyDescent="0.25">
      <c r="A23592">
        <v>55109019000</v>
      </c>
      <c r="B23592" t="s">
        <v>10</v>
      </c>
    </row>
    <row r="23593" spans="1:2" x14ac:dyDescent="0.25">
      <c r="A23593">
        <v>55109090000</v>
      </c>
      <c r="B23593" t="s">
        <v>10</v>
      </c>
    </row>
    <row r="23594" spans="1:2" x14ac:dyDescent="0.25">
      <c r="A23594">
        <v>5511</v>
      </c>
      <c r="B23594" t="s">
        <v>8722</v>
      </c>
    </row>
    <row r="23595" spans="1:2" x14ac:dyDescent="0.25">
      <c r="A23595">
        <v>55111000000</v>
      </c>
      <c r="B23595" t="s">
        <v>8723</v>
      </c>
    </row>
    <row r="23596" spans="1:2" x14ac:dyDescent="0.25">
      <c r="A23596">
        <v>55112000000</v>
      </c>
      <c r="B23596" t="s">
        <v>8724</v>
      </c>
    </row>
    <row r="23597" spans="1:2" x14ac:dyDescent="0.25">
      <c r="A23597">
        <v>55113000000</v>
      </c>
      <c r="B23597" t="e">
        <f>-de fibras artificiales discontinuas</f>
        <v>#NAME?</v>
      </c>
    </row>
    <row r="23598" spans="1:2" x14ac:dyDescent="0.25">
      <c r="A23598">
        <v>5512</v>
      </c>
      <c r="B23598" t="s">
        <v>8725</v>
      </c>
    </row>
    <row r="23599" spans="1:2" x14ac:dyDescent="0.25">
      <c r="A23599">
        <v>55121</v>
      </c>
      <c r="B23599" t="s">
        <v>8690</v>
      </c>
    </row>
    <row r="23600" spans="1:2" x14ac:dyDescent="0.25">
      <c r="A23600">
        <v>55121100</v>
      </c>
      <c r="B23600" t="e">
        <f>- - crudos o Blanqueados</f>
        <v>#NAME?</v>
      </c>
    </row>
    <row r="23601" spans="1:2" x14ac:dyDescent="0.25">
      <c r="A23601">
        <v>551211001</v>
      </c>
      <c r="B23601" t="s">
        <v>8535</v>
      </c>
    </row>
    <row r="23602" spans="1:2" x14ac:dyDescent="0.25">
      <c r="A23602">
        <v>55121100110</v>
      </c>
      <c r="B23602" t="s">
        <v>8641</v>
      </c>
    </row>
    <row r="23603" spans="1:2" x14ac:dyDescent="0.25">
      <c r="A23603">
        <v>55121100120</v>
      </c>
      <c r="B23603" t="s">
        <v>8726</v>
      </c>
    </row>
    <row r="23604" spans="1:2" x14ac:dyDescent="0.25">
      <c r="A23604">
        <v>55121100130</v>
      </c>
      <c r="B23604" t="s">
        <v>8727</v>
      </c>
    </row>
    <row r="23605" spans="1:2" x14ac:dyDescent="0.25">
      <c r="A23605">
        <v>55121100140</v>
      </c>
      <c r="B23605" t="s">
        <v>8728</v>
      </c>
    </row>
    <row r="23606" spans="1:2" x14ac:dyDescent="0.25">
      <c r="A23606">
        <v>55121100150</v>
      </c>
      <c r="B23606" t="s">
        <v>8729</v>
      </c>
    </row>
    <row r="23607" spans="1:2" x14ac:dyDescent="0.25">
      <c r="A23607">
        <v>55121100160</v>
      </c>
      <c r="B23607" t="s">
        <v>8730</v>
      </c>
    </row>
    <row r="23608" spans="1:2" x14ac:dyDescent="0.25">
      <c r="A23608">
        <v>55121100170</v>
      </c>
      <c r="B23608" t="s">
        <v>8731</v>
      </c>
    </row>
    <row r="23609" spans="1:2" x14ac:dyDescent="0.25">
      <c r="A23609">
        <v>55121100180</v>
      </c>
      <c r="B23609" t="s">
        <v>8732</v>
      </c>
    </row>
    <row r="23610" spans="1:2" x14ac:dyDescent="0.25">
      <c r="A23610">
        <v>55121100190</v>
      </c>
      <c r="B23610" t="s">
        <v>57</v>
      </c>
    </row>
    <row r="23611" spans="1:2" x14ac:dyDescent="0.25">
      <c r="A23611">
        <v>551211002</v>
      </c>
      <c r="B23611" t="s">
        <v>8506</v>
      </c>
    </row>
    <row r="23612" spans="1:2" x14ac:dyDescent="0.25">
      <c r="A23612">
        <v>55121100210</v>
      </c>
      <c r="B23612" t="s">
        <v>8641</v>
      </c>
    </row>
    <row r="23613" spans="1:2" x14ac:dyDescent="0.25">
      <c r="A23613">
        <v>55121100220</v>
      </c>
      <c r="B23613" t="s">
        <v>8726</v>
      </c>
    </row>
    <row r="23614" spans="1:2" x14ac:dyDescent="0.25">
      <c r="A23614">
        <v>55121100230</v>
      </c>
      <c r="B23614" t="s">
        <v>8727</v>
      </c>
    </row>
    <row r="23615" spans="1:2" x14ac:dyDescent="0.25">
      <c r="A23615">
        <v>55121100240</v>
      </c>
      <c r="B23615" t="s">
        <v>8728</v>
      </c>
    </row>
    <row r="23616" spans="1:2" x14ac:dyDescent="0.25">
      <c r="A23616">
        <v>55121100250</v>
      </c>
      <c r="B23616" t="s">
        <v>8729</v>
      </c>
    </row>
    <row r="23617" spans="1:2" x14ac:dyDescent="0.25">
      <c r="A23617">
        <v>55121100260</v>
      </c>
      <c r="B23617" t="s">
        <v>8730</v>
      </c>
    </row>
    <row r="23618" spans="1:2" x14ac:dyDescent="0.25">
      <c r="A23618">
        <v>55121100270</v>
      </c>
      <c r="B23618" t="s">
        <v>8731</v>
      </c>
    </row>
    <row r="23619" spans="1:2" x14ac:dyDescent="0.25">
      <c r="A23619">
        <v>55121100280</v>
      </c>
      <c r="B23619" t="s">
        <v>8732</v>
      </c>
    </row>
    <row r="23620" spans="1:2" x14ac:dyDescent="0.25">
      <c r="A23620">
        <v>55121100290</v>
      </c>
      <c r="B23620" t="s">
        <v>57</v>
      </c>
    </row>
    <row r="23621" spans="1:2" x14ac:dyDescent="0.25">
      <c r="A23621">
        <v>551211003</v>
      </c>
      <c r="B23621" t="s">
        <v>8498</v>
      </c>
    </row>
    <row r="23622" spans="1:2" x14ac:dyDescent="0.25">
      <c r="A23622">
        <v>55121100310</v>
      </c>
      <c r="B23622" t="s">
        <v>8641</v>
      </c>
    </row>
    <row r="23623" spans="1:2" x14ac:dyDescent="0.25">
      <c r="A23623">
        <v>55121100320</v>
      </c>
      <c r="B23623" t="s">
        <v>8726</v>
      </c>
    </row>
    <row r="23624" spans="1:2" x14ac:dyDescent="0.25">
      <c r="A23624">
        <v>55121100330</v>
      </c>
      <c r="B23624" t="s">
        <v>8727</v>
      </c>
    </row>
    <row r="23625" spans="1:2" x14ac:dyDescent="0.25">
      <c r="A23625">
        <v>55121100340</v>
      </c>
      <c r="B23625" t="s">
        <v>8728</v>
      </c>
    </row>
    <row r="23626" spans="1:2" x14ac:dyDescent="0.25">
      <c r="A23626">
        <v>55121100350</v>
      </c>
      <c r="B23626" t="s">
        <v>8729</v>
      </c>
    </row>
    <row r="23627" spans="1:2" x14ac:dyDescent="0.25">
      <c r="A23627">
        <v>55121100360</v>
      </c>
      <c r="B23627" t="s">
        <v>8730</v>
      </c>
    </row>
    <row r="23628" spans="1:2" x14ac:dyDescent="0.25">
      <c r="A23628">
        <v>55121100370</v>
      </c>
      <c r="B23628" t="s">
        <v>8731</v>
      </c>
    </row>
    <row r="23629" spans="1:2" x14ac:dyDescent="0.25">
      <c r="A23629">
        <v>55121100380</v>
      </c>
      <c r="B23629" t="s">
        <v>8732</v>
      </c>
    </row>
    <row r="23630" spans="1:2" x14ac:dyDescent="0.25">
      <c r="A23630">
        <v>55121100390</v>
      </c>
      <c r="B23630" t="s">
        <v>57</v>
      </c>
    </row>
    <row r="23631" spans="1:2" x14ac:dyDescent="0.25">
      <c r="A23631">
        <v>551211009</v>
      </c>
      <c r="B23631" t="s">
        <v>8500</v>
      </c>
    </row>
    <row r="23632" spans="1:2" x14ac:dyDescent="0.25">
      <c r="A23632">
        <v>55121100910</v>
      </c>
      <c r="B23632" t="s">
        <v>8641</v>
      </c>
    </row>
    <row r="23633" spans="1:2" x14ac:dyDescent="0.25">
      <c r="A23633">
        <v>55121100920</v>
      </c>
      <c r="B23633" t="s">
        <v>8726</v>
      </c>
    </row>
    <row r="23634" spans="1:2" x14ac:dyDescent="0.25">
      <c r="A23634">
        <v>55121100930</v>
      </c>
      <c r="B23634" t="s">
        <v>8727</v>
      </c>
    </row>
    <row r="23635" spans="1:2" x14ac:dyDescent="0.25">
      <c r="A23635">
        <v>55121100940</v>
      </c>
      <c r="B23635" t="s">
        <v>8728</v>
      </c>
    </row>
    <row r="23636" spans="1:2" x14ac:dyDescent="0.25">
      <c r="A23636">
        <v>55121100950</v>
      </c>
      <c r="B23636" t="s">
        <v>8729</v>
      </c>
    </row>
    <row r="23637" spans="1:2" x14ac:dyDescent="0.25">
      <c r="A23637">
        <v>55121100960</v>
      </c>
      <c r="B23637" t="s">
        <v>8730</v>
      </c>
    </row>
    <row r="23638" spans="1:2" x14ac:dyDescent="0.25">
      <c r="A23638">
        <v>55121100970</v>
      </c>
      <c r="B23638" t="s">
        <v>8731</v>
      </c>
    </row>
    <row r="23639" spans="1:2" x14ac:dyDescent="0.25">
      <c r="A23639">
        <v>55121100980</v>
      </c>
      <c r="B23639" t="s">
        <v>8732</v>
      </c>
    </row>
    <row r="23640" spans="1:2" x14ac:dyDescent="0.25">
      <c r="A23640">
        <v>55121100990</v>
      </c>
      <c r="B23640" t="s">
        <v>57</v>
      </c>
    </row>
    <row r="23641" spans="1:2" x14ac:dyDescent="0.25">
      <c r="A23641">
        <v>55121900</v>
      </c>
      <c r="B23641" t="e">
        <f>- - Los demas</f>
        <v>#NAME?</v>
      </c>
    </row>
    <row r="23642" spans="1:2" x14ac:dyDescent="0.25">
      <c r="A23642">
        <v>551219001</v>
      </c>
      <c r="B23642" t="s">
        <v>626</v>
      </c>
    </row>
    <row r="23643" spans="1:2" x14ac:dyDescent="0.25">
      <c r="A23643">
        <v>5512190011</v>
      </c>
      <c r="B23643" t="s">
        <v>8535</v>
      </c>
    </row>
    <row r="23644" spans="1:2" x14ac:dyDescent="0.25">
      <c r="A23644">
        <v>55121900111</v>
      </c>
      <c r="B23644" t="s">
        <v>8641</v>
      </c>
    </row>
    <row r="23645" spans="1:2" x14ac:dyDescent="0.25">
      <c r="A23645">
        <v>55121900112</v>
      </c>
      <c r="B23645" t="s">
        <v>8726</v>
      </c>
    </row>
    <row r="23646" spans="1:2" x14ac:dyDescent="0.25">
      <c r="A23646">
        <v>55121900113</v>
      </c>
      <c r="B23646" t="s">
        <v>8727</v>
      </c>
    </row>
    <row r="23647" spans="1:2" x14ac:dyDescent="0.25">
      <c r="A23647">
        <v>55121900114</v>
      </c>
      <c r="B23647" t="s">
        <v>8728</v>
      </c>
    </row>
    <row r="23648" spans="1:2" x14ac:dyDescent="0.25">
      <c r="A23648">
        <v>55121900115</v>
      </c>
      <c r="B23648" t="s">
        <v>8729</v>
      </c>
    </row>
    <row r="23649" spans="1:2" x14ac:dyDescent="0.25">
      <c r="A23649">
        <v>55121900116</v>
      </c>
      <c r="B23649" t="s">
        <v>8730</v>
      </c>
    </row>
    <row r="23650" spans="1:2" x14ac:dyDescent="0.25">
      <c r="A23650">
        <v>55121900117</v>
      </c>
      <c r="B23650" t="s">
        <v>8731</v>
      </c>
    </row>
    <row r="23651" spans="1:2" x14ac:dyDescent="0.25">
      <c r="A23651">
        <v>55121900118</v>
      </c>
      <c r="B23651" t="s">
        <v>8732</v>
      </c>
    </row>
    <row r="23652" spans="1:2" x14ac:dyDescent="0.25">
      <c r="A23652">
        <v>55121900119</v>
      </c>
      <c r="B23652" t="s">
        <v>57</v>
      </c>
    </row>
    <row r="23653" spans="1:2" x14ac:dyDescent="0.25">
      <c r="A23653">
        <v>5512190012</v>
      </c>
      <c r="B23653" t="s">
        <v>8506</v>
      </c>
    </row>
    <row r="23654" spans="1:2" x14ac:dyDescent="0.25">
      <c r="A23654">
        <v>55121900121</v>
      </c>
      <c r="B23654" t="s">
        <v>8641</v>
      </c>
    </row>
    <row r="23655" spans="1:2" x14ac:dyDescent="0.25">
      <c r="A23655">
        <v>55121900122</v>
      </c>
      <c r="B23655" t="s">
        <v>8726</v>
      </c>
    </row>
    <row r="23656" spans="1:2" x14ac:dyDescent="0.25">
      <c r="A23656">
        <v>55121900123</v>
      </c>
      <c r="B23656" t="s">
        <v>8727</v>
      </c>
    </row>
    <row r="23657" spans="1:2" x14ac:dyDescent="0.25">
      <c r="A23657">
        <v>55121900124</v>
      </c>
      <c r="B23657" t="s">
        <v>8728</v>
      </c>
    </row>
    <row r="23658" spans="1:2" x14ac:dyDescent="0.25">
      <c r="A23658">
        <v>55121900125</v>
      </c>
      <c r="B23658" t="s">
        <v>8729</v>
      </c>
    </row>
    <row r="23659" spans="1:2" x14ac:dyDescent="0.25">
      <c r="A23659">
        <v>55121900126</v>
      </c>
      <c r="B23659" t="s">
        <v>8730</v>
      </c>
    </row>
    <row r="23660" spans="1:2" x14ac:dyDescent="0.25">
      <c r="A23660">
        <v>55121900127</v>
      </c>
      <c r="B23660" t="s">
        <v>8731</v>
      </c>
    </row>
    <row r="23661" spans="1:2" x14ac:dyDescent="0.25">
      <c r="A23661">
        <v>55121900128</v>
      </c>
      <c r="B23661" t="s">
        <v>8732</v>
      </c>
    </row>
    <row r="23662" spans="1:2" x14ac:dyDescent="0.25">
      <c r="A23662">
        <v>55121900129</v>
      </c>
      <c r="B23662" t="s">
        <v>57</v>
      </c>
    </row>
    <row r="23663" spans="1:2" x14ac:dyDescent="0.25">
      <c r="A23663">
        <v>5512190013</v>
      </c>
      <c r="B23663" t="s">
        <v>8498</v>
      </c>
    </row>
    <row r="23664" spans="1:2" x14ac:dyDescent="0.25">
      <c r="A23664">
        <v>55121900131</v>
      </c>
      <c r="B23664" t="s">
        <v>8641</v>
      </c>
    </row>
    <row r="23665" spans="1:2" x14ac:dyDescent="0.25">
      <c r="A23665">
        <v>55121900132</v>
      </c>
      <c r="B23665" t="s">
        <v>8726</v>
      </c>
    </row>
    <row r="23666" spans="1:2" x14ac:dyDescent="0.25">
      <c r="A23666">
        <v>55121900133</v>
      </c>
      <c r="B23666" t="s">
        <v>8727</v>
      </c>
    </row>
    <row r="23667" spans="1:2" x14ac:dyDescent="0.25">
      <c r="A23667">
        <v>55121900134</v>
      </c>
      <c r="B23667" t="s">
        <v>8728</v>
      </c>
    </row>
    <row r="23668" spans="1:2" x14ac:dyDescent="0.25">
      <c r="A23668">
        <v>55121900135</v>
      </c>
      <c r="B23668" t="s">
        <v>8729</v>
      </c>
    </row>
    <row r="23669" spans="1:2" x14ac:dyDescent="0.25">
      <c r="A23669">
        <v>55121900136</v>
      </c>
      <c r="B23669" t="s">
        <v>8730</v>
      </c>
    </row>
    <row r="23670" spans="1:2" x14ac:dyDescent="0.25">
      <c r="A23670">
        <v>55121900137</v>
      </c>
      <c r="B23670" t="s">
        <v>8731</v>
      </c>
    </row>
    <row r="23671" spans="1:2" x14ac:dyDescent="0.25">
      <c r="A23671">
        <v>55121900138</v>
      </c>
      <c r="B23671" t="s">
        <v>8732</v>
      </c>
    </row>
    <row r="23672" spans="1:2" x14ac:dyDescent="0.25">
      <c r="A23672">
        <v>55121900139</v>
      </c>
      <c r="B23672" t="s">
        <v>57</v>
      </c>
    </row>
    <row r="23673" spans="1:2" x14ac:dyDescent="0.25">
      <c r="A23673">
        <v>5512190019</v>
      </c>
      <c r="B23673" t="s">
        <v>8500</v>
      </c>
    </row>
    <row r="23674" spans="1:2" x14ac:dyDescent="0.25">
      <c r="A23674">
        <v>55121900191</v>
      </c>
      <c r="B23674" t="s">
        <v>8641</v>
      </c>
    </row>
    <row r="23675" spans="1:2" x14ac:dyDescent="0.25">
      <c r="A23675">
        <v>55121900192</v>
      </c>
      <c r="B23675" t="s">
        <v>8726</v>
      </c>
    </row>
    <row r="23676" spans="1:2" x14ac:dyDescent="0.25">
      <c r="A23676">
        <v>55121900193</v>
      </c>
      <c r="B23676" t="s">
        <v>8727</v>
      </c>
    </row>
    <row r="23677" spans="1:2" x14ac:dyDescent="0.25">
      <c r="A23677">
        <v>55121900194</v>
      </c>
      <c r="B23677" t="s">
        <v>8728</v>
      </c>
    </row>
    <row r="23678" spans="1:2" x14ac:dyDescent="0.25">
      <c r="A23678">
        <v>55121900195</v>
      </c>
      <c r="B23678" t="s">
        <v>8729</v>
      </c>
    </row>
    <row r="23679" spans="1:2" x14ac:dyDescent="0.25">
      <c r="A23679">
        <v>55121900196</v>
      </c>
      <c r="B23679" t="s">
        <v>8730</v>
      </c>
    </row>
    <row r="23680" spans="1:2" x14ac:dyDescent="0.25">
      <c r="A23680">
        <v>55121900197</v>
      </c>
      <c r="B23680" t="s">
        <v>8731</v>
      </c>
    </row>
    <row r="23681" spans="1:2" x14ac:dyDescent="0.25">
      <c r="A23681">
        <v>55121900198</v>
      </c>
      <c r="B23681" t="s">
        <v>8732</v>
      </c>
    </row>
    <row r="23682" spans="1:2" x14ac:dyDescent="0.25">
      <c r="A23682">
        <v>55121900199</v>
      </c>
      <c r="B23682" t="s">
        <v>57</v>
      </c>
    </row>
    <row r="23683" spans="1:2" x14ac:dyDescent="0.25">
      <c r="A23683">
        <v>551219002</v>
      </c>
      <c r="B23683" t="s">
        <v>8560</v>
      </c>
    </row>
    <row r="23684" spans="1:2" x14ac:dyDescent="0.25">
      <c r="A23684">
        <v>5512190021</v>
      </c>
      <c r="B23684" t="s">
        <v>8535</v>
      </c>
    </row>
    <row r="23685" spans="1:2" x14ac:dyDescent="0.25">
      <c r="A23685">
        <v>55121900211</v>
      </c>
      <c r="B23685" t="s">
        <v>8641</v>
      </c>
    </row>
    <row r="23686" spans="1:2" x14ac:dyDescent="0.25">
      <c r="A23686">
        <v>55121900212</v>
      </c>
      <c r="B23686" t="s">
        <v>8726</v>
      </c>
    </row>
    <row r="23687" spans="1:2" x14ac:dyDescent="0.25">
      <c r="A23687">
        <v>55121900213</v>
      </c>
      <c r="B23687" t="s">
        <v>8727</v>
      </c>
    </row>
    <row r="23688" spans="1:2" x14ac:dyDescent="0.25">
      <c r="A23688">
        <v>55121900214</v>
      </c>
      <c r="B23688" t="s">
        <v>8728</v>
      </c>
    </row>
    <row r="23689" spans="1:2" x14ac:dyDescent="0.25">
      <c r="A23689">
        <v>55121900215</v>
      </c>
      <c r="B23689" t="s">
        <v>8729</v>
      </c>
    </row>
    <row r="23690" spans="1:2" x14ac:dyDescent="0.25">
      <c r="A23690">
        <v>55121900216</v>
      </c>
      <c r="B23690" t="s">
        <v>8730</v>
      </c>
    </row>
    <row r="23691" spans="1:2" x14ac:dyDescent="0.25">
      <c r="A23691">
        <v>55121900217</v>
      </c>
      <c r="B23691" t="s">
        <v>8731</v>
      </c>
    </row>
    <row r="23692" spans="1:2" x14ac:dyDescent="0.25">
      <c r="A23692">
        <v>55121900218</v>
      </c>
      <c r="B23692" t="s">
        <v>8732</v>
      </c>
    </row>
    <row r="23693" spans="1:2" x14ac:dyDescent="0.25">
      <c r="A23693">
        <v>55121900219</v>
      </c>
      <c r="B23693" t="s">
        <v>57</v>
      </c>
    </row>
    <row r="23694" spans="1:2" x14ac:dyDescent="0.25">
      <c r="A23694">
        <v>5512190022</v>
      </c>
      <c r="B23694" t="s">
        <v>8506</v>
      </c>
    </row>
    <row r="23695" spans="1:2" x14ac:dyDescent="0.25">
      <c r="A23695">
        <v>55121900221</v>
      </c>
      <c r="B23695" t="s">
        <v>8641</v>
      </c>
    </row>
    <row r="23696" spans="1:2" x14ac:dyDescent="0.25">
      <c r="A23696">
        <v>55121900222</v>
      </c>
      <c r="B23696" t="s">
        <v>8726</v>
      </c>
    </row>
    <row r="23697" spans="1:2" x14ac:dyDescent="0.25">
      <c r="A23697">
        <v>55121900223</v>
      </c>
      <c r="B23697" t="s">
        <v>8727</v>
      </c>
    </row>
    <row r="23698" spans="1:2" x14ac:dyDescent="0.25">
      <c r="A23698">
        <v>55121900224</v>
      </c>
      <c r="B23698" t="s">
        <v>8728</v>
      </c>
    </row>
    <row r="23699" spans="1:2" x14ac:dyDescent="0.25">
      <c r="A23699">
        <v>55121900225</v>
      </c>
      <c r="B23699" t="s">
        <v>8729</v>
      </c>
    </row>
    <row r="23700" spans="1:2" x14ac:dyDescent="0.25">
      <c r="A23700">
        <v>55121900226</v>
      </c>
      <c r="B23700" t="s">
        <v>8730</v>
      </c>
    </row>
    <row r="23701" spans="1:2" x14ac:dyDescent="0.25">
      <c r="A23701">
        <v>55121900227</v>
      </c>
      <c r="B23701" t="s">
        <v>8731</v>
      </c>
    </row>
    <row r="23702" spans="1:2" x14ac:dyDescent="0.25">
      <c r="A23702">
        <v>55121900228</v>
      </c>
      <c r="B23702" t="s">
        <v>8732</v>
      </c>
    </row>
    <row r="23703" spans="1:2" x14ac:dyDescent="0.25">
      <c r="A23703">
        <v>55121900229</v>
      </c>
      <c r="B23703" t="s">
        <v>57</v>
      </c>
    </row>
    <row r="23704" spans="1:2" x14ac:dyDescent="0.25">
      <c r="A23704">
        <v>5512190023</v>
      </c>
      <c r="B23704" t="s">
        <v>8498</v>
      </c>
    </row>
    <row r="23705" spans="1:2" x14ac:dyDescent="0.25">
      <c r="A23705">
        <v>55121900231</v>
      </c>
      <c r="B23705" t="s">
        <v>8641</v>
      </c>
    </row>
    <row r="23706" spans="1:2" x14ac:dyDescent="0.25">
      <c r="A23706">
        <v>55121900232</v>
      </c>
      <c r="B23706" t="s">
        <v>8726</v>
      </c>
    </row>
    <row r="23707" spans="1:2" x14ac:dyDescent="0.25">
      <c r="A23707">
        <v>55121900233</v>
      </c>
      <c r="B23707" t="s">
        <v>8727</v>
      </c>
    </row>
    <row r="23708" spans="1:2" x14ac:dyDescent="0.25">
      <c r="A23708">
        <v>55121900234</v>
      </c>
      <c r="B23708" t="s">
        <v>8728</v>
      </c>
    </row>
    <row r="23709" spans="1:2" x14ac:dyDescent="0.25">
      <c r="A23709">
        <v>55121900235</v>
      </c>
      <c r="B23709" t="s">
        <v>8729</v>
      </c>
    </row>
    <row r="23710" spans="1:2" x14ac:dyDescent="0.25">
      <c r="A23710">
        <v>55121900236</v>
      </c>
      <c r="B23710" t="s">
        <v>8730</v>
      </c>
    </row>
    <row r="23711" spans="1:2" x14ac:dyDescent="0.25">
      <c r="A23711">
        <v>55121900237</v>
      </c>
      <c r="B23711" t="s">
        <v>8731</v>
      </c>
    </row>
    <row r="23712" spans="1:2" x14ac:dyDescent="0.25">
      <c r="A23712">
        <v>55121900238</v>
      </c>
      <c r="B23712" t="s">
        <v>8732</v>
      </c>
    </row>
    <row r="23713" spans="1:2" x14ac:dyDescent="0.25">
      <c r="A23713">
        <v>55121900239</v>
      </c>
      <c r="B23713" t="s">
        <v>57</v>
      </c>
    </row>
    <row r="23714" spans="1:2" x14ac:dyDescent="0.25">
      <c r="A23714">
        <v>5512190029</v>
      </c>
      <c r="B23714" t="s">
        <v>8500</v>
      </c>
    </row>
    <row r="23715" spans="1:2" x14ac:dyDescent="0.25">
      <c r="A23715">
        <v>55121900291</v>
      </c>
      <c r="B23715" t="s">
        <v>8641</v>
      </c>
    </row>
    <row r="23716" spans="1:2" x14ac:dyDescent="0.25">
      <c r="A23716">
        <v>55121900292</v>
      </c>
      <c r="B23716" t="s">
        <v>8726</v>
      </c>
    </row>
    <row r="23717" spans="1:2" x14ac:dyDescent="0.25">
      <c r="A23717">
        <v>55121900293</v>
      </c>
      <c r="B23717" t="s">
        <v>8727</v>
      </c>
    </row>
    <row r="23718" spans="1:2" x14ac:dyDescent="0.25">
      <c r="A23718">
        <v>55121900294</v>
      </c>
      <c r="B23718" t="s">
        <v>8728</v>
      </c>
    </row>
    <row r="23719" spans="1:2" x14ac:dyDescent="0.25">
      <c r="A23719">
        <v>55121900295</v>
      </c>
      <c r="B23719" t="s">
        <v>8729</v>
      </c>
    </row>
    <row r="23720" spans="1:2" x14ac:dyDescent="0.25">
      <c r="A23720">
        <v>55121900296</v>
      </c>
      <c r="B23720" t="s">
        <v>8730</v>
      </c>
    </row>
    <row r="23721" spans="1:2" x14ac:dyDescent="0.25">
      <c r="A23721">
        <v>55121900297</v>
      </c>
      <c r="B23721" t="s">
        <v>8731</v>
      </c>
    </row>
    <row r="23722" spans="1:2" x14ac:dyDescent="0.25">
      <c r="A23722">
        <v>55121900298</v>
      </c>
      <c r="B23722" t="s">
        <v>8732</v>
      </c>
    </row>
    <row r="23723" spans="1:2" x14ac:dyDescent="0.25">
      <c r="A23723">
        <v>55121900299</v>
      </c>
      <c r="B23723" t="s">
        <v>57</v>
      </c>
    </row>
    <row r="23724" spans="1:2" x14ac:dyDescent="0.25">
      <c r="A23724">
        <v>551219003</v>
      </c>
      <c r="B23724" t="s">
        <v>8561</v>
      </c>
    </row>
    <row r="23725" spans="1:2" x14ac:dyDescent="0.25">
      <c r="A23725">
        <v>5512190031</v>
      </c>
      <c r="B23725" t="s">
        <v>8535</v>
      </c>
    </row>
    <row r="23726" spans="1:2" x14ac:dyDescent="0.25">
      <c r="A23726">
        <v>55121900311</v>
      </c>
      <c r="B23726" t="s">
        <v>8733</v>
      </c>
    </row>
    <row r="23727" spans="1:2" x14ac:dyDescent="0.25">
      <c r="A23727">
        <v>55121900312</v>
      </c>
      <c r="B23727" t="s">
        <v>8726</v>
      </c>
    </row>
    <row r="23728" spans="1:2" x14ac:dyDescent="0.25">
      <c r="A23728">
        <v>55121900313</v>
      </c>
      <c r="B23728" t="s">
        <v>8727</v>
      </c>
    </row>
    <row r="23729" spans="1:2" x14ac:dyDescent="0.25">
      <c r="A23729">
        <v>55121900314</v>
      </c>
      <c r="B23729" t="s">
        <v>8728</v>
      </c>
    </row>
    <row r="23730" spans="1:2" x14ac:dyDescent="0.25">
      <c r="A23730">
        <v>55121900315</v>
      </c>
      <c r="B23730" t="s">
        <v>8729</v>
      </c>
    </row>
    <row r="23731" spans="1:2" x14ac:dyDescent="0.25">
      <c r="A23731">
        <v>55121900316</v>
      </c>
      <c r="B23731" t="s">
        <v>8730</v>
      </c>
    </row>
    <row r="23732" spans="1:2" x14ac:dyDescent="0.25">
      <c r="A23732">
        <v>55121900317</v>
      </c>
      <c r="B23732" t="s">
        <v>8731</v>
      </c>
    </row>
    <row r="23733" spans="1:2" x14ac:dyDescent="0.25">
      <c r="A23733">
        <v>55121900318</v>
      </c>
      <c r="B23733" t="s">
        <v>8732</v>
      </c>
    </row>
    <row r="23734" spans="1:2" x14ac:dyDescent="0.25">
      <c r="A23734">
        <v>55121900319</v>
      </c>
      <c r="B23734" t="s">
        <v>57</v>
      </c>
    </row>
    <row r="23735" spans="1:2" x14ac:dyDescent="0.25">
      <c r="A23735">
        <v>5512190032</v>
      </c>
      <c r="B23735" t="s">
        <v>8506</v>
      </c>
    </row>
    <row r="23736" spans="1:2" x14ac:dyDescent="0.25">
      <c r="A23736">
        <v>55121900321</v>
      </c>
      <c r="B23736" t="s">
        <v>8641</v>
      </c>
    </row>
    <row r="23737" spans="1:2" x14ac:dyDescent="0.25">
      <c r="A23737">
        <v>55121900322</v>
      </c>
      <c r="B23737" t="s">
        <v>8726</v>
      </c>
    </row>
    <row r="23738" spans="1:2" x14ac:dyDescent="0.25">
      <c r="A23738">
        <v>55121900323</v>
      </c>
      <c r="B23738" t="s">
        <v>8727</v>
      </c>
    </row>
    <row r="23739" spans="1:2" x14ac:dyDescent="0.25">
      <c r="A23739">
        <v>55121900324</v>
      </c>
      <c r="B23739" t="s">
        <v>8728</v>
      </c>
    </row>
    <row r="23740" spans="1:2" x14ac:dyDescent="0.25">
      <c r="A23740">
        <v>55121900325</v>
      </c>
      <c r="B23740" t="s">
        <v>8729</v>
      </c>
    </row>
    <row r="23741" spans="1:2" x14ac:dyDescent="0.25">
      <c r="A23741">
        <v>55121900326</v>
      </c>
      <c r="B23741" t="s">
        <v>8730</v>
      </c>
    </row>
    <row r="23742" spans="1:2" x14ac:dyDescent="0.25">
      <c r="A23742">
        <v>55121900327</v>
      </c>
      <c r="B23742" t="s">
        <v>8731</v>
      </c>
    </row>
    <row r="23743" spans="1:2" x14ac:dyDescent="0.25">
      <c r="A23743">
        <v>55121900328</v>
      </c>
      <c r="B23743" t="s">
        <v>8732</v>
      </c>
    </row>
    <row r="23744" spans="1:2" x14ac:dyDescent="0.25">
      <c r="A23744">
        <v>55121900329</v>
      </c>
      <c r="B23744" t="s">
        <v>57</v>
      </c>
    </row>
    <row r="23745" spans="1:2" x14ac:dyDescent="0.25">
      <c r="A23745">
        <v>5512190033</v>
      </c>
      <c r="B23745" t="s">
        <v>8498</v>
      </c>
    </row>
    <row r="23746" spans="1:2" x14ac:dyDescent="0.25">
      <c r="A23746">
        <v>55121900331</v>
      </c>
      <c r="B23746" t="s">
        <v>8641</v>
      </c>
    </row>
    <row r="23747" spans="1:2" x14ac:dyDescent="0.25">
      <c r="A23747">
        <v>55121900332</v>
      </c>
      <c r="B23747" t="s">
        <v>8726</v>
      </c>
    </row>
    <row r="23748" spans="1:2" x14ac:dyDescent="0.25">
      <c r="A23748">
        <v>55121900333</v>
      </c>
      <c r="B23748" t="s">
        <v>8727</v>
      </c>
    </row>
    <row r="23749" spans="1:2" x14ac:dyDescent="0.25">
      <c r="A23749">
        <v>55121900334</v>
      </c>
      <c r="B23749" t="s">
        <v>8728</v>
      </c>
    </row>
    <row r="23750" spans="1:2" x14ac:dyDescent="0.25">
      <c r="A23750">
        <v>55121900335</v>
      </c>
      <c r="B23750" t="s">
        <v>8729</v>
      </c>
    </row>
    <row r="23751" spans="1:2" x14ac:dyDescent="0.25">
      <c r="A23751">
        <v>55121900336</v>
      </c>
      <c r="B23751" t="s">
        <v>8730</v>
      </c>
    </row>
    <row r="23752" spans="1:2" x14ac:dyDescent="0.25">
      <c r="A23752">
        <v>55121900337</v>
      </c>
      <c r="B23752" t="s">
        <v>8731</v>
      </c>
    </row>
    <row r="23753" spans="1:2" x14ac:dyDescent="0.25">
      <c r="A23753">
        <v>55121900338</v>
      </c>
      <c r="B23753" t="s">
        <v>8732</v>
      </c>
    </row>
    <row r="23754" spans="1:2" x14ac:dyDescent="0.25">
      <c r="A23754">
        <v>55121900339</v>
      </c>
      <c r="B23754" t="s">
        <v>57</v>
      </c>
    </row>
    <row r="23755" spans="1:2" x14ac:dyDescent="0.25">
      <c r="A23755">
        <v>5512190039</v>
      </c>
      <c r="B23755" t="s">
        <v>8500</v>
      </c>
    </row>
    <row r="23756" spans="1:2" x14ac:dyDescent="0.25">
      <c r="A23756">
        <v>55121900391</v>
      </c>
      <c r="B23756" t="s">
        <v>8641</v>
      </c>
    </row>
    <row r="23757" spans="1:2" x14ac:dyDescent="0.25">
      <c r="A23757">
        <v>55121900392</v>
      </c>
      <c r="B23757" t="s">
        <v>8726</v>
      </c>
    </row>
    <row r="23758" spans="1:2" x14ac:dyDescent="0.25">
      <c r="A23758">
        <v>55121900393</v>
      </c>
      <c r="B23758" t="s">
        <v>8727</v>
      </c>
    </row>
    <row r="23759" spans="1:2" x14ac:dyDescent="0.25">
      <c r="A23759">
        <v>55121900394</v>
      </c>
      <c r="B23759" t="s">
        <v>8728</v>
      </c>
    </row>
    <row r="23760" spans="1:2" x14ac:dyDescent="0.25">
      <c r="A23760">
        <v>55121900395</v>
      </c>
      <c r="B23760" t="s">
        <v>8729</v>
      </c>
    </row>
    <row r="23761" spans="1:2" x14ac:dyDescent="0.25">
      <c r="A23761">
        <v>55121900396</v>
      </c>
      <c r="B23761" t="s">
        <v>8730</v>
      </c>
    </row>
    <row r="23762" spans="1:2" x14ac:dyDescent="0.25">
      <c r="A23762">
        <v>55121900397</v>
      </c>
      <c r="B23762" t="s">
        <v>8731</v>
      </c>
    </row>
    <row r="23763" spans="1:2" x14ac:dyDescent="0.25">
      <c r="A23763">
        <v>55121900398</v>
      </c>
      <c r="B23763" t="s">
        <v>8732</v>
      </c>
    </row>
    <row r="23764" spans="1:2" x14ac:dyDescent="0.25">
      <c r="A23764">
        <v>55121900399</v>
      </c>
      <c r="B23764" t="s">
        <v>57</v>
      </c>
    </row>
    <row r="23765" spans="1:2" x14ac:dyDescent="0.25">
      <c r="A23765">
        <v>55122</v>
      </c>
      <c r="B23765" t="s">
        <v>8695</v>
      </c>
    </row>
    <row r="23766" spans="1:2" x14ac:dyDescent="0.25">
      <c r="A23766">
        <v>55122100</v>
      </c>
      <c r="B23766" t="e">
        <f>- - crudos o Blanqueados</f>
        <v>#NAME?</v>
      </c>
    </row>
    <row r="23767" spans="1:2" x14ac:dyDescent="0.25">
      <c r="A23767">
        <v>551221001</v>
      </c>
      <c r="B23767" t="s">
        <v>8535</v>
      </c>
    </row>
    <row r="23768" spans="1:2" x14ac:dyDescent="0.25">
      <c r="A23768">
        <v>55122100110</v>
      </c>
      <c r="B23768" t="s">
        <v>8641</v>
      </c>
    </row>
    <row r="23769" spans="1:2" x14ac:dyDescent="0.25">
      <c r="A23769">
        <v>55122100120</v>
      </c>
      <c r="B23769" t="s">
        <v>8726</v>
      </c>
    </row>
    <row r="23770" spans="1:2" x14ac:dyDescent="0.25">
      <c r="A23770">
        <v>55122100130</v>
      </c>
      <c r="B23770" t="s">
        <v>8727</v>
      </c>
    </row>
    <row r="23771" spans="1:2" x14ac:dyDescent="0.25">
      <c r="A23771">
        <v>55122100140</v>
      </c>
      <c r="B23771" t="s">
        <v>8728</v>
      </c>
    </row>
    <row r="23772" spans="1:2" x14ac:dyDescent="0.25">
      <c r="A23772">
        <v>55122100150</v>
      </c>
      <c r="B23772" t="s">
        <v>8729</v>
      </c>
    </row>
    <row r="23773" spans="1:2" x14ac:dyDescent="0.25">
      <c r="A23773">
        <v>55122100160</v>
      </c>
      <c r="B23773" t="s">
        <v>8730</v>
      </c>
    </row>
    <row r="23774" spans="1:2" x14ac:dyDescent="0.25">
      <c r="A23774">
        <v>55122100170</v>
      </c>
      <c r="B23774" t="s">
        <v>8731</v>
      </c>
    </row>
    <row r="23775" spans="1:2" x14ac:dyDescent="0.25">
      <c r="A23775">
        <v>55122100180</v>
      </c>
      <c r="B23775" t="s">
        <v>8732</v>
      </c>
    </row>
    <row r="23776" spans="1:2" x14ac:dyDescent="0.25">
      <c r="A23776">
        <v>55122100190</v>
      </c>
      <c r="B23776" t="s">
        <v>57</v>
      </c>
    </row>
    <row r="23777" spans="1:2" x14ac:dyDescent="0.25">
      <c r="A23777">
        <v>551221002</v>
      </c>
      <c r="B23777" t="s">
        <v>8506</v>
      </c>
    </row>
    <row r="23778" spans="1:2" x14ac:dyDescent="0.25">
      <c r="A23778">
        <v>55122100210</v>
      </c>
      <c r="B23778" t="s">
        <v>8641</v>
      </c>
    </row>
    <row r="23779" spans="1:2" x14ac:dyDescent="0.25">
      <c r="A23779">
        <v>55122100220</v>
      </c>
      <c r="B23779" t="s">
        <v>8726</v>
      </c>
    </row>
    <row r="23780" spans="1:2" x14ac:dyDescent="0.25">
      <c r="A23780">
        <v>55122100230</v>
      </c>
      <c r="B23780" t="s">
        <v>8727</v>
      </c>
    </row>
    <row r="23781" spans="1:2" x14ac:dyDescent="0.25">
      <c r="A23781">
        <v>55122100240</v>
      </c>
      <c r="B23781" t="s">
        <v>8728</v>
      </c>
    </row>
    <row r="23782" spans="1:2" x14ac:dyDescent="0.25">
      <c r="A23782">
        <v>55122100250</v>
      </c>
      <c r="B23782" t="s">
        <v>8729</v>
      </c>
    </row>
    <row r="23783" spans="1:2" x14ac:dyDescent="0.25">
      <c r="A23783">
        <v>55122100260</v>
      </c>
      <c r="B23783" t="s">
        <v>8730</v>
      </c>
    </row>
    <row r="23784" spans="1:2" x14ac:dyDescent="0.25">
      <c r="A23784">
        <v>55122100270</v>
      </c>
      <c r="B23784" t="s">
        <v>8731</v>
      </c>
    </row>
    <row r="23785" spans="1:2" x14ac:dyDescent="0.25">
      <c r="A23785">
        <v>55122100280</v>
      </c>
      <c r="B23785" t="s">
        <v>8732</v>
      </c>
    </row>
    <row r="23786" spans="1:2" x14ac:dyDescent="0.25">
      <c r="A23786">
        <v>55122100290</v>
      </c>
      <c r="B23786" t="s">
        <v>57</v>
      </c>
    </row>
    <row r="23787" spans="1:2" x14ac:dyDescent="0.25">
      <c r="A23787">
        <v>551221003</v>
      </c>
      <c r="B23787" t="s">
        <v>8498</v>
      </c>
    </row>
    <row r="23788" spans="1:2" x14ac:dyDescent="0.25">
      <c r="A23788">
        <v>55122100310</v>
      </c>
      <c r="B23788" t="s">
        <v>8641</v>
      </c>
    </row>
    <row r="23789" spans="1:2" x14ac:dyDescent="0.25">
      <c r="A23789">
        <v>55122100320</v>
      </c>
      <c r="B23789" t="s">
        <v>8726</v>
      </c>
    </row>
    <row r="23790" spans="1:2" x14ac:dyDescent="0.25">
      <c r="A23790">
        <v>55122100330</v>
      </c>
      <c r="B23790" t="s">
        <v>8727</v>
      </c>
    </row>
    <row r="23791" spans="1:2" x14ac:dyDescent="0.25">
      <c r="A23791">
        <v>55122100340</v>
      </c>
      <c r="B23791" t="s">
        <v>8728</v>
      </c>
    </row>
    <row r="23792" spans="1:2" x14ac:dyDescent="0.25">
      <c r="A23792">
        <v>55122100350</v>
      </c>
      <c r="B23792" t="s">
        <v>8729</v>
      </c>
    </row>
    <row r="23793" spans="1:2" x14ac:dyDescent="0.25">
      <c r="A23793">
        <v>55122100360</v>
      </c>
      <c r="B23793" t="s">
        <v>8730</v>
      </c>
    </row>
    <row r="23794" spans="1:2" x14ac:dyDescent="0.25">
      <c r="A23794">
        <v>55122100370</v>
      </c>
      <c r="B23794" t="s">
        <v>8731</v>
      </c>
    </row>
    <row r="23795" spans="1:2" x14ac:dyDescent="0.25">
      <c r="A23795">
        <v>55122100380</v>
      </c>
      <c r="B23795" t="s">
        <v>8732</v>
      </c>
    </row>
    <row r="23796" spans="1:2" x14ac:dyDescent="0.25">
      <c r="A23796">
        <v>55122100390</v>
      </c>
      <c r="B23796" t="s">
        <v>57</v>
      </c>
    </row>
    <row r="23797" spans="1:2" x14ac:dyDescent="0.25">
      <c r="A23797">
        <v>551221009</v>
      </c>
      <c r="B23797" t="s">
        <v>8500</v>
      </c>
    </row>
    <row r="23798" spans="1:2" x14ac:dyDescent="0.25">
      <c r="A23798">
        <v>55122100910</v>
      </c>
      <c r="B23798" t="s">
        <v>8641</v>
      </c>
    </row>
    <row r="23799" spans="1:2" x14ac:dyDescent="0.25">
      <c r="A23799">
        <v>55122100920</v>
      </c>
      <c r="B23799" t="s">
        <v>8726</v>
      </c>
    </row>
    <row r="23800" spans="1:2" x14ac:dyDescent="0.25">
      <c r="A23800">
        <v>55122100930</v>
      </c>
      <c r="B23800" t="s">
        <v>8727</v>
      </c>
    </row>
    <row r="23801" spans="1:2" x14ac:dyDescent="0.25">
      <c r="A23801">
        <v>55122100940</v>
      </c>
      <c r="B23801" t="s">
        <v>8728</v>
      </c>
    </row>
    <row r="23802" spans="1:2" x14ac:dyDescent="0.25">
      <c r="A23802">
        <v>55122100950</v>
      </c>
      <c r="B23802" t="s">
        <v>8729</v>
      </c>
    </row>
    <row r="23803" spans="1:2" x14ac:dyDescent="0.25">
      <c r="A23803">
        <v>55122100960</v>
      </c>
      <c r="B23803" t="s">
        <v>8730</v>
      </c>
    </row>
    <row r="23804" spans="1:2" x14ac:dyDescent="0.25">
      <c r="A23804">
        <v>55122100970</v>
      </c>
      <c r="B23804" t="s">
        <v>8731</v>
      </c>
    </row>
    <row r="23805" spans="1:2" x14ac:dyDescent="0.25">
      <c r="A23805">
        <v>55122100980</v>
      </c>
      <c r="B23805" t="s">
        <v>8732</v>
      </c>
    </row>
    <row r="23806" spans="1:2" x14ac:dyDescent="0.25">
      <c r="A23806">
        <v>55122100990</v>
      </c>
      <c r="B23806" t="s">
        <v>57</v>
      </c>
    </row>
    <row r="23807" spans="1:2" x14ac:dyDescent="0.25">
      <c r="A23807">
        <v>55122900</v>
      </c>
      <c r="B23807" t="e">
        <f>- - Los demas</f>
        <v>#NAME?</v>
      </c>
    </row>
    <row r="23808" spans="1:2" x14ac:dyDescent="0.25">
      <c r="A23808">
        <v>551229001</v>
      </c>
      <c r="B23808" t="s">
        <v>626</v>
      </c>
    </row>
    <row r="23809" spans="1:2" x14ac:dyDescent="0.25">
      <c r="A23809">
        <v>5512290011</v>
      </c>
      <c r="B23809" t="s">
        <v>8535</v>
      </c>
    </row>
    <row r="23810" spans="1:2" x14ac:dyDescent="0.25">
      <c r="A23810">
        <v>55122900111</v>
      </c>
      <c r="B23810" t="s">
        <v>8641</v>
      </c>
    </row>
    <row r="23811" spans="1:2" x14ac:dyDescent="0.25">
      <c r="A23811">
        <v>55122900112</v>
      </c>
      <c r="B23811" t="s">
        <v>8726</v>
      </c>
    </row>
    <row r="23812" spans="1:2" x14ac:dyDescent="0.25">
      <c r="A23812">
        <v>55122900113</v>
      </c>
      <c r="B23812" t="s">
        <v>8727</v>
      </c>
    </row>
    <row r="23813" spans="1:2" x14ac:dyDescent="0.25">
      <c r="A23813">
        <v>55122900114</v>
      </c>
      <c r="B23813" t="s">
        <v>8728</v>
      </c>
    </row>
    <row r="23814" spans="1:2" x14ac:dyDescent="0.25">
      <c r="A23814">
        <v>55122900115</v>
      </c>
      <c r="B23814" t="s">
        <v>8729</v>
      </c>
    </row>
    <row r="23815" spans="1:2" x14ac:dyDescent="0.25">
      <c r="A23815">
        <v>55122900116</v>
      </c>
      <c r="B23815" t="s">
        <v>8730</v>
      </c>
    </row>
    <row r="23816" spans="1:2" x14ac:dyDescent="0.25">
      <c r="A23816">
        <v>55122900117</v>
      </c>
      <c r="B23816" t="s">
        <v>8731</v>
      </c>
    </row>
    <row r="23817" spans="1:2" x14ac:dyDescent="0.25">
      <c r="A23817">
        <v>55122900118</v>
      </c>
      <c r="B23817" t="s">
        <v>8732</v>
      </c>
    </row>
    <row r="23818" spans="1:2" x14ac:dyDescent="0.25">
      <c r="A23818">
        <v>55122900119</v>
      </c>
      <c r="B23818" t="s">
        <v>57</v>
      </c>
    </row>
    <row r="23819" spans="1:2" x14ac:dyDescent="0.25">
      <c r="A23819">
        <v>5512290012</v>
      </c>
      <c r="B23819" t="s">
        <v>8506</v>
      </c>
    </row>
    <row r="23820" spans="1:2" x14ac:dyDescent="0.25">
      <c r="A23820">
        <v>55122900121</v>
      </c>
      <c r="B23820" t="s">
        <v>8641</v>
      </c>
    </row>
    <row r="23821" spans="1:2" x14ac:dyDescent="0.25">
      <c r="A23821">
        <v>55122900122</v>
      </c>
      <c r="B23821" t="s">
        <v>8726</v>
      </c>
    </row>
    <row r="23822" spans="1:2" x14ac:dyDescent="0.25">
      <c r="A23822">
        <v>55122900123</v>
      </c>
      <c r="B23822" t="s">
        <v>8727</v>
      </c>
    </row>
    <row r="23823" spans="1:2" x14ac:dyDescent="0.25">
      <c r="A23823">
        <v>55122900124</v>
      </c>
      <c r="B23823" t="s">
        <v>8728</v>
      </c>
    </row>
    <row r="23824" spans="1:2" x14ac:dyDescent="0.25">
      <c r="A23824">
        <v>55122900125</v>
      </c>
      <c r="B23824" t="s">
        <v>8729</v>
      </c>
    </row>
    <row r="23825" spans="1:2" x14ac:dyDescent="0.25">
      <c r="A23825">
        <v>55122900126</v>
      </c>
      <c r="B23825" t="s">
        <v>8730</v>
      </c>
    </row>
    <row r="23826" spans="1:2" x14ac:dyDescent="0.25">
      <c r="A23826">
        <v>55122900127</v>
      </c>
      <c r="B23826" t="s">
        <v>8731</v>
      </c>
    </row>
    <row r="23827" spans="1:2" x14ac:dyDescent="0.25">
      <c r="A23827">
        <v>55122900128</v>
      </c>
      <c r="B23827" t="s">
        <v>8732</v>
      </c>
    </row>
    <row r="23828" spans="1:2" x14ac:dyDescent="0.25">
      <c r="A23828">
        <v>55122900129</v>
      </c>
      <c r="B23828" t="s">
        <v>57</v>
      </c>
    </row>
    <row r="23829" spans="1:2" x14ac:dyDescent="0.25">
      <c r="A23829">
        <v>5512290013</v>
      </c>
      <c r="B23829" t="s">
        <v>8498</v>
      </c>
    </row>
    <row r="23830" spans="1:2" x14ac:dyDescent="0.25">
      <c r="A23830">
        <v>55122900131</v>
      </c>
      <c r="B23830" t="s">
        <v>8641</v>
      </c>
    </row>
    <row r="23831" spans="1:2" x14ac:dyDescent="0.25">
      <c r="A23831">
        <v>55122900132</v>
      </c>
      <c r="B23831" t="s">
        <v>8726</v>
      </c>
    </row>
    <row r="23832" spans="1:2" x14ac:dyDescent="0.25">
      <c r="A23832">
        <v>55122900133</v>
      </c>
      <c r="B23832" t="s">
        <v>8727</v>
      </c>
    </row>
    <row r="23833" spans="1:2" x14ac:dyDescent="0.25">
      <c r="A23833">
        <v>55122900134</v>
      </c>
      <c r="B23833" t="s">
        <v>8728</v>
      </c>
    </row>
    <row r="23834" spans="1:2" x14ac:dyDescent="0.25">
      <c r="A23834">
        <v>55122900135</v>
      </c>
      <c r="B23834" t="s">
        <v>8729</v>
      </c>
    </row>
    <row r="23835" spans="1:2" x14ac:dyDescent="0.25">
      <c r="A23835">
        <v>55122900136</v>
      </c>
      <c r="B23835" t="s">
        <v>8730</v>
      </c>
    </row>
    <row r="23836" spans="1:2" x14ac:dyDescent="0.25">
      <c r="A23836">
        <v>55122900137</v>
      </c>
      <c r="B23836" t="s">
        <v>8731</v>
      </c>
    </row>
    <row r="23837" spans="1:2" x14ac:dyDescent="0.25">
      <c r="A23837">
        <v>55122900138</v>
      </c>
      <c r="B23837" t="s">
        <v>8732</v>
      </c>
    </row>
    <row r="23838" spans="1:2" x14ac:dyDescent="0.25">
      <c r="A23838">
        <v>55122900139</v>
      </c>
      <c r="B23838" t="s">
        <v>57</v>
      </c>
    </row>
    <row r="23839" spans="1:2" x14ac:dyDescent="0.25">
      <c r="A23839">
        <v>5512290019</v>
      </c>
      <c r="B23839" t="s">
        <v>8500</v>
      </c>
    </row>
    <row r="23840" spans="1:2" x14ac:dyDescent="0.25">
      <c r="A23840">
        <v>55122900191</v>
      </c>
      <c r="B23840" t="s">
        <v>8641</v>
      </c>
    </row>
    <row r="23841" spans="1:2" x14ac:dyDescent="0.25">
      <c r="A23841">
        <v>55122900192</v>
      </c>
      <c r="B23841" t="s">
        <v>8726</v>
      </c>
    </row>
    <row r="23842" spans="1:2" x14ac:dyDescent="0.25">
      <c r="A23842">
        <v>55122900193</v>
      </c>
      <c r="B23842" t="s">
        <v>8727</v>
      </c>
    </row>
    <row r="23843" spans="1:2" x14ac:dyDescent="0.25">
      <c r="A23843">
        <v>55122900194</v>
      </c>
      <c r="B23843" t="s">
        <v>8728</v>
      </c>
    </row>
    <row r="23844" spans="1:2" x14ac:dyDescent="0.25">
      <c r="A23844">
        <v>55122900195</v>
      </c>
      <c r="B23844" t="s">
        <v>8729</v>
      </c>
    </row>
    <row r="23845" spans="1:2" x14ac:dyDescent="0.25">
      <c r="A23845">
        <v>55122900196</v>
      </c>
      <c r="B23845" t="s">
        <v>8730</v>
      </c>
    </row>
    <row r="23846" spans="1:2" x14ac:dyDescent="0.25">
      <c r="A23846">
        <v>55122900197</v>
      </c>
      <c r="B23846" t="s">
        <v>8731</v>
      </c>
    </row>
    <row r="23847" spans="1:2" x14ac:dyDescent="0.25">
      <c r="A23847">
        <v>55122900198</v>
      </c>
      <c r="B23847" t="s">
        <v>8732</v>
      </c>
    </row>
    <row r="23848" spans="1:2" x14ac:dyDescent="0.25">
      <c r="A23848">
        <v>55122900199</v>
      </c>
      <c r="B23848" t="s">
        <v>57</v>
      </c>
    </row>
    <row r="23849" spans="1:2" x14ac:dyDescent="0.25">
      <c r="A23849">
        <v>551229002</v>
      </c>
      <c r="B23849" t="s">
        <v>8560</v>
      </c>
    </row>
    <row r="23850" spans="1:2" x14ac:dyDescent="0.25">
      <c r="A23850">
        <v>5512290021</v>
      </c>
      <c r="B23850" t="s">
        <v>8535</v>
      </c>
    </row>
    <row r="23851" spans="1:2" x14ac:dyDescent="0.25">
      <c r="A23851">
        <v>55122900211</v>
      </c>
      <c r="B23851" t="s">
        <v>8641</v>
      </c>
    </row>
    <row r="23852" spans="1:2" x14ac:dyDescent="0.25">
      <c r="A23852">
        <v>55122900212</v>
      </c>
      <c r="B23852" t="s">
        <v>8726</v>
      </c>
    </row>
    <row r="23853" spans="1:2" x14ac:dyDescent="0.25">
      <c r="A23853">
        <v>55122900213</v>
      </c>
      <c r="B23853" t="s">
        <v>8727</v>
      </c>
    </row>
    <row r="23854" spans="1:2" x14ac:dyDescent="0.25">
      <c r="A23854">
        <v>55122900214</v>
      </c>
      <c r="B23854" t="s">
        <v>8728</v>
      </c>
    </row>
    <row r="23855" spans="1:2" x14ac:dyDescent="0.25">
      <c r="A23855">
        <v>55122900215</v>
      </c>
      <c r="B23855" t="s">
        <v>8729</v>
      </c>
    </row>
    <row r="23856" spans="1:2" x14ac:dyDescent="0.25">
      <c r="A23856">
        <v>55122900216</v>
      </c>
      <c r="B23856" t="s">
        <v>8730</v>
      </c>
    </row>
    <row r="23857" spans="1:2" x14ac:dyDescent="0.25">
      <c r="A23857">
        <v>55122900217</v>
      </c>
      <c r="B23857" t="s">
        <v>8731</v>
      </c>
    </row>
    <row r="23858" spans="1:2" x14ac:dyDescent="0.25">
      <c r="A23858">
        <v>55122900218</v>
      </c>
      <c r="B23858" t="s">
        <v>8732</v>
      </c>
    </row>
    <row r="23859" spans="1:2" x14ac:dyDescent="0.25">
      <c r="A23859">
        <v>55122900219</v>
      </c>
      <c r="B23859" t="s">
        <v>57</v>
      </c>
    </row>
    <row r="23860" spans="1:2" x14ac:dyDescent="0.25">
      <c r="A23860">
        <v>5512290022</v>
      </c>
      <c r="B23860" t="s">
        <v>8506</v>
      </c>
    </row>
    <row r="23861" spans="1:2" x14ac:dyDescent="0.25">
      <c r="A23861">
        <v>55122900221</v>
      </c>
      <c r="B23861" t="s">
        <v>8641</v>
      </c>
    </row>
    <row r="23862" spans="1:2" x14ac:dyDescent="0.25">
      <c r="A23862">
        <v>55122900222</v>
      </c>
      <c r="B23862" t="s">
        <v>8726</v>
      </c>
    </row>
    <row r="23863" spans="1:2" x14ac:dyDescent="0.25">
      <c r="A23863">
        <v>55122900223</v>
      </c>
      <c r="B23863" t="s">
        <v>8727</v>
      </c>
    </row>
    <row r="23864" spans="1:2" x14ac:dyDescent="0.25">
      <c r="A23864">
        <v>55122900224</v>
      </c>
      <c r="B23864" t="s">
        <v>8728</v>
      </c>
    </row>
    <row r="23865" spans="1:2" x14ac:dyDescent="0.25">
      <c r="A23865">
        <v>55122900225</v>
      </c>
      <c r="B23865" t="s">
        <v>8729</v>
      </c>
    </row>
    <row r="23866" spans="1:2" x14ac:dyDescent="0.25">
      <c r="A23866">
        <v>55122900226</v>
      </c>
      <c r="B23866" t="s">
        <v>8730</v>
      </c>
    </row>
    <row r="23867" spans="1:2" x14ac:dyDescent="0.25">
      <c r="A23867">
        <v>55122900227</v>
      </c>
      <c r="B23867" t="s">
        <v>8731</v>
      </c>
    </row>
    <row r="23868" spans="1:2" x14ac:dyDescent="0.25">
      <c r="A23868">
        <v>55122900228</v>
      </c>
      <c r="B23868" t="s">
        <v>8732</v>
      </c>
    </row>
    <row r="23869" spans="1:2" x14ac:dyDescent="0.25">
      <c r="A23869">
        <v>55122900229</v>
      </c>
      <c r="B23869" t="s">
        <v>57</v>
      </c>
    </row>
    <row r="23870" spans="1:2" x14ac:dyDescent="0.25">
      <c r="A23870">
        <v>5512290023</v>
      </c>
      <c r="B23870" t="s">
        <v>8498</v>
      </c>
    </row>
    <row r="23871" spans="1:2" x14ac:dyDescent="0.25">
      <c r="A23871">
        <v>55122900231</v>
      </c>
      <c r="B23871" t="s">
        <v>8641</v>
      </c>
    </row>
    <row r="23872" spans="1:2" x14ac:dyDescent="0.25">
      <c r="A23872">
        <v>55122900232</v>
      </c>
      <c r="B23872" t="s">
        <v>8726</v>
      </c>
    </row>
    <row r="23873" spans="1:2" x14ac:dyDescent="0.25">
      <c r="A23873">
        <v>55122900233</v>
      </c>
      <c r="B23873" t="s">
        <v>8727</v>
      </c>
    </row>
    <row r="23874" spans="1:2" x14ac:dyDescent="0.25">
      <c r="A23874">
        <v>55122900234</v>
      </c>
      <c r="B23874" t="s">
        <v>8728</v>
      </c>
    </row>
    <row r="23875" spans="1:2" x14ac:dyDescent="0.25">
      <c r="A23875">
        <v>55122900235</v>
      </c>
      <c r="B23875" t="s">
        <v>8729</v>
      </c>
    </row>
    <row r="23876" spans="1:2" x14ac:dyDescent="0.25">
      <c r="A23876">
        <v>55122900236</v>
      </c>
      <c r="B23876" t="s">
        <v>8730</v>
      </c>
    </row>
    <row r="23877" spans="1:2" x14ac:dyDescent="0.25">
      <c r="A23877">
        <v>55122900237</v>
      </c>
      <c r="B23877" t="s">
        <v>8731</v>
      </c>
    </row>
    <row r="23878" spans="1:2" x14ac:dyDescent="0.25">
      <c r="A23878">
        <v>55122900238</v>
      </c>
      <c r="B23878" t="s">
        <v>8732</v>
      </c>
    </row>
    <row r="23879" spans="1:2" x14ac:dyDescent="0.25">
      <c r="A23879">
        <v>55122900239</v>
      </c>
      <c r="B23879" t="s">
        <v>57</v>
      </c>
    </row>
    <row r="23880" spans="1:2" x14ac:dyDescent="0.25">
      <c r="A23880">
        <v>5512290029</v>
      </c>
      <c r="B23880" t="s">
        <v>8500</v>
      </c>
    </row>
    <row r="23881" spans="1:2" x14ac:dyDescent="0.25">
      <c r="A23881">
        <v>55122900291</v>
      </c>
      <c r="B23881" t="s">
        <v>8641</v>
      </c>
    </row>
    <row r="23882" spans="1:2" x14ac:dyDescent="0.25">
      <c r="A23882">
        <v>55122900292</v>
      </c>
      <c r="B23882" t="s">
        <v>8726</v>
      </c>
    </row>
    <row r="23883" spans="1:2" x14ac:dyDescent="0.25">
      <c r="A23883">
        <v>55122900293</v>
      </c>
      <c r="B23883" t="s">
        <v>8727</v>
      </c>
    </row>
    <row r="23884" spans="1:2" x14ac:dyDescent="0.25">
      <c r="A23884">
        <v>55122900294</v>
      </c>
      <c r="B23884" t="s">
        <v>8728</v>
      </c>
    </row>
    <row r="23885" spans="1:2" x14ac:dyDescent="0.25">
      <c r="A23885">
        <v>55122900295</v>
      </c>
      <c r="B23885" t="s">
        <v>8729</v>
      </c>
    </row>
    <row r="23886" spans="1:2" x14ac:dyDescent="0.25">
      <c r="A23886">
        <v>55122900296</v>
      </c>
      <c r="B23886" t="s">
        <v>8730</v>
      </c>
    </row>
    <row r="23887" spans="1:2" x14ac:dyDescent="0.25">
      <c r="A23887">
        <v>55122900297</v>
      </c>
      <c r="B23887" t="s">
        <v>8731</v>
      </c>
    </row>
    <row r="23888" spans="1:2" x14ac:dyDescent="0.25">
      <c r="A23888">
        <v>55122900298</v>
      </c>
      <c r="B23888" t="s">
        <v>8732</v>
      </c>
    </row>
    <row r="23889" spans="1:2" x14ac:dyDescent="0.25">
      <c r="A23889">
        <v>55122900299</v>
      </c>
      <c r="B23889" t="s">
        <v>57</v>
      </c>
    </row>
    <row r="23890" spans="1:2" x14ac:dyDescent="0.25">
      <c r="A23890">
        <v>551229003</v>
      </c>
      <c r="B23890" t="s">
        <v>8561</v>
      </c>
    </row>
    <row r="23891" spans="1:2" x14ac:dyDescent="0.25">
      <c r="A23891">
        <v>5512290031</v>
      </c>
      <c r="B23891" t="s">
        <v>8535</v>
      </c>
    </row>
    <row r="23892" spans="1:2" x14ac:dyDescent="0.25">
      <c r="A23892">
        <v>55122900311</v>
      </c>
      <c r="B23892" t="s">
        <v>8641</v>
      </c>
    </row>
    <row r="23893" spans="1:2" x14ac:dyDescent="0.25">
      <c r="A23893">
        <v>55122900312</v>
      </c>
      <c r="B23893" t="s">
        <v>8726</v>
      </c>
    </row>
    <row r="23894" spans="1:2" x14ac:dyDescent="0.25">
      <c r="A23894">
        <v>55122900313</v>
      </c>
      <c r="B23894" t="s">
        <v>8727</v>
      </c>
    </row>
    <row r="23895" spans="1:2" x14ac:dyDescent="0.25">
      <c r="A23895">
        <v>55122900314</v>
      </c>
      <c r="B23895" t="s">
        <v>8728</v>
      </c>
    </row>
    <row r="23896" spans="1:2" x14ac:dyDescent="0.25">
      <c r="A23896">
        <v>55122900315</v>
      </c>
      <c r="B23896" t="s">
        <v>8729</v>
      </c>
    </row>
    <row r="23897" spans="1:2" x14ac:dyDescent="0.25">
      <c r="A23897">
        <v>55122900316</v>
      </c>
      <c r="B23897" t="s">
        <v>8730</v>
      </c>
    </row>
    <row r="23898" spans="1:2" x14ac:dyDescent="0.25">
      <c r="A23898">
        <v>55122900317</v>
      </c>
      <c r="B23898" t="s">
        <v>8731</v>
      </c>
    </row>
    <row r="23899" spans="1:2" x14ac:dyDescent="0.25">
      <c r="A23899">
        <v>55122900318</v>
      </c>
      <c r="B23899" t="s">
        <v>8732</v>
      </c>
    </row>
    <row r="23900" spans="1:2" x14ac:dyDescent="0.25">
      <c r="A23900">
        <v>55122900319</v>
      </c>
      <c r="B23900" t="s">
        <v>57</v>
      </c>
    </row>
    <row r="23901" spans="1:2" x14ac:dyDescent="0.25">
      <c r="A23901">
        <v>5512290032</v>
      </c>
      <c r="B23901" t="s">
        <v>8506</v>
      </c>
    </row>
    <row r="23902" spans="1:2" x14ac:dyDescent="0.25">
      <c r="A23902">
        <v>55122900321</v>
      </c>
      <c r="B23902" t="s">
        <v>8641</v>
      </c>
    </row>
    <row r="23903" spans="1:2" x14ac:dyDescent="0.25">
      <c r="A23903">
        <v>55122900322</v>
      </c>
      <c r="B23903" t="s">
        <v>8726</v>
      </c>
    </row>
    <row r="23904" spans="1:2" x14ac:dyDescent="0.25">
      <c r="A23904">
        <v>55122900323</v>
      </c>
      <c r="B23904" t="s">
        <v>8727</v>
      </c>
    </row>
    <row r="23905" spans="1:2" x14ac:dyDescent="0.25">
      <c r="A23905">
        <v>55122900324</v>
      </c>
      <c r="B23905" t="s">
        <v>8728</v>
      </c>
    </row>
    <row r="23906" spans="1:2" x14ac:dyDescent="0.25">
      <c r="A23906">
        <v>55122900325</v>
      </c>
      <c r="B23906" t="s">
        <v>8729</v>
      </c>
    </row>
    <row r="23907" spans="1:2" x14ac:dyDescent="0.25">
      <c r="A23907">
        <v>55122900326</v>
      </c>
      <c r="B23907" t="s">
        <v>8730</v>
      </c>
    </row>
    <row r="23908" spans="1:2" x14ac:dyDescent="0.25">
      <c r="A23908">
        <v>55122900327</v>
      </c>
      <c r="B23908" t="s">
        <v>8731</v>
      </c>
    </row>
    <row r="23909" spans="1:2" x14ac:dyDescent="0.25">
      <c r="A23909">
        <v>55122900328</v>
      </c>
      <c r="B23909" t="s">
        <v>8732</v>
      </c>
    </row>
    <row r="23910" spans="1:2" x14ac:dyDescent="0.25">
      <c r="A23910">
        <v>55122900329</v>
      </c>
      <c r="B23910" t="s">
        <v>57</v>
      </c>
    </row>
    <row r="23911" spans="1:2" x14ac:dyDescent="0.25">
      <c r="A23911">
        <v>5512290033</v>
      </c>
      <c r="B23911" t="s">
        <v>8498</v>
      </c>
    </row>
    <row r="23912" spans="1:2" x14ac:dyDescent="0.25">
      <c r="A23912">
        <v>55122900331</v>
      </c>
      <c r="B23912" t="s">
        <v>8641</v>
      </c>
    </row>
    <row r="23913" spans="1:2" x14ac:dyDescent="0.25">
      <c r="A23913">
        <v>55122900332</v>
      </c>
      <c r="B23913" t="s">
        <v>8726</v>
      </c>
    </row>
    <row r="23914" spans="1:2" x14ac:dyDescent="0.25">
      <c r="A23914">
        <v>55122900333</v>
      </c>
      <c r="B23914" t="s">
        <v>8727</v>
      </c>
    </row>
    <row r="23915" spans="1:2" x14ac:dyDescent="0.25">
      <c r="A23915">
        <v>55122900334</v>
      </c>
      <c r="B23915" t="s">
        <v>8728</v>
      </c>
    </row>
    <row r="23916" spans="1:2" x14ac:dyDescent="0.25">
      <c r="A23916">
        <v>55122900335</v>
      </c>
      <c r="B23916" t="s">
        <v>8729</v>
      </c>
    </row>
    <row r="23917" spans="1:2" x14ac:dyDescent="0.25">
      <c r="A23917">
        <v>55122900336</v>
      </c>
      <c r="B23917" t="s">
        <v>8730</v>
      </c>
    </row>
    <row r="23918" spans="1:2" x14ac:dyDescent="0.25">
      <c r="A23918">
        <v>55122900337</v>
      </c>
      <c r="B23918" t="s">
        <v>8731</v>
      </c>
    </row>
    <row r="23919" spans="1:2" x14ac:dyDescent="0.25">
      <c r="A23919">
        <v>55122900338</v>
      </c>
      <c r="B23919" t="s">
        <v>8732</v>
      </c>
    </row>
    <row r="23920" spans="1:2" x14ac:dyDescent="0.25">
      <c r="A23920">
        <v>55122900339</v>
      </c>
      <c r="B23920" t="s">
        <v>57</v>
      </c>
    </row>
    <row r="23921" spans="1:2" x14ac:dyDescent="0.25">
      <c r="A23921">
        <v>5512290039</v>
      </c>
      <c r="B23921" t="s">
        <v>8500</v>
      </c>
    </row>
    <row r="23922" spans="1:2" x14ac:dyDescent="0.25">
      <c r="A23922">
        <v>55122900391</v>
      </c>
      <c r="B23922" t="s">
        <v>8641</v>
      </c>
    </row>
    <row r="23923" spans="1:2" x14ac:dyDescent="0.25">
      <c r="A23923">
        <v>55122900392</v>
      </c>
      <c r="B23923" t="s">
        <v>8726</v>
      </c>
    </row>
    <row r="23924" spans="1:2" x14ac:dyDescent="0.25">
      <c r="A23924">
        <v>55122900393</v>
      </c>
      <c r="B23924" t="s">
        <v>8727</v>
      </c>
    </row>
    <row r="23925" spans="1:2" x14ac:dyDescent="0.25">
      <c r="A23925">
        <v>55122900394</v>
      </c>
      <c r="B23925" t="s">
        <v>8728</v>
      </c>
    </row>
    <row r="23926" spans="1:2" x14ac:dyDescent="0.25">
      <c r="A23926">
        <v>55122900395</v>
      </c>
      <c r="B23926" t="s">
        <v>8729</v>
      </c>
    </row>
    <row r="23927" spans="1:2" x14ac:dyDescent="0.25">
      <c r="A23927">
        <v>55122900396</v>
      </c>
      <c r="B23927" t="s">
        <v>8730</v>
      </c>
    </row>
    <row r="23928" spans="1:2" x14ac:dyDescent="0.25">
      <c r="A23928">
        <v>55122900397</v>
      </c>
      <c r="B23928" t="s">
        <v>8731</v>
      </c>
    </row>
    <row r="23929" spans="1:2" x14ac:dyDescent="0.25">
      <c r="A23929">
        <v>55122900398</v>
      </c>
      <c r="B23929" t="s">
        <v>8732</v>
      </c>
    </row>
    <row r="23930" spans="1:2" x14ac:dyDescent="0.25">
      <c r="A23930">
        <v>55122900399</v>
      </c>
      <c r="B23930" t="s">
        <v>57</v>
      </c>
    </row>
    <row r="23931" spans="1:2" x14ac:dyDescent="0.25">
      <c r="A23931">
        <v>55129</v>
      </c>
      <c r="B23931" t="s">
        <v>28</v>
      </c>
    </row>
    <row r="23932" spans="1:2" x14ac:dyDescent="0.25">
      <c r="A23932">
        <v>551291</v>
      </c>
      <c r="B23932" t="e">
        <f>- - crudos o Blanqueados</f>
        <v>#NAME?</v>
      </c>
    </row>
    <row r="23933" spans="1:2" x14ac:dyDescent="0.25">
      <c r="A23933">
        <v>55129110000</v>
      </c>
      <c r="B23933" t="s">
        <v>8603</v>
      </c>
    </row>
    <row r="23934" spans="1:2" x14ac:dyDescent="0.25">
      <c r="A23934">
        <v>55129190</v>
      </c>
      <c r="B23934" t="s">
        <v>10</v>
      </c>
    </row>
    <row r="23935" spans="1:2" x14ac:dyDescent="0.25">
      <c r="A23935">
        <v>551291901</v>
      </c>
      <c r="B23935" t="s">
        <v>8535</v>
      </c>
    </row>
    <row r="23936" spans="1:2" x14ac:dyDescent="0.25">
      <c r="A23936">
        <v>55129190110</v>
      </c>
      <c r="B23936" t="s">
        <v>8641</v>
      </c>
    </row>
    <row r="23937" spans="1:2" x14ac:dyDescent="0.25">
      <c r="A23937">
        <v>55129190120</v>
      </c>
      <c r="B23937" t="s">
        <v>8726</v>
      </c>
    </row>
    <row r="23938" spans="1:2" x14ac:dyDescent="0.25">
      <c r="A23938">
        <v>55129190130</v>
      </c>
      <c r="B23938" t="s">
        <v>8727</v>
      </c>
    </row>
    <row r="23939" spans="1:2" x14ac:dyDescent="0.25">
      <c r="A23939">
        <v>55129190140</v>
      </c>
      <c r="B23939" t="s">
        <v>8728</v>
      </c>
    </row>
    <row r="23940" spans="1:2" x14ac:dyDescent="0.25">
      <c r="A23940">
        <v>55129190150</v>
      </c>
      <c r="B23940" t="s">
        <v>8729</v>
      </c>
    </row>
    <row r="23941" spans="1:2" x14ac:dyDescent="0.25">
      <c r="A23941">
        <v>55129190160</v>
      </c>
      <c r="B23941" t="s">
        <v>8730</v>
      </c>
    </row>
    <row r="23942" spans="1:2" x14ac:dyDescent="0.25">
      <c r="A23942">
        <v>55129190170</v>
      </c>
      <c r="B23942" t="s">
        <v>8731</v>
      </c>
    </row>
    <row r="23943" spans="1:2" x14ac:dyDescent="0.25">
      <c r="A23943">
        <v>55129190180</v>
      </c>
      <c r="B23943" t="s">
        <v>8732</v>
      </c>
    </row>
    <row r="23944" spans="1:2" x14ac:dyDescent="0.25">
      <c r="A23944">
        <v>55129190190</v>
      </c>
      <c r="B23944" t="s">
        <v>57</v>
      </c>
    </row>
    <row r="23945" spans="1:2" x14ac:dyDescent="0.25">
      <c r="A23945">
        <v>551291902</v>
      </c>
      <c r="B23945" t="s">
        <v>8506</v>
      </c>
    </row>
    <row r="23946" spans="1:2" x14ac:dyDescent="0.25">
      <c r="A23946">
        <v>55129190210</v>
      </c>
      <c r="B23946" t="s">
        <v>8641</v>
      </c>
    </row>
    <row r="23947" spans="1:2" x14ac:dyDescent="0.25">
      <c r="A23947">
        <v>55129190220</v>
      </c>
      <c r="B23947" t="s">
        <v>8726</v>
      </c>
    </row>
    <row r="23948" spans="1:2" x14ac:dyDescent="0.25">
      <c r="A23948">
        <v>55129190230</v>
      </c>
      <c r="B23948" t="s">
        <v>8727</v>
      </c>
    </row>
    <row r="23949" spans="1:2" x14ac:dyDescent="0.25">
      <c r="A23949">
        <v>55129190240</v>
      </c>
      <c r="B23949" t="s">
        <v>8728</v>
      </c>
    </row>
    <row r="23950" spans="1:2" x14ac:dyDescent="0.25">
      <c r="A23950">
        <v>55129190250</v>
      </c>
      <c r="B23950" t="s">
        <v>8729</v>
      </c>
    </row>
    <row r="23951" spans="1:2" x14ac:dyDescent="0.25">
      <c r="A23951">
        <v>55129190260</v>
      </c>
      <c r="B23951" t="s">
        <v>8730</v>
      </c>
    </row>
    <row r="23952" spans="1:2" x14ac:dyDescent="0.25">
      <c r="A23952">
        <v>55129190270</v>
      </c>
      <c r="B23952" t="s">
        <v>8731</v>
      </c>
    </row>
    <row r="23953" spans="1:2" x14ac:dyDescent="0.25">
      <c r="A23953">
        <v>55129190280</v>
      </c>
      <c r="B23953" t="s">
        <v>8732</v>
      </c>
    </row>
    <row r="23954" spans="1:2" x14ac:dyDescent="0.25">
      <c r="A23954">
        <v>55129190290</v>
      </c>
      <c r="B23954" t="s">
        <v>57</v>
      </c>
    </row>
    <row r="23955" spans="1:2" x14ac:dyDescent="0.25">
      <c r="A23955">
        <v>551291903</v>
      </c>
      <c r="B23955" t="s">
        <v>8498</v>
      </c>
    </row>
    <row r="23956" spans="1:2" x14ac:dyDescent="0.25">
      <c r="A23956">
        <v>55129190310</v>
      </c>
      <c r="B23956" t="s">
        <v>8641</v>
      </c>
    </row>
    <row r="23957" spans="1:2" x14ac:dyDescent="0.25">
      <c r="A23957">
        <v>55129190320</v>
      </c>
      <c r="B23957" t="s">
        <v>8726</v>
      </c>
    </row>
    <row r="23958" spans="1:2" x14ac:dyDescent="0.25">
      <c r="A23958">
        <v>55129190330</v>
      </c>
      <c r="B23958" t="s">
        <v>8727</v>
      </c>
    </row>
    <row r="23959" spans="1:2" x14ac:dyDescent="0.25">
      <c r="A23959">
        <v>55129190340</v>
      </c>
      <c r="B23959" t="s">
        <v>8728</v>
      </c>
    </row>
    <row r="23960" spans="1:2" x14ac:dyDescent="0.25">
      <c r="A23960">
        <v>55129190350</v>
      </c>
      <c r="B23960" t="s">
        <v>8729</v>
      </c>
    </row>
    <row r="23961" spans="1:2" x14ac:dyDescent="0.25">
      <c r="A23961">
        <v>55129190360</v>
      </c>
      <c r="B23961" t="s">
        <v>8730</v>
      </c>
    </row>
    <row r="23962" spans="1:2" x14ac:dyDescent="0.25">
      <c r="A23962">
        <v>55129190370</v>
      </c>
      <c r="B23962" t="s">
        <v>8731</v>
      </c>
    </row>
    <row r="23963" spans="1:2" x14ac:dyDescent="0.25">
      <c r="A23963">
        <v>55129190380</v>
      </c>
      <c r="B23963" t="s">
        <v>8732</v>
      </c>
    </row>
    <row r="23964" spans="1:2" x14ac:dyDescent="0.25">
      <c r="A23964">
        <v>55129190390</v>
      </c>
      <c r="B23964" t="s">
        <v>57</v>
      </c>
    </row>
    <row r="23965" spans="1:2" x14ac:dyDescent="0.25">
      <c r="A23965">
        <v>551291909</v>
      </c>
      <c r="B23965" t="s">
        <v>8500</v>
      </c>
    </row>
    <row r="23966" spans="1:2" x14ac:dyDescent="0.25">
      <c r="A23966">
        <v>55129190910</v>
      </c>
      <c r="B23966" t="s">
        <v>8641</v>
      </c>
    </row>
    <row r="23967" spans="1:2" x14ac:dyDescent="0.25">
      <c r="A23967">
        <v>55129190920</v>
      </c>
      <c r="B23967" t="s">
        <v>8726</v>
      </c>
    </row>
    <row r="23968" spans="1:2" x14ac:dyDescent="0.25">
      <c r="A23968">
        <v>55129190930</v>
      </c>
      <c r="B23968" t="s">
        <v>8727</v>
      </c>
    </row>
    <row r="23969" spans="1:2" x14ac:dyDescent="0.25">
      <c r="A23969">
        <v>55129190940</v>
      </c>
      <c r="B23969" t="s">
        <v>8728</v>
      </c>
    </row>
    <row r="23970" spans="1:2" x14ac:dyDescent="0.25">
      <c r="A23970">
        <v>55129190950</v>
      </c>
      <c r="B23970" t="s">
        <v>8729</v>
      </c>
    </row>
    <row r="23971" spans="1:2" x14ac:dyDescent="0.25">
      <c r="A23971">
        <v>55129190960</v>
      </c>
      <c r="B23971" t="s">
        <v>8730</v>
      </c>
    </row>
    <row r="23972" spans="1:2" x14ac:dyDescent="0.25">
      <c r="A23972">
        <v>55129190970</v>
      </c>
      <c r="B23972" t="s">
        <v>8731</v>
      </c>
    </row>
    <row r="23973" spans="1:2" x14ac:dyDescent="0.25">
      <c r="A23973">
        <v>55129190980</v>
      </c>
      <c r="B23973" t="s">
        <v>8732</v>
      </c>
    </row>
    <row r="23974" spans="1:2" x14ac:dyDescent="0.25">
      <c r="A23974">
        <v>55129190990</v>
      </c>
      <c r="B23974" t="s">
        <v>57</v>
      </c>
    </row>
    <row r="23975" spans="1:2" x14ac:dyDescent="0.25">
      <c r="A23975">
        <v>551299</v>
      </c>
      <c r="B23975" t="e">
        <f>- - Los demas</f>
        <v>#NAME?</v>
      </c>
    </row>
    <row r="23976" spans="1:2" x14ac:dyDescent="0.25">
      <c r="A23976">
        <v>55129910000</v>
      </c>
      <c r="B23976" t="s">
        <v>8603</v>
      </c>
    </row>
    <row r="23977" spans="1:2" x14ac:dyDescent="0.25">
      <c r="A23977">
        <v>55129990</v>
      </c>
      <c r="B23977" t="s">
        <v>10</v>
      </c>
    </row>
    <row r="23978" spans="1:2" x14ac:dyDescent="0.25">
      <c r="A23978">
        <v>551299901</v>
      </c>
      <c r="B23978" t="s">
        <v>626</v>
      </c>
    </row>
    <row r="23979" spans="1:2" x14ac:dyDescent="0.25">
      <c r="A23979">
        <v>5512999011</v>
      </c>
      <c r="B23979" t="s">
        <v>8535</v>
      </c>
    </row>
    <row r="23980" spans="1:2" x14ac:dyDescent="0.25">
      <c r="A23980">
        <v>55129990111</v>
      </c>
      <c r="B23980" t="s">
        <v>8641</v>
      </c>
    </row>
    <row r="23981" spans="1:2" x14ac:dyDescent="0.25">
      <c r="A23981">
        <v>55129990112</v>
      </c>
      <c r="B23981" t="s">
        <v>8726</v>
      </c>
    </row>
    <row r="23982" spans="1:2" x14ac:dyDescent="0.25">
      <c r="A23982">
        <v>55129990113</v>
      </c>
      <c r="B23982" t="s">
        <v>8727</v>
      </c>
    </row>
    <row r="23983" spans="1:2" x14ac:dyDescent="0.25">
      <c r="A23983">
        <v>55129990114</v>
      </c>
      <c r="B23983" t="s">
        <v>8728</v>
      </c>
    </row>
    <row r="23984" spans="1:2" x14ac:dyDescent="0.25">
      <c r="A23984">
        <v>55129990115</v>
      </c>
      <c r="B23984" t="s">
        <v>8729</v>
      </c>
    </row>
    <row r="23985" spans="1:2" x14ac:dyDescent="0.25">
      <c r="A23985">
        <v>55129990116</v>
      </c>
      <c r="B23985" t="s">
        <v>8730</v>
      </c>
    </row>
    <row r="23986" spans="1:2" x14ac:dyDescent="0.25">
      <c r="A23986">
        <v>55129990117</v>
      </c>
      <c r="B23986" t="s">
        <v>8731</v>
      </c>
    </row>
    <row r="23987" spans="1:2" x14ac:dyDescent="0.25">
      <c r="A23987">
        <v>55129990118</v>
      </c>
      <c r="B23987" t="s">
        <v>8732</v>
      </c>
    </row>
    <row r="23988" spans="1:2" x14ac:dyDescent="0.25">
      <c r="A23988">
        <v>55129990119</v>
      </c>
      <c r="B23988" t="s">
        <v>57</v>
      </c>
    </row>
    <row r="23989" spans="1:2" x14ac:dyDescent="0.25">
      <c r="A23989">
        <v>5512999012</v>
      </c>
      <c r="B23989" t="s">
        <v>8506</v>
      </c>
    </row>
    <row r="23990" spans="1:2" x14ac:dyDescent="0.25">
      <c r="A23990">
        <v>55129990121</v>
      </c>
      <c r="B23990" t="s">
        <v>8641</v>
      </c>
    </row>
    <row r="23991" spans="1:2" x14ac:dyDescent="0.25">
      <c r="A23991">
        <v>55129990122</v>
      </c>
      <c r="B23991" t="s">
        <v>8726</v>
      </c>
    </row>
    <row r="23992" spans="1:2" x14ac:dyDescent="0.25">
      <c r="A23992">
        <v>55129990123</v>
      </c>
      <c r="B23992" t="s">
        <v>8727</v>
      </c>
    </row>
    <row r="23993" spans="1:2" x14ac:dyDescent="0.25">
      <c r="A23993">
        <v>55129990124</v>
      </c>
      <c r="B23993" t="s">
        <v>8728</v>
      </c>
    </row>
    <row r="23994" spans="1:2" x14ac:dyDescent="0.25">
      <c r="A23994">
        <v>55129990125</v>
      </c>
      <c r="B23994" t="s">
        <v>8729</v>
      </c>
    </row>
    <row r="23995" spans="1:2" x14ac:dyDescent="0.25">
      <c r="A23995">
        <v>55129990126</v>
      </c>
      <c r="B23995" t="s">
        <v>8730</v>
      </c>
    </row>
    <row r="23996" spans="1:2" x14ac:dyDescent="0.25">
      <c r="A23996">
        <v>55129990127</v>
      </c>
      <c r="B23996" t="s">
        <v>8731</v>
      </c>
    </row>
    <row r="23997" spans="1:2" x14ac:dyDescent="0.25">
      <c r="A23997">
        <v>55129990128</v>
      </c>
      <c r="B23997" t="s">
        <v>8732</v>
      </c>
    </row>
    <row r="23998" spans="1:2" x14ac:dyDescent="0.25">
      <c r="A23998">
        <v>55129990129</v>
      </c>
      <c r="B23998" t="s">
        <v>57</v>
      </c>
    </row>
    <row r="23999" spans="1:2" x14ac:dyDescent="0.25">
      <c r="A23999">
        <v>5512999013</v>
      </c>
      <c r="B23999" t="s">
        <v>8498</v>
      </c>
    </row>
    <row r="24000" spans="1:2" x14ac:dyDescent="0.25">
      <c r="A24000">
        <v>55129990131</v>
      </c>
      <c r="B24000" t="s">
        <v>8641</v>
      </c>
    </row>
    <row r="24001" spans="1:2" x14ac:dyDescent="0.25">
      <c r="A24001">
        <v>55129990132</v>
      </c>
      <c r="B24001" t="s">
        <v>8726</v>
      </c>
    </row>
    <row r="24002" spans="1:2" x14ac:dyDescent="0.25">
      <c r="A24002">
        <v>55129990133</v>
      </c>
      <c r="B24002" t="s">
        <v>8727</v>
      </c>
    </row>
    <row r="24003" spans="1:2" x14ac:dyDescent="0.25">
      <c r="A24003">
        <v>55129990134</v>
      </c>
      <c r="B24003" t="s">
        <v>8728</v>
      </c>
    </row>
    <row r="24004" spans="1:2" x14ac:dyDescent="0.25">
      <c r="A24004">
        <v>55129990135</v>
      </c>
      <c r="B24004" t="s">
        <v>8729</v>
      </c>
    </row>
    <row r="24005" spans="1:2" x14ac:dyDescent="0.25">
      <c r="A24005">
        <v>55129990136</v>
      </c>
      <c r="B24005" t="s">
        <v>8730</v>
      </c>
    </row>
    <row r="24006" spans="1:2" x14ac:dyDescent="0.25">
      <c r="A24006">
        <v>55129990137</v>
      </c>
      <c r="B24006" t="s">
        <v>8731</v>
      </c>
    </row>
    <row r="24007" spans="1:2" x14ac:dyDescent="0.25">
      <c r="A24007">
        <v>55129990138</v>
      </c>
      <c r="B24007" t="s">
        <v>8732</v>
      </c>
    </row>
    <row r="24008" spans="1:2" x14ac:dyDescent="0.25">
      <c r="A24008">
        <v>55129990139</v>
      </c>
      <c r="B24008" t="s">
        <v>57</v>
      </c>
    </row>
    <row r="24009" spans="1:2" x14ac:dyDescent="0.25">
      <c r="A24009">
        <v>5512999019</v>
      </c>
      <c r="B24009" t="s">
        <v>8500</v>
      </c>
    </row>
    <row r="24010" spans="1:2" x14ac:dyDescent="0.25">
      <c r="A24010">
        <v>55129990191</v>
      </c>
      <c r="B24010" t="s">
        <v>8641</v>
      </c>
    </row>
    <row r="24011" spans="1:2" x14ac:dyDescent="0.25">
      <c r="A24011">
        <v>55129990192</v>
      </c>
      <c r="B24011" t="s">
        <v>8726</v>
      </c>
    </row>
    <row r="24012" spans="1:2" x14ac:dyDescent="0.25">
      <c r="A24012">
        <v>55129990193</v>
      </c>
      <c r="B24012" t="s">
        <v>8727</v>
      </c>
    </row>
    <row r="24013" spans="1:2" x14ac:dyDescent="0.25">
      <c r="A24013">
        <v>55129990194</v>
      </c>
      <c r="B24013" t="s">
        <v>8728</v>
      </c>
    </row>
    <row r="24014" spans="1:2" x14ac:dyDescent="0.25">
      <c r="A24014">
        <v>55129990195</v>
      </c>
      <c r="B24014" t="s">
        <v>8729</v>
      </c>
    </row>
    <row r="24015" spans="1:2" x14ac:dyDescent="0.25">
      <c r="A24015">
        <v>55129990196</v>
      </c>
      <c r="B24015" t="s">
        <v>8730</v>
      </c>
    </row>
    <row r="24016" spans="1:2" x14ac:dyDescent="0.25">
      <c r="A24016">
        <v>55129990197</v>
      </c>
      <c r="B24016" t="s">
        <v>8731</v>
      </c>
    </row>
    <row r="24017" spans="1:2" x14ac:dyDescent="0.25">
      <c r="A24017">
        <v>55129990198</v>
      </c>
      <c r="B24017" t="s">
        <v>8732</v>
      </c>
    </row>
    <row r="24018" spans="1:2" x14ac:dyDescent="0.25">
      <c r="A24018">
        <v>55129990199</v>
      </c>
      <c r="B24018" t="s">
        <v>57</v>
      </c>
    </row>
    <row r="24019" spans="1:2" x14ac:dyDescent="0.25">
      <c r="A24019">
        <v>551299902</v>
      </c>
      <c r="B24019" t="s">
        <v>8560</v>
      </c>
    </row>
    <row r="24020" spans="1:2" x14ac:dyDescent="0.25">
      <c r="A24020">
        <v>5512999021</v>
      </c>
      <c r="B24020" t="s">
        <v>8535</v>
      </c>
    </row>
    <row r="24021" spans="1:2" x14ac:dyDescent="0.25">
      <c r="A24021">
        <v>55129990211</v>
      </c>
      <c r="B24021" t="s">
        <v>8641</v>
      </c>
    </row>
    <row r="24022" spans="1:2" x14ac:dyDescent="0.25">
      <c r="A24022">
        <v>55129990212</v>
      </c>
      <c r="B24022" t="s">
        <v>8726</v>
      </c>
    </row>
    <row r="24023" spans="1:2" x14ac:dyDescent="0.25">
      <c r="A24023">
        <v>55129990213</v>
      </c>
      <c r="B24023" t="s">
        <v>8727</v>
      </c>
    </row>
    <row r="24024" spans="1:2" x14ac:dyDescent="0.25">
      <c r="A24024">
        <v>55129990214</v>
      </c>
      <c r="B24024" t="s">
        <v>8728</v>
      </c>
    </row>
    <row r="24025" spans="1:2" x14ac:dyDescent="0.25">
      <c r="A24025">
        <v>55129990215</v>
      </c>
      <c r="B24025" t="s">
        <v>8729</v>
      </c>
    </row>
    <row r="24026" spans="1:2" x14ac:dyDescent="0.25">
      <c r="A24026">
        <v>55129990216</v>
      </c>
      <c r="B24026" t="s">
        <v>8730</v>
      </c>
    </row>
    <row r="24027" spans="1:2" x14ac:dyDescent="0.25">
      <c r="A24027">
        <v>55129990217</v>
      </c>
      <c r="B24027" t="s">
        <v>8731</v>
      </c>
    </row>
    <row r="24028" spans="1:2" x14ac:dyDescent="0.25">
      <c r="A24028">
        <v>55129990218</v>
      </c>
      <c r="B24028" t="s">
        <v>8732</v>
      </c>
    </row>
    <row r="24029" spans="1:2" x14ac:dyDescent="0.25">
      <c r="A24029">
        <v>55129990219</v>
      </c>
      <c r="B24029" t="s">
        <v>57</v>
      </c>
    </row>
    <row r="24030" spans="1:2" x14ac:dyDescent="0.25">
      <c r="A24030">
        <v>5512999022</v>
      </c>
      <c r="B24030" t="s">
        <v>8506</v>
      </c>
    </row>
    <row r="24031" spans="1:2" x14ac:dyDescent="0.25">
      <c r="A24031">
        <v>55129990221</v>
      </c>
      <c r="B24031" t="s">
        <v>8641</v>
      </c>
    </row>
    <row r="24032" spans="1:2" x14ac:dyDescent="0.25">
      <c r="A24032">
        <v>55129990222</v>
      </c>
      <c r="B24032" t="s">
        <v>8726</v>
      </c>
    </row>
    <row r="24033" spans="1:2" x14ac:dyDescent="0.25">
      <c r="A24033">
        <v>55129990223</v>
      </c>
      <c r="B24033" t="s">
        <v>8727</v>
      </c>
    </row>
    <row r="24034" spans="1:2" x14ac:dyDescent="0.25">
      <c r="A24034">
        <v>55129990224</v>
      </c>
      <c r="B24034" t="s">
        <v>8728</v>
      </c>
    </row>
    <row r="24035" spans="1:2" x14ac:dyDescent="0.25">
      <c r="A24035">
        <v>55129990225</v>
      </c>
      <c r="B24035" t="s">
        <v>8729</v>
      </c>
    </row>
    <row r="24036" spans="1:2" x14ac:dyDescent="0.25">
      <c r="A24036">
        <v>55129990226</v>
      </c>
      <c r="B24036" t="s">
        <v>8730</v>
      </c>
    </row>
    <row r="24037" spans="1:2" x14ac:dyDescent="0.25">
      <c r="A24037">
        <v>55129990227</v>
      </c>
      <c r="B24037" t="s">
        <v>8731</v>
      </c>
    </row>
    <row r="24038" spans="1:2" x14ac:dyDescent="0.25">
      <c r="A24038">
        <v>55129990228</v>
      </c>
      <c r="B24038" t="s">
        <v>8732</v>
      </c>
    </row>
    <row r="24039" spans="1:2" x14ac:dyDescent="0.25">
      <c r="A24039">
        <v>55129990229</v>
      </c>
      <c r="B24039" t="s">
        <v>57</v>
      </c>
    </row>
    <row r="24040" spans="1:2" x14ac:dyDescent="0.25">
      <c r="A24040">
        <v>5512999023</v>
      </c>
      <c r="B24040" t="s">
        <v>8498</v>
      </c>
    </row>
    <row r="24041" spans="1:2" x14ac:dyDescent="0.25">
      <c r="A24041">
        <v>55129990231</v>
      </c>
      <c r="B24041" t="s">
        <v>8641</v>
      </c>
    </row>
    <row r="24042" spans="1:2" x14ac:dyDescent="0.25">
      <c r="A24042">
        <v>55129990232</v>
      </c>
      <c r="B24042" t="s">
        <v>8726</v>
      </c>
    </row>
    <row r="24043" spans="1:2" x14ac:dyDescent="0.25">
      <c r="A24043">
        <v>55129990233</v>
      </c>
      <c r="B24043" t="s">
        <v>8727</v>
      </c>
    </row>
    <row r="24044" spans="1:2" x14ac:dyDescent="0.25">
      <c r="A24044">
        <v>55129990234</v>
      </c>
      <c r="B24044" t="s">
        <v>8728</v>
      </c>
    </row>
    <row r="24045" spans="1:2" x14ac:dyDescent="0.25">
      <c r="A24045">
        <v>55129990235</v>
      </c>
      <c r="B24045" t="s">
        <v>8729</v>
      </c>
    </row>
    <row r="24046" spans="1:2" x14ac:dyDescent="0.25">
      <c r="A24046">
        <v>55129990236</v>
      </c>
      <c r="B24046" t="s">
        <v>8730</v>
      </c>
    </row>
    <row r="24047" spans="1:2" x14ac:dyDescent="0.25">
      <c r="A24047">
        <v>55129990237</v>
      </c>
      <c r="B24047" t="s">
        <v>8731</v>
      </c>
    </row>
    <row r="24048" spans="1:2" x14ac:dyDescent="0.25">
      <c r="A24048">
        <v>55129990238</v>
      </c>
      <c r="B24048" t="s">
        <v>8732</v>
      </c>
    </row>
    <row r="24049" spans="1:2" x14ac:dyDescent="0.25">
      <c r="A24049">
        <v>55129990239</v>
      </c>
      <c r="B24049" t="s">
        <v>57</v>
      </c>
    </row>
    <row r="24050" spans="1:2" x14ac:dyDescent="0.25">
      <c r="A24050">
        <v>5512999029</v>
      </c>
      <c r="B24050" t="s">
        <v>8500</v>
      </c>
    </row>
    <row r="24051" spans="1:2" x14ac:dyDescent="0.25">
      <c r="A24051">
        <v>55129990291</v>
      </c>
      <c r="B24051" t="s">
        <v>8641</v>
      </c>
    </row>
    <row r="24052" spans="1:2" x14ac:dyDescent="0.25">
      <c r="A24052">
        <v>55129990292</v>
      </c>
      <c r="B24052" t="s">
        <v>8726</v>
      </c>
    </row>
    <row r="24053" spans="1:2" x14ac:dyDescent="0.25">
      <c r="A24053">
        <v>55129990293</v>
      </c>
      <c r="B24053" t="s">
        <v>8727</v>
      </c>
    </row>
    <row r="24054" spans="1:2" x14ac:dyDescent="0.25">
      <c r="A24054">
        <v>55129990294</v>
      </c>
      <c r="B24054" t="s">
        <v>8728</v>
      </c>
    </row>
    <row r="24055" spans="1:2" x14ac:dyDescent="0.25">
      <c r="A24055">
        <v>55129990295</v>
      </c>
      <c r="B24055" t="s">
        <v>8729</v>
      </c>
    </row>
    <row r="24056" spans="1:2" x14ac:dyDescent="0.25">
      <c r="A24056">
        <v>55129990296</v>
      </c>
      <c r="B24056" t="s">
        <v>8730</v>
      </c>
    </row>
    <row r="24057" spans="1:2" x14ac:dyDescent="0.25">
      <c r="A24057">
        <v>55129990297</v>
      </c>
      <c r="B24057" t="s">
        <v>8731</v>
      </c>
    </row>
    <row r="24058" spans="1:2" x14ac:dyDescent="0.25">
      <c r="A24058">
        <v>55129990298</v>
      </c>
      <c r="B24058" t="s">
        <v>8732</v>
      </c>
    </row>
    <row r="24059" spans="1:2" x14ac:dyDescent="0.25">
      <c r="A24059">
        <v>55129990299</v>
      </c>
      <c r="B24059" t="s">
        <v>57</v>
      </c>
    </row>
    <row r="24060" spans="1:2" x14ac:dyDescent="0.25">
      <c r="A24060">
        <v>551299903</v>
      </c>
      <c r="B24060" t="s">
        <v>8561</v>
      </c>
    </row>
    <row r="24061" spans="1:2" x14ac:dyDescent="0.25">
      <c r="A24061">
        <v>5512999031</v>
      </c>
      <c r="B24061" t="s">
        <v>8535</v>
      </c>
    </row>
    <row r="24062" spans="1:2" x14ac:dyDescent="0.25">
      <c r="A24062">
        <v>55129990311</v>
      </c>
      <c r="B24062" t="s">
        <v>8641</v>
      </c>
    </row>
    <row r="24063" spans="1:2" x14ac:dyDescent="0.25">
      <c r="A24063">
        <v>55129990312</v>
      </c>
      <c r="B24063" t="s">
        <v>8726</v>
      </c>
    </row>
    <row r="24064" spans="1:2" x14ac:dyDescent="0.25">
      <c r="A24064">
        <v>55129990313</v>
      </c>
      <c r="B24064" t="s">
        <v>8727</v>
      </c>
    </row>
    <row r="24065" spans="1:2" x14ac:dyDescent="0.25">
      <c r="A24065">
        <v>55129990314</v>
      </c>
      <c r="B24065" t="s">
        <v>8728</v>
      </c>
    </row>
    <row r="24066" spans="1:2" x14ac:dyDescent="0.25">
      <c r="A24066">
        <v>55129990315</v>
      </c>
      <c r="B24066" t="s">
        <v>8729</v>
      </c>
    </row>
    <row r="24067" spans="1:2" x14ac:dyDescent="0.25">
      <c r="A24067">
        <v>55129990316</v>
      </c>
      <c r="B24067" t="s">
        <v>8730</v>
      </c>
    </row>
    <row r="24068" spans="1:2" x14ac:dyDescent="0.25">
      <c r="A24068">
        <v>55129990317</v>
      </c>
      <c r="B24068" t="s">
        <v>8731</v>
      </c>
    </row>
    <row r="24069" spans="1:2" x14ac:dyDescent="0.25">
      <c r="A24069">
        <v>55129990318</v>
      </c>
      <c r="B24069" t="s">
        <v>8732</v>
      </c>
    </row>
    <row r="24070" spans="1:2" x14ac:dyDescent="0.25">
      <c r="A24070">
        <v>55129990319</v>
      </c>
      <c r="B24070" t="s">
        <v>57</v>
      </c>
    </row>
    <row r="24071" spans="1:2" x14ac:dyDescent="0.25">
      <c r="A24071">
        <v>5512999032</v>
      </c>
      <c r="B24071" t="s">
        <v>8506</v>
      </c>
    </row>
    <row r="24072" spans="1:2" x14ac:dyDescent="0.25">
      <c r="A24072">
        <v>55129990321</v>
      </c>
      <c r="B24072" t="s">
        <v>8641</v>
      </c>
    </row>
    <row r="24073" spans="1:2" x14ac:dyDescent="0.25">
      <c r="A24073">
        <v>55129990322</v>
      </c>
      <c r="B24073" t="s">
        <v>8726</v>
      </c>
    </row>
    <row r="24074" spans="1:2" x14ac:dyDescent="0.25">
      <c r="A24074">
        <v>55129990323</v>
      </c>
      <c r="B24074" t="s">
        <v>8727</v>
      </c>
    </row>
    <row r="24075" spans="1:2" x14ac:dyDescent="0.25">
      <c r="A24075">
        <v>55129990324</v>
      </c>
      <c r="B24075" t="s">
        <v>8728</v>
      </c>
    </row>
    <row r="24076" spans="1:2" x14ac:dyDescent="0.25">
      <c r="A24076">
        <v>55129990325</v>
      </c>
      <c r="B24076" t="s">
        <v>8729</v>
      </c>
    </row>
    <row r="24077" spans="1:2" x14ac:dyDescent="0.25">
      <c r="A24077">
        <v>55129990326</v>
      </c>
      <c r="B24077" t="s">
        <v>8730</v>
      </c>
    </row>
    <row r="24078" spans="1:2" x14ac:dyDescent="0.25">
      <c r="A24078">
        <v>55129990327</v>
      </c>
      <c r="B24078" t="s">
        <v>8731</v>
      </c>
    </row>
    <row r="24079" spans="1:2" x14ac:dyDescent="0.25">
      <c r="A24079">
        <v>55129990328</v>
      </c>
      <c r="B24079" t="s">
        <v>8732</v>
      </c>
    </row>
    <row r="24080" spans="1:2" x14ac:dyDescent="0.25">
      <c r="A24080">
        <v>55129990329</v>
      </c>
      <c r="B24080" t="s">
        <v>57</v>
      </c>
    </row>
    <row r="24081" spans="1:2" x14ac:dyDescent="0.25">
      <c r="A24081">
        <v>5512999033</v>
      </c>
      <c r="B24081" t="s">
        <v>8498</v>
      </c>
    </row>
    <row r="24082" spans="1:2" x14ac:dyDescent="0.25">
      <c r="A24082">
        <v>55129990331</v>
      </c>
      <c r="B24082" t="s">
        <v>8641</v>
      </c>
    </row>
    <row r="24083" spans="1:2" x14ac:dyDescent="0.25">
      <c r="A24083">
        <v>55129990332</v>
      </c>
      <c r="B24083" t="s">
        <v>8726</v>
      </c>
    </row>
    <row r="24084" spans="1:2" x14ac:dyDescent="0.25">
      <c r="A24084">
        <v>55129990333</v>
      </c>
      <c r="B24084" t="s">
        <v>8727</v>
      </c>
    </row>
    <row r="24085" spans="1:2" x14ac:dyDescent="0.25">
      <c r="A24085">
        <v>55129990334</v>
      </c>
      <c r="B24085" t="s">
        <v>8728</v>
      </c>
    </row>
    <row r="24086" spans="1:2" x14ac:dyDescent="0.25">
      <c r="A24086">
        <v>55129990335</v>
      </c>
      <c r="B24086" t="s">
        <v>8729</v>
      </c>
    </row>
    <row r="24087" spans="1:2" x14ac:dyDescent="0.25">
      <c r="A24087">
        <v>55129990336</v>
      </c>
      <c r="B24087" t="s">
        <v>8730</v>
      </c>
    </row>
    <row r="24088" spans="1:2" x14ac:dyDescent="0.25">
      <c r="A24088">
        <v>55129990337</v>
      </c>
      <c r="B24088" t="s">
        <v>8731</v>
      </c>
    </row>
    <row r="24089" spans="1:2" x14ac:dyDescent="0.25">
      <c r="A24089">
        <v>55129990338</v>
      </c>
      <c r="B24089" t="s">
        <v>8732</v>
      </c>
    </row>
    <row r="24090" spans="1:2" x14ac:dyDescent="0.25">
      <c r="A24090">
        <v>55129990339</v>
      </c>
      <c r="B24090" t="s">
        <v>57</v>
      </c>
    </row>
    <row r="24091" spans="1:2" x14ac:dyDescent="0.25">
      <c r="A24091">
        <v>5512999039</v>
      </c>
      <c r="B24091" t="s">
        <v>8500</v>
      </c>
    </row>
    <row r="24092" spans="1:2" x14ac:dyDescent="0.25">
      <c r="A24092">
        <v>55129990391</v>
      </c>
      <c r="B24092" t="s">
        <v>8641</v>
      </c>
    </row>
    <row r="24093" spans="1:2" x14ac:dyDescent="0.25">
      <c r="A24093">
        <v>55129990392</v>
      </c>
      <c r="B24093" t="s">
        <v>8726</v>
      </c>
    </row>
    <row r="24094" spans="1:2" x14ac:dyDescent="0.25">
      <c r="A24094">
        <v>55129990393</v>
      </c>
      <c r="B24094" t="s">
        <v>8727</v>
      </c>
    </row>
    <row r="24095" spans="1:2" x14ac:dyDescent="0.25">
      <c r="A24095">
        <v>55129990394</v>
      </c>
      <c r="B24095" t="s">
        <v>8728</v>
      </c>
    </row>
    <row r="24096" spans="1:2" x14ac:dyDescent="0.25">
      <c r="A24096">
        <v>55129990395</v>
      </c>
      <c r="B24096" t="s">
        <v>8729</v>
      </c>
    </row>
    <row r="24097" spans="1:2" x14ac:dyDescent="0.25">
      <c r="A24097">
        <v>55129990396</v>
      </c>
      <c r="B24097" t="s">
        <v>8730</v>
      </c>
    </row>
    <row r="24098" spans="1:2" x14ac:dyDescent="0.25">
      <c r="A24098">
        <v>55129990397</v>
      </c>
      <c r="B24098" t="s">
        <v>8731</v>
      </c>
    </row>
    <row r="24099" spans="1:2" x14ac:dyDescent="0.25">
      <c r="A24099">
        <v>55129990398</v>
      </c>
      <c r="B24099" t="s">
        <v>8732</v>
      </c>
    </row>
    <row r="24100" spans="1:2" x14ac:dyDescent="0.25">
      <c r="A24100">
        <v>55129990399</v>
      </c>
      <c r="B24100" t="s">
        <v>57</v>
      </c>
    </row>
    <row r="24101" spans="1:2" x14ac:dyDescent="0.25">
      <c r="A24101">
        <v>5513</v>
      </c>
      <c r="B24101" t="s">
        <v>8734</v>
      </c>
    </row>
    <row r="24102" spans="1:2" x14ac:dyDescent="0.25">
      <c r="A24102">
        <v>55131</v>
      </c>
      <c r="B24102" t="s">
        <v>8735</v>
      </c>
    </row>
    <row r="24103" spans="1:2" x14ac:dyDescent="0.25">
      <c r="A24103">
        <v>55131100</v>
      </c>
      <c r="B24103" t="e">
        <f>- - de fibras discontinuas de poliester. de ligamento tafetan</f>
        <v>#NAME?</v>
      </c>
    </row>
    <row r="24104" spans="1:2" x14ac:dyDescent="0.25">
      <c r="A24104">
        <v>55131100100</v>
      </c>
      <c r="B24104" t="s">
        <v>8641</v>
      </c>
    </row>
    <row r="24105" spans="1:2" x14ac:dyDescent="0.25">
      <c r="A24105">
        <v>55131100200</v>
      </c>
      <c r="B24105" t="s">
        <v>8726</v>
      </c>
    </row>
    <row r="24106" spans="1:2" x14ac:dyDescent="0.25">
      <c r="A24106">
        <v>55131100300</v>
      </c>
      <c r="B24106" t="s">
        <v>8727</v>
      </c>
    </row>
    <row r="24107" spans="1:2" x14ac:dyDescent="0.25">
      <c r="A24107">
        <v>55131100400</v>
      </c>
      <c r="B24107" t="s">
        <v>8728</v>
      </c>
    </row>
    <row r="24108" spans="1:2" x14ac:dyDescent="0.25">
      <c r="A24108">
        <v>55131100500</v>
      </c>
      <c r="B24108" t="s">
        <v>8729</v>
      </c>
    </row>
    <row r="24109" spans="1:2" x14ac:dyDescent="0.25">
      <c r="A24109">
        <v>55131100600</v>
      </c>
      <c r="B24109" t="s">
        <v>8730</v>
      </c>
    </row>
    <row r="24110" spans="1:2" x14ac:dyDescent="0.25">
      <c r="A24110">
        <v>55131100700</v>
      </c>
      <c r="B24110" t="s">
        <v>8731</v>
      </c>
    </row>
    <row r="24111" spans="1:2" x14ac:dyDescent="0.25">
      <c r="A24111">
        <v>55131100800</v>
      </c>
      <c r="B24111" t="s">
        <v>8732</v>
      </c>
    </row>
    <row r="24112" spans="1:2" x14ac:dyDescent="0.25">
      <c r="A24112">
        <v>55131100900</v>
      </c>
      <c r="B24112" t="s">
        <v>57</v>
      </c>
    </row>
    <row r="24113" spans="1:2" x14ac:dyDescent="0.25">
      <c r="A24113">
        <v>55131200</v>
      </c>
      <c r="B24113" t="s">
        <v>8736</v>
      </c>
    </row>
    <row r="24114" spans="1:2" x14ac:dyDescent="0.25">
      <c r="A24114">
        <v>55131200100</v>
      </c>
      <c r="B24114" t="s">
        <v>8641</v>
      </c>
    </row>
    <row r="24115" spans="1:2" x14ac:dyDescent="0.25">
      <c r="A24115">
        <v>55131200200</v>
      </c>
      <c r="B24115" t="s">
        <v>8726</v>
      </c>
    </row>
    <row r="24116" spans="1:2" x14ac:dyDescent="0.25">
      <c r="A24116">
        <v>55131200300</v>
      </c>
      <c r="B24116" t="s">
        <v>8727</v>
      </c>
    </row>
    <row r="24117" spans="1:2" x14ac:dyDescent="0.25">
      <c r="A24117">
        <v>55131200400</v>
      </c>
      <c r="B24117" t="s">
        <v>8728</v>
      </c>
    </row>
    <row r="24118" spans="1:2" x14ac:dyDescent="0.25">
      <c r="A24118">
        <v>55131200500</v>
      </c>
      <c r="B24118" t="s">
        <v>8729</v>
      </c>
    </row>
    <row r="24119" spans="1:2" x14ac:dyDescent="0.25">
      <c r="A24119">
        <v>55131200600</v>
      </c>
      <c r="B24119" t="s">
        <v>8730</v>
      </c>
    </row>
    <row r="24120" spans="1:2" x14ac:dyDescent="0.25">
      <c r="A24120">
        <v>55131200700</v>
      </c>
      <c r="B24120" t="s">
        <v>8731</v>
      </c>
    </row>
    <row r="24121" spans="1:2" x14ac:dyDescent="0.25">
      <c r="A24121">
        <v>55131200800</v>
      </c>
      <c r="B24121" t="s">
        <v>8732</v>
      </c>
    </row>
    <row r="24122" spans="1:2" x14ac:dyDescent="0.25">
      <c r="A24122">
        <v>55131200900</v>
      </c>
      <c r="B24122" t="s">
        <v>57</v>
      </c>
    </row>
    <row r="24123" spans="1:2" x14ac:dyDescent="0.25">
      <c r="A24123">
        <v>55131300</v>
      </c>
      <c r="B24123" t="e">
        <f>- - Los demas tejidos de fibras discontinuas de poliester</f>
        <v>#NAME?</v>
      </c>
    </row>
    <row r="24124" spans="1:2" x14ac:dyDescent="0.25">
      <c r="A24124">
        <v>551313001</v>
      </c>
      <c r="B24124" t="s">
        <v>8498</v>
      </c>
    </row>
    <row r="24125" spans="1:2" x14ac:dyDescent="0.25">
      <c r="A24125">
        <v>55131300110</v>
      </c>
      <c r="B24125" t="s">
        <v>8641</v>
      </c>
    </row>
    <row r="24126" spans="1:2" x14ac:dyDescent="0.25">
      <c r="A24126">
        <v>55131300120</v>
      </c>
      <c r="B24126" t="s">
        <v>8726</v>
      </c>
    </row>
    <row r="24127" spans="1:2" x14ac:dyDescent="0.25">
      <c r="A24127">
        <v>55131300130</v>
      </c>
      <c r="B24127" t="s">
        <v>8727</v>
      </c>
    </row>
    <row r="24128" spans="1:2" x14ac:dyDescent="0.25">
      <c r="A24128">
        <v>55131300140</v>
      </c>
      <c r="B24128" t="s">
        <v>8728</v>
      </c>
    </row>
    <row r="24129" spans="1:2" x14ac:dyDescent="0.25">
      <c r="A24129">
        <v>55131300150</v>
      </c>
      <c r="B24129" t="s">
        <v>8729</v>
      </c>
    </row>
    <row r="24130" spans="1:2" x14ac:dyDescent="0.25">
      <c r="A24130">
        <v>55131300160</v>
      </c>
      <c r="B24130" t="s">
        <v>8730</v>
      </c>
    </row>
    <row r="24131" spans="1:2" x14ac:dyDescent="0.25">
      <c r="A24131">
        <v>55131300170</v>
      </c>
      <c r="B24131" t="s">
        <v>8731</v>
      </c>
    </row>
    <row r="24132" spans="1:2" x14ac:dyDescent="0.25">
      <c r="A24132">
        <v>55131300180</v>
      </c>
      <c r="B24132" t="s">
        <v>8732</v>
      </c>
    </row>
    <row r="24133" spans="1:2" x14ac:dyDescent="0.25">
      <c r="A24133">
        <v>55131300190</v>
      </c>
      <c r="B24133" t="s">
        <v>57</v>
      </c>
    </row>
    <row r="24134" spans="1:2" x14ac:dyDescent="0.25">
      <c r="A24134">
        <v>551313009</v>
      </c>
      <c r="B24134" t="s">
        <v>8500</v>
      </c>
    </row>
    <row r="24135" spans="1:2" x14ac:dyDescent="0.25">
      <c r="A24135">
        <v>55131300910</v>
      </c>
      <c r="B24135" t="s">
        <v>8641</v>
      </c>
    </row>
    <row r="24136" spans="1:2" x14ac:dyDescent="0.25">
      <c r="A24136">
        <v>55131300920</v>
      </c>
      <c r="B24136" t="s">
        <v>8726</v>
      </c>
    </row>
    <row r="24137" spans="1:2" x14ac:dyDescent="0.25">
      <c r="A24137">
        <v>55131300930</v>
      </c>
      <c r="B24137" t="s">
        <v>8727</v>
      </c>
    </row>
    <row r="24138" spans="1:2" x14ac:dyDescent="0.25">
      <c r="A24138">
        <v>55131300940</v>
      </c>
      <c r="B24138" t="s">
        <v>8728</v>
      </c>
    </row>
    <row r="24139" spans="1:2" x14ac:dyDescent="0.25">
      <c r="A24139">
        <v>55131300950</v>
      </c>
      <c r="B24139" t="s">
        <v>8729</v>
      </c>
    </row>
    <row r="24140" spans="1:2" x14ac:dyDescent="0.25">
      <c r="A24140">
        <v>55131300960</v>
      </c>
      <c r="B24140" t="s">
        <v>8730</v>
      </c>
    </row>
    <row r="24141" spans="1:2" x14ac:dyDescent="0.25">
      <c r="A24141">
        <v>55131300970</v>
      </c>
      <c r="B24141" t="s">
        <v>8731</v>
      </c>
    </row>
    <row r="24142" spans="1:2" x14ac:dyDescent="0.25">
      <c r="A24142">
        <v>55131300980</v>
      </c>
      <c r="B24142" t="s">
        <v>8732</v>
      </c>
    </row>
    <row r="24143" spans="1:2" x14ac:dyDescent="0.25">
      <c r="A24143">
        <v>55131300990</v>
      </c>
      <c r="B24143" t="s">
        <v>57</v>
      </c>
    </row>
    <row r="24144" spans="1:2" x14ac:dyDescent="0.25">
      <c r="A24144">
        <v>55131900</v>
      </c>
      <c r="B24144" t="e">
        <f>- - Los demas tejidos</f>
        <v>#NAME?</v>
      </c>
    </row>
    <row r="24145" spans="1:2" x14ac:dyDescent="0.25">
      <c r="A24145">
        <v>551319001</v>
      </c>
      <c r="B24145" t="s">
        <v>8535</v>
      </c>
    </row>
    <row r="24146" spans="1:2" x14ac:dyDescent="0.25">
      <c r="A24146">
        <v>55131900110</v>
      </c>
      <c r="B24146" t="s">
        <v>8641</v>
      </c>
    </row>
    <row r="24147" spans="1:2" x14ac:dyDescent="0.25">
      <c r="A24147">
        <v>55131900120</v>
      </c>
      <c r="B24147" t="s">
        <v>8726</v>
      </c>
    </row>
    <row r="24148" spans="1:2" x14ac:dyDescent="0.25">
      <c r="A24148">
        <v>55131900130</v>
      </c>
      <c r="B24148" t="s">
        <v>8727</v>
      </c>
    </row>
    <row r="24149" spans="1:2" x14ac:dyDescent="0.25">
      <c r="A24149">
        <v>55131900140</v>
      </c>
      <c r="B24149" t="s">
        <v>8728</v>
      </c>
    </row>
    <row r="24150" spans="1:2" x14ac:dyDescent="0.25">
      <c r="A24150">
        <v>55131900150</v>
      </c>
      <c r="B24150" t="s">
        <v>8729</v>
      </c>
    </row>
    <row r="24151" spans="1:2" x14ac:dyDescent="0.25">
      <c r="A24151">
        <v>55131900160</v>
      </c>
      <c r="B24151" t="s">
        <v>8730</v>
      </c>
    </row>
    <row r="24152" spans="1:2" x14ac:dyDescent="0.25">
      <c r="A24152">
        <v>55131900170</v>
      </c>
      <c r="B24152" t="s">
        <v>8731</v>
      </c>
    </row>
    <row r="24153" spans="1:2" x14ac:dyDescent="0.25">
      <c r="A24153">
        <v>55131900180</v>
      </c>
      <c r="B24153" t="s">
        <v>8732</v>
      </c>
    </row>
    <row r="24154" spans="1:2" x14ac:dyDescent="0.25">
      <c r="A24154">
        <v>55131900190</v>
      </c>
      <c r="B24154" t="s">
        <v>57</v>
      </c>
    </row>
    <row r="24155" spans="1:2" x14ac:dyDescent="0.25">
      <c r="A24155">
        <v>551319002</v>
      </c>
      <c r="B24155" t="s">
        <v>8506</v>
      </c>
    </row>
    <row r="24156" spans="1:2" x14ac:dyDescent="0.25">
      <c r="A24156">
        <v>55131900210</v>
      </c>
      <c r="B24156" t="s">
        <v>8641</v>
      </c>
    </row>
    <row r="24157" spans="1:2" x14ac:dyDescent="0.25">
      <c r="A24157">
        <v>55131900220</v>
      </c>
      <c r="B24157" t="s">
        <v>8726</v>
      </c>
    </row>
    <row r="24158" spans="1:2" x14ac:dyDescent="0.25">
      <c r="A24158">
        <v>55131900230</v>
      </c>
      <c r="B24158" t="s">
        <v>8727</v>
      </c>
    </row>
    <row r="24159" spans="1:2" x14ac:dyDescent="0.25">
      <c r="A24159">
        <v>55131900240</v>
      </c>
      <c r="B24159" t="s">
        <v>8728</v>
      </c>
    </row>
    <row r="24160" spans="1:2" x14ac:dyDescent="0.25">
      <c r="A24160">
        <v>55131900250</v>
      </c>
      <c r="B24160" t="s">
        <v>8729</v>
      </c>
    </row>
    <row r="24161" spans="1:2" x14ac:dyDescent="0.25">
      <c r="A24161">
        <v>55131900260</v>
      </c>
      <c r="B24161" t="s">
        <v>8730</v>
      </c>
    </row>
    <row r="24162" spans="1:2" x14ac:dyDescent="0.25">
      <c r="A24162">
        <v>55131900270</v>
      </c>
      <c r="B24162" t="s">
        <v>8731</v>
      </c>
    </row>
    <row r="24163" spans="1:2" x14ac:dyDescent="0.25">
      <c r="A24163">
        <v>55131900280</v>
      </c>
      <c r="B24163" t="s">
        <v>8732</v>
      </c>
    </row>
    <row r="24164" spans="1:2" x14ac:dyDescent="0.25">
      <c r="A24164">
        <v>55131900290</v>
      </c>
      <c r="B24164" t="s">
        <v>57</v>
      </c>
    </row>
    <row r="24165" spans="1:2" x14ac:dyDescent="0.25">
      <c r="A24165">
        <v>551319003</v>
      </c>
      <c r="B24165" t="s">
        <v>8498</v>
      </c>
    </row>
    <row r="24166" spans="1:2" x14ac:dyDescent="0.25">
      <c r="A24166">
        <v>55131900310</v>
      </c>
      <c r="B24166" t="s">
        <v>8641</v>
      </c>
    </row>
    <row r="24167" spans="1:2" x14ac:dyDescent="0.25">
      <c r="A24167">
        <v>55131900320</v>
      </c>
      <c r="B24167" t="s">
        <v>8726</v>
      </c>
    </row>
    <row r="24168" spans="1:2" x14ac:dyDescent="0.25">
      <c r="A24168">
        <v>55131900330</v>
      </c>
      <c r="B24168" t="s">
        <v>8727</v>
      </c>
    </row>
    <row r="24169" spans="1:2" x14ac:dyDescent="0.25">
      <c r="A24169">
        <v>55131900340</v>
      </c>
      <c r="B24169" t="s">
        <v>8728</v>
      </c>
    </row>
    <row r="24170" spans="1:2" x14ac:dyDescent="0.25">
      <c r="A24170">
        <v>55131900350</v>
      </c>
      <c r="B24170" t="s">
        <v>8729</v>
      </c>
    </row>
    <row r="24171" spans="1:2" x14ac:dyDescent="0.25">
      <c r="A24171">
        <v>55131900360</v>
      </c>
      <c r="B24171" t="s">
        <v>8730</v>
      </c>
    </row>
    <row r="24172" spans="1:2" x14ac:dyDescent="0.25">
      <c r="A24172">
        <v>55131900370</v>
      </c>
      <c r="B24172" t="s">
        <v>8731</v>
      </c>
    </row>
    <row r="24173" spans="1:2" x14ac:dyDescent="0.25">
      <c r="A24173">
        <v>55131900380</v>
      </c>
      <c r="B24173" t="s">
        <v>8732</v>
      </c>
    </row>
    <row r="24174" spans="1:2" x14ac:dyDescent="0.25">
      <c r="A24174">
        <v>55131900390</v>
      </c>
      <c r="B24174" t="s">
        <v>57</v>
      </c>
    </row>
    <row r="24175" spans="1:2" x14ac:dyDescent="0.25">
      <c r="A24175">
        <v>551319009</v>
      </c>
      <c r="B24175" t="s">
        <v>8500</v>
      </c>
    </row>
    <row r="24176" spans="1:2" x14ac:dyDescent="0.25">
      <c r="A24176">
        <v>55131900910</v>
      </c>
      <c r="B24176" t="s">
        <v>8641</v>
      </c>
    </row>
    <row r="24177" spans="1:2" x14ac:dyDescent="0.25">
      <c r="A24177">
        <v>55131900920</v>
      </c>
      <c r="B24177" t="s">
        <v>8726</v>
      </c>
    </row>
    <row r="24178" spans="1:2" x14ac:dyDescent="0.25">
      <c r="A24178">
        <v>55131900930</v>
      </c>
      <c r="B24178" t="s">
        <v>8727</v>
      </c>
    </row>
    <row r="24179" spans="1:2" x14ac:dyDescent="0.25">
      <c r="A24179">
        <v>55131900940</v>
      </c>
      <c r="B24179" t="s">
        <v>8728</v>
      </c>
    </row>
    <row r="24180" spans="1:2" x14ac:dyDescent="0.25">
      <c r="A24180">
        <v>55131900950</v>
      </c>
      <c r="B24180" t="s">
        <v>8729</v>
      </c>
    </row>
    <row r="24181" spans="1:2" x14ac:dyDescent="0.25">
      <c r="A24181">
        <v>55131900960</v>
      </c>
      <c r="B24181" t="s">
        <v>8730</v>
      </c>
    </row>
    <row r="24182" spans="1:2" x14ac:dyDescent="0.25">
      <c r="A24182">
        <v>55131900970</v>
      </c>
      <c r="B24182" t="s">
        <v>8731</v>
      </c>
    </row>
    <row r="24183" spans="1:2" x14ac:dyDescent="0.25">
      <c r="A24183">
        <v>55131900980</v>
      </c>
      <c r="B24183" t="s">
        <v>8732</v>
      </c>
    </row>
    <row r="24184" spans="1:2" x14ac:dyDescent="0.25">
      <c r="A24184">
        <v>55131900990</v>
      </c>
      <c r="B24184" t="s">
        <v>57</v>
      </c>
    </row>
    <row r="24185" spans="1:2" x14ac:dyDescent="0.25">
      <c r="A24185">
        <v>55132</v>
      </c>
      <c r="B24185" t="s">
        <v>8501</v>
      </c>
    </row>
    <row r="24186" spans="1:2" x14ac:dyDescent="0.25">
      <c r="A24186">
        <v>55132100</v>
      </c>
      <c r="B24186" t="e">
        <f>- - de fibras discontinuas de poliester. de ligamento tafetan</f>
        <v>#NAME?</v>
      </c>
    </row>
    <row r="24187" spans="1:2" x14ac:dyDescent="0.25">
      <c r="A24187">
        <v>55132100100</v>
      </c>
      <c r="B24187" t="s">
        <v>8641</v>
      </c>
    </row>
    <row r="24188" spans="1:2" x14ac:dyDescent="0.25">
      <c r="A24188">
        <v>55132100200</v>
      </c>
      <c r="B24188" t="s">
        <v>8726</v>
      </c>
    </row>
    <row r="24189" spans="1:2" x14ac:dyDescent="0.25">
      <c r="A24189">
        <v>55132100300</v>
      </c>
      <c r="B24189" t="s">
        <v>8727</v>
      </c>
    </row>
    <row r="24190" spans="1:2" x14ac:dyDescent="0.25">
      <c r="A24190">
        <v>55132100400</v>
      </c>
      <c r="B24190" t="s">
        <v>8728</v>
      </c>
    </row>
    <row r="24191" spans="1:2" x14ac:dyDescent="0.25">
      <c r="A24191">
        <v>55132100500</v>
      </c>
      <c r="B24191" t="s">
        <v>8729</v>
      </c>
    </row>
    <row r="24192" spans="1:2" x14ac:dyDescent="0.25">
      <c r="A24192">
        <v>55132100600</v>
      </c>
      <c r="B24192" t="s">
        <v>8730</v>
      </c>
    </row>
    <row r="24193" spans="1:2" x14ac:dyDescent="0.25">
      <c r="A24193">
        <v>55132100700</v>
      </c>
      <c r="B24193" t="s">
        <v>8731</v>
      </c>
    </row>
    <row r="24194" spans="1:2" x14ac:dyDescent="0.25">
      <c r="A24194">
        <v>55132100800</v>
      </c>
      <c r="B24194" t="s">
        <v>8732</v>
      </c>
    </row>
    <row r="24195" spans="1:2" x14ac:dyDescent="0.25">
      <c r="A24195">
        <v>55132100900</v>
      </c>
      <c r="B24195" t="s">
        <v>57</v>
      </c>
    </row>
    <row r="24196" spans="1:2" x14ac:dyDescent="0.25">
      <c r="A24196">
        <v>551323</v>
      </c>
      <c r="B24196" t="e">
        <f>- - Los demas tejidos de fibras discontinuas de poliester</f>
        <v>#NAME?</v>
      </c>
    </row>
    <row r="24197" spans="1:2" x14ac:dyDescent="0.25">
      <c r="A24197">
        <v>55132310</v>
      </c>
      <c r="B24197" t="s">
        <v>8506</v>
      </c>
    </row>
    <row r="24198" spans="1:2" x14ac:dyDescent="0.25">
      <c r="A24198">
        <v>55132310100</v>
      </c>
      <c r="B24198" t="s">
        <v>8641</v>
      </c>
    </row>
    <row r="24199" spans="1:2" x14ac:dyDescent="0.25">
      <c r="A24199">
        <v>55132310200</v>
      </c>
      <c r="B24199" t="s">
        <v>8726</v>
      </c>
    </row>
    <row r="24200" spans="1:2" x14ac:dyDescent="0.25">
      <c r="A24200">
        <v>55132310300</v>
      </c>
      <c r="B24200" t="s">
        <v>8727</v>
      </c>
    </row>
    <row r="24201" spans="1:2" x14ac:dyDescent="0.25">
      <c r="A24201">
        <v>55132310400</v>
      </c>
      <c r="B24201" t="s">
        <v>8728</v>
      </c>
    </row>
    <row r="24202" spans="1:2" x14ac:dyDescent="0.25">
      <c r="A24202">
        <v>55132310500</v>
      </c>
      <c r="B24202" t="s">
        <v>8729</v>
      </c>
    </row>
    <row r="24203" spans="1:2" x14ac:dyDescent="0.25">
      <c r="A24203">
        <v>55132310600</v>
      </c>
      <c r="B24203" t="s">
        <v>8730</v>
      </c>
    </row>
    <row r="24204" spans="1:2" x14ac:dyDescent="0.25">
      <c r="A24204">
        <v>55132310700</v>
      </c>
      <c r="B24204" t="s">
        <v>8731</v>
      </c>
    </row>
    <row r="24205" spans="1:2" x14ac:dyDescent="0.25">
      <c r="A24205">
        <v>55132310800</v>
      </c>
      <c r="B24205" t="s">
        <v>8732</v>
      </c>
    </row>
    <row r="24206" spans="1:2" x14ac:dyDescent="0.25">
      <c r="A24206">
        <v>55132310900</v>
      </c>
      <c r="B24206" t="s">
        <v>57</v>
      </c>
    </row>
    <row r="24207" spans="1:2" x14ac:dyDescent="0.25">
      <c r="A24207">
        <v>55132390</v>
      </c>
      <c r="B24207" t="s">
        <v>10</v>
      </c>
    </row>
    <row r="24208" spans="1:2" x14ac:dyDescent="0.25">
      <c r="A24208">
        <v>551323901</v>
      </c>
      <c r="B24208" t="s">
        <v>8498</v>
      </c>
    </row>
    <row r="24209" spans="1:2" x14ac:dyDescent="0.25">
      <c r="A24209">
        <v>55132390110</v>
      </c>
      <c r="B24209" t="s">
        <v>8641</v>
      </c>
    </row>
    <row r="24210" spans="1:2" x14ac:dyDescent="0.25">
      <c r="A24210">
        <v>55132390120</v>
      </c>
      <c r="B24210" t="s">
        <v>8726</v>
      </c>
    </row>
    <row r="24211" spans="1:2" x14ac:dyDescent="0.25">
      <c r="A24211">
        <v>55132390130</v>
      </c>
      <c r="B24211" t="s">
        <v>8727</v>
      </c>
    </row>
    <row r="24212" spans="1:2" x14ac:dyDescent="0.25">
      <c r="A24212">
        <v>55132390140</v>
      </c>
      <c r="B24212" t="s">
        <v>8728</v>
      </c>
    </row>
    <row r="24213" spans="1:2" x14ac:dyDescent="0.25">
      <c r="A24213">
        <v>55132390150</v>
      </c>
      <c r="B24213" t="s">
        <v>8729</v>
      </c>
    </row>
    <row r="24214" spans="1:2" x14ac:dyDescent="0.25">
      <c r="A24214">
        <v>55132390160</v>
      </c>
      <c r="B24214" t="s">
        <v>8730</v>
      </c>
    </row>
    <row r="24215" spans="1:2" x14ac:dyDescent="0.25">
      <c r="A24215">
        <v>55132390170</v>
      </c>
      <c r="B24215" t="s">
        <v>8731</v>
      </c>
    </row>
    <row r="24216" spans="1:2" x14ac:dyDescent="0.25">
      <c r="A24216">
        <v>55132390180</v>
      </c>
      <c r="B24216" t="s">
        <v>8732</v>
      </c>
    </row>
    <row r="24217" spans="1:2" x14ac:dyDescent="0.25">
      <c r="A24217">
        <v>55132390190</v>
      </c>
      <c r="B24217" t="s">
        <v>57</v>
      </c>
    </row>
    <row r="24218" spans="1:2" x14ac:dyDescent="0.25">
      <c r="A24218">
        <v>551323909</v>
      </c>
      <c r="B24218" t="s">
        <v>8500</v>
      </c>
    </row>
    <row r="24219" spans="1:2" x14ac:dyDescent="0.25">
      <c r="A24219">
        <v>55132390910</v>
      </c>
      <c r="B24219" t="s">
        <v>8641</v>
      </c>
    </row>
    <row r="24220" spans="1:2" x14ac:dyDescent="0.25">
      <c r="A24220">
        <v>55132390920</v>
      </c>
      <c r="B24220" t="s">
        <v>8726</v>
      </c>
    </row>
    <row r="24221" spans="1:2" x14ac:dyDescent="0.25">
      <c r="A24221">
        <v>55132390930</v>
      </c>
      <c r="B24221" t="s">
        <v>8727</v>
      </c>
    </row>
    <row r="24222" spans="1:2" x14ac:dyDescent="0.25">
      <c r="A24222">
        <v>55132390940</v>
      </c>
      <c r="B24222" t="s">
        <v>8728</v>
      </c>
    </row>
    <row r="24223" spans="1:2" x14ac:dyDescent="0.25">
      <c r="A24223">
        <v>55132390950</v>
      </c>
      <c r="B24223" t="s">
        <v>8729</v>
      </c>
    </row>
    <row r="24224" spans="1:2" x14ac:dyDescent="0.25">
      <c r="A24224">
        <v>55132390960</v>
      </c>
      <c r="B24224" t="s">
        <v>8730</v>
      </c>
    </row>
    <row r="24225" spans="1:2" x14ac:dyDescent="0.25">
      <c r="A24225">
        <v>55132390970</v>
      </c>
      <c r="B24225" t="s">
        <v>8731</v>
      </c>
    </row>
    <row r="24226" spans="1:2" x14ac:dyDescent="0.25">
      <c r="A24226">
        <v>55132390980</v>
      </c>
      <c r="B24226" t="s">
        <v>8732</v>
      </c>
    </row>
    <row r="24227" spans="1:2" x14ac:dyDescent="0.25">
      <c r="A24227">
        <v>55132390990</v>
      </c>
      <c r="B24227" t="s">
        <v>57</v>
      </c>
    </row>
    <row r="24228" spans="1:2" x14ac:dyDescent="0.25">
      <c r="A24228">
        <v>55132900</v>
      </c>
      <c r="B24228" t="e">
        <f>- - Los demas tejidos</f>
        <v>#NAME?</v>
      </c>
    </row>
    <row r="24229" spans="1:2" x14ac:dyDescent="0.25">
      <c r="A24229">
        <v>551329001</v>
      </c>
      <c r="B24229" t="s">
        <v>8535</v>
      </c>
    </row>
    <row r="24230" spans="1:2" x14ac:dyDescent="0.25">
      <c r="A24230">
        <v>55132900110</v>
      </c>
      <c r="B24230" t="s">
        <v>8641</v>
      </c>
    </row>
    <row r="24231" spans="1:2" x14ac:dyDescent="0.25">
      <c r="A24231">
        <v>55132900120</v>
      </c>
      <c r="B24231" t="s">
        <v>8726</v>
      </c>
    </row>
    <row r="24232" spans="1:2" x14ac:dyDescent="0.25">
      <c r="A24232">
        <v>55132900130</v>
      </c>
      <c r="B24232" t="s">
        <v>8727</v>
      </c>
    </row>
    <row r="24233" spans="1:2" x14ac:dyDescent="0.25">
      <c r="A24233">
        <v>55132900140</v>
      </c>
      <c r="B24233" t="s">
        <v>8728</v>
      </c>
    </row>
    <row r="24234" spans="1:2" x14ac:dyDescent="0.25">
      <c r="A24234">
        <v>55132900150</v>
      </c>
      <c r="B24234" t="s">
        <v>8729</v>
      </c>
    </row>
    <row r="24235" spans="1:2" x14ac:dyDescent="0.25">
      <c r="A24235">
        <v>55132900160</v>
      </c>
      <c r="B24235" t="s">
        <v>8730</v>
      </c>
    </row>
    <row r="24236" spans="1:2" x14ac:dyDescent="0.25">
      <c r="A24236">
        <v>55132900170</v>
      </c>
      <c r="B24236" t="s">
        <v>8731</v>
      </c>
    </row>
    <row r="24237" spans="1:2" x14ac:dyDescent="0.25">
      <c r="A24237">
        <v>55132900180</v>
      </c>
      <c r="B24237" t="s">
        <v>8732</v>
      </c>
    </row>
    <row r="24238" spans="1:2" x14ac:dyDescent="0.25">
      <c r="A24238">
        <v>55132900190</v>
      </c>
      <c r="B24238" t="s">
        <v>57</v>
      </c>
    </row>
    <row r="24239" spans="1:2" x14ac:dyDescent="0.25">
      <c r="A24239">
        <v>551329002</v>
      </c>
      <c r="B24239" t="s">
        <v>8506</v>
      </c>
    </row>
    <row r="24240" spans="1:2" x14ac:dyDescent="0.25">
      <c r="A24240">
        <v>55132900210</v>
      </c>
      <c r="B24240" t="s">
        <v>8641</v>
      </c>
    </row>
    <row r="24241" spans="1:2" x14ac:dyDescent="0.25">
      <c r="A24241">
        <v>55132900220</v>
      </c>
      <c r="B24241" t="s">
        <v>8726</v>
      </c>
    </row>
    <row r="24242" spans="1:2" x14ac:dyDescent="0.25">
      <c r="A24242">
        <v>55132900230</v>
      </c>
      <c r="B24242" t="s">
        <v>8727</v>
      </c>
    </row>
    <row r="24243" spans="1:2" x14ac:dyDescent="0.25">
      <c r="A24243">
        <v>55132900240</v>
      </c>
      <c r="B24243" t="s">
        <v>8728</v>
      </c>
    </row>
    <row r="24244" spans="1:2" x14ac:dyDescent="0.25">
      <c r="A24244">
        <v>55132900250</v>
      </c>
      <c r="B24244" t="s">
        <v>8729</v>
      </c>
    </row>
    <row r="24245" spans="1:2" x14ac:dyDescent="0.25">
      <c r="A24245">
        <v>55132900260</v>
      </c>
      <c r="B24245" t="s">
        <v>8730</v>
      </c>
    </row>
    <row r="24246" spans="1:2" x14ac:dyDescent="0.25">
      <c r="A24246">
        <v>55132900270</v>
      </c>
      <c r="B24246" t="s">
        <v>8731</v>
      </c>
    </row>
    <row r="24247" spans="1:2" x14ac:dyDescent="0.25">
      <c r="A24247">
        <v>55132900280</v>
      </c>
      <c r="B24247" t="s">
        <v>8732</v>
      </c>
    </row>
    <row r="24248" spans="1:2" x14ac:dyDescent="0.25">
      <c r="A24248">
        <v>55132900290</v>
      </c>
      <c r="B24248" t="s">
        <v>57</v>
      </c>
    </row>
    <row r="24249" spans="1:2" x14ac:dyDescent="0.25">
      <c r="A24249">
        <v>551329003</v>
      </c>
      <c r="B24249" t="s">
        <v>8498</v>
      </c>
    </row>
    <row r="24250" spans="1:2" x14ac:dyDescent="0.25">
      <c r="A24250">
        <v>55132900310</v>
      </c>
      <c r="B24250" t="s">
        <v>8641</v>
      </c>
    </row>
    <row r="24251" spans="1:2" x14ac:dyDescent="0.25">
      <c r="A24251">
        <v>55132900320</v>
      </c>
      <c r="B24251" t="s">
        <v>8726</v>
      </c>
    </row>
    <row r="24252" spans="1:2" x14ac:dyDescent="0.25">
      <c r="A24252">
        <v>55132900330</v>
      </c>
      <c r="B24252" t="s">
        <v>8727</v>
      </c>
    </row>
    <row r="24253" spans="1:2" x14ac:dyDescent="0.25">
      <c r="A24253">
        <v>55132900340</v>
      </c>
      <c r="B24253" t="s">
        <v>8728</v>
      </c>
    </row>
    <row r="24254" spans="1:2" x14ac:dyDescent="0.25">
      <c r="A24254">
        <v>55132900350</v>
      </c>
      <c r="B24254" t="s">
        <v>8729</v>
      </c>
    </row>
    <row r="24255" spans="1:2" x14ac:dyDescent="0.25">
      <c r="A24255">
        <v>55132900360</v>
      </c>
      <c r="B24255" t="s">
        <v>8730</v>
      </c>
    </row>
    <row r="24256" spans="1:2" x14ac:dyDescent="0.25">
      <c r="A24256">
        <v>55132900370</v>
      </c>
      <c r="B24256" t="s">
        <v>8731</v>
      </c>
    </row>
    <row r="24257" spans="1:2" x14ac:dyDescent="0.25">
      <c r="A24257">
        <v>55132900380</v>
      </c>
      <c r="B24257" t="s">
        <v>8732</v>
      </c>
    </row>
    <row r="24258" spans="1:2" x14ac:dyDescent="0.25">
      <c r="A24258">
        <v>55132900390</v>
      </c>
      <c r="B24258" t="s">
        <v>57</v>
      </c>
    </row>
    <row r="24259" spans="1:2" x14ac:dyDescent="0.25">
      <c r="A24259">
        <v>551329009</v>
      </c>
      <c r="B24259" t="s">
        <v>8500</v>
      </c>
    </row>
    <row r="24260" spans="1:2" x14ac:dyDescent="0.25">
      <c r="A24260">
        <v>55132900910</v>
      </c>
      <c r="B24260" t="s">
        <v>8641</v>
      </c>
    </row>
    <row r="24261" spans="1:2" x14ac:dyDescent="0.25">
      <c r="A24261">
        <v>55132900920</v>
      </c>
      <c r="B24261" t="s">
        <v>8726</v>
      </c>
    </row>
    <row r="24262" spans="1:2" x14ac:dyDescent="0.25">
      <c r="A24262">
        <v>55132900930</v>
      </c>
      <c r="B24262" t="s">
        <v>8727</v>
      </c>
    </row>
    <row r="24263" spans="1:2" x14ac:dyDescent="0.25">
      <c r="A24263">
        <v>55132900940</v>
      </c>
      <c r="B24263" t="s">
        <v>8728</v>
      </c>
    </row>
    <row r="24264" spans="1:2" x14ac:dyDescent="0.25">
      <c r="A24264">
        <v>55132900950</v>
      </c>
      <c r="B24264" t="s">
        <v>8729</v>
      </c>
    </row>
    <row r="24265" spans="1:2" x14ac:dyDescent="0.25">
      <c r="A24265">
        <v>55132900960</v>
      </c>
      <c r="B24265" t="s">
        <v>8730</v>
      </c>
    </row>
    <row r="24266" spans="1:2" x14ac:dyDescent="0.25">
      <c r="A24266">
        <v>55132900970</v>
      </c>
      <c r="B24266" t="s">
        <v>8731</v>
      </c>
    </row>
    <row r="24267" spans="1:2" x14ac:dyDescent="0.25">
      <c r="A24267">
        <v>55132900980</v>
      </c>
      <c r="B24267" t="s">
        <v>8732</v>
      </c>
    </row>
    <row r="24268" spans="1:2" x14ac:dyDescent="0.25">
      <c r="A24268">
        <v>55132900990</v>
      </c>
      <c r="B24268" t="s">
        <v>57</v>
      </c>
    </row>
    <row r="24269" spans="1:2" x14ac:dyDescent="0.25">
      <c r="A24269">
        <v>55133</v>
      </c>
      <c r="B24269" t="s">
        <v>8502</v>
      </c>
    </row>
    <row r="24270" spans="1:2" x14ac:dyDescent="0.25">
      <c r="A24270">
        <v>55133100</v>
      </c>
      <c r="B24270" t="e">
        <f>- - de fibras discontinuas de poliester. de ligamento tafetan</f>
        <v>#NAME?</v>
      </c>
    </row>
    <row r="24271" spans="1:2" x14ac:dyDescent="0.25">
      <c r="A24271">
        <v>55133100100</v>
      </c>
      <c r="B24271" t="s">
        <v>8641</v>
      </c>
    </row>
    <row r="24272" spans="1:2" x14ac:dyDescent="0.25">
      <c r="A24272">
        <v>55133100200</v>
      </c>
      <c r="B24272" t="s">
        <v>8726</v>
      </c>
    </row>
    <row r="24273" spans="1:2" x14ac:dyDescent="0.25">
      <c r="A24273">
        <v>55133100300</v>
      </c>
      <c r="B24273" t="s">
        <v>8727</v>
      </c>
    </row>
    <row r="24274" spans="1:2" x14ac:dyDescent="0.25">
      <c r="A24274">
        <v>55133100400</v>
      </c>
      <c r="B24274" t="s">
        <v>8728</v>
      </c>
    </row>
    <row r="24275" spans="1:2" x14ac:dyDescent="0.25">
      <c r="A24275">
        <v>55133100500</v>
      </c>
      <c r="B24275" t="s">
        <v>8729</v>
      </c>
    </row>
    <row r="24276" spans="1:2" x14ac:dyDescent="0.25">
      <c r="A24276">
        <v>55133100600</v>
      </c>
      <c r="B24276" t="s">
        <v>8730</v>
      </c>
    </row>
    <row r="24277" spans="1:2" x14ac:dyDescent="0.25">
      <c r="A24277">
        <v>55133100700</v>
      </c>
      <c r="B24277" t="s">
        <v>8731</v>
      </c>
    </row>
    <row r="24278" spans="1:2" x14ac:dyDescent="0.25">
      <c r="A24278">
        <v>55133100800</v>
      </c>
      <c r="B24278" t="s">
        <v>8732</v>
      </c>
    </row>
    <row r="24279" spans="1:2" x14ac:dyDescent="0.25">
      <c r="A24279">
        <v>55133100900</v>
      </c>
      <c r="B24279" t="s">
        <v>57</v>
      </c>
    </row>
    <row r="24280" spans="1:2" x14ac:dyDescent="0.25">
      <c r="A24280">
        <v>551339</v>
      </c>
      <c r="B24280" t="e">
        <f>- - Los demas tejidos</f>
        <v>#NAME?</v>
      </c>
    </row>
    <row r="24281" spans="1:2" x14ac:dyDescent="0.25">
      <c r="A24281">
        <v>5513391</v>
      </c>
      <c r="B24281" t="s">
        <v>8737</v>
      </c>
    </row>
    <row r="24282" spans="1:2" x14ac:dyDescent="0.25">
      <c r="A24282">
        <v>55133911</v>
      </c>
      <c r="B24282" t="s">
        <v>8506</v>
      </c>
    </row>
    <row r="24283" spans="1:2" x14ac:dyDescent="0.25">
      <c r="A24283">
        <v>55133911100</v>
      </c>
      <c r="B24283" t="s">
        <v>8641</v>
      </c>
    </row>
    <row r="24284" spans="1:2" x14ac:dyDescent="0.25">
      <c r="A24284">
        <v>55133911200</v>
      </c>
      <c r="B24284" t="s">
        <v>8726</v>
      </c>
    </row>
    <row r="24285" spans="1:2" x14ac:dyDescent="0.25">
      <c r="A24285">
        <v>55133911300</v>
      </c>
      <c r="B24285" t="s">
        <v>8727</v>
      </c>
    </row>
    <row r="24286" spans="1:2" x14ac:dyDescent="0.25">
      <c r="A24286">
        <v>55133911400</v>
      </c>
      <c r="B24286" t="s">
        <v>8728</v>
      </c>
    </row>
    <row r="24287" spans="1:2" x14ac:dyDescent="0.25">
      <c r="A24287">
        <v>55133911500</v>
      </c>
      <c r="B24287" t="s">
        <v>8729</v>
      </c>
    </row>
    <row r="24288" spans="1:2" x14ac:dyDescent="0.25">
      <c r="A24288">
        <v>55133911600</v>
      </c>
      <c r="B24288" t="s">
        <v>8730</v>
      </c>
    </row>
    <row r="24289" spans="1:2" x14ac:dyDescent="0.25">
      <c r="A24289">
        <v>55133911700</v>
      </c>
      <c r="B24289" t="s">
        <v>8731</v>
      </c>
    </row>
    <row r="24290" spans="1:2" x14ac:dyDescent="0.25">
      <c r="A24290">
        <v>55133911800</v>
      </c>
      <c r="B24290" t="s">
        <v>8732</v>
      </c>
    </row>
    <row r="24291" spans="1:2" x14ac:dyDescent="0.25">
      <c r="A24291">
        <v>55133911900</v>
      </c>
      <c r="B24291" t="s">
        <v>57</v>
      </c>
    </row>
    <row r="24292" spans="1:2" x14ac:dyDescent="0.25">
      <c r="A24292">
        <v>55133919</v>
      </c>
      <c r="B24292" t="s">
        <v>10</v>
      </c>
    </row>
    <row r="24293" spans="1:2" x14ac:dyDescent="0.25">
      <c r="A24293">
        <v>551339191</v>
      </c>
      <c r="B24293" t="s">
        <v>8498</v>
      </c>
    </row>
    <row r="24294" spans="1:2" x14ac:dyDescent="0.25">
      <c r="A24294">
        <v>55133919110</v>
      </c>
      <c r="B24294" t="s">
        <v>8641</v>
      </c>
    </row>
    <row r="24295" spans="1:2" x14ac:dyDescent="0.25">
      <c r="A24295">
        <v>55133919120</v>
      </c>
      <c r="B24295" t="s">
        <v>8726</v>
      </c>
    </row>
    <row r="24296" spans="1:2" x14ac:dyDescent="0.25">
      <c r="A24296">
        <v>55133919130</v>
      </c>
      <c r="B24296" t="s">
        <v>8727</v>
      </c>
    </row>
    <row r="24297" spans="1:2" x14ac:dyDescent="0.25">
      <c r="A24297">
        <v>55133919140</v>
      </c>
      <c r="B24297" t="s">
        <v>8728</v>
      </c>
    </row>
    <row r="24298" spans="1:2" x14ac:dyDescent="0.25">
      <c r="A24298">
        <v>55133919150</v>
      </c>
      <c r="B24298" t="s">
        <v>8729</v>
      </c>
    </row>
    <row r="24299" spans="1:2" x14ac:dyDescent="0.25">
      <c r="A24299">
        <v>55133919160</v>
      </c>
      <c r="B24299" t="s">
        <v>8730</v>
      </c>
    </row>
    <row r="24300" spans="1:2" x14ac:dyDescent="0.25">
      <c r="A24300">
        <v>55133919170</v>
      </c>
      <c r="B24300" t="s">
        <v>8731</v>
      </c>
    </row>
    <row r="24301" spans="1:2" x14ac:dyDescent="0.25">
      <c r="A24301">
        <v>55133919180</v>
      </c>
      <c r="B24301" t="s">
        <v>8732</v>
      </c>
    </row>
    <row r="24302" spans="1:2" x14ac:dyDescent="0.25">
      <c r="A24302">
        <v>55133919190</v>
      </c>
      <c r="B24302" t="s">
        <v>57</v>
      </c>
    </row>
    <row r="24303" spans="1:2" x14ac:dyDescent="0.25">
      <c r="A24303">
        <v>551339199</v>
      </c>
      <c r="B24303" t="s">
        <v>8500</v>
      </c>
    </row>
    <row r="24304" spans="1:2" x14ac:dyDescent="0.25">
      <c r="A24304">
        <v>55133919910</v>
      </c>
      <c r="B24304" t="s">
        <v>8641</v>
      </c>
    </row>
    <row r="24305" spans="1:2" x14ac:dyDescent="0.25">
      <c r="A24305">
        <v>55133919920</v>
      </c>
      <c r="B24305" t="s">
        <v>8726</v>
      </c>
    </row>
    <row r="24306" spans="1:2" x14ac:dyDescent="0.25">
      <c r="A24306">
        <v>55133919930</v>
      </c>
      <c r="B24306" t="s">
        <v>8727</v>
      </c>
    </row>
    <row r="24307" spans="1:2" x14ac:dyDescent="0.25">
      <c r="A24307">
        <v>55133919940</v>
      </c>
      <c r="B24307" t="s">
        <v>8728</v>
      </c>
    </row>
    <row r="24308" spans="1:2" x14ac:dyDescent="0.25">
      <c r="A24308">
        <v>55133919950</v>
      </c>
      <c r="B24308" t="s">
        <v>8729</v>
      </c>
    </row>
    <row r="24309" spans="1:2" x14ac:dyDescent="0.25">
      <c r="A24309">
        <v>55133919960</v>
      </c>
      <c r="B24309" t="s">
        <v>8730</v>
      </c>
    </row>
    <row r="24310" spans="1:2" x14ac:dyDescent="0.25">
      <c r="A24310">
        <v>55133919970</v>
      </c>
      <c r="B24310" t="s">
        <v>8731</v>
      </c>
    </row>
    <row r="24311" spans="1:2" x14ac:dyDescent="0.25">
      <c r="A24311">
        <v>55133919980</v>
      </c>
      <c r="B24311" t="s">
        <v>8732</v>
      </c>
    </row>
    <row r="24312" spans="1:2" x14ac:dyDescent="0.25">
      <c r="A24312">
        <v>55133919990</v>
      </c>
      <c r="B24312" t="s">
        <v>57</v>
      </c>
    </row>
    <row r="24313" spans="1:2" x14ac:dyDescent="0.25">
      <c r="A24313">
        <v>55133990</v>
      </c>
      <c r="B24313" t="s">
        <v>10</v>
      </c>
    </row>
    <row r="24314" spans="1:2" x14ac:dyDescent="0.25">
      <c r="A24314">
        <v>551339901</v>
      </c>
      <c r="B24314" t="s">
        <v>8535</v>
      </c>
    </row>
    <row r="24315" spans="1:2" x14ac:dyDescent="0.25">
      <c r="A24315">
        <v>55133990110</v>
      </c>
      <c r="B24315" t="s">
        <v>8641</v>
      </c>
    </row>
    <row r="24316" spans="1:2" x14ac:dyDescent="0.25">
      <c r="A24316">
        <v>55133990120</v>
      </c>
      <c r="B24316" t="s">
        <v>8726</v>
      </c>
    </row>
    <row r="24317" spans="1:2" x14ac:dyDescent="0.25">
      <c r="A24317">
        <v>55133990130</v>
      </c>
      <c r="B24317" t="s">
        <v>8727</v>
      </c>
    </row>
    <row r="24318" spans="1:2" x14ac:dyDescent="0.25">
      <c r="A24318">
        <v>55133990140</v>
      </c>
      <c r="B24318" t="s">
        <v>8728</v>
      </c>
    </row>
    <row r="24319" spans="1:2" x14ac:dyDescent="0.25">
      <c r="A24319">
        <v>55133990150</v>
      </c>
      <c r="B24319" t="s">
        <v>8729</v>
      </c>
    </row>
    <row r="24320" spans="1:2" x14ac:dyDescent="0.25">
      <c r="A24320">
        <v>55133990160</v>
      </c>
      <c r="B24320" t="s">
        <v>8730</v>
      </c>
    </row>
    <row r="24321" spans="1:2" x14ac:dyDescent="0.25">
      <c r="A24321">
        <v>55133990170</v>
      </c>
      <c r="B24321" t="s">
        <v>8731</v>
      </c>
    </row>
    <row r="24322" spans="1:2" x14ac:dyDescent="0.25">
      <c r="A24322">
        <v>55133990180</v>
      </c>
      <c r="B24322" t="s">
        <v>8732</v>
      </c>
    </row>
    <row r="24323" spans="1:2" x14ac:dyDescent="0.25">
      <c r="A24323">
        <v>55133990190</v>
      </c>
      <c r="B24323" t="s">
        <v>57</v>
      </c>
    </row>
    <row r="24324" spans="1:2" x14ac:dyDescent="0.25">
      <c r="A24324">
        <v>551339902</v>
      </c>
      <c r="B24324" t="s">
        <v>8506</v>
      </c>
    </row>
    <row r="24325" spans="1:2" x14ac:dyDescent="0.25">
      <c r="A24325">
        <v>55133990210</v>
      </c>
      <c r="B24325" t="s">
        <v>8641</v>
      </c>
    </row>
    <row r="24326" spans="1:2" x14ac:dyDescent="0.25">
      <c r="A24326">
        <v>55133990220</v>
      </c>
      <c r="B24326" t="s">
        <v>8726</v>
      </c>
    </row>
    <row r="24327" spans="1:2" x14ac:dyDescent="0.25">
      <c r="A24327">
        <v>55133990230</v>
      </c>
      <c r="B24327" t="s">
        <v>8727</v>
      </c>
    </row>
    <row r="24328" spans="1:2" x14ac:dyDescent="0.25">
      <c r="A24328">
        <v>55133990240</v>
      </c>
      <c r="B24328" t="s">
        <v>8728</v>
      </c>
    </row>
    <row r="24329" spans="1:2" x14ac:dyDescent="0.25">
      <c r="A24329">
        <v>55133990250</v>
      </c>
      <c r="B24329" t="s">
        <v>8729</v>
      </c>
    </row>
    <row r="24330" spans="1:2" x14ac:dyDescent="0.25">
      <c r="A24330">
        <v>55133990260</v>
      </c>
      <c r="B24330" t="s">
        <v>8730</v>
      </c>
    </row>
    <row r="24331" spans="1:2" x14ac:dyDescent="0.25">
      <c r="A24331">
        <v>55133990270</v>
      </c>
      <c r="B24331" t="s">
        <v>8731</v>
      </c>
    </row>
    <row r="24332" spans="1:2" x14ac:dyDescent="0.25">
      <c r="A24332">
        <v>55133990280</v>
      </c>
      <c r="B24332" t="s">
        <v>8732</v>
      </c>
    </row>
    <row r="24333" spans="1:2" x14ac:dyDescent="0.25">
      <c r="A24333">
        <v>55133990290</v>
      </c>
      <c r="B24333" t="s">
        <v>57</v>
      </c>
    </row>
    <row r="24334" spans="1:2" x14ac:dyDescent="0.25">
      <c r="A24334">
        <v>551339903</v>
      </c>
      <c r="B24334" t="s">
        <v>8498</v>
      </c>
    </row>
    <row r="24335" spans="1:2" x14ac:dyDescent="0.25">
      <c r="A24335">
        <v>55133990310</v>
      </c>
      <c r="B24335" t="s">
        <v>8641</v>
      </c>
    </row>
    <row r="24336" spans="1:2" x14ac:dyDescent="0.25">
      <c r="A24336">
        <v>55133990320</v>
      </c>
      <c r="B24336" t="s">
        <v>8726</v>
      </c>
    </row>
    <row r="24337" spans="1:2" x14ac:dyDescent="0.25">
      <c r="A24337">
        <v>55133990330</v>
      </c>
      <c r="B24337" t="s">
        <v>8727</v>
      </c>
    </row>
    <row r="24338" spans="1:2" x14ac:dyDescent="0.25">
      <c r="A24338">
        <v>55133990340</v>
      </c>
      <c r="B24338" t="s">
        <v>8728</v>
      </c>
    </row>
    <row r="24339" spans="1:2" x14ac:dyDescent="0.25">
      <c r="A24339">
        <v>55133990350</v>
      </c>
      <c r="B24339" t="s">
        <v>8729</v>
      </c>
    </row>
    <row r="24340" spans="1:2" x14ac:dyDescent="0.25">
      <c r="A24340">
        <v>55133990360</v>
      </c>
      <c r="B24340" t="s">
        <v>8730</v>
      </c>
    </row>
    <row r="24341" spans="1:2" x14ac:dyDescent="0.25">
      <c r="A24341">
        <v>55133990370</v>
      </c>
      <c r="B24341" t="s">
        <v>8731</v>
      </c>
    </row>
    <row r="24342" spans="1:2" x14ac:dyDescent="0.25">
      <c r="A24342">
        <v>55133990380</v>
      </c>
      <c r="B24342" t="s">
        <v>8732</v>
      </c>
    </row>
    <row r="24343" spans="1:2" x14ac:dyDescent="0.25">
      <c r="A24343">
        <v>55133990390</v>
      </c>
      <c r="B24343" t="s">
        <v>57</v>
      </c>
    </row>
    <row r="24344" spans="1:2" x14ac:dyDescent="0.25">
      <c r="A24344">
        <v>551339909</v>
      </c>
      <c r="B24344" t="s">
        <v>8500</v>
      </c>
    </row>
    <row r="24345" spans="1:2" x14ac:dyDescent="0.25">
      <c r="A24345">
        <v>55133990910</v>
      </c>
      <c r="B24345" t="s">
        <v>8641</v>
      </c>
    </row>
    <row r="24346" spans="1:2" x14ac:dyDescent="0.25">
      <c r="A24346">
        <v>55133990920</v>
      </c>
      <c r="B24346" t="s">
        <v>8726</v>
      </c>
    </row>
    <row r="24347" spans="1:2" x14ac:dyDescent="0.25">
      <c r="A24347">
        <v>55133990930</v>
      </c>
      <c r="B24347" t="s">
        <v>8727</v>
      </c>
    </row>
    <row r="24348" spans="1:2" x14ac:dyDescent="0.25">
      <c r="A24348">
        <v>55133990940</v>
      </c>
      <c r="B24348" t="s">
        <v>8728</v>
      </c>
    </row>
    <row r="24349" spans="1:2" x14ac:dyDescent="0.25">
      <c r="A24349">
        <v>55133990950</v>
      </c>
      <c r="B24349" t="s">
        <v>8729</v>
      </c>
    </row>
    <row r="24350" spans="1:2" x14ac:dyDescent="0.25">
      <c r="A24350">
        <v>55133990960</v>
      </c>
      <c r="B24350" t="s">
        <v>8730</v>
      </c>
    </row>
    <row r="24351" spans="1:2" x14ac:dyDescent="0.25">
      <c r="A24351">
        <v>55133990970</v>
      </c>
      <c r="B24351" t="s">
        <v>8731</v>
      </c>
    </row>
    <row r="24352" spans="1:2" x14ac:dyDescent="0.25">
      <c r="A24352">
        <v>55133990980</v>
      </c>
      <c r="B24352" t="s">
        <v>8732</v>
      </c>
    </row>
    <row r="24353" spans="1:2" x14ac:dyDescent="0.25">
      <c r="A24353">
        <v>55133990990</v>
      </c>
      <c r="B24353" t="s">
        <v>57</v>
      </c>
    </row>
    <row r="24354" spans="1:2" x14ac:dyDescent="0.25">
      <c r="A24354">
        <v>55134</v>
      </c>
      <c r="B24354" t="s">
        <v>8505</v>
      </c>
    </row>
    <row r="24355" spans="1:2" x14ac:dyDescent="0.25">
      <c r="A24355">
        <v>55134100</v>
      </c>
      <c r="B24355" t="e">
        <f>- - de fibras discontinuas de poliester. de ligamento tafetan</f>
        <v>#NAME?</v>
      </c>
    </row>
    <row r="24356" spans="1:2" x14ac:dyDescent="0.25">
      <c r="A24356">
        <v>55134100100</v>
      </c>
      <c r="B24356" t="s">
        <v>8641</v>
      </c>
    </row>
    <row r="24357" spans="1:2" x14ac:dyDescent="0.25">
      <c r="A24357">
        <v>55134100200</v>
      </c>
      <c r="B24357" t="s">
        <v>8726</v>
      </c>
    </row>
    <row r="24358" spans="1:2" x14ac:dyDescent="0.25">
      <c r="A24358">
        <v>55134100300</v>
      </c>
      <c r="B24358" t="s">
        <v>8727</v>
      </c>
    </row>
    <row r="24359" spans="1:2" x14ac:dyDescent="0.25">
      <c r="A24359">
        <v>55134100400</v>
      </c>
      <c r="B24359" t="s">
        <v>8728</v>
      </c>
    </row>
    <row r="24360" spans="1:2" x14ac:dyDescent="0.25">
      <c r="A24360">
        <v>55134100500</v>
      </c>
      <c r="B24360" t="s">
        <v>8729</v>
      </c>
    </row>
    <row r="24361" spans="1:2" x14ac:dyDescent="0.25">
      <c r="A24361">
        <v>55134100600</v>
      </c>
      <c r="B24361" t="s">
        <v>8730</v>
      </c>
    </row>
    <row r="24362" spans="1:2" x14ac:dyDescent="0.25">
      <c r="A24362">
        <v>55134100700</v>
      </c>
      <c r="B24362" t="s">
        <v>8731</v>
      </c>
    </row>
    <row r="24363" spans="1:2" x14ac:dyDescent="0.25">
      <c r="A24363">
        <v>55134100800</v>
      </c>
      <c r="B24363" t="s">
        <v>8732</v>
      </c>
    </row>
    <row r="24364" spans="1:2" x14ac:dyDescent="0.25">
      <c r="A24364">
        <v>55134100900</v>
      </c>
      <c r="B24364" t="s">
        <v>57</v>
      </c>
    </row>
    <row r="24365" spans="1:2" x14ac:dyDescent="0.25">
      <c r="A24365">
        <v>551349</v>
      </c>
      <c r="B24365" t="e">
        <f>- - Los demas tejidos</f>
        <v>#NAME?</v>
      </c>
    </row>
    <row r="24366" spans="1:2" x14ac:dyDescent="0.25">
      <c r="A24366">
        <v>5513491</v>
      </c>
      <c r="B24366" t="s">
        <v>8737</v>
      </c>
    </row>
    <row r="24367" spans="1:2" x14ac:dyDescent="0.25">
      <c r="A24367">
        <v>55134911</v>
      </c>
      <c r="B24367" t="s">
        <v>8506</v>
      </c>
    </row>
    <row r="24368" spans="1:2" x14ac:dyDescent="0.25">
      <c r="A24368">
        <v>55134911100</v>
      </c>
      <c r="B24368" t="s">
        <v>8641</v>
      </c>
    </row>
    <row r="24369" spans="1:2" x14ac:dyDescent="0.25">
      <c r="A24369">
        <v>55134911200</v>
      </c>
      <c r="B24369" t="s">
        <v>8726</v>
      </c>
    </row>
    <row r="24370" spans="1:2" x14ac:dyDescent="0.25">
      <c r="A24370">
        <v>55134911300</v>
      </c>
      <c r="B24370" t="s">
        <v>8727</v>
      </c>
    </row>
    <row r="24371" spans="1:2" x14ac:dyDescent="0.25">
      <c r="A24371">
        <v>55134911400</v>
      </c>
      <c r="B24371" t="s">
        <v>8728</v>
      </c>
    </row>
    <row r="24372" spans="1:2" x14ac:dyDescent="0.25">
      <c r="A24372">
        <v>55134911500</v>
      </c>
      <c r="B24372" t="s">
        <v>8729</v>
      </c>
    </row>
    <row r="24373" spans="1:2" x14ac:dyDescent="0.25">
      <c r="A24373">
        <v>55134911600</v>
      </c>
      <c r="B24373" t="s">
        <v>8730</v>
      </c>
    </row>
    <row r="24374" spans="1:2" x14ac:dyDescent="0.25">
      <c r="A24374">
        <v>55134911700</v>
      </c>
      <c r="B24374" t="s">
        <v>8731</v>
      </c>
    </row>
    <row r="24375" spans="1:2" x14ac:dyDescent="0.25">
      <c r="A24375">
        <v>55134911800</v>
      </c>
      <c r="B24375" t="s">
        <v>8732</v>
      </c>
    </row>
    <row r="24376" spans="1:2" x14ac:dyDescent="0.25">
      <c r="A24376">
        <v>55134911900</v>
      </c>
      <c r="B24376" t="s">
        <v>57</v>
      </c>
    </row>
    <row r="24377" spans="1:2" x14ac:dyDescent="0.25">
      <c r="A24377">
        <v>55134919</v>
      </c>
      <c r="B24377" t="s">
        <v>10</v>
      </c>
    </row>
    <row r="24378" spans="1:2" x14ac:dyDescent="0.25">
      <c r="A24378">
        <v>551349191</v>
      </c>
      <c r="B24378" t="s">
        <v>8498</v>
      </c>
    </row>
    <row r="24379" spans="1:2" x14ac:dyDescent="0.25">
      <c r="A24379">
        <v>55134919110</v>
      </c>
      <c r="B24379" t="s">
        <v>8641</v>
      </c>
    </row>
    <row r="24380" spans="1:2" x14ac:dyDescent="0.25">
      <c r="A24380">
        <v>55134919120</v>
      </c>
      <c r="B24380" t="s">
        <v>8726</v>
      </c>
    </row>
    <row r="24381" spans="1:2" x14ac:dyDescent="0.25">
      <c r="A24381">
        <v>55134919130</v>
      </c>
      <c r="B24381" t="s">
        <v>8727</v>
      </c>
    </row>
    <row r="24382" spans="1:2" x14ac:dyDescent="0.25">
      <c r="A24382">
        <v>55134919140</v>
      </c>
      <c r="B24382" t="s">
        <v>8728</v>
      </c>
    </row>
    <row r="24383" spans="1:2" x14ac:dyDescent="0.25">
      <c r="A24383">
        <v>55134919150</v>
      </c>
      <c r="B24383" t="s">
        <v>8729</v>
      </c>
    </row>
    <row r="24384" spans="1:2" x14ac:dyDescent="0.25">
      <c r="A24384">
        <v>55134919160</v>
      </c>
      <c r="B24384" t="s">
        <v>8730</v>
      </c>
    </row>
    <row r="24385" spans="1:2" x14ac:dyDescent="0.25">
      <c r="A24385">
        <v>55134919170</v>
      </c>
      <c r="B24385" t="s">
        <v>8731</v>
      </c>
    </row>
    <row r="24386" spans="1:2" x14ac:dyDescent="0.25">
      <c r="A24386">
        <v>55134919180</v>
      </c>
      <c r="B24386" t="s">
        <v>8732</v>
      </c>
    </row>
    <row r="24387" spans="1:2" x14ac:dyDescent="0.25">
      <c r="A24387">
        <v>55134919190</v>
      </c>
      <c r="B24387" t="s">
        <v>57</v>
      </c>
    </row>
    <row r="24388" spans="1:2" x14ac:dyDescent="0.25">
      <c r="A24388">
        <v>551349199</v>
      </c>
      <c r="B24388" t="s">
        <v>8500</v>
      </c>
    </row>
    <row r="24389" spans="1:2" x14ac:dyDescent="0.25">
      <c r="A24389">
        <v>55134919910</v>
      </c>
      <c r="B24389" t="s">
        <v>8641</v>
      </c>
    </row>
    <row r="24390" spans="1:2" x14ac:dyDescent="0.25">
      <c r="A24390">
        <v>55134919920</v>
      </c>
      <c r="B24390" t="s">
        <v>8726</v>
      </c>
    </row>
    <row r="24391" spans="1:2" x14ac:dyDescent="0.25">
      <c r="A24391">
        <v>55134919930</v>
      </c>
      <c r="B24391" t="s">
        <v>8727</v>
      </c>
    </row>
    <row r="24392" spans="1:2" x14ac:dyDescent="0.25">
      <c r="A24392">
        <v>55134919940</v>
      </c>
      <c r="B24392" t="s">
        <v>8728</v>
      </c>
    </row>
    <row r="24393" spans="1:2" x14ac:dyDescent="0.25">
      <c r="A24393">
        <v>55134919950</v>
      </c>
      <c r="B24393" t="s">
        <v>8729</v>
      </c>
    </row>
    <row r="24394" spans="1:2" x14ac:dyDescent="0.25">
      <c r="A24394">
        <v>55134919960</v>
      </c>
      <c r="B24394" t="s">
        <v>8730</v>
      </c>
    </row>
    <row r="24395" spans="1:2" x14ac:dyDescent="0.25">
      <c r="A24395">
        <v>55134919970</v>
      </c>
      <c r="B24395" t="s">
        <v>8731</v>
      </c>
    </row>
    <row r="24396" spans="1:2" x14ac:dyDescent="0.25">
      <c r="A24396">
        <v>55134919980</v>
      </c>
      <c r="B24396" t="s">
        <v>8732</v>
      </c>
    </row>
    <row r="24397" spans="1:2" x14ac:dyDescent="0.25">
      <c r="A24397">
        <v>55134919990</v>
      </c>
      <c r="B24397" t="s">
        <v>57</v>
      </c>
    </row>
    <row r="24398" spans="1:2" x14ac:dyDescent="0.25">
      <c r="A24398">
        <v>55134990</v>
      </c>
      <c r="B24398" t="s">
        <v>10</v>
      </c>
    </row>
    <row r="24399" spans="1:2" x14ac:dyDescent="0.25">
      <c r="A24399">
        <v>551349901</v>
      </c>
      <c r="B24399" t="s">
        <v>8535</v>
      </c>
    </row>
    <row r="24400" spans="1:2" x14ac:dyDescent="0.25">
      <c r="A24400">
        <v>55134990110</v>
      </c>
      <c r="B24400" t="s">
        <v>8641</v>
      </c>
    </row>
    <row r="24401" spans="1:2" x14ac:dyDescent="0.25">
      <c r="A24401">
        <v>55134990120</v>
      </c>
      <c r="B24401" t="s">
        <v>8726</v>
      </c>
    </row>
    <row r="24402" spans="1:2" x14ac:dyDescent="0.25">
      <c r="A24402">
        <v>55134990130</v>
      </c>
      <c r="B24402" t="s">
        <v>8727</v>
      </c>
    </row>
    <row r="24403" spans="1:2" x14ac:dyDescent="0.25">
      <c r="A24403">
        <v>55134990140</v>
      </c>
      <c r="B24403" t="s">
        <v>8728</v>
      </c>
    </row>
    <row r="24404" spans="1:2" x14ac:dyDescent="0.25">
      <c r="A24404">
        <v>55134990150</v>
      </c>
      <c r="B24404" t="s">
        <v>8729</v>
      </c>
    </row>
    <row r="24405" spans="1:2" x14ac:dyDescent="0.25">
      <c r="A24405">
        <v>55134990160</v>
      </c>
      <c r="B24405" t="s">
        <v>8730</v>
      </c>
    </row>
    <row r="24406" spans="1:2" x14ac:dyDescent="0.25">
      <c r="A24406">
        <v>55134990170</v>
      </c>
      <c r="B24406" t="s">
        <v>8731</v>
      </c>
    </row>
    <row r="24407" spans="1:2" x14ac:dyDescent="0.25">
      <c r="A24407">
        <v>55134990180</v>
      </c>
      <c r="B24407" t="s">
        <v>8732</v>
      </c>
    </row>
    <row r="24408" spans="1:2" x14ac:dyDescent="0.25">
      <c r="A24408">
        <v>55134990190</v>
      </c>
      <c r="B24408" t="s">
        <v>57</v>
      </c>
    </row>
    <row r="24409" spans="1:2" x14ac:dyDescent="0.25">
      <c r="A24409">
        <v>551349902</v>
      </c>
      <c r="B24409" t="s">
        <v>8506</v>
      </c>
    </row>
    <row r="24410" spans="1:2" x14ac:dyDescent="0.25">
      <c r="A24410">
        <v>55134990210</v>
      </c>
      <c r="B24410" t="s">
        <v>8641</v>
      </c>
    </row>
    <row r="24411" spans="1:2" x14ac:dyDescent="0.25">
      <c r="A24411">
        <v>55134990220</v>
      </c>
      <c r="B24411" t="s">
        <v>8726</v>
      </c>
    </row>
    <row r="24412" spans="1:2" x14ac:dyDescent="0.25">
      <c r="A24412">
        <v>55134990230</v>
      </c>
      <c r="B24412" t="s">
        <v>8727</v>
      </c>
    </row>
    <row r="24413" spans="1:2" x14ac:dyDescent="0.25">
      <c r="A24413">
        <v>55134990240</v>
      </c>
      <c r="B24413" t="s">
        <v>8728</v>
      </c>
    </row>
    <row r="24414" spans="1:2" x14ac:dyDescent="0.25">
      <c r="A24414">
        <v>55134990250</v>
      </c>
      <c r="B24414" t="s">
        <v>8729</v>
      </c>
    </row>
    <row r="24415" spans="1:2" x14ac:dyDescent="0.25">
      <c r="A24415">
        <v>55134990260</v>
      </c>
      <c r="B24415" t="s">
        <v>8730</v>
      </c>
    </row>
    <row r="24416" spans="1:2" x14ac:dyDescent="0.25">
      <c r="A24416">
        <v>55134990270</v>
      </c>
      <c r="B24416" t="s">
        <v>8731</v>
      </c>
    </row>
    <row r="24417" spans="1:2" x14ac:dyDescent="0.25">
      <c r="A24417">
        <v>55134990280</v>
      </c>
      <c r="B24417" t="s">
        <v>8732</v>
      </c>
    </row>
    <row r="24418" spans="1:2" x14ac:dyDescent="0.25">
      <c r="A24418">
        <v>55134990290</v>
      </c>
      <c r="B24418" t="s">
        <v>57</v>
      </c>
    </row>
    <row r="24419" spans="1:2" x14ac:dyDescent="0.25">
      <c r="A24419">
        <v>551349903</v>
      </c>
      <c r="B24419" t="s">
        <v>8498</v>
      </c>
    </row>
    <row r="24420" spans="1:2" x14ac:dyDescent="0.25">
      <c r="A24420">
        <v>55134990310</v>
      </c>
      <c r="B24420" t="s">
        <v>8641</v>
      </c>
    </row>
    <row r="24421" spans="1:2" x14ac:dyDescent="0.25">
      <c r="A24421">
        <v>55134990320</v>
      </c>
      <c r="B24421" t="s">
        <v>8726</v>
      </c>
    </row>
    <row r="24422" spans="1:2" x14ac:dyDescent="0.25">
      <c r="A24422">
        <v>55134990330</v>
      </c>
      <c r="B24422" t="s">
        <v>8727</v>
      </c>
    </row>
    <row r="24423" spans="1:2" x14ac:dyDescent="0.25">
      <c r="A24423">
        <v>55134990340</v>
      </c>
      <c r="B24423" t="s">
        <v>8728</v>
      </c>
    </row>
    <row r="24424" spans="1:2" x14ac:dyDescent="0.25">
      <c r="A24424">
        <v>55134990350</v>
      </c>
      <c r="B24424" t="s">
        <v>8729</v>
      </c>
    </row>
    <row r="24425" spans="1:2" x14ac:dyDescent="0.25">
      <c r="A24425">
        <v>55134990360</v>
      </c>
      <c r="B24425" t="s">
        <v>8730</v>
      </c>
    </row>
    <row r="24426" spans="1:2" x14ac:dyDescent="0.25">
      <c r="A24426">
        <v>55134990370</v>
      </c>
      <c r="B24426" t="s">
        <v>8731</v>
      </c>
    </row>
    <row r="24427" spans="1:2" x14ac:dyDescent="0.25">
      <c r="A24427">
        <v>55134990380</v>
      </c>
      <c r="B24427" t="s">
        <v>8732</v>
      </c>
    </row>
    <row r="24428" spans="1:2" x14ac:dyDescent="0.25">
      <c r="A24428">
        <v>55134990390</v>
      </c>
      <c r="B24428" t="s">
        <v>57</v>
      </c>
    </row>
    <row r="24429" spans="1:2" x14ac:dyDescent="0.25">
      <c r="A24429">
        <v>551349909</v>
      </c>
      <c r="B24429" t="s">
        <v>8500</v>
      </c>
    </row>
    <row r="24430" spans="1:2" x14ac:dyDescent="0.25">
      <c r="A24430">
        <v>55134990910</v>
      </c>
      <c r="B24430" t="s">
        <v>8641</v>
      </c>
    </row>
    <row r="24431" spans="1:2" x14ac:dyDescent="0.25">
      <c r="A24431">
        <v>55134990920</v>
      </c>
      <c r="B24431" t="s">
        <v>8726</v>
      </c>
    </row>
    <row r="24432" spans="1:2" x14ac:dyDescent="0.25">
      <c r="A24432">
        <v>55134990930</v>
      </c>
      <c r="B24432" t="s">
        <v>8727</v>
      </c>
    </row>
    <row r="24433" spans="1:2" x14ac:dyDescent="0.25">
      <c r="A24433">
        <v>55134990940</v>
      </c>
      <c r="B24433" t="s">
        <v>8728</v>
      </c>
    </row>
    <row r="24434" spans="1:2" x14ac:dyDescent="0.25">
      <c r="A24434">
        <v>55134990950</v>
      </c>
      <c r="B24434" t="s">
        <v>8729</v>
      </c>
    </row>
    <row r="24435" spans="1:2" x14ac:dyDescent="0.25">
      <c r="A24435">
        <v>55134990960</v>
      </c>
      <c r="B24435" t="s">
        <v>8730</v>
      </c>
    </row>
    <row r="24436" spans="1:2" x14ac:dyDescent="0.25">
      <c r="A24436">
        <v>55134990970</v>
      </c>
      <c r="B24436" t="s">
        <v>8731</v>
      </c>
    </row>
    <row r="24437" spans="1:2" x14ac:dyDescent="0.25">
      <c r="A24437">
        <v>55134990980</v>
      </c>
      <c r="B24437" t="s">
        <v>8732</v>
      </c>
    </row>
    <row r="24438" spans="1:2" x14ac:dyDescent="0.25">
      <c r="A24438">
        <v>55134990990</v>
      </c>
      <c r="B24438" t="s">
        <v>57</v>
      </c>
    </row>
    <row r="24439" spans="1:2" x14ac:dyDescent="0.25">
      <c r="A24439">
        <v>5514</v>
      </c>
      <c r="B24439" t="s">
        <v>8738</v>
      </c>
    </row>
    <row r="24440" spans="1:2" x14ac:dyDescent="0.25">
      <c r="A24440">
        <v>55141</v>
      </c>
      <c r="B24440" t="s">
        <v>8735</v>
      </c>
    </row>
    <row r="24441" spans="1:2" x14ac:dyDescent="0.25">
      <c r="A24441">
        <v>55141100</v>
      </c>
      <c r="B24441" t="e">
        <f>- - de fibras discontinuas de poliester. de ligamento tafetan</f>
        <v>#NAME?</v>
      </c>
    </row>
    <row r="24442" spans="1:2" x14ac:dyDescent="0.25">
      <c r="A24442">
        <v>55141100100</v>
      </c>
      <c r="B24442" t="s">
        <v>8641</v>
      </c>
    </row>
    <row r="24443" spans="1:2" x14ac:dyDescent="0.25">
      <c r="A24443">
        <v>55141100200</v>
      </c>
      <c r="B24443" t="s">
        <v>8726</v>
      </c>
    </row>
    <row r="24444" spans="1:2" x14ac:dyDescent="0.25">
      <c r="A24444">
        <v>55141100300</v>
      </c>
      <c r="B24444" t="s">
        <v>8727</v>
      </c>
    </row>
    <row r="24445" spans="1:2" x14ac:dyDescent="0.25">
      <c r="A24445">
        <v>55141100400</v>
      </c>
      <c r="B24445" t="s">
        <v>8728</v>
      </c>
    </row>
    <row r="24446" spans="1:2" x14ac:dyDescent="0.25">
      <c r="A24446">
        <v>55141100500</v>
      </c>
      <c r="B24446" t="s">
        <v>8739</v>
      </c>
    </row>
    <row r="24447" spans="1:2" x14ac:dyDescent="0.25">
      <c r="A24447">
        <v>55141100600</v>
      </c>
      <c r="B24447" t="s">
        <v>8730</v>
      </c>
    </row>
    <row r="24448" spans="1:2" x14ac:dyDescent="0.25">
      <c r="A24448">
        <v>55141100700</v>
      </c>
      <c r="B24448" t="s">
        <v>8731</v>
      </c>
    </row>
    <row r="24449" spans="1:2" x14ac:dyDescent="0.25">
      <c r="A24449">
        <v>55141100800</v>
      </c>
      <c r="B24449" t="s">
        <v>8732</v>
      </c>
    </row>
    <row r="24450" spans="1:2" x14ac:dyDescent="0.25">
      <c r="A24450">
        <v>55141100900</v>
      </c>
      <c r="B24450" t="s">
        <v>57</v>
      </c>
    </row>
    <row r="24451" spans="1:2" x14ac:dyDescent="0.25">
      <c r="A24451">
        <v>55141200</v>
      </c>
      <c r="B24451" t="s">
        <v>8736</v>
      </c>
    </row>
    <row r="24452" spans="1:2" x14ac:dyDescent="0.25">
      <c r="A24452">
        <v>55141200100</v>
      </c>
      <c r="B24452" t="s">
        <v>8641</v>
      </c>
    </row>
    <row r="24453" spans="1:2" x14ac:dyDescent="0.25">
      <c r="A24453">
        <v>55141200200</v>
      </c>
      <c r="B24453" t="s">
        <v>8726</v>
      </c>
    </row>
    <row r="24454" spans="1:2" x14ac:dyDescent="0.25">
      <c r="A24454">
        <v>55141200300</v>
      </c>
      <c r="B24454" t="s">
        <v>8727</v>
      </c>
    </row>
    <row r="24455" spans="1:2" x14ac:dyDescent="0.25">
      <c r="A24455">
        <v>55141200400</v>
      </c>
      <c r="B24455" t="s">
        <v>8728</v>
      </c>
    </row>
    <row r="24456" spans="1:2" x14ac:dyDescent="0.25">
      <c r="A24456">
        <v>55141200500</v>
      </c>
      <c r="B24456" t="s">
        <v>8739</v>
      </c>
    </row>
    <row r="24457" spans="1:2" x14ac:dyDescent="0.25">
      <c r="A24457">
        <v>55141200600</v>
      </c>
      <c r="B24457" t="s">
        <v>8730</v>
      </c>
    </row>
    <row r="24458" spans="1:2" x14ac:dyDescent="0.25">
      <c r="A24458">
        <v>55141200700</v>
      </c>
      <c r="B24458" t="s">
        <v>8731</v>
      </c>
    </row>
    <row r="24459" spans="1:2" x14ac:dyDescent="0.25">
      <c r="A24459">
        <v>55141200800</v>
      </c>
      <c r="B24459" t="s">
        <v>8732</v>
      </c>
    </row>
    <row r="24460" spans="1:2" x14ac:dyDescent="0.25">
      <c r="A24460">
        <v>55141200900</v>
      </c>
      <c r="B24460" t="s">
        <v>57</v>
      </c>
    </row>
    <row r="24461" spans="1:2" x14ac:dyDescent="0.25">
      <c r="A24461">
        <v>551419</v>
      </c>
      <c r="B24461" t="e">
        <f>- - Los demas tejidos</f>
        <v>#NAME?</v>
      </c>
    </row>
    <row r="24462" spans="1:2" x14ac:dyDescent="0.25">
      <c r="A24462">
        <v>55141910</v>
      </c>
      <c r="B24462" t="s">
        <v>8737</v>
      </c>
    </row>
    <row r="24463" spans="1:2" x14ac:dyDescent="0.25">
      <c r="A24463">
        <v>551419101</v>
      </c>
      <c r="B24463" t="s">
        <v>8498</v>
      </c>
    </row>
    <row r="24464" spans="1:2" x14ac:dyDescent="0.25">
      <c r="A24464">
        <v>55141910110</v>
      </c>
      <c r="B24464" t="s">
        <v>8641</v>
      </c>
    </row>
    <row r="24465" spans="1:2" x14ac:dyDescent="0.25">
      <c r="A24465">
        <v>55141910120</v>
      </c>
      <c r="B24465" t="s">
        <v>8726</v>
      </c>
    </row>
    <row r="24466" spans="1:2" x14ac:dyDescent="0.25">
      <c r="A24466">
        <v>55141910130</v>
      </c>
      <c r="B24466" t="s">
        <v>8727</v>
      </c>
    </row>
    <row r="24467" spans="1:2" x14ac:dyDescent="0.25">
      <c r="A24467">
        <v>55141910140</v>
      </c>
      <c r="B24467" t="s">
        <v>8728</v>
      </c>
    </row>
    <row r="24468" spans="1:2" x14ac:dyDescent="0.25">
      <c r="A24468">
        <v>55141910150</v>
      </c>
      <c r="B24468" t="s">
        <v>8729</v>
      </c>
    </row>
    <row r="24469" spans="1:2" x14ac:dyDescent="0.25">
      <c r="A24469">
        <v>55141910160</v>
      </c>
      <c r="B24469" t="s">
        <v>8730</v>
      </c>
    </row>
    <row r="24470" spans="1:2" x14ac:dyDescent="0.25">
      <c r="A24470">
        <v>55141910170</v>
      </c>
      <c r="B24470" t="s">
        <v>8731</v>
      </c>
    </row>
    <row r="24471" spans="1:2" x14ac:dyDescent="0.25">
      <c r="A24471">
        <v>55141910180</v>
      </c>
      <c r="B24471" t="s">
        <v>8732</v>
      </c>
    </row>
    <row r="24472" spans="1:2" x14ac:dyDescent="0.25">
      <c r="A24472">
        <v>55141910190</v>
      </c>
      <c r="B24472" t="s">
        <v>57</v>
      </c>
    </row>
    <row r="24473" spans="1:2" x14ac:dyDescent="0.25">
      <c r="A24473">
        <v>551419109</v>
      </c>
      <c r="B24473" t="s">
        <v>8500</v>
      </c>
    </row>
    <row r="24474" spans="1:2" x14ac:dyDescent="0.25">
      <c r="A24474">
        <v>55141910910</v>
      </c>
      <c r="B24474" t="s">
        <v>8641</v>
      </c>
    </row>
    <row r="24475" spans="1:2" x14ac:dyDescent="0.25">
      <c r="A24475">
        <v>55141910920</v>
      </c>
      <c r="B24475" t="s">
        <v>8726</v>
      </c>
    </row>
    <row r="24476" spans="1:2" x14ac:dyDescent="0.25">
      <c r="A24476">
        <v>55141910930</v>
      </c>
      <c r="B24476" t="s">
        <v>8727</v>
      </c>
    </row>
    <row r="24477" spans="1:2" x14ac:dyDescent="0.25">
      <c r="A24477">
        <v>55141910940</v>
      </c>
      <c r="B24477" t="s">
        <v>8728</v>
      </c>
    </row>
    <row r="24478" spans="1:2" x14ac:dyDescent="0.25">
      <c r="A24478">
        <v>55141910950</v>
      </c>
      <c r="B24478" t="s">
        <v>8729</v>
      </c>
    </row>
    <row r="24479" spans="1:2" x14ac:dyDescent="0.25">
      <c r="A24479">
        <v>55141910960</v>
      </c>
      <c r="B24479" t="s">
        <v>8730</v>
      </c>
    </row>
    <row r="24480" spans="1:2" x14ac:dyDescent="0.25">
      <c r="A24480">
        <v>55141910970</v>
      </c>
      <c r="B24480" t="s">
        <v>8731</v>
      </c>
    </row>
    <row r="24481" spans="1:2" x14ac:dyDescent="0.25">
      <c r="A24481">
        <v>55141910980</v>
      </c>
      <c r="B24481" t="s">
        <v>8732</v>
      </c>
    </row>
    <row r="24482" spans="1:2" x14ac:dyDescent="0.25">
      <c r="A24482">
        <v>55141910990</v>
      </c>
      <c r="B24482" t="s">
        <v>57</v>
      </c>
    </row>
    <row r="24483" spans="1:2" x14ac:dyDescent="0.25">
      <c r="A24483">
        <v>55141990</v>
      </c>
      <c r="B24483" t="s">
        <v>10</v>
      </c>
    </row>
    <row r="24484" spans="1:2" x14ac:dyDescent="0.25">
      <c r="A24484">
        <v>551419901</v>
      </c>
      <c r="B24484" t="s">
        <v>8535</v>
      </c>
    </row>
    <row r="24485" spans="1:2" x14ac:dyDescent="0.25">
      <c r="A24485">
        <v>55141990110</v>
      </c>
      <c r="B24485" t="s">
        <v>8641</v>
      </c>
    </row>
    <row r="24486" spans="1:2" x14ac:dyDescent="0.25">
      <c r="A24486">
        <v>55141990120</v>
      </c>
      <c r="B24486" t="s">
        <v>8726</v>
      </c>
    </row>
    <row r="24487" spans="1:2" x14ac:dyDescent="0.25">
      <c r="A24487">
        <v>55141990130</v>
      </c>
      <c r="B24487" t="s">
        <v>8727</v>
      </c>
    </row>
    <row r="24488" spans="1:2" x14ac:dyDescent="0.25">
      <c r="A24488">
        <v>55141990140</v>
      </c>
      <c r="B24488" t="s">
        <v>8728</v>
      </c>
    </row>
    <row r="24489" spans="1:2" x14ac:dyDescent="0.25">
      <c r="A24489">
        <v>55141990150</v>
      </c>
      <c r="B24489" t="s">
        <v>8729</v>
      </c>
    </row>
    <row r="24490" spans="1:2" x14ac:dyDescent="0.25">
      <c r="A24490">
        <v>55141990160</v>
      </c>
      <c r="B24490" t="s">
        <v>8730</v>
      </c>
    </row>
    <row r="24491" spans="1:2" x14ac:dyDescent="0.25">
      <c r="A24491">
        <v>55141990170</v>
      </c>
      <c r="B24491" t="s">
        <v>8731</v>
      </c>
    </row>
    <row r="24492" spans="1:2" x14ac:dyDescent="0.25">
      <c r="A24492">
        <v>55141990180</v>
      </c>
      <c r="B24492" t="s">
        <v>8732</v>
      </c>
    </row>
    <row r="24493" spans="1:2" x14ac:dyDescent="0.25">
      <c r="A24493">
        <v>55141990190</v>
      </c>
      <c r="B24493" t="s">
        <v>57</v>
      </c>
    </row>
    <row r="24494" spans="1:2" x14ac:dyDescent="0.25">
      <c r="A24494">
        <v>551419902</v>
      </c>
      <c r="B24494" t="s">
        <v>8506</v>
      </c>
    </row>
    <row r="24495" spans="1:2" x14ac:dyDescent="0.25">
      <c r="A24495">
        <v>55141990210</v>
      </c>
      <c r="B24495" t="s">
        <v>8641</v>
      </c>
    </row>
    <row r="24496" spans="1:2" x14ac:dyDescent="0.25">
      <c r="A24496">
        <v>55141990220</v>
      </c>
      <c r="B24496" t="s">
        <v>8726</v>
      </c>
    </row>
    <row r="24497" spans="1:2" x14ac:dyDescent="0.25">
      <c r="A24497">
        <v>55141990230</v>
      </c>
      <c r="B24497" t="s">
        <v>8727</v>
      </c>
    </row>
    <row r="24498" spans="1:2" x14ac:dyDescent="0.25">
      <c r="A24498">
        <v>55141990240</v>
      </c>
      <c r="B24498" t="s">
        <v>8728</v>
      </c>
    </row>
    <row r="24499" spans="1:2" x14ac:dyDescent="0.25">
      <c r="A24499">
        <v>55141990250</v>
      </c>
      <c r="B24499" t="s">
        <v>8729</v>
      </c>
    </row>
    <row r="24500" spans="1:2" x14ac:dyDescent="0.25">
      <c r="A24500">
        <v>55141990260</v>
      </c>
      <c r="B24500" t="s">
        <v>8730</v>
      </c>
    </row>
    <row r="24501" spans="1:2" x14ac:dyDescent="0.25">
      <c r="A24501">
        <v>55141990270</v>
      </c>
      <c r="B24501" t="s">
        <v>8731</v>
      </c>
    </row>
    <row r="24502" spans="1:2" x14ac:dyDescent="0.25">
      <c r="A24502">
        <v>55141990280</v>
      </c>
      <c r="B24502" t="s">
        <v>8732</v>
      </c>
    </row>
    <row r="24503" spans="1:2" x14ac:dyDescent="0.25">
      <c r="A24503">
        <v>55141990290</v>
      </c>
      <c r="B24503" t="s">
        <v>57</v>
      </c>
    </row>
    <row r="24504" spans="1:2" x14ac:dyDescent="0.25">
      <c r="A24504">
        <v>551419903</v>
      </c>
      <c r="B24504" t="s">
        <v>8498</v>
      </c>
    </row>
    <row r="24505" spans="1:2" x14ac:dyDescent="0.25">
      <c r="A24505">
        <v>55141990310</v>
      </c>
      <c r="B24505" t="s">
        <v>8641</v>
      </c>
    </row>
    <row r="24506" spans="1:2" x14ac:dyDescent="0.25">
      <c r="A24506">
        <v>55141990320</v>
      </c>
      <c r="B24506" t="s">
        <v>8726</v>
      </c>
    </row>
    <row r="24507" spans="1:2" x14ac:dyDescent="0.25">
      <c r="A24507">
        <v>55141990330</v>
      </c>
      <c r="B24507" t="s">
        <v>8727</v>
      </c>
    </row>
    <row r="24508" spans="1:2" x14ac:dyDescent="0.25">
      <c r="A24508">
        <v>55141990340</v>
      </c>
      <c r="B24508" t="s">
        <v>8728</v>
      </c>
    </row>
    <row r="24509" spans="1:2" x14ac:dyDescent="0.25">
      <c r="A24509">
        <v>55141990350</v>
      </c>
      <c r="B24509" t="s">
        <v>8739</v>
      </c>
    </row>
    <row r="24510" spans="1:2" x14ac:dyDescent="0.25">
      <c r="A24510">
        <v>55141990360</v>
      </c>
      <c r="B24510" t="s">
        <v>8730</v>
      </c>
    </row>
    <row r="24511" spans="1:2" x14ac:dyDescent="0.25">
      <c r="A24511">
        <v>55141990370</v>
      </c>
      <c r="B24511" t="s">
        <v>8731</v>
      </c>
    </row>
    <row r="24512" spans="1:2" x14ac:dyDescent="0.25">
      <c r="A24512">
        <v>55141990380</v>
      </c>
      <c r="B24512" t="s">
        <v>8732</v>
      </c>
    </row>
    <row r="24513" spans="1:2" x14ac:dyDescent="0.25">
      <c r="A24513">
        <v>55141990390</v>
      </c>
      <c r="B24513" t="s">
        <v>57</v>
      </c>
    </row>
    <row r="24514" spans="1:2" x14ac:dyDescent="0.25">
      <c r="A24514">
        <v>551419909</v>
      </c>
      <c r="B24514" t="s">
        <v>8500</v>
      </c>
    </row>
    <row r="24515" spans="1:2" x14ac:dyDescent="0.25">
      <c r="A24515">
        <v>55141990910</v>
      </c>
      <c r="B24515" t="s">
        <v>8641</v>
      </c>
    </row>
    <row r="24516" spans="1:2" x14ac:dyDescent="0.25">
      <c r="A24516">
        <v>55141990920</v>
      </c>
      <c r="B24516" t="s">
        <v>8726</v>
      </c>
    </row>
    <row r="24517" spans="1:2" x14ac:dyDescent="0.25">
      <c r="A24517">
        <v>55141990930</v>
      </c>
      <c r="B24517" t="s">
        <v>8727</v>
      </c>
    </row>
    <row r="24518" spans="1:2" x14ac:dyDescent="0.25">
      <c r="A24518">
        <v>55141990940</v>
      </c>
      <c r="B24518" t="s">
        <v>8728</v>
      </c>
    </row>
    <row r="24519" spans="1:2" x14ac:dyDescent="0.25">
      <c r="A24519">
        <v>55141990950</v>
      </c>
      <c r="B24519" t="s">
        <v>8729</v>
      </c>
    </row>
    <row r="24520" spans="1:2" x14ac:dyDescent="0.25">
      <c r="A24520">
        <v>55141990960</v>
      </c>
      <c r="B24520" t="s">
        <v>8730</v>
      </c>
    </row>
    <row r="24521" spans="1:2" x14ac:dyDescent="0.25">
      <c r="A24521">
        <v>55141990970</v>
      </c>
      <c r="B24521" t="s">
        <v>8731</v>
      </c>
    </row>
    <row r="24522" spans="1:2" x14ac:dyDescent="0.25">
      <c r="A24522">
        <v>55141990980</v>
      </c>
      <c r="B24522" t="s">
        <v>8732</v>
      </c>
    </row>
    <row r="24523" spans="1:2" x14ac:dyDescent="0.25">
      <c r="A24523">
        <v>55141990990</v>
      </c>
      <c r="B24523" t="s">
        <v>57</v>
      </c>
    </row>
    <row r="24524" spans="1:2" x14ac:dyDescent="0.25">
      <c r="A24524">
        <v>55142</v>
      </c>
      <c r="B24524" t="s">
        <v>8501</v>
      </c>
    </row>
    <row r="24525" spans="1:2" x14ac:dyDescent="0.25">
      <c r="A24525">
        <v>55142100</v>
      </c>
      <c r="B24525" t="e">
        <f>- - de fibras discontinuas de poliester. de ligamento tafetan</f>
        <v>#NAME?</v>
      </c>
    </row>
    <row r="24526" spans="1:2" x14ac:dyDescent="0.25">
      <c r="A24526">
        <v>55142100100</v>
      </c>
      <c r="B24526" t="s">
        <v>8641</v>
      </c>
    </row>
    <row r="24527" spans="1:2" x14ac:dyDescent="0.25">
      <c r="A24527">
        <v>55142100200</v>
      </c>
      <c r="B24527" t="s">
        <v>8726</v>
      </c>
    </row>
    <row r="24528" spans="1:2" x14ac:dyDescent="0.25">
      <c r="A24528">
        <v>55142100300</v>
      </c>
      <c r="B24528" t="s">
        <v>8727</v>
      </c>
    </row>
    <row r="24529" spans="1:2" x14ac:dyDescent="0.25">
      <c r="A24529">
        <v>55142100400</v>
      </c>
      <c r="B24529" t="s">
        <v>8728</v>
      </c>
    </row>
    <row r="24530" spans="1:2" x14ac:dyDescent="0.25">
      <c r="A24530">
        <v>55142100500</v>
      </c>
      <c r="B24530" t="s">
        <v>8739</v>
      </c>
    </row>
    <row r="24531" spans="1:2" x14ac:dyDescent="0.25">
      <c r="A24531">
        <v>55142100600</v>
      </c>
      <c r="B24531" t="s">
        <v>8730</v>
      </c>
    </row>
    <row r="24532" spans="1:2" x14ac:dyDescent="0.25">
      <c r="A24532">
        <v>55142100700</v>
      </c>
      <c r="B24532" t="s">
        <v>8731</v>
      </c>
    </row>
    <row r="24533" spans="1:2" x14ac:dyDescent="0.25">
      <c r="A24533">
        <v>55142100800</v>
      </c>
      <c r="B24533" t="s">
        <v>8732</v>
      </c>
    </row>
    <row r="24534" spans="1:2" x14ac:dyDescent="0.25">
      <c r="A24534">
        <v>55142100900</v>
      </c>
      <c r="B24534" t="s">
        <v>57</v>
      </c>
    </row>
    <row r="24535" spans="1:2" x14ac:dyDescent="0.25">
      <c r="A24535">
        <v>55142200</v>
      </c>
      <c r="B24535" t="s">
        <v>8736</v>
      </c>
    </row>
    <row r="24536" spans="1:2" x14ac:dyDescent="0.25">
      <c r="A24536">
        <v>55142200100</v>
      </c>
      <c r="B24536" t="s">
        <v>8641</v>
      </c>
    </row>
    <row r="24537" spans="1:2" x14ac:dyDescent="0.25">
      <c r="A24537">
        <v>55142200200</v>
      </c>
      <c r="B24537" t="s">
        <v>8726</v>
      </c>
    </row>
    <row r="24538" spans="1:2" x14ac:dyDescent="0.25">
      <c r="A24538">
        <v>55142200300</v>
      </c>
      <c r="B24538" t="s">
        <v>8727</v>
      </c>
    </row>
    <row r="24539" spans="1:2" x14ac:dyDescent="0.25">
      <c r="A24539">
        <v>55142200400</v>
      </c>
      <c r="B24539" t="s">
        <v>8728</v>
      </c>
    </row>
    <row r="24540" spans="1:2" x14ac:dyDescent="0.25">
      <c r="A24540">
        <v>55142200500</v>
      </c>
      <c r="B24540" t="s">
        <v>8739</v>
      </c>
    </row>
    <row r="24541" spans="1:2" x14ac:dyDescent="0.25">
      <c r="A24541">
        <v>55142200600</v>
      </c>
      <c r="B24541" t="s">
        <v>8730</v>
      </c>
    </row>
    <row r="24542" spans="1:2" x14ac:dyDescent="0.25">
      <c r="A24542">
        <v>55142200700</v>
      </c>
      <c r="B24542" t="s">
        <v>8731</v>
      </c>
    </row>
    <row r="24543" spans="1:2" x14ac:dyDescent="0.25">
      <c r="A24543">
        <v>55142200800</v>
      </c>
      <c r="B24543" t="s">
        <v>8732</v>
      </c>
    </row>
    <row r="24544" spans="1:2" x14ac:dyDescent="0.25">
      <c r="A24544">
        <v>55142200900</v>
      </c>
      <c r="B24544" t="s">
        <v>57</v>
      </c>
    </row>
    <row r="24545" spans="1:2" x14ac:dyDescent="0.25">
      <c r="A24545">
        <v>55142300</v>
      </c>
      <c r="B24545" t="e">
        <f>- - Los demas tejidos de fibras discontinuas de poliester</f>
        <v>#NAME?</v>
      </c>
    </row>
    <row r="24546" spans="1:2" x14ac:dyDescent="0.25">
      <c r="A24546">
        <v>551423001</v>
      </c>
      <c r="B24546" t="s">
        <v>8498</v>
      </c>
    </row>
    <row r="24547" spans="1:2" x14ac:dyDescent="0.25">
      <c r="A24547">
        <v>55142300110</v>
      </c>
      <c r="B24547" t="s">
        <v>8641</v>
      </c>
    </row>
    <row r="24548" spans="1:2" x14ac:dyDescent="0.25">
      <c r="A24548">
        <v>55142300120</v>
      </c>
      <c r="B24548" t="s">
        <v>8726</v>
      </c>
    </row>
    <row r="24549" spans="1:2" x14ac:dyDescent="0.25">
      <c r="A24549">
        <v>55142300130</v>
      </c>
      <c r="B24549" t="s">
        <v>8727</v>
      </c>
    </row>
    <row r="24550" spans="1:2" x14ac:dyDescent="0.25">
      <c r="A24550">
        <v>55142300140</v>
      </c>
      <c r="B24550" t="s">
        <v>8728</v>
      </c>
    </row>
    <row r="24551" spans="1:2" x14ac:dyDescent="0.25">
      <c r="A24551">
        <v>55142300150</v>
      </c>
      <c r="B24551" t="s">
        <v>8739</v>
      </c>
    </row>
    <row r="24552" spans="1:2" x14ac:dyDescent="0.25">
      <c r="A24552">
        <v>55142300160</v>
      </c>
      <c r="B24552" t="s">
        <v>8730</v>
      </c>
    </row>
    <row r="24553" spans="1:2" x14ac:dyDescent="0.25">
      <c r="A24553">
        <v>55142300170</v>
      </c>
      <c r="B24553" t="s">
        <v>8731</v>
      </c>
    </row>
    <row r="24554" spans="1:2" x14ac:dyDescent="0.25">
      <c r="A24554">
        <v>55142300180</v>
      </c>
      <c r="B24554" t="s">
        <v>8732</v>
      </c>
    </row>
    <row r="24555" spans="1:2" x14ac:dyDescent="0.25">
      <c r="A24555">
        <v>55142300190</v>
      </c>
      <c r="B24555" t="s">
        <v>57</v>
      </c>
    </row>
    <row r="24556" spans="1:2" x14ac:dyDescent="0.25">
      <c r="A24556">
        <v>551423009</v>
      </c>
      <c r="B24556" t="s">
        <v>8500</v>
      </c>
    </row>
    <row r="24557" spans="1:2" x14ac:dyDescent="0.25">
      <c r="A24557">
        <v>55142300910</v>
      </c>
      <c r="B24557" t="s">
        <v>8641</v>
      </c>
    </row>
    <row r="24558" spans="1:2" x14ac:dyDescent="0.25">
      <c r="A24558">
        <v>55142300920</v>
      </c>
      <c r="B24558" t="s">
        <v>8726</v>
      </c>
    </row>
    <row r="24559" spans="1:2" x14ac:dyDescent="0.25">
      <c r="A24559">
        <v>55142300930</v>
      </c>
      <c r="B24559" t="s">
        <v>8727</v>
      </c>
    </row>
    <row r="24560" spans="1:2" x14ac:dyDescent="0.25">
      <c r="A24560">
        <v>55142300940</v>
      </c>
      <c r="B24560" t="s">
        <v>8728</v>
      </c>
    </row>
    <row r="24561" spans="1:2" x14ac:dyDescent="0.25">
      <c r="A24561">
        <v>55142300950</v>
      </c>
      <c r="B24561" t="s">
        <v>8739</v>
      </c>
    </row>
    <row r="24562" spans="1:2" x14ac:dyDescent="0.25">
      <c r="A24562">
        <v>55142300960</v>
      </c>
      <c r="B24562" t="s">
        <v>8730</v>
      </c>
    </row>
    <row r="24563" spans="1:2" x14ac:dyDescent="0.25">
      <c r="A24563">
        <v>55142300970</v>
      </c>
      <c r="B24563" t="s">
        <v>8731</v>
      </c>
    </row>
    <row r="24564" spans="1:2" x14ac:dyDescent="0.25">
      <c r="A24564">
        <v>55142300980</v>
      </c>
      <c r="B24564" t="s">
        <v>8732</v>
      </c>
    </row>
    <row r="24565" spans="1:2" x14ac:dyDescent="0.25">
      <c r="A24565">
        <v>55142300990</v>
      </c>
      <c r="B24565" t="s">
        <v>57</v>
      </c>
    </row>
    <row r="24566" spans="1:2" x14ac:dyDescent="0.25">
      <c r="A24566">
        <v>55142900</v>
      </c>
      <c r="B24566" t="e">
        <f>- - Los demas tejidos</f>
        <v>#NAME?</v>
      </c>
    </row>
    <row r="24567" spans="1:2" x14ac:dyDescent="0.25">
      <c r="A24567">
        <v>551429001</v>
      </c>
      <c r="B24567" t="s">
        <v>8535</v>
      </c>
    </row>
    <row r="24568" spans="1:2" x14ac:dyDescent="0.25">
      <c r="A24568">
        <v>55142900110</v>
      </c>
      <c r="B24568" t="s">
        <v>8641</v>
      </c>
    </row>
    <row r="24569" spans="1:2" x14ac:dyDescent="0.25">
      <c r="A24569">
        <v>55142900120</v>
      </c>
      <c r="B24569" t="s">
        <v>8726</v>
      </c>
    </row>
    <row r="24570" spans="1:2" x14ac:dyDescent="0.25">
      <c r="A24570">
        <v>55142900130</v>
      </c>
      <c r="B24570" t="s">
        <v>8727</v>
      </c>
    </row>
    <row r="24571" spans="1:2" x14ac:dyDescent="0.25">
      <c r="A24571">
        <v>55142900140</v>
      </c>
      <c r="B24571" t="s">
        <v>8728</v>
      </c>
    </row>
    <row r="24572" spans="1:2" x14ac:dyDescent="0.25">
      <c r="A24572">
        <v>55142900150</v>
      </c>
      <c r="B24572" t="s">
        <v>8729</v>
      </c>
    </row>
    <row r="24573" spans="1:2" x14ac:dyDescent="0.25">
      <c r="A24573">
        <v>55142900160</v>
      </c>
      <c r="B24573" t="s">
        <v>8730</v>
      </c>
    </row>
    <row r="24574" spans="1:2" x14ac:dyDescent="0.25">
      <c r="A24574">
        <v>55142900170</v>
      </c>
      <c r="B24574" t="s">
        <v>8731</v>
      </c>
    </row>
    <row r="24575" spans="1:2" x14ac:dyDescent="0.25">
      <c r="A24575">
        <v>55142900180</v>
      </c>
      <c r="B24575" t="s">
        <v>8732</v>
      </c>
    </row>
    <row r="24576" spans="1:2" x14ac:dyDescent="0.25">
      <c r="A24576">
        <v>55142900190</v>
      </c>
      <c r="B24576" t="s">
        <v>57</v>
      </c>
    </row>
    <row r="24577" spans="1:2" x14ac:dyDescent="0.25">
      <c r="A24577">
        <v>551429002</v>
      </c>
      <c r="B24577" t="s">
        <v>8506</v>
      </c>
    </row>
    <row r="24578" spans="1:2" x14ac:dyDescent="0.25">
      <c r="A24578">
        <v>55142900210</v>
      </c>
      <c r="B24578" t="s">
        <v>8641</v>
      </c>
    </row>
    <row r="24579" spans="1:2" x14ac:dyDescent="0.25">
      <c r="A24579">
        <v>55142900220</v>
      </c>
      <c r="B24579" t="s">
        <v>8726</v>
      </c>
    </row>
    <row r="24580" spans="1:2" x14ac:dyDescent="0.25">
      <c r="A24580">
        <v>55142900230</v>
      </c>
      <c r="B24580" t="s">
        <v>8727</v>
      </c>
    </row>
    <row r="24581" spans="1:2" x14ac:dyDescent="0.25">
      <c r="A24581">
        <v>55142900240</v>
      </c>
      <c r="B24581" t="s">
        <v>8728</v>
      </c>
    </row>
    <row r="24582" spans="1:2" x14ac:dyDescent="0.25">
      <c r="A24582">
        <v>55142900250</v>
      </c>
      <c r="B24582" t="s">
        <v>8729</v>
      </c>
    </row>
    <row r="24583" spans="1:2" x14ac:dyDescent="0.25">
      <c r="A24583">
        <v>55142900260</v>
      </c>
      <c r="B24583" t="s">
        <v>8730</v>
      </c>
    </row>
    <row r="24584" spans="1:2" x14ac:dyDescent="0.25">
      <c r="A24584">
        <v>55142900270</v>
      </c>
      <c r="B24584" t="s">
        <v>8731</v>
      </c>
    </row>
    <row r="24585" spans="1:2" x14ac:dyDescent="0.25">
      <c r="A24585">
        <v>55142900280</v>
      </c>
      <c r="B24585" t="s">
        <v>8732</v>
      </c>
    </row>
    <row r="24586" spans="1:2" x14ac:dyDescent="0.25">
      <c r="A24586">
        <v>55142900290</v>
      </c>
      <c r="B24586" t="s">
        <v>57</v>
      </c>
    </row>
    <row r="24587" spans="1:2" x14ac:dyDescent="0.25">
      <c r="A24587">
        <v>551429003</v>
      </c>
      <c r="B24587" t="s">
        <v>8498</v>
      </c>
    </row>
    <row r="24588" spans="1:2" x14ac:dyDescent="0.25">
      <c r="A24588">
        <v>55142900310</v>
      </c>
      <c r="B24588" t="s">
        <v>8641</v>
      </c>
    </row>
    <row r="24589" spans="1:2" x14ac:dyDescent="0.25">
      <c r="A24589">
        <v>55142900320</v>
      </c>
      <c r="B24589" t="s">
        <v>8726</v>
      </c>
    </row>
    <row r="24590" spans="1:2" x14ac:dyDescent="0.25">
      <c r="A24590">
        <v>55142900330</v>
      </c>
      <c r="B24590" t="s">
        <v>8727</v>
      </c>
    </row>
    <row r="24591" spans="1:2" x14ac:dyDescent="0.25">
      <c r="A24591">
        <v>55142900340</v>
      </c>
      <c r="B24591" t="s">
        <v>8728</v>
      </c>
    </row>
    <row r="24592" spans="1:2" x14ac:dyDescent="0.25">
      <c r="A24592">
        <v>55142900350</v>
      </c>
      <c r="B24592" t="s">
        <v>8729</v>
      </c>
    </row>
    <row r="24593" spans="1:2" x14ac:dyDescent="0.25">
      <c r="A24593">
        <v>55142900360</v>
      </c>
      <c r="B24593" t="s">
        <v>8730</v>
      </c>
    </row>
    <row r="24594" spans="1:2" x14ac:dyDescent="0.25">
      <c r="A24594">
        <v>55142900370</v>
      </c>
      <c r="B24594" t="s">
        <v>8731</v>
      </c>
    </row>
    <row r="24595" spans="1:2" x14ac:dyDescent="0.25">
      <c r="A24595">
        <v>55142900380</v>
      </c>
      <c r="B24595" t="s">
        <v>8732</v>
      </c>
    </row>
    <row r="24596" spans="1:2" x14ac:dyDescent="0.25">
      <c r="A24596">
        <v>55142900390</v>
      </c>
      <c r="B24596" t="s">
        <v>57</v>
      </c>
    </row>
    <row r="24597" spans="1:2" x14ac:dyDescent="0.25">
      <c r="A24597">
        <v>551429009</v>
      </c>
      <c r="B24597" t="s">
        <v>10</v>
      </c>
    </row>
    <row r="24598" spans="1:2" x14ac:dyDescent="0.25">
      <c r="A24598">
        <v>55142900910</v>
      </c>
      <c r="B24598" t="s">
        <v>8641</v>
      </c>
    </row>
    <row r="24599" spans="1:2" x14ac:dyDescent="0.25">
      <c r="A24599">
        <v>55142900920</v>
      </c>
      <c r="B24599" t="s">
        <v>8726</v>
      </c>
    </row>
    <row r="24600" spans="1:2" x14ac:dyDescent="0.25">
      <c r="A24600">
        <v>55142900930</v>
      </c>
      <c r="B24600" t="s">
        <v>8727</v>
      </c>
    </row>
    <row r="24601" spans="1:2" x14ac:dyDescent="0.25">
      <c r="A24601">
        <v>55142900940</v>
      </c>
      <c r="B24601" t="s">
        <v>8728</v>
      </c>
    </row>
    <row r="24602" spans="1:2" x14ac:dyDescent="0.25">
      <c r="A24602">
        <v>55142900950</v>
      </c>
      <c r="B24602" t="s">
        <v>8729</v>
      </c>
    </row>
    <row r="24603" spans="1:2" x14ac:dyDescent="0.25">
      <c r="A24603">
        <v>55142900960</v>
      </c>
      <c r="B24603" t="s">
        <v>8730</v>
      </c>
    </row>
    <row r="24604" spans="1:2" x14ac:dyDescent="0.25">
      <c r="A24604">
        <v>55142900970</v>
      </c>
      <c r="B24604" t="s">
        <v>8731</v>
      </c>
    </row>
    <row r="24605" spans="1:2" x14ac:dyDescent="0.25">
      <c r="A24605">
        <v>55142900980</v>
      </c>
      <c r="B24605" t="s">
        <v>8732</v>
      </c>
    </row>
    <row r="24606" spans="1:2" x14ac:dyDescent="0.25">
      <c r="A24606">
        <v>55142900990</v>
      </c>
      <c r="B24606" t="s">
        <v>57</v>
      </c>
    </row>
    <row r="24607" spans="1:2" x14ac:dyDescent="0.25">
      <c r="A24607">
        <v>551430</v>
      </c>
      <c r="B24607" t="e">
        <f>- Con hilados de distintos colores</f>
        <v>#NAME?</v>
      </c>
    </row>
    <row r="24608" spans="1:2" x14ac:dyDescent="0.25">
      <c r="A24608">
        <v>5514301</v>
      </c>
      <c r="B24608" t="s">
        <v>8737</v>
      </c>
    </row>
    <row r="24609" spans="1:2" x14ac:dyDescent="0.25">
      <c r="A24609">
        <v>55143011</v>
      </c>
      <c r="B24609" t="s">
        <v>8535</v>
      </c>
    </row>
    <row r="24610" spans="1:2" x14ac:dyDescent="0.25">
      <c r="A24610">
        <v>55143011100</v>
      </c>
      <c r="B24610" t="s">
        <v>8641</v>
      </c>
    </row>
    <row r="24611" spans="1:2" x14ac:dyDescent="0.25">
      <c r="A24611">
        <v>55143011200</v>
      </c>
      <c r="B24611" t="s">
        <v>8726</v>
      </c>
    </row>
    <row r="24612" spans="1:2" x14ac:dyDescent="0.25">
      <c r="A24612">
        <v>55143011300</v>
      </c>
      <c r="B24612" t="s">
        <v>8727</v>
      </c>
    </row>
    <row r="24613" spans="1:2" x14ac:dyDescent="0.25">
      <c r="A24613">
        <v>55143011400</v>
      </c>
      <c r="B24613" t="s">
        <v>8728</v>
      </c>
    </row>
    <row r="24614" spans="1:2" x14ac:dyDescent="0.25">
      <c r="A24614">
        <v>55143011500</v>
      </c>
      <c r="B24614" t="s">
        <v>8729</v>
      </c>
    </row>
    <row r="24615" spans="1:2" x14ac:dyDescent="0.25">
      <c r="A24615">
        <v>55143011600</v>
      </c>
      <c r="B24615" t="s">
        <v>8730</v>
      </c>
    </row>
    <row r="24616" spans="1:2" x14ac:dyDescent="0.25">
      <c r="A24616">
        <v>55143011700</v>
      </c>
      <c r="B24616" t="s">
        <v>8731</v>
      </c>
    </row>
    <row r="24617" spans="1:2" x14ac:dyDescent="0.25">
      <c r="A24617">
        <v>55143011800</v>
      </c>
      <c r="B24617" t="s">
        <v>8732</v>
      </c>
    </row>
    <row r="24618" spans="1:2" x14ac:dyDescent="0.25">
      <c r="A24618">
        <v>55143011900</v>
      </c>
      <c r="B24618" t="s">
        <v>57</v>
      </c>
    </row>
    <row r="24619" spans="1:2" x14ac:dyDescent="0.25">
      <c r="A24619">
        <v>55143012</v>
      </c>
      <c r="B24619" t="s">
        <v>8506</v>
      </c>
    </row>
    <row r="24620" spans="1:2" x14ac:dyDescent="0.25">
      <c r="A24620">
        <v>55143012100</v>
      </c>
      <c r="B24620" t="s">
        <v>8641</v>
      </c>
    </row>
    <row r="24621" spans="1:2" x14ac:dyDescent="0.25">
      <c r="A24621">
        <v>55143012200</v>
      </c>
      <c r="B24621" t="s">
        <v>8726</v>
      </c>
    </row>
    <row r="24622" spans="1:2" x14ac:dyDescent="0.25">
      <c r="A24622">
        <v>55143012300</v>
      </c>
      <c r="B24622" t="s">
        <v>8727</v>
      </c>
    </row>
    <row r="24623" spans="1:2" x14ac:dyDescent="0.25">
      <c r="A24623">
        <v>55143012400</v>
      </c>
      <c r="B24623" t="s">
        <v>8728</v>
      </c>
    </row>
    <row r="24624" spans="1:2" x14ac:dyDescent="0.25">
      <c r="A24624">
        <v>55143012500</v>
      </c>
      <c r="B24624" t="s">
        <v>8729</v>
      </c>
    </row>
    <row r="24625" spans="1:2" x14ac:dyDescent="0.25">
      <c r="A24625">
        <v>55143012600</v>
      </c>
      <c r="B24625" t="s">
        <v>8730</v>
      </c>
    </row>
    <row r="24626" spans="1:2" x14ac:dyDescent="0.25">
      <c r="A24626">
        <v>55143012700</v>
      </c>
      <c r="B24626" t="s">
        <v>8731</v>
      </c>
    </row>
    <row r="24627" spans="1:2" x14ac:dyDescent="0.25">
      <c r="A24627">
        <v>55143012800</v>
      </c>
      <c r="B24627" t="s">
        <v>8732</v>
      </c>
    </row>
    <row r="24628" spans="1:2" x14ac:dyDescent="0.25">
      <c r="A24628">
        <v>55143012900</v>
      </c>
      <c r="B24628" t="s">
        <v>57</v>
      </c>
    </row>
    <row r="24629" spans="1:2" x14ac:dyDescent="0.25">
      <c r="A24629">
        <v>55143019</v>
      </c>
      <c r="B24629" t="s">
        <v>10</v>
      </c>
    </row>
    <row r="24630" spans="1:2" x14ac:dyDescent="0.25">
      <c r="A24630">
        <v>551430191</v>
      </c>
      <c r="B24630" t="s">
        <v>8740</v>
      </c>
    </row>
    <row r="24631" spans="1:2" x14ac:dyDescent="0.25">
      <c r="A24631">
        <v>55143019110</v>
      </c>
      <c r="B24631" t="s">
        <v>8641</v>
      </c>
    </row>
    <row r="24632" spans="1:2" x14ac:dyDescent="0.25">
      <c r="A24632">
        <v>55143019120</v>
      </c>
      <c r="B24632" t="s">
        <v>8726</v>
      </c>
    </row>
    <row r="24633" spans="1:2" x14ac:dyDescent="0.25">
      <c r="A24633">
        <v>55143019130</v>
      </c>
      <c r="B24633" t="s">
        <v>8727</v>
      </c>
    </row>
    <row r="24634" spans="1:2" x14ac:dyDescent="0.25">
      <c r="A24634">
        <v>55143019140</v>
      </c>
      <c r="B24634" t="s">
        <v>8728</v>
      </c>
    </row>
    <row r="24635" spans="1:2" x14ac:dyDescent="0.25">
      <c r="A24635">
        <v>55143019150</v>
      </c>
      <c r="B24635" t="s">
        <v>8729</v>
      </c>
    </row>
    <row r="24636" spans="1:2" x14ac:dyDescent="0.25">
      <c r="A24636">
        <v>55143019160</v>
      </c>
      <c r="B24636" t="s">
        <v>8730</v>
      </c>
    </row>
    <row r="24637" spans="1:2" x14ac:dyDescent="0.25">
      <c r="A24637">
        <v>55143019170</v>
      </c>
      <c r="B24637" t="s">
        <v>8731</v>
      </c>
    </row>
    <row r="24638" spans="1:2" x14ac:dyDescent="0.25">
      <c r="A24638">
        <v>55143019180</v>
      </c>
      <c r="B24638" t="s">
        <v>8732</v>
      </c>
    </row>
    <row r="24639" spans="1:2" x14ac:dyDescent="0.25">
      <c r="A24639">
        <v>55143019190</v>
      </c>
      <c r="B24639" t="s">
        <v>57</v>
      </c>
    </row>
    <row r="24640" spans="1:2" x14ac:dyDescent="0.25">
      <c r="A24640">
        <v>551430199</v>
      </c>
      <c r="B24640" t="s">
        <v>8500</v>
      </c>
    </row>
    <row r="24641" spans="1:2" x14ac:dyDescent="0.25">
      <c r="A24641">
        <v>55143019910</v>
      </c>
      <c r="B24641" t="s">
        <v>8641</v>
      </c>
    </row>
    <row r="24642" spans="1:2" x14ac:dyDescent="0.25">
      <c r="A24642">
        <v>55143019920</v>
      </c>
      <c r="B24642" t="s">
        <v>8726</v>
      </c>
    </row>
    <row r="24643" spans="1:2" x14ac:dyDescent="0.25">
      <c r="A24643">
        <v>55143019930</v>
      </c>
      <c r="B24643" t="s">
        <v>8727</v>
      </c>
    </row>
    <row r="24644" spans="1:2" x14ac:dyDescent="0.25">
      <c r="A24644">
        <v>55143019940</v>
      </c>
      <c r="B24644" t="s">
        <v>8728</v>
      </c>
    </row>
    <row r="24645" spans="1:2" x14ac:dyDescent="0.25">
      <c r="A24645">
        <v>55143019950</v>
      </c>
      <c r="B24645" t="s">
        <v>8729</v>
      </c>
    </row>
    <row r="24646" spans="1:2" x14ac:dyDescent="0.25">
      <c r="A24646">
        <v>55143019960</v>
      </c>
      <c r="B24646" t="s">
        <v>8730</v>
      </c>
    </row>
    <row r="24647" spans="1:2" x14ac:dyDescent="0.25">
      <c r="A24647">
        <v>55143019970</v>
      </c>
      <c r="B24647" t="s">
        <v>8731</v>
      </c>
    </row>
    <row r="24648" spans="1:2" x14ac:dyDescent="0.25">
      <c r="A24648">
        <v>55143019980</v>
      </c>
      <c r="B24648" t="s">
        <v>8732</v>
      </c>
    </row>
    <row r="24649" spans="1:2" x14ac:dyDescent="0.25">
      <c r="A24649">
        <v>55143019990</v>
      </c>
      <c r="B24649" t="s">
        <v>57</v>
      </c>
    </row>
    <row r="24650" spans="1:2" x14ac:dyDescent="0.25">
      <c r="A24650">
        <v>55143090</v>
      </c>
      <c r="B24650" t="s">
        <v>10</v>
      </c>
    </row>
    <row r="24651" spans="1:2" x14ac:dyDescent="0.25">
      <c r="A24651">
        <v>551430901</v>
      </c>
      <c r="B24651" t="s">
        <v>8535</v>
      </c>
    </row>
    <row r="24652" spans="1:2" x14ac:dyDescent="0.25">
      <c r="A24652">
        <v>55143090110</v>
      </c>
      <c r="B24652" t="s">
        <v>8641</v>
      </c>
    </row>
    <row r="24653" spans="1:2" x14ac:dyDescent="0.25">
      <c r="A24653">
        <v>55143090120</v>
      </c>
      <c r="B24653" t="s">
        <v>8726</v>
      </c>
    </row>
    <row r="24654" spans="1:2" x14ac:dyDescent="0.25">
      <c r="A24654">
        <v>55143090130</v>
      </c>
      <c r="B24654" t="s">
        <v>8727</v>
      </c>
    </row>
    <row r="24655" spans="1:2" x14ac:dyDescent="0.25">
      <c r="A24655">
        <v>55143090140</v>
      </c>
      <c r="B24655" t="s">
        <v>8728</v>
      </c>
    </row>
    <row r="24656" spans="1:2" x14ac:dyDescent="0.25">
      <c r="A24656">
        <v>55143090150</v>
      </c>
      <c r="B24656" t="s">
        <v>8729</v>
      </c>
    </row>
    <row r="24657" spans="1:2" x14ac:dyDescent="0.25">
      <c r="A24657">
        <v>55143090160</v>
      </c>
      <c r="B24657" t="s">
        <v>8730</v>
      </c>
    </row>
    <row r="24658" spans="1:2" x14ac:dyDescent="0.25">
      <c r="A24658">
        <v>55143090170</v>
      </c>
      <c r="B24658" t="s">
        <v>8731</v>
      </c>
    </row>
    <row r="24659" spans="1:2" x14ac:dyDescent="0.25">
      <c r="A24659">
        <v>55143090180</v>
      </c>
      <c r="B24659" t="s">
        <v>8732</v>
      </c>
    </row>
    <row r="24660" spans="1:2" x14ac:dyDescent="0.25">
      <c r="A24660">
        <v>55143090190</v>
      </c>
      <c r="B24660" t="s">
        <v>57</v>
      </c>
    </row>
    <row r="24661" spans="1:2" x14ac:dyDescent="0.25">
      <c r="A24661">
        <v>551430902</v>
      </c>
      <c r="B24661" t="s">
        <v>8506</v>
      </c>
    </row>
    <row r="24662" spans="1:2" x14ac:dyDescent="0.25">
      <c r="A24662">
        <v>55143090210</v>
      </c>
      <c r="B24662" t="s">
        <v>8641</v>
      </c>
    </row>
    <row r="24663" spans="1:2" x14ac:dyDescent="0.25">
      <c r="A24663">
        <v>55143090220</v>
      </c>
      <c r="B24663" t="s">
        <v>8726</v>
      </c>
    </row>
    <row r="24664" spans="1:2" x14ac:dyDescent="0.25">
      <c r="A24664">
        <v>55143090230</v>
      </c>
      <c r="B24664" t="s">
        <v>8727</v>
      </c>
    </row>
    <row r="24665" spans="1:2" x14ac:dyDescent="0.25">
      <c r="A24665">
        <v>55143090240</v>
      </c>
      <c r="B24665" t="s">
        <v>8728</v>
      </c>
    </row>
    <row r="24666" spans="1:2" x14ac:dyDescent="0.25">
      <c r="A24666">
        <v>55143090250</v>
      </c>
      <c r="B24666" t="s">
        <v>8729</v>
      </c>
    </row>
    <row r="24667" spans="1:2" x14ac:dyDescent="0.25">
      <c r="A24667">
        <v>55143090260</v>
      </c>
      <c r="B24667" t="s">
        <v>8730</v>
      </c>
    </row>
    <row r="24668" spans="1:2" x14ac:dyDescent="0.25">
      <c r="A24668">
        <v>55143090270</v>
      </c>
      <c r="B24668" t="s">
        <v>8731</v>
      </c>
    </row>
    <row r="24669" spans="1:2" x14ac:dyDescent="0.25">
      <c r="A24669">
        <v>55143090280</v>
      </c>
      <c r="B24669" t="s">
        <v>8732</v>
      </c>
    </row>
    <row r="24670" spans="1:2" x14ac:dyDescent="0.25">
      <c r="A24670">
        <v>55143090290</v>
      </c>
      <c r="B24670" t="s">
        <v>57</v>
      </c>
    </row>
    <row r="24671" spans="1:2" x14ac:dyDescent="0.25">
      <c r="A24671">
        <v>551430903</v>
      </c>
      <c r="B24671" t="s">
        <v>8498</v>
      </c>
    </row>
    <row r="24672" spans="1:2" x14ac:dyDescent="0.25">
      <c r="A24672">
        <v>55143090310</v>
      </c>
      <c r="B24672" t="s">
        <v>8641</v>
      </c>
    </row>
    <row r="24673" spans="1:2" x14ac:dyDescent="0.25">
      <c r="A24673">
        <v>55143090320</v>
      </c>
      <c r="B24673" t="s">
        <v>8726</v>
      </c>
    </row>
    <row r="24674" spans="1:2" x14ac:dyDescent="0.25">
      <c r="A24674">
        <v>55143090330</v>
      </c>
      <c r="B24674" t="s">
        <v>8727</v>
      </c>
    </row>
    <row r="24675" spans="1:2" x14ac:dyDescent="0.25">
      <c r="A24675">
        <v>55143090340</v>
      </c>
      <c r="B24675" t="s">
        <v>8728</v>
      </c>
    </row>
    <row r="24676" spans="1:2" x14ac:dyDescent="0.25">
      <c r="A24676">
        <v>55143090350</v>
      </c>
      <c r="B24676" t="s">
        <v>8729</v>
      </c>
    </row>
    <row r="24677" spans="1:2" x14ac:dyDescent="0.25">
      <c r="A24677">
        <v>55143090360</v>
      </c>
      <c r="B24677" t="s">
        <v>8730</v>
      </c>
    </row>
    <row r="24678" spans="1:2" x14ac:dyDescent="0.25">
      <c r="A24678">
        <v>55143090370</v>
      </c>
      <c r="B24678" t="s">
        <v>8731</v>
      </c>
    </row>
    <row r="24679" spans="1:2" x14ac:dyDescent="0.25">
      <c r="A24679">
        <v>55143090380</v>
      </c>
      <c r="B24679" t="s">
        <v>8732</v>
      </c>
    </row>
    <row r="24680" spans="1:2" x14ac:dyDescent="0.25">
      <c r="A24680">
        <v>55143090390</v>
      </c>
      <c r="B24680" t="s">
        <v>57</v>
      </c>
    </row>
    <row r="24681" spans="1:2" x14ac:dyDescent="0.25">
      <c r="A24681">
        <v>551430909</v>
      </c>
      <c r="B24681" t="s">
        <v>8500</v>
      </c>
    </row>
    <row r="24682" spans="1:2" x14ac:dyDescent="0.25">
      <c r="A24682">
        <v>55143090910</v>
      </c>
      <c r="B24682" t="s">
        <v>8641</v>
      </c>
    </row>
    <row r="24683" spans="1:2" x14ac:dyDescent="0.25">
      <c r="A24683">
        <v>55143090920</v>
      </c>
      <c r="B24683" t="s">
        <v>8726</v>
      </c>
    </row>
    <row r="24684" spans="1:2" x14ac:dyDescent="0.25">
      <c r="A24684">
        <v>55143090930</v>
      </c>
      <c r="B24684" t="s">
        <v>8727</v>
      </c>
    </row>
    <row r="24685" spans="1:2" x14ac:dyDescent="0.25">
      <c r="A24685">
        <v>55143090940</v>
      </c>
      <c r="B24685" t="s">
        <v>8728</v>
      </c>
    </row>
    <row r="24686" spans="1:2" x14ac:dyDescent="0.25">
      <c r="A24686">
        <v>55143090950</v>
      </c>
      <c r="B24686" t="s">
        <v>8729</v>
      </c>
    </row>
    <row r="24687" spans="1:2" x14ac:dyDescent="0.25">
      <c r="A24687">
        <v>55143090960</v>
      </c>
      <c r="B24687" t="s">
        <v>8730</v>
      </c>
    </row>
    <row r="24688" spans="1:2" x14ac:dyDescent="0.25">
      <c r="A24688">
        <v>55143090970</v>
      </c>
      <c r="B24688" t="s">
        <v>8731</v>
      </c>
    </row>
    <row r="24689" spans="1:2" x14ac:dyDescent="0.25">
      <c r="A24689">
        <v>55143090980</v>
      </c>
      <c r="B24689" t="s">
        <v>8732</v>
      </c>
    </row>
    <row r="24690" spans="1:2" x14ac:dyDescent="0.25">
      <c r="A24690">
        <v>55143090990</v>
      </c>
      <c r="B24690" t="s">
        <v>57</v>
      </c>
    </row>
    <row r="24691" spans="1:2" x14ac:dyDescent="0.25">
      <c r="A24691">
        <v>55144</v>
      </c>
      <c r="B24691" t="s">
        <v>8505</v>
      </c>
    </row>
    <row r="24692" spans="1:2" x14ac:dyDescent="0.25">
      <c r="A24692">
        <v>55144100</v>
      </c>
      <c r="B24692" t="e">
        <f>- - de fibras discontinuas de poliester. de ligamento tafetan</f>
        <v>#NAME?</v>
      </c>
    </row>
    <row r="24693" spans="1:2" x14ac:dyDescent="0.25">
      <c r="A24693">
        <v>55144100100</v>
      </c>
      <c r="B24693" t="s">
        <v>8641</v>
      </c>
    </row>
    <row r="24694" spans="1:2" x14ac:dyDescent="0.25">
      <c r="A24694">
        <v>55144100200</v>
      </c>
      <c r="B24694" t="s">
        <v>8726</v>
      </c>
    </row>
    <row r="24695" spans="1:2" x14ac:dyDescent="0.25">
      <c r="A24695">
        <v>55144100300</v>
      </c>
      <c r="B24695" t="s">
        <v>8727</v>
      </c>
    </row>
    <row r="24696" spans="1:2" x14ac:dyDescent="0.25">
      <c r="A24696">
        <v>55144100400</v>
      </c>
      <c r="B24696" t="s">
        <v>8728</v>
      </c>
    </row>
    <row r="24697" spans="1:2" x14ac:dyDescent="0.25">
      <c r="A24697">
        <v>55144100500</v>
      </c>
      <c r="B24697" t="s">
        <v>8729</v>
      </c>
    </row>
    <row r="24698" spans="1:2" x14ac:dyDescent="0.25">
      <c r="A24698">
        <v>55144100600</v>
      </c>
      <c r="B24698" t="s">
        <v>8730</v>
      </c>
    </row>
    <row r="24699" spans="1:2" x14ac:dyDescent="0.25">
      <c r="A24699">
        <v>55144100700</v>
      </c>
      <c r="B24699" t="s">
        <v>8731</v>
      </c>
    </row>
    <row r="24700" spans="1:2" x14ac:dyDescent="0.25">
      <c r="A24700">
        <v>55144100800</v>
      </c>
      <c r="B24700" t="s">
        <v>8732</v>
      </c>
    </row>
    <row r="24701" spans="1:2" x14ac:dyDescent="0.25">
      <c r="A24701">
        <v>55144100900</v>
      </c>
      <c r="B24701" t="s">
        <v>57</v>
      </c>
    </row>
    <row r="24702" spans="1:2" x14ac:dyDescent="0.25">
      <c r="A24702">
        <v>55144200</v>
      </c>
      <c r="B24702" t="s">
        <v>8736</v>
      </c>
    </row>
    <row r="24703" spans="1:2" x14ac:dyDescent="0.25">
      <c r="A24703">
        <v>55144200100</v>
      </c>
      <c r="B24703" t="s">
        <v>8641</v>
      </c>
    </row>
    <row r="24704" spans="1:2" x14ac:dyDescent="0.25">
      <c r="A24704">
        <v>55144200200</v>
      </c>
      <c r="B24704" t="s">
        <v>8726</v>
      </c>
    </row>
    <row r="24705" spans="1:2" x14ac:dyDescent="0.25">
      <c r="A24705">
        <v>55144200300</v>
      </c>
      <c r="B24705" t="s">
        <v>8727</v>
      </c>
    </row>
    <row r="24706" spans="1:2" x14ac:dyDescent="0.25">
      <c r="A24706">
        <v>55144200400</v>
      </c>
      <c r="B24706" t="s">
        <v>8728</v>
      </c>
    </row>
    <row r="24707" spans="1:2" x14ac:dyDescent="0.25">
      <c r="A24707">
        <v>55144200500</v>
      </c>
      <c r="B24707" t="s">
        <v>8729</v>
      </c>
    </row>
    <row r="24708" spans="1:2" x14ac:dyDescent="0.25">
      <c r="A24708">
        <v>55144200600</v>
      </c>
      <c r="B24708" t="s">
        <v>8730</v>
      </c>
    </row>
    <row r="24709" spans="1:2" x14ac:dyDescent="0.25">
      <c r="A24709">
        <v>55144200700</v>
      </c>
      <c r="B24709" t="s">
        <v>8731</v>
      </c>
    </row>
    <row r="24710" spans="1:2" x14ac:dyDescent="0.25">
      <c r="A24710">
        <v>55144200800</v>
      </c>
      <c r="B24710" t="s">
        <v>8732</v>
      </c>
    </row>
    <row r="24711" spans="1:2" x14ac:dyDescent="0.25">
      <c r="A24711">
        <v>55144200900</v>
      </c>
      <c r="B24711" t="s">
        <v>57</v>
      </c>
    </row>
    <row r="24712" spans="1:2" x14ac:dyDescent="0.25">
      <c r="A24712">
        <v>55144300</v>
      </c>
      <c r="B24712" t="e">
        <f>- - Los demas tejidos de fibras discontinuas de poliester</f>
        <v>#NAME?</v>
      </c>
    </row>
    <row r="24713" spans="1:2" x14ac:dyDescent="0.25">
      <c r="A24713">
        <v>551443001</v>
      </c>
      <c r="B24713" t="s">
        <v>8498</v>
      </c>
    </row>
    <row r="24714" spans="1:2" x14ac:dyDescent="0.25">
      <c r="A24714">
        <v>55144300110</v>
      </c>
      <c r="B24714" t="s">
        <v>8641</v>
      </c>
    </row>
    <row r="24715" spans="1:2" x14ac:dyDescent="0.25">
      <c r="A24715">
        <v>55144300120</v>
      </c>
      <c r="B24715" t="s">
        <v>8726</v>
      </c>
    </row>
    <row r="24716" spans="1:2" x14ac:dyDescent="0.25">
      <c r="A24716">
        <v>55144300130</v>
      </c>
      <c r="B24716" t="s">
        <v>8727</v>
      </c>
    </row>
    <row r="24717" spans="1:2" x14ac:dyDescent="0.25">
      <c r="A24717">
        <v>55144300140</v>
      </c>
      <c r="B24717" t="s">
        <v>8728</v>
      </c>
    </row>
    <row r="24718" spans="1:2" x14ac:dyDescent="0.25">
      <c r="A24718">
        <v>55144300150</v>
      </c>
      <c r="B24718" t="s">
        <v>8729</v>
      </c>
    </row>
    <row r="24719" spans="1:2" x14ac:dyDescent="0.25">
      <c r="A24719">
        <v>55144300160</v>
      </c>
      <c r="B24719" t="s">
        <v>8730</v>
      </c>
    </row>
    <row r="24720" spans="1:2" x14ac:dyDescent="0.25">
      <c r="A24720">
        <v>55144300170</v>
      </c>
      <c r="B24720" t="s">
        <v>8731</v>
      </c>
    </row>
    <row r="24721" spans="1:2" x14ac:dyDescent="0.25">
      <c r="A24721">
        <v>55144300180</v>
      </c>
      <c r="B24721" t="s">
        <v>8732</v>
      </c>
    </row>
    <row r="24722" spans="1:2" x14ac:dyDescent="0.25">
      <c r="A24722">
        <v>55144300190</v>
      </c>
      <c r="B24722" t="s">
        <v>57</v>
      </c>
    </row>
    <row r="24723" spans="1:2" x14ac:dyDescent="0.25">
      <c r="A24723">
        <v>551443009</v>
      </c>
      <c r="B24723" t="s">
        <v>57</v>
      </c>
    </row>
    <row r="24724" spans="1:2" x14ac:dyDescent="0.25">
      <c r="A24724">
        <v>55144300910</v>
      </c>
      <c r="B24724" t="s">
        <v>8641</v>
      </c>
    </row>
    <row r="24725" spans="1:2" x14ac:dyDescent="0.25">
      <c r="A24725">
        <v>55144300920</v>
      </c>
      <c r="B24725" t="s">
        <v>8726</v>
      </c>
    </row>
    <row r="24726" spans="1:2" x14ac:dyDescent="0.25">
      <c r="A24726">
        <v>55144300930</v>
      </c>
      <c r="B24726" t="s">
        <v>8727</v>
      </c>
    </row>
    <row r="24727" spans="1:2" x14ac:dyDescent="0.25">
      <c r="A24727">
        <v>55144300940</v>
      </c>
      <c r="B24727" t="s">
        <v>8728</v>
      </c>
    </row>
    <row r="24728" spans="1:2" x14ac:dyDescent="0.25">
      <c r="A24728">
        <v>55144300950</v>
      </c>
      <c r="B24728" t="s">
        <v>8729</v>
      </c>
    </row>
    <row r="24729" spans="1:2" x14ac:dyDescent="0.25">
      <c r="A24729">
        <v>55144300960</v>
      </c>
      <c r="B24729" t="s">
        <v>8730</v>
      </c>
    </row>
    <row r="24730" spans="1:2" x14ac:dyDescent="0.25">
      <c r="A24730">
        <v>55144300970</v>
      </c>
      <c r="B24730" t="s">
        <v>8731</v>
      </c>
    </row>
    <row r="24731" spans="1:2" x14ac:dyDescent="0.25">
      <c r="A24731">
        <v>55144300980</v>
      </c>
      <c r="B24731" t="s">
        <v>8732</v>
      </c>
    </row>
    <row r="24732" spans="1:2" x14ac:dyDescent="0.25">
      <c r="A24732">
        <v>55144300990</v>
      </c>
      <c r="B24732" t="s">
        <v>57</v>
      </c>
    </row>
    <row r="24733" spans="1:2" x14ac:dyDescent="0.25">
      <c r="A24733">
        <v>55144900</v>
      </c>
      <c r="B24733" t="e">
        <f>- - Los demas tejidos</f>
        <v>#NAME?</v>
      </c>
    </row>
    <row r="24734" spans="1:2" x14ac:dyDescent="0.25">
      <c r="A24734">
        <v>551449001</v>
      </c>
      <c r="B24734" t="s">
        <v>8535</v>
      </c>
    </row>
    <row r="24735" spans="1:2" x14ac:dyDescent="0.25">
      <c r="A24735">
        <v>55144900110</v>
      </c>
      <c r="B24735" t="s">
        <v>8641</v>
      </c>
    </row>
    <row r="24736" spans="1:2" x14ac:dyDescent="0.25">
      <c r="A24736">
        <v>55144900120</v>
      </c>
      <c r="B24736" t="s">
        <v>8726</v>
      </c>
    </row>
    <row r="24737" spans="1:2" x14ac:dyDescent="0.25">
      <c r="A24737">
        <v>55144900130</v>
      </c>
      <c r="B24737" t="s">
        <v>8727</v>
      </c>
    </row>
    <row r="24738" spans="1:2" x14ac:dyDescent="0.25">
      <c r="A24738">
        <v>55144900140</v>
      </c>
      <c r="B24738" t="s">
        <v>8728</v>
      </c>
    </row>
    <row r="24739" spans="1:2" x14ac:dyDescent="0.25">
      <c r="A24739">
        <v>55144900150</v>
      </c>
      <c r="B24739" t="s">
        <v>8729</v>
      </c>
    </row>
    <row r="24740" spans="1:2" x14ac:dyDescent="0.25">
      <c r="A24740">
        <v>55144900160</v>
      </c>
      <c r="B24740" t="s">
        <v>8730</v>
      </c>
    </row>
    <row r="24741" spans="1:2" x14ac:dyDescent="0.25">
      <c r="A24741">
        <v>55144900170</v>
      </c>
      <c r="B24741" t="s">
        <v>8731</v>
      </c>
    </row>
    <row r="24742" spans="1:2" x14ac:dyDescent="0.25">
      <c r="A24742">
        <v>55144900180</v>
      </c>
      <c r="B24742" t="s">
        <v>8732</v>
      </c>
    </row>
    <row r="24743" spans="1:2" x14ac:dyDescent="0.25">
      <c r="A24743">
        <v>55144900190</v>
      </c>
      <c r="B24743" t="s">
        <v>57</v>
      </c>
    </row>
    <row r="24744" spans="1:2" x14ac:dyDescent="0.25">
      <c r="A24744">
        <v>551449002</v>
      </c>
      <c r="B24744" t="s">
        <v>8506</v>
      </c>
    </row>
    <row r="24745" spans="1:2" x14ac:dyDescent="0.25">
      <c r="A24745">
        <v>55144900210</v>
      </c>
      <c r="B24745" t="s">
        <v>8641</v>
      </c>
    </row>
    <row r="24746" spans="1:2" x14ac:dyDescent="0.25">
      <c r="A24746">
        <v>55144900220</v>
      </c>
      <c r="B24746" t="s">
        <v>8726</v>
      </c>
    </row>
    <row r="24747" spans="1:2" x14ac:dyDescent="0.25">
      <c r="A24747">
        <v>55144900230</v>
      </c>
      <c r="B24747" t="s">
        <v>8727</v>
      </c>
    </row>
    <row r="24748" spans="1:2" x14ac:dyDescent="0.25">
      <c r="A24748">
        <v>55144900240</v>
      </c>
      <c r="B24748" t="s">
        <v>8728</v>
      </c>
    </row>
    <row r="24749" spans="1:2" x14ac:dyDescent="0.25">
      <c r="A24749">
        <v>55144900250</v>
      </c>
      <c r="B24749" t="s">
        <v>8729</v>
      </c>
    </row>
    <row r="24750" spans="1:2" x14ac:dyDescent="0.25">
      <c r="A24750">
        <v>55144900260</v>
      </c>
      <c r="B24750" t="s">
        <v>8730</v>
      </c>
    </row>
    <row r="24751" spans="1:2" x14ac:dyDescent="0.25">
      <c r="A24751">
        <v>55144900270</v>
      </c>
      <c r="B24751" t="s">
        <v>8731</v>
      </c>
    </row>
    <row r="24752" spans="1:2" x14ac:dyDescent="0.25">
      <c r="A24752">
        <v>55144900280</v>
      </c>
      <c r="B24752" t="s">
        <v>8732</v>
      </c>
    </row>
    <row r="24753" spans="1:2" x14ac:dyDescent="0.25">
      <c r="A24753">
        <v>55144900290</v>
      </c>
      <c r="B24753" t="s">
        <v>57</v>
      </c>
    </row>
    <row r="24754" spans="1:2" x14ac:dyDescent="0.25">
      <c r="A24754">
        <v>551449003</v>
      </c>
      <c r="B24754" t="s">
        <v>8498</v>
      </c>
    </row>
    <row r="24755" spans="1:2" x14ac:dyDescent="0.25">
      <c r="A24755">
        <v>55144900310</v>
      </c>
      <c r="B24755" t="s">
        <v>8641</v>
      </c>
    </row>
    <row r="24756" spans="1:2" x14ac:dyDescent="0.25">
      <c r="A24756">
        <v>55144900320</v>
      </c>
      <c r="B24756" t="s">
        <v>8726</v>
      </c>
    </row>
    <row r="24757" spans="1:2" x14ac:dyDescent="0.25">
      <c r="A24757">
        <v>55144900330</v>
      </c>
      <c r="B24757" t="s">
        <v>8727</v>
      </c>
    </row>
    <row r="24758" spans="1:2" x14ac:dyDescent="0.25">
      <c r="A24758">
        <v>55144900340</v>
      </c>
      <c r="B24758" t="s">
        <v>8728</v>
      </c>
    </row>
    <row r="24759" spans="1:2" x14ac:dyDescent="0.25">
      <c r="A24759">
        <v>55144900350</v>
      </c>
      <c r="B24759" t="s">
        <v>8729</v>
      </c>
    </row>
    <row r="24760" spans="1:2" x14ac:dyDescent="0.25">
      <c r="A24760">
        <v>55144900360</v>
      </c>
      <c r="B24760" t="s">
        <v>8730</v>
      </c>
    </row>
    <row r="24761" spans="1:2" x14ac:dyDescent="0.25">
      <c r="A24761">
        <v>55144900370</v>
      </c>
      <c r="B24761" t="s">
        <v>8731</v>
      </c>
    </row>
    <row r="24762" spans="1:2" x14ac:dyDescent="0.25">
      <c r="A24762">
        <v>55144900380</v>
      </c>
      <c r="B24762" t="s">
        <v>8732</v>
      </c>
    </row>
    <row r="24763" spans="1:2" x14ac:dyDescent="0.25">
      <c r="A24763">
        <v>55144900390</v>
      </c>
      <c r="B24763" t="s">
        <v>57</v>
      </c>
    </row>
    <row r="24764" spans="1:2" x14ac:dyDescent="0.25">
      <c r="A24764">
        <v>551449009</v>
      </c>
      <c r="B24764" t="s">
        <v>8500</v>
      </c>
    </row>
    <row r="24765" spans="1:2" x14ac:dyDescent="0.25">
      <c r="A24765">
        <v>55144900910</v>
      </c>
      <c r="B24765" t="s">
        <v>8641</v>
      </c>
    </row>
    <row r="24766" spans="1:2" x14ac:dyDescent="0.25">
      <c r="A24766">
        <v>55144900920</v>
      </c>
      <c r="B24766" t="s">
        <v>8726</v>
      </c>
    </row>
    <row r="24767" spans="1:2" x14ac:dyDescent="0.25">
      <c r="A24767">
        <v>55144900930</v>
      </c>
      <c r="B24767" t="s">
        <v>8727</v>
      </c>
    </row>
    <row r="24768" spans="1:2" x14ac:dyDescent="0.25">
      <c r="A24768">
        <v>55144900940</v>
      </c>
      <c r="B24768" t="s">
        <v>8728</v>
      </c>
    </row>
    <row r="24769" spans="1:2" x14ac:dyDescent="0.25">
      <c r="A24769">
        <v>55144900950</v>
      </c>
      <c r="B24769" t="s">
        <v>8729</v>
      </c>
    </row>
    <row r="24770" spans="1:2" x14ac:dyDescent="0.25">
      <c r="A24770">
        <v>55144900960</v>
      </c>
      <c r="B24770" t="s">
        <v>8730</v>
      </c>
    </row>
    <row r="24771" spans="1:2" x14ac:dyDescent="0.25">
      <c r="A24771">
        <v>55144900970</v>
      </c>
      <c r="B24771" t="s">
        <v>8731</v>
      </c>
    </row>
    <row r="24772" spans="1:2" x14ac:dyDescent="0.25">
      <c r="A24772">
        <v>55144900980</v>
      </c>
      <c r="B24772" t="s">
        <v>8732</v>
      </c>
    </row>
    <row r="24773" spans="1:2" x14ac:dyDescent="0.25">
      <c r="A24773">
        <v>55144900990</v>
      </c>
      <c r="B24773" t="s">
        <v>57</v>
      </c>
    </row>
    <row r="24774" spans="1:2" x14ac:dyDescent="0.25">
      <c r="A24774">
        <v>5515</v>
      </c>
      <c r="B24774" t="s">
        <v>8741</v>
      </c>
    </row>
    <row r="24775" spans="1:2" x14ac:dyDescent="0.25">
      <c r="A24775">
        <v>55151</v>
      </c>
      <c r="B24775" t="s">
        <v>8742</v>
      </c>
    </row>
    <row r="24776" spans="1:2" x14ac:dyDescent="0.25">
      <c r="A24776">
        <v>55151100</v>
      </c>
      <c r="B24776" t="e">
        <f>- - Mezcladas exclusiva o principalmente Con fibras discontinuas de rayon viscosa</f>
        <v>#NAME?</v>
      </c>
    </row>
    <row r="24777" spans="1:2" x14ac:dyDescent="0.25">
      <c r="A24777">
        <v>551511001</v>
      </c>
      <c r="B24777" t="s">
        <v>8567</v>
      </c>
    </row>
    <row r="24778" spans="1:2" x14ac:dyDescent="0.25">
      <c r="A24778">
        <v>5515110011</v>
      </c>
      <c r="B24778" t="s">
        <v>8535</v>
      </c>
    </row>
    <row r="24779" spans="1:2" x14ac:dyDescent="0.25">
      <c r="A24779">
        <v>55151100111</v>
      </c>
      <c r="B24779" t="s">
        <v>8641</v>
      </c>
    </row>
    <row r="24780" spans="1:2" x14ac:dyDescent="0.25">
      <c r="A24780">
        <v>55151100112</v>
      </c>
      <c r="B24780" t="s">
        <v>8726</v>
      </c>
    </row>
    <row r="24781" spans="1:2" x14ac:dyDescent="0.25">
      <c r="A24781">
        <v>55151100113</v>
      </c>
      <c r="B24781" t="s">
        <v>8727</v>
      </c>
    </row>
    <row r="24782" spans="1:2" x14ac:dyDescent="0.25">
      <c r="A24782">
        <v>55151100114</v>
      </c>
      <c r="B24782" t="s">
        <v>8728</v>
      </c>
    </row>
    <row r="24783" spans="1:2" x14ac:dyDescent="0.25">
      <c r="A24783">
        <v>55151100115</v>
      </c>
      <c r="B24783" t="s">
        <v>8729</v>
      </c>
    </row>
    <row r="24784" spans="1:2" x14ac:dyDescent="0.25">
      <c r="A24784">
        <v>55151100116</v>
      </c>
      <c r="B24784" t="s">
        <v>8730</v>
      </c>
    </row>
    <row r="24785" spans="1:2" x14ac:dyDescent="0.25">
      <c r="A24785">
        <v>55151100117</v>
      </c>
      <c r="B24785" t="s">
        <v>8731</v>
      </c>
    </row>
    <row r="24786" spans="1:2" x14ac:dyDescent="0.25">
      <c r="A24786">
        <v>55151100118</v>
      </c>
      <c r="B24786" t="s">
        <v>8732</v>
      </c>
    </row>
    <row r="24787" spans="1:2" x14ac:dyDescent="0.25">
      <c r="A24787">
        <v>55151100119</v>
      </c>
      <c r="B24787" t="s">
        <v>57</v>
      </c>
    </row>
    <row r="24788" spans="1:2" x14ac:dyDescent="0.25">
      <c r="A24788">
        <v>5515110012</v>
      </c>
      <c r="B24788" t="s">
        <v>8506</v>
      </c>
    </row>
    <row r="24789" spans="1:2" x14ac:dyDescent="0.25">
      <c r="A24789">
        <v>55151100121</v>
      </c>
      <c r="B24789" t="s">
        <v>8641</v>
      </c>
    </row>
    <row r="24790" spans="1:2" x14ac:dyDescent="0.25">
      <c r="A24790">
        <v>55151100122</v>
      </c>
      <c r="B24790" t="s">
        <v>8726</v>
      </c>
    </row>
    <row r="24791" spans="1:2" x14ac:dyDescent="0.25">
      <c r="A24791">
        <v>55151100123</v>
      </c>
      <c r="B24791" t="s">
        <v>8727</v>
      </c>
    </row>
    <row r="24792" spans="1:2" x14ac:dyDescent="0.25">
      <c r="A24792">
        <v>55151100124</v>
      </c>
      <c r="B24792" t="s">
        <v>8728</v>
      </c>
    </row>
    <row r="24793" spans="1:2" x14ac:dyDescent="0.25">
      <c r="A24793">
        <v>55151100125</v>
      </c>
      <c r="B24793" t="s">
        <v>8729</v>
      </c>
    </row>
    <row r="24794" spans="1:2" x14ac:dyDescent="0.25">
      <c r="A24794">
        <v>55151100126</v>
      </c>
      <c r="B24794" t="s">
        <v>8730</v>
      </c>
    </row>
    <row r="24795" spans="1:2" x14ac:dyDescent="0.25">
      <c r="A24795">
        <v>55151100127</v>
      </c>
      <c r="B24795" t="s">
        <v>8731</v>
      </c>
    </row>
    <row r="24796" spans="1:2" x14ac:dyDescent="0.25">
      <c r="A24796">
        <v>55151100128</v>
      </c>
      <c r="B24796" t="s">
        <v>8732</v>
      </c>
    </row>
    <row r="24797" spans="1:2" x14ac:dyDescent="0.25">
      <c r="A24797">
        <v>55151100129</v>
      </c>
      <c r="B24797" t="s">
        <v>57</v>
      </c>
    </row>
    <row r="24798" spans="1:2" x14ac:dyDescent="0.25">
      <c r="A24798">
        <v>5515110013</v>
      </c>
      <c r="B24798" t="s">
        <v>8498</v>
      </c>
    </row>
    <row r="24799" spans="1:2" x14ac:dyDescent="0.25">
      <c r="A24799">
        <v>55151100131</v>
      </c>
      <c r="B24799" t="s">
        <v>8641</v>
      </c>
    </row>
    <row r="24800" spans="1:2" x14ac:dyDescent="0.25">
      <c r="A24800">
        <v>55151100132</v>
      </c>
      <c r="B24800" t="s">
        <v>8726</v>
      </c>
    </row>
    <row r="24801" spans="1:2" x14ac:dyDescent="0.25">
      <c r="A24801">
        <v>55151100133</v>
      </c>
      <c r="B24801" t="s">
        <v>8727</v>
      </c>
    </row>
    <row r="24802" spans="1:2" x14ac:dyDescent="0.25">
      <c r="A24802">
        <v>55151100134</v>
      </c>
      <c r="B24802" t="s">
        <v>8728</v>
      </c>
    </row>
    <row r="24803" spans="1:2" x14ac:dyDescent="0.25">
      <c r="A24803">
        <v>55151100135</v>
      </c>
      <c r="B24803" t="s">
        <v>8729</v>
      </c>
    </row>
    <row r="24804" spans="1:2" x14ac:dyDescent="0.25">
      <c r="A24804">
        <v>55151100136</v>
      </c>
      <c r="B24804" t="s">
        <v>8730</v>
      </c>
    </row>
    <row r="24805" spans="1:2" x14ac:dyDescent="0.25">
      <c r="A24805">
        <v>55151100137</v>
      </c>
      <c r="B24805" t="s">
        <v>8731</v>
      </c>
    </row>
    <row r="24806" spans="1:2" x14ac:dyDescent="0.25">
      <c r="A24806">
        <v>55151100138</v>
      </c>
      <c r="B24806" t="s">
        <v>8732</v>
      </c>
    </row>
    <row r="24807" spans="1:2" x14ac:dyDescent="0.25">
      <c r="A24807">
        <v>55151100139</v>
      </c>
      <c r="B24807" t="s">
        <v>57</v>
      </c>
    </row>
    <row r="24808" spans="1:2" x14ac:dyDescent="0.25">
      <c r="A24808">
        <v>5515110019</v>
      </c>
      <c r="B24808" t="s">
        <v>8500</v>
      </c>
    </row>
    <row r="24809" spans="1:2" x14ac:dyDescent="0.25">
      <c r="A24809">
        <v>55151100191</v>
      </c>
      <c r="B24809" t="s">
        <v>8641</v>
      </c>
    </row>
    <row r="24810" spans="1:2" x14ac:dyDescent="0.25">
      <c r="A24810">
        <v>55151100192</v>
      </c>
      <c r="B24810" t="s">
        <v>8726</v>
      </c>
    </row>
    <row r="24811" spans="1:2" x14ac:dyDescent="0.25">
      <c r="A24811">
        <v>55151100193</v>
      </c>
      <c r="B24811" t="s">
        <v>8727</v>
      </c>
    </row>
    <row r="24812" spans="1:2" x14ac:dyDescent="0.25">
      <c r="A24812">
        <v>55151100194</v>
      </c>
      <c r="B24812" t="s">
        <v>8728</v>
      </c>
    </row>
    <row r="24813" spans="1:2" x14ac:dyDescent="0.25">
      <c r="A24813">
        <v>55151100195</v>
      </c>
      <c r="B24813" t="s">
        <v>8729</v>
      </c>
    </row>
    <row r="24814" spans="1:2" x14ac:dyDescent="0.25">
      <c r="A24814">
        <v>55151100196</v>
      </c>
      <c r="B24814" t="s">
        <v>8730</v>
      </c>
    </row>
    <row r="24815" spans="1:2" x14ac:dyDescent="0.25">
      <c r="A24815">
        <v>55151100197</v>
      </c>
      <c r="B24815" t="s">
        <v>8731</v>
      </c>
    </row>
    <row r="24816" spans="1:2" x14ac:dyDescent="0.25">
      <c r="A24816">
        <v>55151100198</v>
      </c>
      <c r="B24816" t="s">
        <v>8732</v>
      </c>
    </row>
    <row r="24817" spans="1:2" x14ac:dyDescent="0.25">
      <c r="A24817">
        <v>55151100199</v>
      </c>
      <c r="B24817" t="s">
        <v>57</v>
      </c>
    </row>
    <row r="24818" spans="1:2" x14ac:dyDescent="0.25">
      <c r="A24818">
        <v>551511002</v>
      </c>
      <c r="B24818" t="s">
        <v>626</v>
      </c>
    </row>
    <row r="24819" spans="1:2" x14ac:dyDescent="0.25">
      <c r="A24819">
        <v>5515110021</v>
      </c>
      <c r="B24819" t="s">
        <v>8535</v>
      </c>
    </row>
    <row r="24820" spans="1:2" x14ac:dyDescent="0.25">
      <c r="A24820">
        <v>55151100211</v>
      </c>
      <c r="B24820" t="s">
        <v>8641</v>
      </c>
    </row>
    <row r="24821" spans="1:2" x14ac:dyDescent="0.25">
      <c r="A24821">
        <v>55151100212</v>
      </c>
      <c r="B24821" t="s">
        <v>8726</v>
      </c>
    </row>
    <row r="24822" spans="1:2" x14ac:dyDescent="0.25">
      <c r="A24822">
        <v>55151100213</v>
      </c>
      <c r="B24822" t="s">
        <v>8727</v>
      </c>
    </row>
    <row r="24823" spans="1:2" x14ac:dyDescent="0.25">
      <c r="A24823">
        <v>55151100214</v>
      </c>
      <c r="B24823" t="s">
        <v>8728</v>
      </c>
    </row>
    <row r="24824" spans="1:2" x14ac:dyDescent="0.25">
      <c r="A24824">
        <v>55151100215</v>
      </c>
      <c r="B24824" t="s">
        <v>8729</v>
      </c>
    </row>
    <row r="24825" spans="1:2" x14ac:dyDescent="0.25">
      <c r="A24825">
        <v>55151100216</v>
      </c>
      <c r="B24825" t="s">
        <v>8730</v>
      </c>
    </row>
    <row r="24826" spans="1:2" x14ac:dyDescent="0.25">
      <c r="A24826">
        <v>55151100217</v>
      </c>
      <c r="B24826" t="s">
        <v>8731</v>
      </c>
    </row>
    <row r="24827" spans="1:2" x14ac:dyDescent="0.25">
      <c r="A24827">
        <v>55151100218</v>
      </c>
      <c r="B24827" t="s">
        <v>8732</v>
      </c>
    </row>
    <row r="24828" spans="1:2" x14ac:dyDescent="0.25">
      <c r="A24828">
        <v>55151100219</v>
      </c>
      <c r="B24828" t="s">
        <v>57</v>
      </c>
    </row>
    <row r="24829" spans="1:2" x14ac:dyDescent="0.25">
      <c r="A24829">
        <v>5515110022</v>
      </c>
      <c r="B24829" t="s">
        <v>8506</v>
      </c>
    </row>
    <row r="24830" spans="1:2" x14ac:dyDescent="0.25">
      <c r="A24830">
        <v>55151100221</v>
      </c>
      <c r="B24830" t="s">
        <v>8641</v>
      </c>
    </row>
    <row r="24831" spans="1:2" x14ac:dyDescent="0.25">
      <c r="A24831">
        <v>55151100222</v>
      </c>
      <c r="B24831" t="s">
        <v>8726</v>
      </c>
    </row>
    <row r="24832" spans="1:2" x14ac:dyDescent="0.25">
      <c r="A24832">
        <v>55151100223</v>
      </c>
      <c r="B24832" t="s">
        <v>8727</v>
      </c>
    </row>
    <row r="24833" spans="1:2" x14ac:dyDescent="0.25">
      <c r="A24833">
        <v>55151100224</v>
      </c>
      <c r="B24833" t="s">
        <v>8728</v>
      </c>
    </row>
    <row r="24834" spans="1:2" x14ac:dyDescent="0.25">
      <c r="A24834">
        <v>55151100225</v>
      </c>
      <c r="B24834" t="s">
        <v>8729</v>
      </c>
    </row>
    <row r="24835" spans="1:2" x14ac:dyDescent="0.25">
      <c r="A24835">
        <v>55151100226</v>
      </c>
      <c r="B24835" t="s">
        <v>8730</v>
      </c>
    </row>
    <row r="24836" spans="1:2" x14ac:dyDescent="0.25">
      <c r="A24836">
        <v>55151100227</v>
      </c>
      <c r="B24836" t="s">
        <v>8731</v>
      </c>
    </row>
    <row r="24837" spans="1:2" x14ac:dyDescent="0.25">
      <c r="A24837">
        <v>55151100228</v>
      </c>
      <c r="B24837" t="s">
        <v>8732</v>
      </c>
    </row>
    <row r="24838" spans="1:2" x14ac:dyDescent="0.25">
      <c r="A24838">
        <v>55151100229</v>
      </c>
      <c r="B24838" t="s">
        <v>57</v>
      </c>
    </row>
    <row r="24839" spans="1:2" x14ac:dyDescent="0.25">
      <c r="A24839">
        <v>5515110023</v>
      </c>
      <c r="B24839" t="s">
        <v>8498</v>
      </c>
    </row>
    <row r="24840" spans="1:2" x14ac:dyDescent="0.25">
      <c r="A24840">
        <v>55151100231</v>
      </c>
      <c r="B24840" t="s">
        <v>8641</v>
      </c>
    </row>
    <row r="24841" spans="1:2" x14ac:dyDescent="0.25">
      <c r="A24841">
        <v>55151100232</v>
      </c>
      <c r="B24841" t="s">
        <v>8726</v>
      </c>
    </row>
    <row r="24842" spans="1:2" x14ac:dyDescent="0.25">
      <c r="A24842">
        <v>55151100233</v>
      </c>
      <c r="B24842" t="s">
        <v>8727</v>
      </c>
    </row>
    <row r="24843" spans="1:2" x14ac:dyDescent="0.25">
      <c r="A24843">
        <v>55151100234</v>
      </c>
      <c r="B24843" t="s">
        <v>8728</v>
      </c>
    </row>
    <row r="24844" spans="1:2" x14ac:dyDescent="0.25">
      <c r="A24844">
        <v>55151100235</v>
      </c>
      <c r="B24844" t="s">
        <v>8729</v>
      </c>
    </row>
    <row r="24845" spans="1:2" x14ac:dyDescent="0.25">
      <c r="A24845">
        <v>55151100236</v>
      </c>
      <c r="B24845" t="s">
        <v>8730</v>
      </c>
    </row>
    <row r="24846" spans="1:2" x14ac:dyDescent="0.25">
      <c r="A24846">
        <v>55151100237</v>
      </c>
      <c r="B24846" t="s">
        <v>8731</v>
      </c>
    </row>
    <row r="24847" spans="1:2" x14ac:dyDescent="0.25">
      <c r="A24847">
        <v>55151100238</v>
      </c>
      <c r="B24847" t="s">
        <v>8732</v>
      </c>
    </row>
    <row r="24848" spans="1:2" x14ac:dyDescent="0.25">
      <c r="A24848">
        <v>55151100239</v>
      </c>
      <c r="B24848" t="s">
        <v>57</v>
      </c>
    </row>
    <row r="24849" spans="1:2" x14ac:dyDescent="0.25">
      <c r="A24849">
        <v>5515110029</v>
      </c>
      <c r="B24849" t="s">
        <v>8500</v>
      </c>
    </row>
    <row r="24850" spans="1:2" x14ac:dyDescent="0.25">
      <c r="A24850">
        <v>55151100291</v>
      </c>
      <c r="B24850" t="s">
        <v>8641</v>
      </c>
    </row>
    <row r="24851" spans="1:2" x14ac:dyDescent="0.25">
      <c r="A24851">
        <v>55151100292</v>
      </c>
      <c r="B24851" t="s">
        <v>8726</v>
      </c>
    </row>
    <row r="24852" spans="1:2" x14ac:dyDescent="0.25">
      <c r="A24852">
        <v>55151100293</v>
      </c>
      <c r="B24852" t="s">
        <v>8727</v>
      </c>
    </row>
    <row r="24853" spans="1:2" x14ac:dyDescent="0.25">
      <c r="A24853">
        <v>55151100294</v>
      </c>
      <c r="B24853" t="s">
        <v>8728</v>
      </c>
    </row>
    <row r="24854" spans="1:2" x14ac:dyDescent="0.25">
      <c r="A24854">
        <v>55151100295</v>
      </c>
      <c r="B24854" t="s">
        <v>8729</v>
      </c>
    </row>
    <row r="24855" spans="1:2" x14ac:dyDescent="0.25">
      <c r="A24855">
        <v>55151100296</v>
      </c>
      <c r="B24855" t="s">
        <v>8730</v>
      </c>
    </row>
    <row r="24856" spans="1:2" x14ac:dyDescent="0.25">
      <c r="A24856">
        <v>55151100297</v>
      </c>
      <c r="B24856" t="s">
        <v>8731</v>
      </c>
    </row>
    <row r="24857" spans="1:2" x14ac:dyDescent="0.25">
      <c r="A24857">
        <v>55151100298</v>
      </c>
      <c r="B24857" t="s">
        <v>8732</v>
      </c>
    </row>
    <row r="24858" spans="1:2" x14ac:dyDescent="0.25">
      <c r="A24858">
        <v>55151100299</v>
      </c>
      <c r="B24858" t="s">
        <v>57</v>
      </c>
    </row>
    <row r="24859" spans="1:2" x14ac:dyDescent="0.25">
      <c r="A24859">
        <v>551511003</v>
      </c>
      <c r="B24859" t="s">
        <v>8560</v>
      </c>
    </row>
    <row r="24860" spans="1:2" x14ac:dyDescent="0.25">
      <c r="A24860">
        <v>5515110031</v>
      </c>
      <c r="B24860" t="s">
        <v>8535</v>
      </c>
    </row>
    <row r="24861" spans="1:2" x14ac:dyDescent="0.25">
      <c r="A24861">
        <v>55151100311</v>
      </c>
      <c r="B24861" t="s">
        <v>8641</v>
      </c>
    </row>
    <row r="24862" spans="1:2" x14ac:dyDescent="0.25">
      <c r="A24862">
        <v>55151100312</v>
      </c>
      <c r="B24862" t="s">
        <v>8726</v>
      </c>
    </row>
    <row r="24863" spans="1:2" x14ac:dyDescent="0.25">
      <c r="A24863">
        <v>55151100313</v>
      </c>
      <c r="B24863" t="s">
        <v>8727</v>
      </c>
    </row>
    <row r="24864" spans="1:2" x14ac:dyDescent="0.25">
      <c r="A24864">
        <v>55151100314</v>
      </c>
      <c r="B24864" t="s">
        <v>8728</v>
      </c>
    </row>
    <row r="24865" spans="1:2" x14ac:dyDescent="0.25">
      <c r="A24865">
        <v>55151100315</v>
      </c>
      <c r="B24865" t="s">
        <v>8729</v>
      </c>
    </row>
    <row r="24866" spans="1:2" x14ac:dyDescent="0.25">
      <c r="A24866">
        <v>55151100316</v>
      </c>
      <c r="B24866" t="s">
        <v>8730</v>
      </c>
    </row>
    <row r="24867" spans="1:2" x14ac:dyDescent="0.25">
      <c r="A24867">
        <v>55151100317</v>
      </c>
      <c r="B24867" t="s">
        <v>8731</v>
      </c>
    </row>
    <row r="24868" spans="1:2" x14ac:dyDescent="0.25">
      <c r="A24868">
        <v>55151100318</v>
      </c>
      <c r="B24868" t="s">
        <v>8732</v>
      </c>
    </row>
    <row r="24869" spans="1:2" x14ac:dyDescent="0.25">
      <c r="A24869">
        <v>55151100319</v>
      </c>
      <c r="B24869" t="s">
        <v>57</v>
      </c>
    </row>
    <row r="24870" spans="1:2" x14ac:dyDescent="0.25">
      <c r="A24870">
        <v>5515110032</v>
      </c>
      <c r="B24870" t="s">
        <v>8506</v>
      </c>
    </row>
    <row r="24871" spans="1:2" x14ac:dyDescent="0.25">
      <c r="A24871">
        <v>55151100321</v>
      </c>
      <c r="B24871" t="s">
        <v>8641</v>
      </c>
    </row>
    <row r="24872" spans="1:2" x14ac:dyDescent="0.25">
      <c r="A24872">
        <v>55151100322</v>
      </c>
      <c r="B24872" t="s">
        <v>8726</v>
      </c>
    </row>
    <row r="24873" spans="1:2" x14ac:dyDescent="0.25">
      <c r="A24873">
        <v>55151100323</v>
      </c>
      <c r="B24873" t="s">
        <v>8727</v>
      </c>
    </row>
    <row r="24874" spans="1:2" x14ac:dyDescent="0.25">
      <c r="A24874">
        <v>55151100324</v>
      </c>
      <c r="B24874" t="s">
        <v>8728</v>
      </c>
    </row>
    <row r="24875" spans="1:2" x14ac:dyDescent="0.25">
      <c r="A24875">
        <v>55151100325</v>
      </c>
      <c r="B24875" t="s">
        <v>8729</v>
      </c>
    </row>
    <row r="24876" spans="1:2" x14ac:dyDescent="0.25">
      <c r="A24876">
        <v>55151100326</v>
      </c>
      <c r="B24876" t="s">
        <v>8730</v>
      </c>
    </row>
    <row r="24877" spans="1:2" x14ac:dyDescent="0.25">
      <c r="A24877">
        <v>55151100327</v>
      </c>
      <c r="B24877" t="s">
        <v>8731</v>
      </c>
    </row>
    <row r="24878" spans="1:2" x14ac:dyDescent="0.25">
      <c r="A24878">
        <v>55151100328</v>
      </c>
      <c r="B24878" t="s">
        <v>8732</v>
      </c>
    </row>
    <row r="24879" spans="1:2" x14ac:dyDescent="0.25">
      <c r="A24879">
        <v>55151100329</v>
      </c>
      <c r="B24879" t="s">
        <v>57</v>
      </c>
    </row>
    <row r="24880" spans="1:2" x14ac:dyDescent="0.25">
      <c r="A24880">
        <v>5515110033</v>
      </c>
      <c r="B24880" t="s">
        <v>8498</v>
      </c>
    </row>
    <row r="24881" spans="1:2" x14ac:dyDescent="0.25">
      <c r="A24881">
        <v>55151100331</v>
      </c>
      <c r="B24881" t="s">
        <v>8641</v>
      </c>
    </row>
    <row r="24882" spans="1:2" x14ac:dyDescent="0.25">
      <c r="A24882">
        <v>55151100332</v>
      </c>
      <c r="B24882" t="s">
        <v>8726</v>
      </c>
    </row>
    <row r="24883" spans="1:2" x14ac:dyDescent="0.25">
      <c r="A24883">
        <v>55151100333</v>
      </c>
      <c r="B24883" t="s">
        <v>8727</v>
      </c>
    </row>
    <row r="24884" spans="1:2" x14ac:dyDescent="0.25">
      <c r="A24884">
        <v>55151100334</v>
      </c>
      <c r="B24884" t="s">
        <v>8728</v>
      </c>
    </row>
    <row r="24885" spans="1:2" x14ac:dyDescent="0.25">
      <c r="A24885">
        <v>55151100335</v>
      </c>
      <c r="B24885" t="s">
        <v>8729</v>
      </c>
    </row>
    <row r="24886" spans="1:2" x14ac:dyDescent="0.25">
      <c r="A24886">
        <v>55151100336</v>
      </c>
      <c r="B24886" t="s">
        <v>8730</v>
      </c>
    </row>
    <row r="24887" spans="1:2" x14ac:dyDescent="0.25">
      <c r="A24887">
        <v>55151100337</v>
      </c>
      <c r="B24887" t="s">
        <v>8731</v>
      </c>
    </row>
    <row r="24888" spans="1:2" x14ac:dyDescent="0.25">
      <c r="A24888">
        <v>55151100338</v>
      </c>
      <c r="B24888" t="s">
        <v>8732</v>
      </c>
    </row>
    <row r="24889" spans="1:2" x14ac:dyDescent="0.25">
      <c r="A24889">
        <v>55151100339</v>
      </c>
      <c r="B24889" t="s">
        <v>57</v>
      </c>
    </row>
    <row r="24890" spans="1:2" x14ac:dyDescent="0.25">
      <c r="A24890">
        <v>5515110039</v>
      </c>
      <c r="B24890" t="s">
        <v>8500</v>
      </c>
    </row>
    <row r="24891" spans="1:2" x14ac:dyDescent="0.25">
      <c r="A24891">
        <v>55151100391</v>
      </c>
      <c r="B24891" t="s">
        <v>8641</v>
      </c>
    </row>
    <row r="24892" spans="1:2" x14ac:dyDescent="0.25">
      <c r="A24892">
        <v>55151100392</v>
      </c>
      <c r="B24892" t="s">
        <v>8726</v>
      </c>
    </row>
    <row r="24893" spans="1:2" x14ac:dyDescent="0.25">
      <c r="A24893">
        <v>55151100393</v>
      </c>
      <c r="B24893" t="s">
        <v>8727</v>
      </c>
    </row>
    <row r="24894" spans="1:2" x14ac:dyDescent="0.25">
      <c r="A24894">
        <v>55151100394</v>
      </c>
      <c r="B24894" t="s">
        <v>8728</v>
      </c>
    </row>
    <row r="24895" spans="1:2" x14ac:dyDescent="0.25">
      <c r="A24895">
        <v>55151100395</v>
      </c>
      <c r="B24895" t="s">
        <v>8729</v>
      </c>
    </row>
    <row r="24896" spans="1:2" x14ac:dyDescent="0.25">
      <c r="A24896">
        <v>55151100396</v>
      </c>
      <c r="B24896" t="s">
        <v>8730</v>
      </c>
    </row>
    <row r="24897" spans="1:2" x14ac:dyDescent="0.25">
      <c r="A24897">
        <v>55151100397</v>
      </c>
      <c r="B24897" t="s">
        <v>8731</v>
      </c>
    </row>
    <row r="24898" spans="1:2" x14ac:dyDescent="0.25">
      <c r="A24898">
        <v>55151100398</v>
      </c>
      <c r="B24898" t="s">
        <v>8732</v>
      </c>
    </row>
    <row r="24899" spans="1:2" x14ac:dyDescent="0.25">
      <c r="A24899">
        <v>55151100399</v>
      </c>
      <c r="B24899" t="s">
        <v>57</v>
      </c>
    </row>
    <row r="24900" spans="1:2" x14ac:dyDescent="0.25">
      <c r="A24900">
        <v>551511004</v>
      </c>
      <c r="B24900" t="s">
        <v>8561</v>
      </c>
    </row>
    <row r="24901" spans="1:2" x14ac:dyDescent="0.25">
      <c r="A24901">
        <v>5515110041</v>
      </c>
      <c r="B24901" t="s">
        <v>8535</v>
      </c>
    </row>
    <row r="24902" spans="1:2" x14ac:dyDescent="0.25">
      <c r="A24902">
        <v>55151100411</v>
      </c>
      <c r="B24902" t="s">
        <v>8641</v>
      </c>
    </row>
    <row r="24903" spans="1:2" x14ac:dyDescent="0.25">
      <c r="A24903">
        <v>55151100412</v>
      </c>
      <c r="B24903" t="s">
        <v>8726</v>
      </c>
    </row>
    <row r="24904" spans="1:2" x14ac:dyDescent="0.25">
      <c r="A24904">
        <v>55151100413</v>
      </c>
      <c r="B24904" t="s">
        <v>8727</v>
      </c>
    </row>
    <row r="24905" spans="1:2" x14ac:dyDescent="0.25">
      <c r="A24905">
        <v>55151100414</v>
      </c>
      <c r="B24905" t="s">
        <v>8728</v>
      </c>
    </row>
    <row r="24906" spans="1:2" x14ac:dyDescent="0.25">
      <c r="A24906">
        <v>55151100415</v>
      </c>
      <c r="B24906" t="s">
        <v>8729</v>
      </c>
    </row>
    <row r="24907" spans="1:2" x14ac:dyDescent="0.25">
      <c r="A24907">
        <v>55151100416</v>
      </c>
      <c r="B24907" t="s">
        <v>8730</v>
      </c>
    </row>
    <row r="24908" spans="1:2" x14ac:dyDescent="0.25">
      <c r="A24908">
        <v>55151100417</v>
      </c>
      <c r="B24908" t="s">
        <v>8731</v>
      </c>
    </row>
    <row r="24909" spans="1:2" x14ac:dyDescent="0.25">
      <c r="A24909">
        <v>55151100418</v>
      </c>
      <c r="B24909" t="s">
        <v>8732</v>
      </c>
    </row>
    <row r="24910" spans="1:2" x14ac:dyDescent="0.25">
      <c r="A24910">
        <v>55151100419</v>
      </c>
      <c r="B24910" t="s">
        <v>57</v>
      </c>
    </row>
    <row r="24911" spans="1:2" x14ac:dyDescent="0.25">
      <c r="A24911">
        <v>5515110042</v>
      </c>
      <c r="B24911" t="s">
        <v>8506</v>
      </c>
    </row>
    <row r="24912" spans="1:2" x14ac:dyDescent="0.25">
      <c r="A24912">
        <v>55151100421</v>
      </c>
      <c r="B24912" t="s">
        <v>8641</v>
      </c>
    </row>
    <row r="24913" spans="1:2" x14ac:dyDescent="0.25">
      <c r="A24913">
        <v>55151100422</v>
      </c>
      <c r="B24913" t="s">
        <v>8726</v>
      </c>
    </row>
    <row r="24914" spans="1:2" x14ac:dyDescent="0.25">
      <c r="A24914">
        <v>55151100423</v>
      </c>
      <c r="B24914" t="s">
        <v>8727</v>
      </c>
    </row>
    <row r="24915" spans="1:2" x14ac:dyDescent="0.25">
      <c r="A24915">
        <v>55151100424</v>
      </c>
      <c r="B24915" t="s">
        <v>8728</v>
      </c>
    </row>
    <row r="24916" spans="1:2" x14ac:dyDescent="0.25">
      <c r="A24916">
        <v>55151100425</v>
      </c>
      <c r="B24916" t="s">
        <v>8729</v>
      </c>
    </row>
    <row r="24917" spans="1:2" x14ac:dyDescent="0.25">
      <c r="A24917">
        <v>55151100426</v>
      </c>
      <c r="B24917" t="s">
        <v>8730</v>
      </c>
    </row>
    <row r="24918" spans="1:2" x14ac:dyDescent="0.25">
      <c r="A24918">
        <v>55151100427</v>
      </c>
      <c r="B24918" t="s">
        <v>8731</v>
      </c>
    </row>
    <row r="24919" spans="1:2" x14ac:dyDescent="0.25">
      <c r="A24919">
        <v>55151100428</v>
      </c>
      <c r="B24919" t="s">
        <v>8732</v>
      </c>
    </row>
    <row r="24920" spans="1:2" x14ac:dyDescent="0.25">
      <c r="A24920">
        <v>55151100429</v>
      </c>
      <c r="B24920" t="s">
        <v>57</v>
      </c>
    </row>
    <row r="24921" spans="1:2" x14ac:dyDescent="0.25">
      <c r="A24921">
        <v>5515110043</v>
      </c>
      <c r="B24921" t="s">
        <v>8498</v>
      </c>
    </row>
    <row r="24922" spans="1:2" x14ac:dyDescent="0.25">
      <c r="A24922">
        <v>55151100431</v>
      </c>
      <c r="B24922" t="s">
        <v>8641</v>
      </c>
    </row>
    <row r="24923" spans="1:2" x14ac:dyDescent="0.25">
      <c r="A24923">
        <v>55151100432</v>
      </c>
      <c r="B24923" t="s">
        <v>8726</v>
      </c>
    </row>
    <row r="24924" spans="1:2" x14ac:dyDescent="0.25">
      <c r="A24924">
        <v>55151100433</v>
      </c>
      <c r="B24924" t="s">
        <v>8727</v>
      </c>
    </row>
    <row r="24925" spans="1:2" x14ac:dyDescent="0.25">
      <c r="A24925">
        <v>55151100434</v>
      </c>
      <c r="B24925" t="s">
        <v>8728</v>
      </c>
    </row>
    <row r="24926" spans="1:2" x14ac:dyDescent="0.25">
      <c r="A24926">
        <v>55151100435</v>
      </c>
      <c r="B24926" t="s">
        <v>8729</v>
      </c>
    </row>
    <row r="24927" spans="1:2" x14ac:dyDescent="0.25">
      <c r="A24927">
        <v>55151100436</v>
      </c>
      <c r="B24927" t="s">
        <v>8730</v>
      </c>
    </row>
    <row r="24928" spans="1:2" x14ac:dyDescent="0.25">
      <c r="A24928">
        <v>55151100437</v>
      </c>
      <c r="B24928" t="s">
        <v>8731</v>
      </c>
    </row>
    <row r="24929" spans="1:2" x14ac:dyDescent="0.25">
      <c r="A24929">
        <v>55151100438</v>
      </c>
      <c r="B24929" t="s">
        <v>8732</v>
      </c>
    </row>
    <row r="24930" spans="1:2" x14ac:dyDescent="0.25">
      <c r="A24930">
        <v>55151100439</v>
      </c>
      <c r="B24930" t="s">
        <v>57</v>
      </c>
    </row>
    <row r="24931" spans="1:2" x14ac:dyDescent="0.25">
      <c r="A24931">
        <v>5515110049</v>
      </c>
      <c r="B24931" t="s">
        <v>8500</v>
      </c>
    </row>
    <row r="24932" spans="1:2" x14ac:dyDescent="0.25">
      <c r="A24932">
        <v>55151100491</v>
      </c>
      <c r="B24932" t="s">
        <v>8641</v>
      </c>
    </row>
    <row r="24933" spans="1:2" x14ac:dyDescent="0.25">
      <c r="A24933">
        <v>55151100492</v>
      </c>
      <c r="B24933" t="s">
        <v>8726</v>
      </c>
    </row>
    <row r="24934" spans="1:2" x14ac:dyDescent="0.25">
      <c r="A24934">
        <v>55151100493</v>
      </c>
      <c r="B24934" t="s">
        <v>8727</v>
      </c>
    </row>
    <row r="24935" spans="1:2" x14ac:dyDescent="0.25">
      <c r="A24935">
        <v>55151100494</v>
      </c>
      <c r="B24935" t="s">
        <v>8728</v>
      </c>
    </row>
    <row r="24936" spans="1:2" x14ac:dyDescent="0.25">
      <c r="A24936">
        <v>55151100495</v>
      </c>
      <c r="B24936" t="s">
        <v>8729</v>
      </c>
    </row>
    <row r="24937" spans="1:2" x14ac:dyDescent="0.25">
      <c r="A24937">
        <v>55151100496</v>
      </c>
      <c r="B24937" t="s">
        <v>8730</v>
      </c>
    </row>
    <row r="24938" spans="1:2" x14ac:dyDescent="0.25">
      <c r="A24938">
        <v>55151100497</v>
      </c>
      <c r="B24938" t="s">
        <v>8731</v>
      </c>
    </row>
    <row r="24939" spans="1:2" x14ac:dyDescent="0.25">
      <c r="A24939">
        <v>55151100498</v>
      </c>
      <c r="B24939" t="s">
        <v>8732</v>
      </c>
    </row>
    <row r="24940" spans="1:2" x14ac:dyDescent="0.25">
      <c r="A24940">
        <v>55151100499</v>
      </c>
      <c r="B24940" t="s">
        <v>57</v>
      </c>
    </row>
    <row r="24941" spans="1:2" x14ac:dyDescent="0.25">
      <c r="A24941">
        <v>55151200</v>
      </c>
      <c r="B24941" t="e">
        <f>- - Mezcladas exclusiva o principalmente Con filamentos sinteticos o artificiales</f>
        <v>#NAME?</v>
      </c>
    </row>
    <row r="24942" spans="1:2" x14ac:dyDescent="0.25">
      <c r="A24942">
        <v>551512001</v>
      </c>
      <c r="B24942" t="s">
        <v>8567</v>
      </c>
    </row>
    <row r="24943" spans="1:2" x14ac:dyDescent="0.25">
      <c r="A24943">
        <v>5515120011</v>
      </c>
      <c r="B24943" t="s">
        <v>8535</v>
      </c>
    </row>
    <row r="24944" spans="1:2" x14ac:dyDescent="0.25">
      <c r="A24944">
        <v>55151200111</v>
      </c>
      <c r="B24944" t="s">
        <v>8641</v>
      </c>
    </row>
    <row r="24945" spans="1:2" x14ac:dyDescent="0.25">
      <c r="A24945">
        <v>55151200112</v>
      </c>
      <c r="B24945" t="s">
        <v>8726</v>
      </c>
    </row>
    <row r="24946" spans="1:2" x14ac:dyDescent="0.25">
      <c r="A24946">
        <v>55151200113</v>
      </c>
      <c r="B24946" t="s">
        <v>8727</v>
      </c>
    </row>
    <row r="24947" spans="1:2" x14ac:dyDescent="0.25">
      <c r="A24947">
        <v>55151200114</v>
      </c>
      <c r="B24947" t="s">
        <v>8728</v>
      </c>
    </row>
    <row r="24948" spans="1:2" x14ac:dyDescent="0.25">
      <c r="A24948">
        <v>55151200115</v>
      </c>
      <c r="B24948" t="s">
        <v>8729</v>
      </c>
    </row>
    <row r="24949" spans="1:2" x14ac:dyDescent="0.25">
      <c r="A24949">
        <v>55151200116</v>
      </c>
      <c r="B24949" t="s">
        <v>8730</v>
      </c>
    </row>
    <row r="24950" spans="1:2" x14ac:dyDescent="0.25">
      <c r="A24950">
        <v>55151200117</v>
      </c>
      <c r="B24950" t="s">
        <v>8731</v>
      </c>
    </row>
    <row r="24951" spans="1:2" x14ac:dyDescent="0.25">
      <c r="A24951">
        <v>55151200118</v>
      </c>
      <c r="B24951" t="s">
        <v>8732</v>
      </c>
    </row>
    <row r="24952" spans="1:2" x14ac:dyDescent="0.25">
      <c r="A24952">
        <v>55151200119</v>
      </c>
      <c r="B24952" t="s">
        <v>57</v>
      </c>
    </row>
    <row r="24953" spans="1:2" x14ac:dyDescent="0.25">
      <c r="A24953">
        <v>5515120012</v>
      </c>
      <c r="B24953" t="s">
        <v>8506</v>
      </c>
    </row>
    <row r="24954" spans="1:2" x14ac:dyDescent="0.25">
      <c r="A24954">
        <v>55151200121</v>
      </c>
      <c r="B24954" t="s">
        <v>8641</v>
      </c>
    </row>
    <row r="24955" spans="1:2" x14ac:dyDescent="0.25">
      <c r="A24955">
        <v>55151200122</v>
      </c>
      <c r="B24955" t="s">
        <v>8726</v>
      </c>
    </row>
    <row r="24956" spans="1:2" x14ac:dyDescent="0.25">
      <c r="A24956">
        <v>55151200123</v>
      </c>
      <c r="B24956" t="s">
        <v>8727</v>
      </c>
    </row>
    <row r="24957" spans="1:2" x14ac:dyDescent="0.25">
      <c r="A24957">
        <v>55151200124</v>
      </c>
      <c r="B24957" t="s">
        <v>8728</v>
      </c>
    </row>
    <row r="24958" spans="1:2" x14ac:dyDescent="0.25">
      <c r="A24958">
        <v>55151200125</v>
      </c>
      <c r="B24958" t="s">
        <v>8729</v>
      </c>
    </row>
    <row r="24959" spans="1:2" x14ac:dyDescent="0.25">
      <c r="A24959">
        <v>55151200126</v>
      </c>
      <c r="B24959" t="s">
        <v>8730</v>
      </c>
    </row>
    <row r="24960" spans="1:2" x14ac:dyDescent="0.25">
      <c r="A24960">
        <v>55151200127</v>
      </c>
      <c r="B24960" t="s">
        <v>8731</v>
      </c>
    </row>
    <row r="24961" spans="1:2" x14ac:dyDescent="0.25">
      <c r="A24961">
        <v>55151200128</v>
      </c>
      <c r="B24961" t="s">
        <v>8732</v>
      </c>
    </row>
    <row r="24962" spans="1:2" x14ac:dyDescent="0.25">
      <c r="A24962">
        <v>55151200129</v>
      </c>
      <c r="B24962" t="s">
        <v>57</v>
      </c>
    </row>
    <row r="24963" spans="1:2" x14ac:dyDescent="0.25">
      <c r="A24963">
        <v>5515120013</v>
      </c>
      <c r="B24963" t="s">
        <v>8498</v>
      </c>
    </row>
    <row r="24964" spans="1:2" x14ac:dyDescent="0.25">
      <c r="A24964">
        <v>55151200131</v>
      </c>
      <c r="B24964" t="s">
        <v>8641</v>
      </c>
    </row>
    <row r="24965" spans="1:2" x14ac:dyDescent="0.25">
      <c r="A24965">
        <v>55151200132</v>
      </c>
      <c r="B24965" t="s">
        <v>8726</v>
      </c>
    </row>
    <row r="24966" spans="1:2" x14ac:dyDescent="0.25">
      <c r="A24966">
        <v>55151200133</v>
      </c>
      <c r="B24966" t="s">
        <v>8727</v>
      </c>
    </row>
    <row r="24967" spans="1:2" x14ac:dyDescent="0.25">
      <c r="A24967">
        <v>55151200134</v>
      </c>
      <c r="B24967" t="s">
        <v>8728</v>
      </c>
    </row>
    <row r="24968" spans="1:2" x14ac:dyDescent="0.25">
      <c r="A24968">
        <v>55151200135</v>
      </c>
      <c r="B24968" t="s">
        <v>8729</v>
      </c>
    </row>
    <row r="24969" spans="1:2" x14ac:dyDescent="0.25">
      <c r="A24969">
        <v>55151200136</v>
      </c>
      <c r="B24969" t="s">
        <v>8730</v>
      </c>
    </row>
    <row r="24970" spans="1:2" x14ac:dyDescent="0.25">
      <c r="A24970">
        <v>55151200137</v>
      </c>
      <c r="B24970" t="s">
        <v>8731</v>
      </c>
    </row>
    <row r="24971" spans="1:2" x14ac:dyDescent="0.25">
      <c r="A24971">
        <v>55151200138</v>
      </c>
      <c r="B24971" t="s">
        <v>8732</v>
      </c>
    </row>
    <row r="24972" spans="1:2" x14ac:dyDescent="0.25">
      <c r="A24972">
        <v>55151200139</v>
      </c>
      <c r="B24972" t="s">
        <v>57</v>
      </c>
    </row>
    <row r="24973" spans="1:2" x14ac:dyDescent="0.25">
      <c r="A24973">
        <v>5515120019</v>
      </c>
      <c r="B24973" t="s">
        <v>8500</v>
      </c>
    </row>
    <row r="24974" spans="1:2" x14ac:dyDescent="0.25">
      <c r="A24974">
        <v>55151200191</v>
      </c>
      <c r="B24974" t="s">
        <v>8641</v>
      </c>
    </row>
    <row r="24975" spans="1:2" x14ac:dyDescent="0.25">
      <c r="A24975">
        <v>55151200192</v>
      </c>
      <c r="B24975" t="s">
        <v>8726</v>
      </c>
    </row>
    <row r="24976" spans="1:2" x14ac:dyDescent="0.25">
      <c r="A24976">
        <v>55151200193</v>
      </c>
      <c r="B24976" t="s">
        <v>8727</v>
      </c>
    </row>
    <row r="24977" spans="1:2" x14ac:dyDescent="0.25">
      <c r="A24977">
        <v>55151200194</v>
      </c>
      <c r="B24977" t="s">
        <v>8728</v>
      </c>
    </row>
    <row r="24978" spans="1:2" x14ac:dyDescent="0.25">
      <c r="A24978">
        <v>55151200195</v>
      </c>
      <c r="B24978" t="s">
        <v>8729</v>
      </c>
    </row>
    <row r="24979" spans="1:2" x14ac:dyDescent="0.25">
      <c r="A24979">
        <v>55151200196</v>
      </c>
      <c r="B24979" t="s">
        <v>8730</v>
      </c>
    </row>
    <row r="24980" spans="1:2" x14ac:dyDescent="0.25">
      <c r="A24980">
        <v>55151200197</v>
      </c>
      <c r="B24980" t="s">
        <v>8731</v>
      </c>
    </row>
    <row r="24981" spans="1:2" x14ac:dyDescent="0.25">
      <c r="A24981">
        <v>55151200198</v>
      </c>
      <c r="B24981" t="s">
        <v>8732</v>
      </c>
    </row>
    <row r="24982" spans="1:2" x14ac:dyDescent="0.25">
      <c r="A24982">
        <v>55151200199</v>
      </c>
      <c r="B24982" t="s">
        <v>57</v>
      </c>
    </row>
    <row r="24983" spans="1:2" x14ac:dyDescent="0.25">
      <c r="A24983">
        <v>551512002</v>
      </c>
      <c r="B24983" t="s">
        <v>626</v>
      </c>
    </row>
    <row r="24984" spans="1:2" x14ac:dyDescent="0.25">
      <c r="A24984">
        <v>5515120021</v>
      </c>
      <c r="B24984" t="s">
        <v>8535</v>
      </c>
    </row>
    <row r="24985" spans="1:2" x14ac:dyDescent="0.25">
      <c r="A24985">
        <v>55151200211</v>
      </c>
      <c r="B24985" t="s">
        <v>8641</v>
      </c>
    </row>
    <row r="24986" spans="1:2" x14ac:dyDescent="0.25">
      <c r="A24986">
        <v>55151200212</v>
      </c>
      <c r="B24986" t="s">
        <v>8726</v>
      </c>
    </row>
    <row r="24987" spans="1:2" x14ac:dyDescent="0.25">
      <c r="A24987">
        <v>55151200213</v>
      </c>
      <c r="B24987" t="s">
        <v>8727</v>
      </c>
    </row>
    <row r="24988" spans="1:2" x14ac:dyDescent="0.25">
      <c r="A24988">
        <v>55151200214</v>
      </c>
      <c r="B24988" t="s">
        <v>8728</v>
      </c>
    </row>
    <row r="24989" spans="1:2" x14ac:dyDescent="0.25">
      <c r="A24989">
        <v>55151200215</v>
      </c>
      <c r="B24989" t="s">
        <v>8729</v>
      </c>
    </row>
    <row r="24990" spans="1:2" x14ac:dyDescent="0.25">
      <c r="A24990">
        <v>55151200216</v>
      </c>
      <c r="B24990" t="s">
        <v>8730</v>
      </c>
    </row>
    <row r="24991" spans="1:2" x14ac:dyDescent="0.25">
      <c r="A24991">
        <v>55151200217</v>
      </c>
      <c r="B24991" t="s">
        <v>8731</v>
      </c>
    </row>
    <row r="24992" spans="1:2" x14ac:dyDescent="0.25">
      <c r="A24992">
        <v>55151200218</v>
      </c>
      <c r="B24992" t="s">
        <v>8732</v>
      </c>
    </row>
    <row r="24993" spans="1:2" x14ac:dyDescent="0.25">
      <c r="A24993">
        <v>55151200219</v>
      </c>
      <c r="B24993" t="s">
        <v>57</v>
      </c>
    </row>
    <row r="24994" spans="1:2" x14ac:dyDescent="0.25">
      <c r="A24994">
        <v>5515120022</v>
      </c>
      <c r="B24994" t="s">
        <v>8506</v>
      </c>
    </row>
    <row r="24995" spans="1:2" x14ac:dyDescent="0.25">
      <c r="A24995">
        <v>55151200221</v>
      </c>
      <c r="B24995" t="s">
        <v>8641</v>
      </c>
    </row>
    <row r="24996" spans="1:2" x14ac:dyDescent="0.25">
      <c r="A24996">
        <v>55151200222</v>
      </c>
      <c r="B24996" t="s">
        <v>8726</v>
      </c>
    </row>
    <row r="24997" spans="1:2" x14ac:dyDescent="0.25">
      <c r="A24997">
        <v>55151200223</v>
      </c>
      <c r="B24997" t="s">
        <v>8727</v>
      </c>
    </row>
    <row r="24998" spans="1:2" x14ac:dyDescent="0.25">
      <c r="A24998">
        <v>55151200224</v>
      </c>
      <c r="B24998" t="s">
        <v>8728</v>
      </c>
    </row>
    <row r="24999" spans="1:2" x14ac:dyDescent="0.25">
      <c r="A24999">
        <v>55151200225</v>
      </c>
      <c r="B24999" t="s">
        <v>8729</v>
      </c>
    </row>
    <row r="25000" spans="1:2" x14ac:dyDescent="0.25">
      <c r="A25000">
        <v>55151200226</v>
      </c>
      <c r="B25000" t="s">
        <v>8730</v>
      </c>
    </row>
    <row r="25001" spans="1:2" x14ac:dyDescent="0.25">
      <c r="A25001">
        <v>55151200227</v>
      </c>
      <c r="B25001" t="s">
        <v>8731</v>
      </c>
    </row>
    <row r="25002" spans="1:2" x14ac:dyDescent="0.25">
      <c r="A25002">
        <v>55151200228</v>
      </c>
      <c r="B25002" t="s">
        <v>8732</v>
      </c>
    </row>
    <row r="25003" spans="1:2" x14ac:dyDescent="0.25">
      <c r="A25003">
        <v>55151200229</v>
      </c>
      <c r="B25003" t="s">
        <v>57</v>
      </c>
    </row>
    <row r="25004" spans="1:2" x14ac:dyDescent="0.25">
      <c r="A25004">
        <v>5515120023</v>
      </c>
      <c r="B25004" t="s">
        <v>8498</v>
      </c>
    </row>
    <row r="25005" spans="1:2" x14ac:dyDescent="0.25">
      <c r="A25005">
        <v>55151200231</v>
      </c>
      <c r="B25005" t="s">
        <v>8641</v>
      </c>
    </row>
    <row r="25006" spans="1:2" x14ac:dyDescent="0.25">
      <c r="A25006">
        <v>55151200232</v>
      </c>
      <c r="B25006" t="s">
        <v>8726</v>
      </c>
    </row>
    <row r="25007" spans="1:2" x14ac:dyDescent="0.25">
      <c r="A25007">
        <v>55151200233</v>
      </c>
      <c r="B25007" t="s">
        <v>8727</v>
      </c>
    </row>
    <row r="25008" spans="1:2" x14ac:dyDescent="0.25">
      <c r="A25008">
        <v>55151200234</v>
      </c>
      <c r="B25008" t="s">
        <v>8728</v>
      </c>
    </row>
    <row r="25009" spans="1:2" x14ac:dyDescent="0.25">
      <c r="A25009">
        <v>55151200235</v>
      </c>
      <c r="B25009" t="s">
        <v>8729</v>
      </c>
    </row>
    <row r="25010" spans="1:2" x14ac:dyDescent="0.25">
      <c r="A25010">
        <v>55151200236</v>
      </c>
      <c r="B25010" t="s">
        <v>8730</v>
      </c>
    </row>
    <row r="25011" spans="1:2" x14ac:dyDescent="0.25">
      <c r="A25011">
        <v>55151200237</v>
      </c>
      <c r="B25011" t="s">
        <v>8731</v>
      </c>
    </row>
    <row r="25012" spans="1:2" x14ac:dyDescent="0.25">
      <c r="A25012">
        <v>55151200238</v>
      </c>
      <c r="B25012" t="s">
        <v>8732</v>
      </c>
    </row>
    <row r="25013" spans="1:2" x14ac:dyDescent="0.25">
      <c r="A25013">
        <v>55151200239</v>
      </c>
      <c r="B25013" t="s">
        <v>57</v>
      </c>
    </row>
    <row r="25014" spans="1:2" x14ac:dyDescent="0.25">
      <c r="A25014">
        <v>5515120029</v>
      </c>
      <c r="B25014" t="s">
        <v>8500</v>
      </c>
    </row>
    <row r="25015" spans="1:2" x14ac:dyDescent="0.25">
      <c r="A25015">
        <v>55151200291</v>
      </c>
      <c r="B25015" t="s">
        <v>8641</v>
      </c>
    </row>
    <row r="25016" spans="1:2" x14ac:dyDescent="0.25">
      <c r="A25016">
        <v>55151200292</v>
      </c>
      <c r="B25016" t="s">
        <v>8726</v>
      </c>
    </row>
    <row r="25017" spans="1:2" x14ac:dyDescent="0.25">
      <c r="A25017">
        <v>55151200293</v>
      </c>
      <c r="B25017" t="s">
        <v>8727</v>
      </c>
    </row>
    <row r="25018" spans="1:2" x14ac:dyDescent="0.25">
      <c r="A25018">
        <v>55151200294</v>
      </c>
      <c r="B25018" t="s">
        <v>8728</v>
      </c>
    </row>
    <row r="25019" spans="1:2" x14ac:dyDescent="0.25">
      <c r="A25019">
        <v>55151200295</v>
      </c>
      <c r="B25019" t="s">
        <v>8729</v>
      </c>
    </row>
    <row r="25020" spans="1:2" x14ac:dyDescent="0.25">
      <c r="A25020">
        <v>55151200296</v>
      </c>
      <c r="B25020" t="s">
        <v>8730</v>
      </c>
    </row>
    <row r="25021" spans="1:2" x14ac:dyDescent="0.25">
      <c r="A25021">
        <v>55151200297</v>
      </c>
      <c r="B25021" t="s">
        <v>8731</v>
      </c>
    </row>
    <row r="25022" spans="1:2" x14ac:dyDescent="0.25">
      <c r="A25022">
        <v>55151200298</v>
      </c>
      <c r="B25022" t="s">
        <v>8732</v>
      </c>
    </row>
    <row r="25023" spans="1:2" x14ac:dyDescent="0.25">
      <c r="A25023">
        <v>55151200299</v>
      </c>
      <c r="B25023" t="s">
        <v>57</v>
      </c>
    </row>
    <row r="25024" spans="1:2" x14ac:dyDescent="0.25">
      <c r="A25024">
        <v>551512003</v>
      </c>
      <c r="B25024" t="s">
        <v>8560</v>
      </c>
    </row>
    <row r="25025" spans="1:2" x14ac:dyDescent="0.25">
      <c r="A25025">
        <v>5515120031</v>
      </c>
      <c r="B25025" t="s">
        <v>8535</v>
      </c>
    </row>
    <row r="25026" spans="1:2" x14ac:dyDescent="0.25">
      <c r="A25026">
        <v>55151200311</v>
      </c>
      <c r="B25026" t="s">
        <v>8641</v>
      </c>
    </row>
    <row r="25027" spans="1:2" x14ac:dyDescent="0.25">
      <c r="A25027">
        <v>55151200312</v>
      </c>
      <c r="B25027" t="s">
        <v>8726</v>
      </c>
    </row>
    <row r="25028" spans="1:2" x14ac:dyDescent="0.25">
      <c r="A25028">
        <v>55151200313</v>
      </c>
      <c r="B25028" t="s">
        <v>8727</v>
      </c>
    </row>
    <row r="25029" spans="1:2" x14ac:dyDescent="0.25">
      <c r="A25029">
        <v>55151200314</v>
      </c>
      <c r="B25029" t="s">
        <v>8728</v>
      </c>
    </row>
    <row r="25030" spans="1:2" x14ac:dyDescent="0.25">
      <c r="A25030">
        <v>55151200315</v>
      </c>
      <c r="B25030" t="s">
        <v>8729</v>
      </c>
    </row>
    <row r="25031" spans="1:2" x14ac:dyDescent="0.25">
      <c r="A25031">
        <v>55151200316</v>
      </c>
      <c r="B25031" t="s">
        <v>8730</v>
      </c>
    </row>
    <row r="25032" spans="1:2" x14ac:dyDescent="0.25">
      <c r="A25032">
        <v>55151200317</v>
      </c>
      <c r="B25032" t="s">
        <v>8731</v>
      </c>
    </row>
    <row r="25033" spans="1:2" x14ac:dyDescent="0.25">
      <c r="A25033">
        <v>55151200318</v>
      </c>
      <c r="B25033" t="s">
        <v>8732</v>
      </c>
    </row>
    <row r="25034" spans="1:2" x14ac:dyDescent="0.25">
      <c r="A25034">
        <v>55151200319</v>
      </c>
      <c r="B25034" t="s">
        <v>57</v>
      </c>
    </row>
    <row r="25035" spans="1:2" x14ac:dyDescent="0.25">
      <c r="A25035">
        <v>5515120032</v>
      </c>
      <c r="B25035" t="s">
        <v>8506</v>
      </c>
    </row>
    <row r="25036" spans="1:2" x14ac:dyDescent="0.25">
      <c r="A25036">
        <v>55151200321</v>
      </c>
      <c r="B25036" t="s">
        <v>8641</v>
      </c>
    </row>
    <row r="25037" spans="1:2" x14ac:dyDescent="0.25">
      <c r="A25037">
        <v>55151200322</v>
      </c>
      <c r="B25037" t="s">
        <v>8726</v>
      </c>
    </row>
    <row r="25038" spans="1:2" x14ac:dyDescent="0.25">
      <c r="A25038">
        <v>55151200323</v>
      </c>
      <c r="B25038" t="s">
        <v>8727</v>
      </c>
    </row>
    <row r="25039" spans="1:2" x14ac:dyDescent="0.25">
      <c r="A25039">
        <v>55151200324</v>
      </c>
      <c r="B25039" t="s">
        <v>8728</v>
      </c>
    </row>
    <row r="25040" spans="1:2" x14ac:dyDescent="0.25">
      <c r="A25040">
        <v>55151200325</v>
      </c>
      <c r="B25040" t="s">
        <v>8729</v>
      </c>
    </row>
    <row r="25041" spans="1:2" x14ac:dyDescent="0.25">
      <c r="A25041">
        <v>55151200326</v>
      </c>
      <c r="B25041" t="s">
        <v>8730</v>
      </c>
    </row>
    <row r="25042" spans="1:2" x14ac:dyDescent="0.25">
      <c r="A25042">
        <v>55151200327</v>
      </c>
      <c r="B25042" t="s">
        <v>8731</v>
      </c>
    </row>
    <row r="25043" spans="1:2" x14ac:dyDescent="0.25">
      <c r="A25043">
        <v>55151200328</v>
      </c>
      <c r="B25043" t="s">
        <v>8732</v>
      </c>
    </row>
    <row r="25044" spans="1:2" x14ac:dyDescent="0.25">
      <c r="A25044">
        <v>55151200329</v>
      </c>
      <c r="B25044" t="s">
        <v>57</v>
      </c>
    </row>
    <row r="25045" spans="1:2" x14ac:dyDescent="0.25">
      <c r="A25045">
        <v>5515120033</v>
      </c>
      <c r="B25045" t="s">
        <v>8498</v>
      </c>
    </row>
    <row r="25046" spans="1:2" x14ac:dyDescent="0.25">
      <c r="A25046">
        <v>55151200331</v>
      </c>
      <c r="B25046" t="s">
        <v>8641</v>
      </c>
    </row>
    <row r="25047" spans="1:2" x14ac:dyDescent="0.25">
      <c r="A25047">
        <v>55151200332</v>
      </c>
      <c r="B25047" t="s">
        <v>8726</v>
      </c>
    </row>
    <row r="25048" spans="1:2" x14ac:dyDescent="0.25">
      <c r="A25048">
        <v>55151200333</v>
      </c>
      <c r="B25048" t="s">
        <v>8727</v>
      </c>
    </row>
    <row r="25049" spans="1:2" x14ac:dyDescent="0.25">
      <c r="A25049">
        <v>55151200334</v>
      </c>
      <c r="B25049" t="s">
        <v>8728</v>
      </c>
    </row>
    <row r="25050" spans="1:2" x14ac:dyDescent="0.25">
      <c r="A25050">
        <v>55151200335</v>
      </c>
      <c r="B25050" t="s">
        <v>8729</v>
      </c>
    </row>
    <row r="25051" spans="1:2" x14ac:dyDescent="0.25">
      <c r="A25051">
        <v>55151200336</v>
      </c>
      <c r="B25051" t="s">
        <v>8730</v>
      </c>
    </row>
    <row r="25052" spans="1:2" x14ac:dyDescent="0.25">
      <c r="A25052">
        <v>55151200337</v>
      </c>
      <c r="B25052" t="s">
        <v>8731</v>
      </c>
    </row>
    <row r="25053" spans="1:2" x14ac:dyDescent="0.25">
      <c r="A25053">
        <v>55151200338</v>
      </c>
      <c r="B25053" t="s">
        <v>8732</v>
      </c>
    </row>
    <row r="25054" spans="1:2" x14ac:dyDescent="0.25">
      <c r="A25054">
        <v>55151200339</v>
      </c>
      <c r="B25054" t="s">
        <v>57</v>
      </c>
    </row>
    <row r="25055" spans="1:2" x14ac:dyDescent="0.25">
      <c r="A25055">
        <v>5515120039</v>
      </c>
      <c r="B25055" t="s">
        <v>8500</v>
      </c>
    </row>
    <row r="25056" spans="1:2" x14ac:dyDescent="0.25">
      <c r="A25056">
        <v>55151200391</v>
      </c>
      <c r="B25056" t="s">
        <v>8641</v>
      </c>
    </row>
    <row r="25057" spans="1:2" x14ac:dyDescent="0.25">
      <c r="A25057">
        <v>55151200392</v>
      </c>
      <c r="B25057" t="s">
        <v>8726</v>
      </c>
    </row>
    <row r="25058" spans="1:2" x14ac:dyDescent="0.25">
      <c r="A25058">
        <v>55151200393</v>
      </c>
      <c r="B25058" t="s">
        <v>8727</v>
      </c>
    </row>
    <row r="25059" spans="1:2" x14ac:dyDescent="0.25">
      <c r="A25059">
        <v>55151200394</v>
      </c>
      <c r="B25059" t="s">
        <v>8728</v>
      </c>
    </row>
    <row r="25060" spans="1:2" x14ac:dyDescent="0.25">
      <c r="A25060">
        <v>55151200395</v>
      </c>
      <c r="B25060" t="s">
        <v>8729</v>
      </c>
    </row>
    <row r="25061" spans="1:2" x14ac:dyDescent="0.25">
      <c r="A25061">
        <v>55151200396</v>
      </c>
      <c r="B25061" t="s">
        <v>8730</v>
      </c>
    </row>
    <row r="25062" spans="1:2" x14ac:dyDescent="0.25">
      <c r="A25062">
        <v>55151200397</v>
      </c>
      <c r="B25062" t="s">
        <v>8731</v>
      </c>
    </row>
    <row r="25063" spans="1:2" x14ac:dyDescent="0.25">
      <c r="A25063">
        <v>55151200398</v>
      </c>
      <c r="B25063" t="s">
        <v>8732</v>
      </c>
    </row>
    <row r="25064" spans="1:2" x14ac:dyDescent="0.25">
      <c r="A25064">
        <v>55151200399</v>
      </c>
      <c r="B25064" t="s">
        <v>57</v>
      </c>
    </row>
    <row r="25065" spans="1:2" x14ac:dyDescent="0.25">
      <c r="A25065">
        <v>551512004</v>
      </c>
      <c r="B25065" t="s">
        <v>8561</v>
      </c>
    </row>
    <row r="25066" spans="1:2" x14ac:dyDescent="0.25">
      <c r="A25066">
        <v>5515120041</v>
      </c>
      <c r="B25066" t="s">
        <v>8535</v>
      </c>
    </row>
    <row r="25067" spans="1:2" x14ac:dyDescent="0.25">
      <c r="A25067">
        <v>55151200411</v>
      </c>
      <c r="B25067" t="s">
        <v>8641</v>
      </c>
    </row>
    <row r="25068" spans="1:2" x14ac:dyDescent="0.25">
      <c r="A25068">
        <v>55151200412</v>
      </c>
      <c r="B25068" t="s">
        <v>8726</v>
      </c>
    </row>
    <row r="25069" spans="1:2" x14ac:dyDescent="0.25">
      <c r="A25069">
        <v>55151200413</v>
      </c>
      <c r="B25069" t="s">
        <v>8727</v>
      </c>
    </row>
    <row r="25070" spans="1:2" x14ac:dyDescent="0.25">
      <c r="A25070">
        <v>55151200414</v>
      </c>
      <c r="B25070" t="s">
        <v>8728</v>
      </c>
    </row>
    <row r="25071" spans="1:2" x14ac:dyDescent="0.25">
      <c r="A25071">
        <v>55151200415</v>
      </c>
      <c r="B25071" t="s">
        <v>8729</v>
      </c>
    </row>
    <row r="25072" spans="1:2" x14ac:dyDescent="0.25">
      <c r="A25072">
        <v>55151200416</v>
      </c>
      <c r="B25072" t="s">
        <v>8730</v>
      </c>
    </row>
    <row r="25073" spans="1:2" x14ac:dyDescent="0.25">
      <c r="A25073">
        <v>55151200417</v>
      </c>
      <c r="B25073" t="s">
        <v>8731</v>
      </c>
    </row>
    <row r="25074" spans="1:2" x14ac:dyDescent="0.25">
      <c r="A25074">
        <v>55151200418</v>
      </c>
      <c r="B25074" t="s">
        <v>8732</v>
      </c>
    </row>
    <row r="25075" spans="1:2" x14ac:dyDescent="0.25">
      <c r="A25075">
        <v>55151200419</v>
      </c>
      <c r="B25075" t="s">
        <v>57</v>
      </c>
    </row>
    <row r="25076" spans="1:2" x14ac:dyDescent="0.25">
      <c r="A25076">
        <v>5515120042</v>
      </c>
      <c r="B25076" t="s">
        <v>8506</v>
      </c>
    </row>
    <row r="25077" spans="1:2" x14ac:dyDescent="0.25">
      <c r="A25077">
        <v>55151200421</v>
      </c>
      <c r="B25077" t="s">
        <v>8641</v>
      </c>
    </row>
    <row r="25078" spans="1:2" x14ac:dyDescent="0.25">
      <c r="A25078">
        <v>55151200422</v>
      </c>
      <c r="B25078" t="s">
        <v>8726</v>
      </c>
    </row>
    <row r="25079" spans="1:2" x14ac:dyDescent="0.25">
      <c r="A25079">
        <v>55151200423</v>
      </c>
      <c r="B25079" t="s">
        <v>8727</v>
      </c>
    </row>
    <row r="25080" spans="1:2" x14ac:dyDescent="0.25">
      <c r="A25080">
        <v>55151200424</v>
      </c>
      <c r="B25080" t="s">
        <v>8728</v>
      </c>
    </row>
    <row r="25081" spans="1:2" x14ac:dyDescent="0.25">
      <c r="A25081">
        <v>55151200425</v>
      </c>
      <c r="B25081" t="s">
        <v>8729</v>
      </c>
    </row>
    <row r="25082" spans="1:2" x14ac:dyDescent="0.25">
      <c r="A25082">
        <v>55151200426</v>
      </c>
      <c r="B25082" t="s">
        <v>8730</v>
      </c>
    </row>
    <row r="25083" spans="1:2" x14ac:dyDescent="0.25">
      <c r="A25083">
        <v>55151200427</v>
      </c>
      <c r="B25083" t="s">
        <v>8731</v>
      </c>
    </row>
    <row r="25084" spans="1:2" x14ac:dyDescent="0.25">
      <c r="A25084">
        <v>55151200428</v>
      </c>
      <c r="B25084" t="s">
        <v>8732</v>
      </c>
    </row>
    <row r="25085" spans="1:2" x14ac:dyDescent="0.25">
      <c r="A25085">
        <v>55151200429</v>
      </c>
      <c r="B25085" t="s">
        <v>57</v>
      </c>
    </row>
    <row r="25086" spans="1:2" x14ac:dyDescent="0.25">
      <c r="A25086">
        <v>5515120043</v>
      </c>
      <c r="B25086" t="s">
        <v>8498</v>
      </c>
    </row>
    <row r="25087" spans="1:2" x14ac:dyDescent="0.25">
      <c r="A25087">
        <v>55151200431</v>
      </c>
      <c r="B25087" t="s">
        <v>8641</v>
      </c>
    </row>
    <row r="25088" spans="1:2" x14ac:dyDescent="0.25">
      <c r="A25088">
        <v>55151200432</v>
      </c>
      <c r="B25088" t="s">
        <v>8726</v>
      </c>
    </row>
    <row r="25089" spans="1:2" x14ac:dyDescent="0.25">
      <c r="A25089">
        <v>55151200433</v>
      </c>
      <c r="B25089" t="s">
        <v>8727</v>
      </c>
    </row>
    <row r="25090" spans="1:2" x14ac:dyDescent="0.25">
      <c r="A25090">
        <v>55151200434</v>
      </c>
      <c r="B25090" t="s">
        <v>8728</v>
      </c>
    </row>
    <row r="25091" spans="1:2" x14ac:dyDescent="0.25">
      <c r="A25091">
        <v>55151200435</v>
      </c>
      <c r="B25091" t="s">
        <v>8729</v>
      </c>
    </row>
    <row r="25092" spans="1:2" x14ac:dyDescent="0.25">
      <c r="A25092">
        <v>55151200436</v>
      </c>
      <c r="B25092" t="s">
        <v>8730</v>
      </c>
    </row>
    <row r="25093" spans="1:2" x14ac:dyDescent="0.25">
      <c r="A25093">
        <v>55151200437</v>
      </c>
      <c r="B25093" t="s">
        <v>8731</v>
      </c>
    </row>
    <row r="25094" spans="1:2" x14ac:dyDescent="0.25">
      <c r="A25094">
        <v>55151200438</v>
      </c>
      <c r="B25094" t="s">
        <v>8732</v>
      </c>
    </row>
    <row r="25095" spans="1:2" x14ac:dyDescent="0.25">
      <c r="A25095">
        <v>55151200439</v>
      </c>
      <c r="B25095" t="s">
        <v>57</v>
      </c>
    </row>
    <row r="25096" spans="1:2" x14ac:dyDescent="0.25">
      <c r="A25096">
        <v>5515120049</v>
      </c>
      <c r="B25096" t="s">
        <v>8500</v>
      </c>
    </row>
    <row r="25097" spans="1:2" x14ac:dyDescent="0.25">
      <c r="A25097">
        <v>55151200491</v>
      </c>
      <c r="B25097" t="s">
        <v>8641</v>
      </c>
    </row>
    <row r="25098" spans="1:2" x14ac:dyDescent="0.25">
      <c r="A25098">
        <v>55151200492</v>
      </c>
      <c r="B25098" t="s">
        <v>8726</v>
      </c>
    </row>
    <row r="25099" spans="1:2" x14ac:dyDescent="0.25">
      <c r="A25099">
        <v>55151200493</v>
      </c>
      <c r="B25099" t="s">
        <v>8727</v>
      </c>
    </row>
    <row r="25100" spans="1:2" x14ac:dyDescent="0.25">
      <c r="A25100">
        <v>55151200494</v>
      </c>
      <c r="B25100" t="s">
        <v>8728</v>
      </c>
    </row>
    <row r="25101" spans="1:2" x14ac:dyDescent="0.25">
      <c r="A25101">
        <v>55151200495</v>
      </c>
      <c r="B25101" t="s">
        <v>8729</v>
      </c>
    </row>
    <row r="25102" spans="1:2" x14ac:dyDescent="0.25">
      <c r="A25102">
        <v>55151200496</v>
      </c>
      <c r="B25102" t="s">
        <v>8730</v>
      </c>
    </row>
    <row r="25103" spans="1:2" x14ac:dyDescent="0.25">
      <c r="A25103">
        <v>55151200497</v>
      </c>
      <c r="B25103" t="s">
        <v>8731</v>
      </c>
    </row>
    <row r="25104" spans="1:2" x14ac:dyDescent="0.25">
      <c r="A25104">
        <v>55151200498</v>
      </c>
      <c r="B25104" t="s">
        <v>8732</v>
      </c>
    </row>
    <row r="25105" spans="1:2" x14ac:dyDescent="0.25">
      <c r="A25105">
        <v>55151200499</v>
      </c>
      <c r="B25105" t="s">
        <v>57</v>
      </c>
    </row>
    <row r="25106" spans="1:2" x14ac:dyDescent="0.25">
      <c r="A25106">
        <v>55151300</v>
      </c>
      <c r="B25106" t="e">
        <f>- - Mezcladas exclusiva o principalmente Con lana o Pelo fino</f>
        <v>#NAME?</v>
      </c>
    </row>
    <row r="25107" spans="1:2" x14ac:dyDescent="0.25">
      <c r="A25107">
        <v>55151300100</v>
      </c>
      <c r="B25107" t="s">
        <v>8743</v>
      </c>
    </row>
    <row r="25108" spans="1:2" x14ac:dyDescent="0.25">
      <c r="A25108">
        <v>55151300200</v>
      </c>
      <c r="B25108" t="s">
        <v>8744</v>
      </c>
    </row>
    <row r="25109" spans="1:2" x14ac:dyDescent="0.25">
      <c r="A25109">
        <v>55151900000</v>
      </c>
      <c r="B25109" t="e">
        <f>--Los demas</f>
        <v>#NAME?</v>
      </c>
    </row>
    <row r="25110" spans="1:2" x14ac:dyDescent="0.25">
      <c r="A25110">
        <v>55152</v>
      </c>
      <c r="B25110" t="s">
        <v>8745</v>
      </c>
    </row>
    <row r="25111" spans="1:2" x14ac:dyDescent="0.25">
      <c r="A25111">
        <v>55152100000</v>
      </c>
      <c r="B25111" t="e">
        <f>--Mezcladas exclusiva o principalmente Con filamentos sinteticos o artificiales</f>
        <v>#NAME?</v>
      </c>
    </row>
    <row r="25112" spans="1:2" x14ac:dyDescent="0.25">
      <c r="A25112">
        <v>55152200000</v>
      </c>
      <c r="B25112" t="e">
        <f>--Mezcladas exclusiva o principalmente Con lana o Pelo fino</f>
        <v>#NAME?</v>
      </c>
    </row>
    <row r="25113" spans="1:2" x14ac:dyDescent="0.25">
      <c r="A25113">
        <v>55152900000</v>
      </c>
      <c r="B25113" t="e">
        <f>--Los demas</f>
        <v>#NAME?</v>
      </c>
    </row>
    <row r="25114" spans="1:2" x14ac:dyDescent="0.25">
      <c r="A25114">
        <v>55159</v>
      </c>
      <c r="B25114" t="s">
        <v>8670</v>
      </c>
    </row>
    <row r="25115" spans="1:2" x14ac:dyDescent="0.25">
      <c r="A25115">
        <v>55159100000</v>
      </c>
      <c r="B25115" t="e">
        <f>--mezclados exclusiva o principalmente Con filamentos sinteticos o artificiales</f>
        <v>#NAME?</v>
      </c>
    </row>
    <row r="25116" spans="1:2" x14ac:dyDescent="0.25">
      <c r="A25116">
        <v>551599</v>
      </c>
      <c r="B25116" t="e">
        <f>- - Los demas</f>
        <v>#NAME?</v>
      </c>
    </row>
    <row r="25117" spans="1:2" x14ac:dyDescent="0.25">
      <c r="A25117">
        <v>55159910000</v>
      </c>
      <c r="B25117" t="e">
        <f>--mezclados exclusiva o principalmente Con lana o Pelo fino</f>
        <v>#NAME?</v>
      </c>
    </row>
    <row r="25118" spans="1:2" x14ac:dyDescent="0.25">
      <c r="A25118">
        <v>55159990000</v>
      </c>
      <c r="B25118" t="e">
        <f>--Los demas</f>
        <v>#NAME?</v>
      </c>
    </row>
    <row r="25119" spans="1:2" x14ac:dyDescent="0.25">
      <c r="A25119">
        <v>5516</v>
      </c>
      <c r="B25119" t="s">
        <v>8746</v>
      </c>
    </row>
    <row r="25120" spans="1:2" x14ac:dyDescent="0.25">
      <c r="A25120">
        <v>55161</v>
      </c>
      <c r="B25120" t="s">
        <v>8718</v>
      </c>
    </row>
    <row r="25121" spans="1:2" x14ac:dyDescent="0.25">
      <c r="A25121">
        <v>55161100</v>
      </c>
      <c r="B25121" t="e">
        <f>- - crudos o Blanqueados</f>
        <v>#NAME?</v>
      </c>
    </row>
    <row r="25122" spans="1:2" x14ac:dyDescent="0.25">
      <c r="A25122">
        <v>551611001</v>
      </c>
      <c r="B25122" t="s">
        <v>8581</v>
      </c>
    </row>
    <row r="25123" spans="1:2" x14ac:dyDescent="0.25">
      <c r="A25123">
        <v>5516110011</v>
      </c>
      <c r="B25123" t="s">
        <v>8535</v>
      </c>
    </row>
    <row r="25124" spans="1:2" x14ac:dyDescent="0.25">
      <c r="A25124">
        <v>55161100111</v>
      </c>
      <c r="B25124" t="s">
        <v>8641</v>
      </c>
    </row>
    <row r="25125" spans="1:2" x14ac:dyDescent="0.25">
      <c r="A25125">
        <v>55161100112</v>
      </c>
      <c r="B25125" t="s">
        <v>8726</v>
      </c>
    </row>
    <row r="25126" spans="1:2" x14ac:dyDescent="0.25">
      <c r="A25126">
        <v>55161100113</v>
      </c>
      <c r="B25126" t="s">
        <v>8727</v>
      </c>
    </row>
    <row r="25127" spans="1:2" x14ac:dyDescent="0.25">
      <c r="A25127">
        <v>55161100114</v>
      </c>
      <c r="B25127" t="s">
        <v>8728</v>
      </c>
    </row>
    <row r="25128" spans="1:2" x14ac:dyDescent="0.25">
      <c r="A25128">
        <v>55161100115</v>
      </c>
      <c r="B25128" t="s">
        <v>8729</v>
      </c>
    </row>
    <row r="25129" spans="1:2" x14ac:dyDescent="0.25">
      <c r="A25129">
        <v>55161100116</v>
      </c>
      <c r="B25129" t="s">
        <v>8730</v>
      </c>
    </row>
    <row r="25130" spans="1:2" x14ac:dyDescent="0.25">
      <c r="A25130">
        <v>55161100117</v>
      </c>
      <c r="B25130" t="s">
        <v>8731</v>
      </c>
    </row>
    <row r="25131" spans="1:2" x14ac:dyDescent="0.25">
      <c r="A25131">
        <v>55161100118</v>
      </c>
      <c r="B25131" t="s">
        <v>8732</v>
      </c>
    </row>
    <row r="25132" spans="1:2" x14ac:dyDescent="0.25">
      <c r="A25132">
        <v>55161100119</v>
      </c>
      <c r="B25132" t="s">
        <v>57</v>
      </c>
    </row>
    <row r="25133" spans="1:2" x14ac:dyDescent="0.25">
      <c r="A25133">
        <v>5516110012</v>
      </c>
      <c r="B25133" t="s">
        <v>8506</v>
      </c>
    </row>
    <row r="25134" spans="1:2" x14ac:dyDescent="0.25">
      <c r="A25134">
        <v>55161100121</v>
      </c>
      <c r="B25134" t="s">
        <v>8641</v>
      </c>
    </row>
    <row r="25135" spans="1:2" x14ac:dyDescent="0.25">
      <c r="A25135">
        <v>55161100122</v>
      </c>
      <c r="B25135" t="s">
        <v>8726</v>
      </c>
    </row>
    <row r="25136" spans="1:2" x14ac:dyDescent="0.25">
      <c r="A25136">
        <v>55161100123</v>
      </c>
      <c r="B25136" t="s">
        <v>8727</v>
      </c>
    </row>
    <row r="25137" spans="1:2" x14ac:dyDescent="0.25">
      <c r="A25137">
        <v>55161100124</v>
      </c>
      <c r="B25137" t="s">
        <v>8728</v>
      </c>
    </row>
    <row r="25138" spans="1:2" x14ac:dyDescent="0.25">
      <c r="A25138">
        <v>55161100125</v>
      </c>
      <c r="B25138" t="s">
        <v>8729</v>
      </c>
    </row>
    <row r="25139" spans="1:2" x14ac:dyDescent="0.25">
      <c r="A25139">
        <v>55161100126</v>
      </c>
      <c r="B25139" t="s">
        <v>8730</v>
      </c>
    </row>
    <row r="25140" spans="1:2" x14ac:dyDescent="0.25">
      <c r="A25140">
        <v>55161100127</v>
      </c>
      <c r="B25140" t="s">
        <v>8731</v>
      </c>
    </row>
    <row r="25141" spans="1:2" x14ac:dyDescent="0.25">
      <c r="A25141">
        <v>55161100128</v>
      </c>
      <c r="B25141" t="s">
        <v>8732</v>
      </c>
    </row>
    <row r="25142" spans="1:2" x14ac:dyDescent="0.25">
      <c r="A25142">
        <v>55161100129</v>
      </c>
      <c r="B25142" t="s">
        <v>57</v>
      </c>
    </row>
    <row r="25143" spans="1:2" x14ac:dyDescent="0.25">
      <c r="A25143">
        <v>5516110013</v>
      </c>
      <c r="B25143" t="s">
        <v>8498</v>
      </c>
    </row>
    <row r="25144" spans="1:2" x14ac:dyDescent="0.25">
      <c r="A25144">
        <v>55161100131</v>
      </c>
      <c r="B25144" t="s">
        <v>8641</v>
      </c>
    </row>
    <row r="25145" spans="1:2" x14ac:dyDescent="0.25">
      <c r="A25145">
        <v>55161100132</v>
      </c>
      <c r="B25145" t="s">
        <v>8726</v>
      </c>
    </row>
    <row r="25146" spans="1:2" x14ac:dyDescent="0.25">
      <c r="A25146">
        <v>55161100133</v>
      </c>
      <c r="B25146" t="s">
        <v>8727</v>
      </c>
    </row>
    <row r="25147" spans="1:2" x14ac:dyDescent="0.25">
      <c r="A25147">
        <v>55161100134</v>
      </c>
      <c r="B25147" t="s">
        <v>8728</v>
      </c>
    </row>
    <row r="25148" spans="1:2" x14ac:dyDescent="0.25">
      <c r="A25148">
        <v>55161100135</v>
      </c>
      <c r="B25148" t="s">
        <v>8729</v>
      </c>
    </row>
    <row r="25149" spans="1:2" x14ac:dyDescent="0.25">
      <c r="A25149">
        <v>55161100136</v>
      </c>
      <c r="B25149" t="s">
        <v>8730</v>
      </c>
    </row>
    <row r="25150" spans="1:2" x14ac:dyDescent="0.25">
      <c r="A25150">
        <v>55161100137</v>
      </c>
      <c r="B25150" t="s">
        <v>8731</v>
      </c>
    </row>
    <row r="25151" spans="1:2" x14ac:dyDescent="0.25">
      <c r="A25151">
        <v>55161100138</v>
      </c>
      <c r="B25151" t="s">
        <v>8732</v>
      </c>
    </row>
    <row r="25152" spans="1:2" x14ac:dyDescent="0.25">
      <c r="A25152">
        <v>55161100139</v>
      </c>
      <c r="B25152" t="s">
        <v>57</v>
      </c>
    </row>
    <row r="25153" spans="1:2" x14ac:dyDescent="0.25">
      <c r="A25153">
        <v>5516110019</v>
      </c>
      <c r="B25153" t="s">
        <v>8500</v>
      </c>
    </row>
    <row r="25154" spans="1:2" x14ac:dyDescent="0.25">
      <c r="A25154">
        <v>55161100191</v>
      </c>
      <c r="B25154" t="s">
        <v>8641</v>
      </c>
    </row>
    <row r="25155" spans="1:2" x14ac:dyDescent="0.25">
      <c r="A25155">
        <v>55161100192</v>
      </c>
      <c r="B25155" t="s">
        <v>8726</v>
      </c>
    </row>
    <row r="25156" spans="1:2" x14ac:dyDescent="0.25">
      <c r="A25156">
        <v>55161100193</v>
      </c>
      <c r="B25156" t="s">
        <v>8727</v>
      </c>
    </row>
    <row r="25157" spans="1:2" x14ac:dyDescent="0.25">
      <c r="A25157">
        <v>55161100194</v>
      </c>
      <c r="B25157" t="s">
        <v>8728</v>
      </c>
    </row>
    <row r="25158" spans="1:2" x14ac:dyDescent="0.25">
      <c r="A25158">
        <v>55161100195</v>
      </c>
      <c r="B25158" t="s">
        <v>8729</v>
      </c>
    </row>
    <row r="25159" spans="1:2" x14ac:dyDescent="0.25">
      <c r="A25159">
        <v>55161100196</v>
      </c>
      <c r="B25159" t="s">
        <v>8730</v>
      </c>
    </row>
    <row r="25160" spans="1:2" x14ac:dyDescent="0.25">
      <c r="A25160">
        <v>55161100197</v>
      </c>
      <c r="B25160" t="s">
        <v>8731</v>
      </c>
    </row>
    <row r="25161" spans="1:2" x14ac:dyDescent="0.25">
      <c r="A25161">
        <v>55161100198</v>
      </c>
      <c r="B25161" t="s">
        <v>8732</v>
      </c>
    </row>
    <row r="25162" spans="1:2" x14ac:dyDescent="0.25">
      <c r="A25162">
        <v>55161100199</v>
      </c>
      <c r="B25162" t="s">
        <v>57</v>
      </c>
    </row>
    <row r="25163" spans="1:2" x14ac:dyDescent="0.25">
      <c r="A25163">
        <v>551611009</v>
      </c>
      <c r="B25163" t="s">
        <v>57</v>
      </c>
    </row>
    <row r="25164" spans="1:2" x14ac:dyDescent="0.25">
      <c r="A25164">
        <v>5516110091</v>
      </c>
      <c r="B25164" t="s">
        <v>8535</v>
      </c>
    </row>
    <row r="25165" spans="1:2" x14ac:dyDescent="0.25">
      <c r="A25165">
        <v>55161100911</v>
      </c>
      <c r="B25165" t="s">
        <v>8641</v>
      </c>
    </row>
    <row r="25166" spans="1:2" x14ac:dyDescent="0.25">
      <c r="A25166">
        <v>55161100912</v>
      </c>
      <c r="B25166" t="s">
        <v>8726</v>
      </c>
    </row>
    <row r="25167" spans="1:2" x14ac:dyDescent="0.25">
      <c r="A25167">
        <v>55161100913</v>
      </c>
      <c r="B25167" t="s">
        <v>8727</v>
      </c>
    </row>
    <row r="25168" spans="1:2" x14ac:dyDescent="0.25">
      <c r="A25168">
        <v>55161100914</v>
      </c>
      <c r="B25168" t="s">
        <v>8728</v>
      </c>
    </row>
    <row r="25169" spans="1:2" x14ac:dyDescent="0.25">
      <c r="A25169">
        <v>55161100915</v>
      </c>
      <c r="B25169" t="s">
        <v>8729</v>
      </c>
    </row>
    <row r="25170" spans="1:2" x14ac:dyDescent="0.25">
      <c r="A25170">
        <v>55161100916</v>
      </c>
      <c r="B25170" t="s">
        <v>8730</v>
      </c>
    </row>
    <row r="25171" spans="1:2" x14ac:dyDescent="0.25">
      <c r="A25171">
        <v>55161100917</v>
      </c>
      <c r="B25171" t="s">
        <v>8731</v>
      </c>
    </row>
    <row r="25172" spans="1:2" x14ac:dyDescent="0.25">
      <c r="A25172">
        <v>55161100918</v>
      </c>
      <c r="B25172" t="s">
        <v>8732</v>
      </c>
    </row>
    <row r="25173" spans="1:2" x14ac:dyDescent="0.25">
      <c r="A25173">
        <v>55161100919</v>
      </c>
      <c r="B25173" t="s">
        <v>57</v>
      </c>
    </row>
    <row r="25174" spans="1:2" x14ac:dyDescent="0.25">
      <c r="A25174">
        <v>5516110092</v>
      </c>
      <c r="B25174" t="s">
        <v>8506</v>
      </c>
    </row>
    <row r="25175" spans="1:2" x14ac:dyDescent="0.25">
      <c r="A25175">
        <v>55161100921</v>
      </c>
      <c r="B25175" t="s">
        <v>8641</v>
      </c>
    </row>
    <row r="25176" spans="1:2" x14ac:dyDescent="0.25">
      <c r="A25176">
        <v>55161100922</v>
      </c>
      <c r="B25176" t="s">
        <v>8726</v>
      </c>
    </row>
    <row r="25177" spans="1:2" x14ac:dyDescent="0.25">
      <c r="A25177">
        <v>55161100923</v>
      </c>
      <c r="B25177" t="s">
        <v>8727</v>
      </c>
    </row>
    <row r="25178" spans="1:2" x14ac:dyDescent="0.25">
      <c r="A25178">
        <v>55161100924</v>
      </c>
      <c r="B25178" t="s">
        <v>8728</v>
      </c>
    </row>
    <row r="25179" spans="1:2" x14ac:dyDescent="0.25">
      <c r="A25179">
        <v>55161100925</v>
      </c>
      <c r="B25179" t="s">
        <v>8729</v>
      </c>
    </row>
    <row r="25180" spans="1:2" x14ac:dyDescent="0.25">
      <c r="A25180">
        <v>55161100926</v>
      </c>
      <c r="B25180" t="s">
        <v>8730</v>
      </c>
    </row>
    <row r="25181" spans="1:2" x14ac:dyDescent="0.25">
      <c r="A25181">
        <v>55161100927</v>
      </c>
      <c r="B25181" t="s">
        <v>8731</v>
      </c>
    </row>
    <row r="25182" spans="1:2" x14ac:dyDescent="0.25">
      <c r="A25182">
        <v>55161100928</v>
      </c>
      <c r="B25182" t="s">
        <v>8732</v>
      </c>
    </row>
    <row r="25183" spans="1:2" x14ac:dyDescent="0.25">
      <c r="A25183">
        <v>55161100929</v>
      </c>
      <c r="B25183" t="s">
        <v>57</v>
      </c>
    </row>
    <row r="25184" spans="1:2" x14ac:dyDescent="0.25">
      <c r="A25184">
        <v>5516110093</v>
      </c>
      <c r="B25184" t="s">
        <v>8498</v>
      </c>
    </row>
    <row r="25185" spans="1:2" x14ac:dyDescent="0.25">
      <c r="A25185">
        <v>55161100931</v>
      </c>
      <c r="B25185" t="s">
        <v>8641</v>
      </c>
    </row>
    <row r="25186" spans="1:2" x14ac:dyDescent="0.25">
      <c r="A25186">
        <v>55161100932</v>
      </c>
      <c r="B25186" t="s">
        <v>8726</v>
      </c>
    </row>
    <row r="25187" spans="1:2" x14ac:dyDescent="0.25">
      <c r="A25187">
        <v>55161100933</v>
      </c>
      <c r="B25187" t="s">
        <v>8727</v>
      </c>
    </row>
    <row r="25188" spans="1:2" x14ac:dyDescent="0.25">
      <c r="A25188">
        <v>55161100934</v>
      </c>
      <c r="B25188" t="s">
        <v>8728</v>
      </c>
    </row>
    <row r="25189" spans="1:2" x14ac:dyDescent="0.25">
      <c r="A25189">
        <v>55161100935</v>
      </c>
      <c r="B25189" t="s">
        <v>8729</v>
      </c>
    </row>
    <row r="25190" spans="1:2" x14ac:dyDescent="0.25">
      <c r="A25190">
        <v>55161100936</v>
      </c>
      <c r="B25190" t="s">
        <v>8730</v>
      </c>
    </row>
    <row r="25191" spans="1:2" x14ac:dyDescent="0.25">
      <c r="A25191">
        <v>55161100937</v>
      </c>
      <c r="B25191" t="s">
        <v>8731</v>
      </c>
    </row>
    <row r="25192" spans="1:2" x14ac:dyDescent="0.25">
      <c r="A25192">
        <v>55161100938</v>
      </c>
      <c r="B25192" t="s">
        <v>8732</v>
      </c>
    </row>
    <row r="25193" spans="1:2" x14ac:dyDescent="0.25">
      <c r="A25193">
        <v>55161100939</v>
      </c>
      <c r="B25193" t="s">
        <v>57</v>
      </c>
    </row>
    <row r="25194" spans="1:2" x14ac:dyDescent="0.25">
      <c r="A25194">
        <v>5516110099</v>
      </c>
      <c r="B25194" t="s">
        <v>8500</v>
      </c>
    </row>
    <row r="25195" spans="1:2" x14ac:dyDescent="0.25">
      <c r="A25195">
        <v>55161100991</v>
      </c>
      <c r="B25195" t="s">
        <v>8641</v>
      </c>
    </row>
    <row r="25196" spans="1:2" x14ac:dyDescent="0.25">
      <c r="A25196">
        <v>55161100992</v>
      </c>
      <c r="B25196" t="s">
        <v>8726</v>
      </c>
    </row>
    <row r="25197" spans="1:2" x14ac:dyDescent="0.25">
      <c r="A25197">
        <v>55161100993</v>
      </c>
      <c r="B25197" t="s">
        <v>8727</v>
      </c>
    </row>
    <row r="25198" spans="1:2" x14ac:dyDescent="0.25">
      <c r="A25198">
        <v>55161100994</v>
      </c>
      <c r="B25198" t="s">
        <v>8728</v>
      </c>
    </row>
    <row r="25199" spans="1:2" x14ac:dyDescent="0.25">
      <c r="A25199">
        <v>55161100995</v>
      </c>
      <c r="B25199" t="s">
        <v>8729</v>
      </c>
    </row>
    <row r="25200" spans="1:2" x14ac:dyDescent="0.25">
      <c r="A25200">
        <v>55161100996</v>
      </c>
      <c r="B25200" t="s">
        <v>8730</v>
      </c>
    </row>
    <row r="25201" spans="1:2" x14ac:dyDescent="0.25">
      <c r="A25201">
        <v>55161100997</v>
      </c>
      <c r="B25201" t="s">
        <v>8731</v>
      </c>
    </row>
    <row r="25202" spans="1:2" x14ac:dyDescent="0.25">
      <c r="A25202">
        <v>55161100998</v>
      </c>
      <c r="B25202" t="s">
        <v>8732</v>
      </c>
    </row>
    <row r="25203" spans="1:2" x14ac:dyDescent="0.25">
      <c r="A25203">
        <v>55161100999</v>
      </c>
      <c r="B25203" t="s">
        <v>57</v>
      </c>
    </row>
    <row r="25204" spans="1:2" x14ac:dyDescent="0.25">
      <c r="A25204">
        <v>55161200</v>
      </c>
      <c r="B25204" t="e">
        <f>- - Teñidos</f>
        <v>#NAME?</v>
      </c>
    </row>
    <row r="25205" spans="1:2" x14ac:dyDescent="0.25">
      <c r="A25205">
        <v>551612001</v>
      </c>
      <c r="B25205" t="s">
        <v>8581</v>
      </c>
    </row>
    <row r="25206" spans="1:2" x14ac:dyDescent="0.25">
      <c r="A25206">
        <v>5516120011</v>
      </c>
      <c r="B25206" t="s">
        <v>8535</v>
      </c>
    </row>
    <row r="25207" spans="1:2" x14ac:dyDescent="0.25">
      <c r="A25207">
        <v>55161200111</v>
      </c>
      <c r="B25207" t="s">
        <v>8641</v>
      </c>
    </row>
    <row r="25208" spans="1:2" x14ac:dyDescent="0.25">
      <c r="A25208">
        <v>55161200112</v>
      </c>
      <c r="B25208" t="s">
        <v>8726</v>
      </c>
    </row>
    <row r="25209" spans="1:2" x14ac:dyDescent="0.25">
      <c r="A25209">
        <v>55161200113</v>
      </c>
      <c r="B25209" t="s">
        <v>8727</v>
      </c>
    </row>
    <row r="25210" spans="1:2" x14ac:dyDescent="0.25">
      <c r="A25210">
        <v>55161200114</v>
      </c>
      <c r="B25210" t="s">
        <v>8728</v>
      </c>
    </row>
    <row r="25211" spans="1:2" x14ac:dyDescent="0.25">
      <c r="A25211">
        <v>55161200115</v>
      </c>
      <c r="B25211" t="s">
        <v>8729</v>
      </c>
    </row>
    <row r="25212" spans="1:2" x14ac:dyDescent="0.25">
      <c r="A25212">
        <v>55161200116</v>
      </c>
      <c r="B25212" t="s">
        <v>8730</v>
      </c>
    </row>
    <row r="25213" spans="1:2" x14ac:dyDescent="0.25">
      <c r="A25213">
        <v>55161200117</v>
      </c>
      <c r="B25213" t="s">
        <v>8731</v>
      </c>
    </row>
    <row r="25214" spans="1:2" x14ac:dyDescent="0.25">
      <c r="A25214">
        <v>55161200118</v>
      </c>
      <c r="B25214" t="s">
        <v>8732</v>
      </c>
    </row>
    <row r="25215" spans="1:2" x14ac:dyDescent="0.25">
      <c r="A25215">
        <v>55161200119</v>
      </c>
      <c r="B25215" t="s">
        <v>57</v>
      </c>
    </row>
    <row r="25216" spans="1:2" x14ac:dyDescent="0.25">
      <c r="A25216">
        <v>5516120012</v>
      </c>
      <c r="B25216" t="s">
        <v>8506</v>
      </c>
    </row>
    <row r="25217" spans="1:2" x14ac:dyDescent="0.25">
      <c r="A25217">
        <v>55161200121</v>
      </c>
      <c r="B25217" t="s">
        <v>8641</v>
      </c>
    </row>
    <row r="25218" spans="1:2" x14ac:dyDescent="0.25">
      <c r="A25218">
        <v>55161200122</v>
      </c>
      <c r="B25218" t="s">
        <v>8726</v>
      </c>
    </row>
    <row r="25219" spans="1:2" x14ac:dyDescent="0.25">
      <c r="A25219">
        <v>55161200123</v>
      </c>
      <c r="B25219" t="s">
        <v>8727</v>
      </c>
    </row>
    <row r="25220" spans="1:2" x14ac:dyDescent="0.25">
      <c r="A25220">
        <v>55161200124</v>
      </c>
      <c r="B25220" t="s">
        <v>8728</v>
      </c>
    </row>
    <row r="25221" spans="1:2" x14ac:dyDescent="0.25">
      <c r="A25221">
        <v>55161200125</v>
      </c>
      <c r="B25221" t="s">
        <v>8729</v>
      </c>
    </row>
    <row r="25222" spans="1:2" x14ac:dyDescent="0.25">
      <c r="A25222">
        <v>55161200126</v>
      </c>
      <c r="B25222" t="s">
        <v>8730</v>
      </c>
    </row>
    <row r="25223" spans="1:2" x14ac:dyDescent="0.25">
      <c r="A25223">
        <v>55161200127</v>
      </c>
      <c r="B25223" t="s">
        <v>8731</v>
      </c>
    </row>
    <row r="25224" spans="1:2" x14ac:dyDescent="0.25">
      <c r="A25224">
        <v>55161200128</v>
      </c>
      <c r="B25224" t="s">
        <v>8732</v>
      </c>
    </row>
    <row r="25225" spans="1:2" x14ac:dyDescent="0.25">
      <c r="A25225">
        <v>55161200129</v>
      </c>
      <c r="B25225" t="s">
        <v>57</v>
      </c>
    </row>
    <row r="25226" spans="1:2" x14ac:dyDescent="0.25">
      <c r="A25226">
        <v>5516120013</v>
      </c>
      <c r="B25226" t="s">
        <v>8498</v>
      </c>
    </row>
    <row r="25227" spans="1:2" x14ac:dyDescent="0.25">
      <c r="A25227">
        <v>55161200131</v>
      </c>
      <c r="B25227" t="s">
        <v>8641</v>
      </c>
    </row>
    <row r="25228" spans="1:2" x14ac:dyDescent="0.25">
      <c r="A25228">
        <v>55161200132</v>
      </c>
      <c r="B25228" t="s">
        <v>8726</v>
      </c>
    </row>
    <row r="25229" spans="1:2" x14ac:dyDescent="0.25">
      <c r="A25229">
        <v>55161200133</v>
      </c>
      <c r="B25229" t="s">
        <v>8727</v>
      </c>
    </row>
    <row r="25230" spans="1:2" x14ac:dyDescent="0.25">
      <c r="A25230">
        <v>55161200134</v>
      </c>
      <c r="B25230" t="s">
        <v>8728</v>
      </c>
    </row>
    <row r="25231" spans="1:2" x14ac:dyDescent="0.25">
      <c r="A25231">
        <v>55161200135</v>
      </c>
      <c r="B25231" t="s">
        <v>8729</v>
      </c>
    </row>
    <row r="25232" spans="1:2" x14ac:dyDescent="0.25">
      <c r="A25232">
        <v>55161200136</v>
      </c>
      <c r="B25232" t="s">
        <v>8730</v>
      </c>
    </row>
    <row r="25233" spans="1:2" x14ac:dyDescent="0.25">
      <c r="A25233">
        <v>55161200137</v>
      </c>
      <c r="B25233" t="s">
        <v>8731</v>
      </c>
    </row>
    <row r="25234" spans="1:2" x14ac:dyDescent="0.25">
      <c r="A25234">
        <v>55161200138</v>
      </c>
      <c r="B25234" t="s">
        <v>8732</v>
      </c>
    </row>
    <row r="25235" spans="1:2" x14ac:dyDescent="0.25">
      <c r="A25235">
        <v>55161200139</v>
      </c>
      <c r="B25235" t="s">
        <v>57</v>
      </c>
    </row>
    <row r="25236" spans="1:2" x14ac:dyDescent="0.25">
      <c r="A25236">
        <v>5516120019</v>
      </c>
      <c r="B25236" t="s">
        <v>8500</v>
      </c>
    </row>
    <row r="25237" spans="1:2" x14ac:dyDescent="0.25">
      <c r="A25237">
        <v>55161200191</v>
      </c>
      <c r="B25237" t="s">
        <v>8641</v>
      </c>
    </row>
    <row r="25238" spans="1:2" x14ac:dyDescent="0.25">
      <c r="A25238">
        <v>55161200192</v>
      </c>
      <c r="B25238" t="s">
        <v>8726</v>
      </c>
    </row>
    <row r="25239" spans="1:2" x14ac:dyDescent="0.25">
      <c r="A25239">
        <v>55161200193</v>
      </c>
      <c r="B25239" t="s">
        <v>8727</v>
      </c>
    </row>
    <row r="25240" spans="1:2" x14ac:dyDescent="0.25">
      <c r="A25240">
        <v>55161200194</v>
      </c>
      <c r="B25240" t="s">
        <v>8728</v>
      </c>
    </row>
    <row r="25241" spans="1:2" x14ac:dyDescent="0.25">
      <c r="A25241">
        <v>55161200195</v>
      </c>
      <c r="B25241" t="s">
        <v>8729</v>
      </c>
    </row>
    <row r="25242" spans="1:2" x14ac:dyDescent="0.25">
      <c r="A25242">
        <v>55161200196</v>
      </c>
      <c r="B25242" t="s">
        <v>8730</v>
      </c>
    </row>
    <row r="25243" spans="1:2" x14ac:dyDescent="0.25">
      <c r="A25243">
        <v>55161200197</v>
      </c>
      <c r="B25243" t="s">
        <v>8731</v>
      </c>
    </row>
    <row r="25244" spans="1:2" x14ac:dyDescent="0.25">
      <c r="A25244">
        <v>55161200198</v>
      </c>
      <c r="B25244" t="s">
        <v>8732</v>
      </c>
    </row>
    <row r="25245" spans="1:2" x14ac:dyDescent="0.25">
      <c r="A25245">
        <v>55161200199</v>
      </c>
      <c r="B25245" t="s">
        <v>57</v>
      </c>
    </row>
    <row r="25246" spans="1:2" x14ac:dyDescent="0.25">
      <c r="A25246">
        <v>551612009</v>
      </c>
      <c r="B25246" t="s">
        <v>57</v>
      </c>
    </row>
    <row r="25247" spans="1:2" x14ac:dyDescent="0.25">
      <c r="A25247">
        <v>5516120091</v>
      </c>
      <c r="B25247" t="s">
        <v>8535</v>
      </c>
    </row>
    <row r="25248" spans="1:2" x14ac:dyDescent="0.25">
      <c r="A25248">
        <v>55161200911</v>
      </c>
      <c r="B25248" t="s">
        <v>8641</v>
      </c>
    </row>
    <row r="25249" spans="1:2" x14ac:dyDescent="0.25">
      <c r="A25249">
        <v>55161200912</v>
      </c>
      <c r="B25249" t="s">
        <v>8726</v>
      </c>
    </row>
    <row r="25250" spans="1:2" x14ac:dyDescent="0.25">
      <c r="A25250">
        <v>55161200913</v>
      </c>
      <c r="B25250" t="s">
        <v>8727</v>
      </c>
    </row>
    <row r="25251" spans="1:2" x14ac:dyDescent="0.25">
      <c r="A25251">
        <v>55161200914</v>
      </c>
      <c r="B25251" t="s">
        <v>8728</v>
      </c>
    </row>
    <row r="25252" spans="1:2" x14ac:dyDescent="0.25">
      <c r="A25252">
        <v>55161200915</v>
      </c>
      <c r="B25252" t="s">
        <v>8729</v>
      </c>
    </row>
    <row r="25253" spans="1:2" x14ac:dyDescent="0.25">
      <c r="A25253">
        <v>55161200916</v>
      </c>
      <c r="B25253" t="s">
        <v>8730</v>
      </c>
    </row>
    <row r="25254" spans="1:2" x14ac:dyDescent="0.25">
      <c r="A25254">
        <v>55161200917</v>
      </c>
      <c r="B25254" t="s">
        <v>8731</v>
      </c>
    </row>
    <row r="25255" spans="1:2" x14ac:dyDescent="0.25">
      <c r="A25255">
        <v>55161200918</v>
      </c>
      <c r="B25255" t="s">
        <v>8732</v>
      </c>
    </row>
    <row r="25256" spans="1:2" x14ac:dyDescent="0.25">
      <c r="A25256">
        <v>55161200919</v>
      </c>
      <c r="B25256" t="s">
        <v>57</v>
      </c>
    </row>
    <row r="25257" spans="1:2" x14ac:dyDescent="0.25">
      <c r="A25257">
        <v>5516120092</v>
      </c>
      <c r="B25257" t="s">
        <v>8506</v>
      </c>
    </row>
    <row r="25258" spans="1:2" x14ac:dyDescent="0.25">
      <c r="A25258">
        <v>55161200921</v>
      </c>
      <c r="B25258" t="s">
        <v>8641</v>
      </c>
    </row>
    <row r="25259" spans="1:2" x14ac:dyDescent="0.25">
      <c r="A25259">
        <v>55161200922</v>
      </c>
      <c r="B25259" t="s">
        <v>8726</v>
      </c>
    </row>
    <row r="25260" spans="1:2" x14ac:dyDescent="0.25">
      <c r="A25260">
        <v>55161200923</v>
      </c>
      <c r="B25260" t="s">
        <v>8727</v>
      </c>
    </row>
    <row r="25261" spans="1:2" x14ac:dyDescent="0.25">
      <c r="A25261">
        <v>55161200924</v>
      </c>
      <c r="B25261" t="s">
        <v>8728</v>
      </c>
    </row>
    <row r="25262" spans="1:2" x14ac:dyDescent="0.25">
      <c r="A25262">
        <v>55161200925</v>
      </c>
      <c r="B25262" t="s">
        <v>8729</v>
      </c>
    </row>
    <row r="25263" spans="1:2" x14ac:dyDescent="0.25">
      <c r="A25263">
        <v>55161200926</v>
      </c>
      <c r="B25263" t="s">
        <v>8730</v>
      </c>
    </row>
    <row r="25264" spans="1:2" x14ac:dyDescent="0.25">
      <c r="A25264">
        <v>55161200927</v>
      </c>
      <c r="B25264" t="s">
        <v>8731</v>
      </c>
    </row>
    <row r="25265" spans="1:2" x14ac:dyDescent="0.25">
      <c r="A25265">
        <v>55161200928</v>
      </c>
      <c r="B25265" t="s">
        <v>8732</v>
      </c>
    </row>
    <row r="25266" spans="1:2" x14ac:dyDescent="0.25">
      <c r="A25266">
        <v>55161200929</v>
      </c>
      <c r="B25266" t="s">
        <v>57</v>
      </c>
    </row>
    <row r="25267" spans="1:2" x14ac:dyDescent="0.25">
      <c r="A25267">
        <v>5516120093</v>
      </c>
      <c r="B25267" t="s">
        <v>8498</v>
      </c>
    </row>
    <row r="25268" spans="1:2" x14ac:dyDescent="0.25">
      <c r="A25268">
        <v>55161200931</v>
      </c>
      <c r="B25268" t="s">
        <v>8641</v>
      </c>
    </row>
    <row r="25269" spans="1:2" x14ac:dyDescent="0.25">
      <c r="A25269">
        <v>55161200932</v>
      </c>
      <c r="B25269" t="s">
        <v>8726</v>
      </c>
    </row>
    <row r="25270" spans="1:2" x14ac:dyDescent="0.25">
      <c r="A25270">
        <v>55161200933</v>
      </c>
      <c r="B25270" t="s">
        <v>8727</v>
      </c>
    </row>
    <row r="25271" spans="1:2" x14ac:dyDescent="0.25">
      <c r="A25271">
        <v>55161200934</v>
      </c>
      <c r="B25271" t="s">
        <v>8728</v>
      </c>
    </row>
    <row r="25272" spans="1:2" x14ac:dyDescent="0.25">
      <c r="A25272">
        <v>55161200935</v>
      </c>
      <c r="B25272" t="s">
        <v>8729</v>
      </c>
    </row>
    <row r="25273" spans="1:2" x14ac:dyDescent="0.25">
      <c r="A25273">
        <v>55161200936</v>
      </c>
      <c r="B25273" t="s">
        <v>8730</v>
      </c>
    </row>
    <row r="25274" spans="1:2" x14ac:dyDescent="0.25">
      <c r="A25274">
        <v>55161200937</v>
      </c>
      <c r="B25274" t="s">
        <v>8731</v>
      </c>
    </row>
    <row r="25275" spans="1:2" x14ac:dyDescent="0.25">
      <c r="A25275">
        <v>55161200938</v>
      </c>
      <c r="B25275" t="s">
        <v>8732</v>
      </c>
    </row>
    <row r="25276" spans="1:2" x14ac:dyDescent="0.25">
      <c r="A25276">
        <v>55161200939</v>
      </c>
      <c r="B25276" t="s">
        <v>57</v>
      </c>
    </row>
    <row r="25277" spans="1:2" x14ac:dyDescent="0.25">
      <c r="A25277">
        <v>5516120099</v>
      </c>
      <c r="B25277" t="s">
        <v>8500</v>
      </c>
    </row>
    <row r="25278" spans="1:2" x14ac:dyDescent="0.25">
      <c r="A25278">
        <v>55161200991</v>
      </c>
      <c r="B25278" t="s">
        <v>8641</v>
      </c>
    </row>
    <row r="25279" spans="1:2" x14ac:dyDescent="0.25">
      <c r="A25279">
        <v>55161200992</v>
      </c>
      <c r="B25279" t="s">
        <v>8726</v>
      </c>
    </row>
    <row r="25280" spans="1:2" x14ac:dyDescent="0.25">
      <c r="A25280">
        <v>55161200993</v>
      </c>
      <c r="B25280" t="s">
        <v>8727</v>
      </c>
    </row>
    <row r="25281" spans="1:2" x14ac:dyDescent="0.25">
      <c r="A25281">
        <v>55161200994</v>
      </c>
      <c r="B25281" t="s">
        <v>8728</v>
      </c>
    </row>
    <row r="25282" spans="1:2" x14ac:dyDescent="0.25">
      <c r="A25282">
        <v>55161200995</v>
      </c>
      <c r="B25282" t="s">
        <v>8729</v>
      </c>
    </row>
    <row r="25283" spans="1:2" x14ac:dyDescent="0.25">
      <c r="A25283">
        <v>55161200996</v>
      </c>
      <c r="B25283" t="s">
        <v>8730</v>
      </c>
    </row>
    <row r="25284" spans="1:2" x14ac:dyDescent="0.25">
      <c r="A25284">
        <v>55161200997</v>
      </c>
      <c r="B25284" t="s">
        <v>8731</v>
      </c>
    </row>
    <row r="25285" spans="1:2" x14ac:dyDescent="0.25">
      <c r="A25285">
        <v>55161200998</v>
      </c>
      <c r="B25285" t="s">
        <v>8732</v>
      </c>
    </row>
    <row r="25286" spans="1:2" x14ac:dyDescent="0.25">
      <c r="A25286">
        <v>55161200999</v>
      </c>
      <c r="B25286" t="s">
        <v>57</v>
      </c>
    </row>
    <row r="25287" spans="1:2" x14ac:dyDescent="0.25">
      <c r="A25287">
        <v>55161300</v>
      </c>
      <c r="B25287" t="e">
        <f>- - Con hilados de distintos colores</f>
        <v>#NAME?</v>
      </c>
    </row>
    <row r="25288" spans="1:2" x14ac:dyDescent="0.25">
      <c r="A25288">
        <v>551613001</v>
      </c>
      <c r="B25288" t="s">
        <v>8581</v>
      </c>
    </row>
    <row r="25289" spans="1:2" x14ac:dyDescent="0.25">
      <c r="A25289">
        <v>5516130011</v>
      </c>
      <c r="B25289" t="s">
        <v>8535</v>
      </c>
    </row>
    <row r="25290" spans="1:2" x14ac:dyDescent="0.25">
      <c r="A25290">
        <v>55161300111</v>
      </c>
      <c r="B25290" t="s">
        <v>8641</v>
      </c>
    </row>
    <row r="25291" spans="1:2" x14ac:dyDescent="0.25">
      <c r="A25291">
        <v>55161300112</v>
      </c>
      <c r="B25291" t="s">
        <v>8726</v>
      </c>
    </row>
    <row r="25292" spans="1:2" x14ac:dyDescent="0.25">
      <c r="A25292">
        <v>55161300113</v>
      </c>
      <c r="B25292" t="s">
        <v>8727</v>
      </c>
    </row>
    <row r="25293" spans="1:2" x14ac:dyDescent="0.25">
      <c r="A25293">
        <v>55161300114</v>
      </c>
      <c r="B25293" t="s">
        <v>8728</v>
      </c>
    </row>
    <row r="25294" spans="1:2" x14ac:dyDescent="0.25">
      <c r="A25294">
        <v>55161300115</v>
      </c>
      <c r="B25294" t="s">
        <v>8729</v>
      </c>
    </row>
    <row r="25295" spans="1:2" x14ac:dyDescent="0.25">
      <c r="A25295">
        <v>55161300116</v>
      </c>
      <c r="B25295" t="s">
        <v>8730</v>
      </c>
    </row>
    <row r="25296" spans="1:2" x14ac:dyDescent="0.25">
      <c r="A25296">
        <v>55161300117</v>
      </c>
      <c r="B25296" t="s">
        <v>8731</v>
      </c>
    </row>
    <row r="25297" spans="1:2" x14ac:dyDescent="0.25">
      <c r="A25297">
        <v>55161300118</v>
      </c>
      <c r="B25297" t="s">
        <v>8732</v>
      </c>
    </row>
    <row r="25298" spans="1:2" x14ac:dyDescent="0.25">
      <c r="A25298">
        <v>55161300119</v>
      </c>
      <c r="B25298" t="s">
        <v>57</v>
      </c>
    </row>
    <row r="25299" spans="1:2" x14ac:dyDescent="0.25">
      <c r="A25299">
        <v>5516130012</v>
      </c>
      <c r="B25299" t="s">
        <v>8506</v>
      </c>
    </row>
    <row r="25300" spans="1:2" x14ac:dyDescent="0.25">
      <c r="A25300">
        <v>55161300121</v>
      </c>
      <c r="B25300" t="s">
        <v>8641</v>
      </c>
    </row>
    <row r="25301" spans="1:2" x14ac:dyDescent="0.25">
      <c r="A25301">
        <v>55161300122</v>
      </c>
      <c r="B25301" t="s">
        <v>8726</v>
      </c>
    </row>
    <row r="25302" spans="1:2" x14ac:dyDescent="0.25">
      <c r="A25302">
        <v>55161300123</v>
      </c>
      <c r="B25302" t="s">
        <v>8727</v>
      </c>
    </row>
    <row r="25303" spans="1:2" x14ac:dyDescent="0.25">
      <c r="A25303">
        <v>55161300124</v>
      </c>
      <c r="B25303" t="s">
        <v>8728</v>
      </c>
    </row>
    <row r="25304" spans="1:2" x14ac:dyDescent="0.25">
      <c r="A25304">
        <v>55161300125</v>
      </c>
      <c r="B25304" t="s">
        <v>8729</v>
      </c>
    </row>
    <row r="25305" spans="1:2" x14ac:dyDescent="0.25">
      <c r="A25305">
        <v>55161300126</v>
      </c>
      <c r="B25305" t="s">
        <v>8730</v>
      </c>
    </row>
    <row r="25306" spans="1:2" x14ac:dyDescent="0.25">
      <c r="A25306">
        <v>55161300127</v>
      </c>
      <c r="B25306" t="s">
        <v>8731</v>
      </c>
    </row>
    <row r="25307" spans="1:2" x14ac:dyDescent="0.25">
      <c r="A25307">
        <v>55161300128</v>
      </c>
      <c r="B25307" t="s">
        <v>8732</v>
      </c>
    </row>
    <row r="25308" spans="1:2" x14ac:dyDescent="0.25">
      <c r="A25308">
        <v>55161300129</v>
      </c>
      <c r="B25308" t="s">
        <v>57</v>
      </c>
    </row>
    <row r="25309" spans="1:2" x14ac:dyDescent="0.25">
      <c r="A25309">
        <v>5516130013</v>
      </c>
      <c r="B25309" t="s">
        <v>8498</v>
      </c>
    </row>
    <row r="25310" spans="1:2" x14ac:dyDescent="0.25">
      <c r="A25310">
        <v>55161300131</v>
      </c>
      <c r="B25310" t="s">
        <v>8641</v>
      </c>
    </row>
    <row r="25311" spans="1:2" x14ac:dyDescent="0.25">
      <c r="A25311">
        <v>55161300132</v>
      </c>
      <c r="B25311" t="s">
        <v>8726</v>
      </c>
    </row>
    <row r="25312" spans="1:2" x14ac:dyDescent="0.25">
      <c r="A25312">
        <v>55161300133</v>
      </c>
      <c r="B25312" t="s">
        <v>8727</v>
      </c>
    </row>
    <row r="25313" spans="1:2" x14ac:dyDescent="0.25">
      <c r="A25313">
        <v>55161300134</v>
      </c>
      <c r="B25313" t="s">
        <v>8728</v>
      </c>
    </row>
    <row r="25314" spans="1:2" x14ac:dyDescent="0.25">
      <c r="A25314">
        <v>55161300135</v>
      </c>
      <c r="B25314" t="s">
        <v>8729</v>
      </c>
    </row>
    <row r="25315" spans="1:2" x14ac:dyDescent="0.25">
      <c r="A25315">
        <v>55161300136</v>
      </c>
      <c r="B25315" t="s">
        <v>8730</v>
      </c>
    </row>
    <row r="25316" spans="1:2" x14ac:dyDescent="0.25">
      <c r="A25316">
        <v>55161300137</v>
      </c>
      <c r="B25316" t="s">
        <v>8731</v>
      </c>
    </row>
    <row r="25317" spans="1:2" x14ac:dyDescent="0.25">
      <c r="A25317">
        <v>55161300138</v>
      </c>
      <c r="B25317" t="s">
        <v>8732</v>
      </c>
    </row>
    <row r="25318" spans="1:2" x14ac:dyDescent="0.25">
      <c r="A25318">
        <v>55161300139</v>
      </c>
      <c r="B25318" t="s">
        <v>57</v>
      </c>
    </row>
    <row r="25319" spans="1:2" x14ac:dyDescent="0.25">
      <c r="A25319">
        <v>5516130019</v>
      </c>
      <c r="B25319" t="s">
        <v>8500</v>
      </c>
    </row>
    <row r="25320" spans="1:2" x14ac:dyDescent="0.25">
      <c r="A25320">
        <v>55161300191</v>
      </c>
      <c r="B25320" t="s">
        <v>8641</v>
      </c>
    </row>
    <row r="25321" spans="1:2" x14ac:dyDescent="0.25">
      <c r="A25321">
        <v>55161300192</v>
      </c>
      <c r="B25321" t="s">
        <v>8726</v>
      </c>
    </row>
    <row r="25322" spans="1:2" x14ac:dyDescent="0.25">
      <c r="A25322">
        <v>55161300193</v>
      </c>
      <c r="B25322" t="s">
        <v>8727</v>
      </c>
    </row>
    <row r="25323" spans="1:2" x14ac:dyDescent="0.25">
      <c r="A25323">
        <v>55161300194</v>
      </c>
      <c r="B25323" t="s">
        <v>8728</v>
      </c>
    </row>
    <row r="25324" spans="1:2" x14ac:dyDescent="0.25">
      <c r="A25324">
        <v>55161300195</v>
      </c>
      <c r="B25324" t="s">
        <v>8729</v>
      </c>
    </row>
    <row r="25325" spans="1:2" x14ac:dyDescent="0.25">
      <c r="A25325">
        <v>55161300196</v>
      </c>
      <c r="B25325" t="s">
        <v>8730</v>
      </c>
    </row>
    <row r="25326" spans="1:2" x14ac:dyDescent="0.25">
      <c r="A25326">
        <v>55161300197</v>
      </c>
      <c r="B25326" t="s">
        <v>8731</v>
      </c>
    </row>
    <row r="25327" spans="1:2" x14ac:dyDescent="0.25">
      <c r="A25327">
        <v>55161300198</v>
      </c>
      <c r="B25327" t="s">
        <v>8732</v>
      </c>
    </row>
    <row r="25328" spans="1:2" x14ac:dyDescent="0.25">
      <c r="A25328">
        <v>55161300199</v>
      </c>
      <c r="B25328" t="s">
        <v>57</v>
      </c>
    </row>
    <row r="25329" spans="1:2" x14ac:dyDescent="0.25">
      <c r="A25329">
        <v>551613009</v>
      </c>
      <c r="B25329" t="s">
        <v>57</v>
      </c>
    </row>
    <row r="25330" spans="1:2" x14ac:dyDescent="0.25">
      <c r="A25330">
        <v>5516130091</v>
      </c>
      <c r="B25330" t="s">
        <v>8535</v>
      </c>
    </row>
    <row r="25331" spans="1:2" x14ac:dyDescent="0.25">
      <c r="A25331">
        <v>55161300911</v>
      </c>
      <c r="B25331" t="s">
        <v>8641</v>
      </c>
    </row>
    <row r="25332" spans="1:2" x14ac:dyDescent="0.25">
      <c r="A25332">
        <v>55161300912</v>
      </c>
      <c r="B25332" t="s">
        <v>8726</v>
      </c>
    </row>
    <row r="25333" spans="1:2" x14ac:dyDescent="0.25">
      <c r="A25333">
        <v>55161300913</v>
      </c>
      <c r="B25333" t="s">
        <v>8727</v>
      </c>
    </row>
    <row r="25334" spans="1:2" x14ac:dyDescent="0.25">
      <c r="A25334">
        <v>55161300914</v>
      </c>
      <c r="B25334" t="s">
        <v>8728</v>
      </c>
    </row>
    <row r="25335" spans="1:2" x14ac:dyDescent="0.25">
      <c r="A25335">
        <v>55161300915</v>
      </c>
      <c r="B25335" t="s">
        <v>8729</v>
      </c>
    </row>
    <row r="25336" spans="1:2" x14ac:dyDescent="0.25">
      <c r="A25336">
        <v>55161300916</v>
      </c>
      <c r="B25336" t="s">
        <v>8730</v>
      </c>
    </row>
    <row r="25337" spans="1:2" x14ac:dyDescent="0.25">
      <c r="A25337">
        <v>55161300917</v>
      </c>
      <c r="B25337" t="s">
        <v>8731</v>
      </c>
    </row>
    <row r="25338" spans="1:2" x14ac:dyDescent="0.25">
      <c r="A25338">
        <v>55161300918</v>
      </c>
      <c r="B25338" t="s">
        <v>8732</v>
      </c>
    </row>
    <row r="25339" spans="1:2" x14ac:dyDescent="0.25">
      <c r="A25339">
        <v>55161300919</v>
      </c>
      <c r="B25339" t="s">
        <v>57</v>
      </c>
    </row>
    <row r="25340" spans="1:2" x14ac:dyDescent="0.25">
      <c r="A25340">
        <v>5516130092</v>
      </c>
      <c r="B25340" t="s">
        <v>8506</v>
      </c>
    </row>
    <row r="25341" spans="1:2" x14ac:dyDescent="0.25">
      <c r="A25341">
        <v>55161300921</v>
      </c>
      <c r="B25341" t="s">
        <v>8641</v>
      </c>
    </row>
    <row r="25342" spans="1:2" x14ac:dyDescent="0.25">
      <c r="A25342">
        <v>55161300922</v>
      </c>
      <c r="B25342" t="s">
        <v>8726</v>
      </c>
    </row>
    <row r="25343" spans="1:2" x14ac:dyDescent="0.25">
      <c r="A25343">
        <v>55161300923</v>
      </c>
      <c r="B25343" t="s">
        <v>8727</v>
      </c>
    </row>
    <row r="25344" spans="1:2" x14ac:dyDescent="0.25">
      <c r="A25344">
        <v>55161300924</v>
      </c>
      <c r="B25344" t="s">
        <v>8728</v>
      </c>
    </row>
    <row r="25345" spans="1:2" x14ac:dyDescent="0.25">
      <c r="A25345">
        <v>55161300925</v>
      </c>
      <c r="B25345" t="s">
        <v>8729</v>
      </c>
    </row>
    <row r="25346" spans="1:2" x14ac:dyDescent="0.25">
      <c r="A25346">
        <v>55161300926</v>
      </c>
      <c r="B25346" t="s">
        <v>8730</v>
      </c>
    </row>
    <row r="25347" spans="1:2" x14ac:dyDescent="0.25">
      <c r="A25347">
        <v>55161300927</v>
      </c>
      <c r="B25347" t="s">
        <v>8731</v>
      </c>
    </row>
    <row r="25348" spans="1:2" x14ac:dyDescent="0.25">
      <c r="A25348">
        <v>55161300928</v>
      </c>
      <c r="B25348" t="s">
        <v>8732</v>
      </c>
    </row>
    <row r="25349" spans="1:2" x14ac:dyDescent="0.25">
      <c r="A25349">
        <v>55161300929</v>
      </c>
      <c r="B25349" t="s">
        <v>57</v>
      </c>
    </row>
    <row r="25350" spans="1:2" x14ac:dyDescent="0.25">
      <c r="A25350">
        <v>5516130093</v>
      </c>
      <c r="B25350" t="s">
        <v>8498</v>
      </c>
    </row>
    <row r="25351" spans="1:2" x14ac:dyDescent="0.25">
      <c r="A25351">
        <v>55161300931</v>
      </c>
      <c r="B25351" t="s">
        <v>8641</v>
      </c>
    </row>
    <row r="25352" spans="1:2" x14ac:dyDescent="0.25">
      <c r="A25352">
        <v>55161300932</v>
      </c>
      <c r="B25352" t="s">
        <v>8726</v>
      </c>
    </row>
    <row r="25353" spans="1:2" x14ac:dyDescent="0.25">
      <c r="A25353">
        <v>55161300933</v>
      </c>
      <c r="B25353" t="s">
        <v>8727</v>
      </c>
    </row>
    <row r="25354" spans="1:2" x14ac:dyDescent="0.25">
      <c r="A25354">
        <v>55161300934</v>
      </c>
      <c r="B25354" t="s">
        <v>8728</v>
      </c>
    </row>
    <row r="25355" spans="1:2" x14ac:dyDescent="0.25">
      <c r="A25355">
        <v>55161300935</v>
      </c>
      <c r="B25355" t="s">
        <v>8729</v>
      </c>
    </row>
    <row r="25356" spans="1:2" x14ac:dyDescent="0.25">
      <c r="A25356">
        <v>55161300936</v>
      </c>
      <c r="B25356" t="s">
        <v>8730</v>
      </c>
    </row>
    <row r="25357" spans="1:2" x14ac:dyDescent="0.25">
      <c r="A25357">
        <v>55161300937</v>
      </c>
      <c r="B25357" t="s">
        <v>8731</v>
      </c>
    </row>
    <row r="25358" spans="1:2" x14ac:dyDescent="0.25">
      <c r="A25358">
        <v>55161300938</v>
      </c>
      <c r="B25358" t="s">
        <v>8732</v>
      </c>
    </row>
    <row r="25359" spans="1:2" x14ac:dyDescent="0.25">
      <c r="A25359">
        <v>55161300939</v>
      </c>
      <c r="B25359" t="s">
        <v>57</v>
      </c>
    </row>
    <row r="25360" spans="1:2" x14ac:dyDescent="0.25">
      <c r="A25360">
        <v>5516130099</v>
      </c>
      <c r="B25360" t="s">
        <v>8500</v>
      </c>
    </row>
    <row r="25361" spans="1:2" x14ac:dyDescent="0.25">
      <c r="A25361">
        <v>55161300991</v>
      </c>
      <c r="B25361" t="s">
        <v>8641</v>
      </c>
    </row>
    <row r="25362" spans="1:2" x14ac:dyDescent="0.25">
      <c r="A25362">
        <v>55161300992</v>
      </c>
      <c r="B25362" t="s">
        <v>8726</v>
      </c>
    </row>
    <row r="25363" spans="1:2" x14ac:dyDescent="0.25">
      <c r="A25363">
        <v>55161300993</v>
      </c>
      <c r="B25363" t="s">
        <v>8727</v>
      </c>
    </row>
    <row r="25364" spans="1:2" x14ac:dyDescent="0.25">
      <c r="A25364">
        <v>55161300994</v>
      </c>
      <c r="B25364" t="s">
        <v>8728</v>
      </c>
    </row>
    <row r="25365" spans="1:2" x14ac:dyDescent="0.25">
      <c r="A25365">
        <v>55161300995</v>
      </c>
      <c r="B25365" t="s">
        <v>8729</v>
      </c>
    </row>
    <row r="25366" spans="1:2" x14ac:dyDescent="0.25">
      <c r="A25366">
        <v>55161300996</v>
      </c>
      <c r="B25366" t="s">
        <v>8730</v>
      </c>
    </row>
    <row r="25367" spans="1:2" x14ac:dyDescent="0.25">
      <c r="A25367">
        <v>55161300997</v>
      </c>
      <c r="B25367" t="s">
        <v>8731</v>
      </c>
    </row>
    <row r="25368" spans="1:2" x14ac:dyDescent="0.25">
      <c r="A25368">
        <v>55161300998</v>
      </c>
      <c r="B25368" t="s">
        <v>8732</v>
      </c>
    </row>
    <row r="25369" spans="1:2" x14ac:dyDescent="0.25">
      <c r="A25369">
        <v>55161300999</v>
      </c>
      <c r="B25369" t="s">
        <v>57</v>
      </c>
    </row>
    <row r="25370" spans="1:2" x14ac:dyDescent="0.25">
      <c r="A25370">
        <v>55161400</v>
      </c>
      <c r="B25370" t="e">
        <f>- - Estampados</f>
        <v>#NAME?</v>
      </c>
    </row>
    <row r="25371" spans="1:2" x14ac:dyDescent="0.25">
      <c r="A25371">
        <v>551614001</v>
      </c>
      <c r="B25371" t="s">
        <v>8581</v>
      </c>
    </row>
    <row r="25372" spans="1:2" x14ac:dyDescent="0.25">
      <c r="A25372">
        <v>5516140011</v>
      </c>
      <c r="B25372" t="s">
        <v>8535</v>
      </c>
    </row>
    <row r="25373" spans="1:2" x14ac:dyDescent="0.25">
      <c r="A25373">
        <v>55161400111</v>
      </c>
      <c r="B25373" t="s">
        <v>8641</v>
      </c>
    </row>
    <row r="25374" spans="1:2" x14ac:dyDescent="0.25">
      <c r="A25374">
        <v>55161400112</v>
      </c>
      <c r="B25374" t="s">
        <v>8726</v>
      </c>
    </row>
    <row r="25375" spans="1:2" x14ac:dyDescent="0.25">
      <c r="A25375">
        <v>55161400113</v>
      </c>
      <c r="B25375" t="s">
        <v>8727</v>
      </c>
    </row>
    <row r="25376" spans="1:2" x14ac:dyDescent="0.25">
      <c r="A25376">
        <v>55161400114</v>
      </c>
      <c r="B25376" t="s">
        <v>8728</v>
      </c>
    </row>
    <row r="25377" spans="1:2" x14ac:dyDescent="0.25">
      <c r="A25377">
        <v>55161400115</v>
      </c>
      <c r="B25377" t="s">
        <v>8729</v>
      </c>
    </row>
    <row r="25378" spans="1:2" x14ac:dyDescent="0.25">
      <c r="A25378">
        <v>55161400116</v>
      </c>
      <c r="B25378" t="s">
        <v>8730</v>
      </c>
    </row>
    <row r="25379" spans="1:2" x14ac:dyDescent="0.25">
      <c r="A25379">
        <v>55161400117</v>
      </c>
      <c r="B25379" t="s">
        <v>8731</v>
      </c>
    </row>
    <row r="25380" spans="1:2" x14ac:dyDescent="0.25">
      <c r="A25380">
        <v>55161400118</v>
      </c>
      <c r="B25380" t="s">
        <v>8732</v>
      </c>
    </row>
    <row r="25381" spans="1:2" x14ac:dyDescent="0.25">
      <c r="A25381">
        <v>55161400119</v>
      </c>
      <c r="B25381" t="s">
        <v>57</v>
      </c>
    </row>
    <row r="25382" spans="1:2" x14ac:dyDescent="0.25">
      <c r="A25382">
        <v>5516140012</v>
      </c>
      <c r="B25382" t="s">
        <v>8506</v>
      </c>
    </row>
    <row r="25383" spans="1:2" x14ac:dyDescent="0.25">
      <c r="A25383">
        <v>55161400121</v>
      </c>
      <c r="B25383" t="s">
        <v>8641</v>
      </c>
    </row>
    <row r="25384" spans="1:2" x14ac:dyDescent="0.25">
      <c r="A25384">
        <v>55161400122</v>
      </c>
      <c r="B25384" t="s">
        <v>8726</v>
      </c>
    </row>
    <row r="25385" spans="1:2" x14ac:dyDescent="0.25">
      <c r="A25385">
        <v>55161400123</v>
      </c>
      <c r="B25385" t="s">
        <v>8727</v>
      </c>
    </row>
    <row r="25386" spans="1:2" x14ac:dyDescent="0.25">
      <c r="A25386">
        <v>55161400124</v>
      </c>
      <c r="B25386" t="s">
        <v>8728</v>
      </c>
    </row>
    <row r="25387" spans="1:2" x14ac:dyDescent="0.25">
      <c r="A25387">
        <v>55161400125</v>
      </c>
      <c r="B25387" t="s">
        <v>8729</v>
      </c>
    </row>
    <row r="25388" spans="1:2" x14ac:dyDescent="0.25">
      <c r="A25388">
        <v>55161400126</v>
      </c>
      <c r="B25388" t="s">
        <v>8730</v>
      </c>
    </row>
    <row r="25389" spans="1:2" x14ac:dyDescent="0.25">
      <c r="A25389">
        <v>55161400127</v>
      </c>
      <c r="B25389" t="s">
        <v>8731</v>
      </c>
    </row>
    <row r="25390" spans="1:2" x14ac:dyDescent="0.25">
      <c r="A25390">
        <v>55161400128</v>
      </c>
      <c r="B25390" t="s">
        <v>8732</v>
      </c>
    </row>
    <row r="25391" spans="1:2" x14ac:dyDescent="0.25">
      <c r="A25391">
        <v>55161400129</v>
      </c>
      <c r="B25391" t="s">
        <v>57</v>
      </c>
    </row>
    <row r="25392" spans="1:2" x14ac:dyDescent="0.25">
      <c r="A25392">
        <v>5516140013</v>
      </c>
      <c r="B25392" t="s">
        <v>8498</v>
      </c>
    </row>
    <row r="25393" spans="1:2" x14ac:dyDescent="0.25">
      <c r="A25393">
        <v>55161400131</v>
      </c>
      <c r="B25393" t="s">
        <v>8641</v>
      </c>
    </row>
    <row r="25394" spans="1:2" x14ac:dyDescent="0.25">
      <c r="A25394">
        <v>55161400132</v>
      </c>
      <c r="B25394" t="s">
        <v>8726</v>
      </c>
    </row>
    <row r="25395" spans="1:2" x14ac:dyDescent="0.25">
      <c r="A25395">
        <v>55161400133</v>
      </c>
      <c r="B25395" t="s">
        <v>8727</v>
      </c>
    </row>
    <row r="25396" spans="1:2" x14ac:dyDescent="0.25">
      <c r="A25396">
        <v>55161400134</v>
      </c>
      <c r="B25396" t="s">
        <v>8728</v>
      </c>
    </row>
    <row r="25397" spans="1:2" x14ac:dyDescent="0.25">
      <c r="A25397">
        <v>55161400135</v>
      </c>
      <c r="B25397" t="s">
        <v>8729</v>
      </c>
    </row>
    <row r="25398" spans="1:2" x14ac:dyDescent="0.25">
      <c r="A25398">
        <v>55161400136</v>
      </c>
      <c r="B25398" t="s">
        <v>8730</v>
      </c>
    </row>
    <row r="25399" spans="1:2" x14ac:dyDescent="0.25">
      <c r="A25399">
        <v>55161400137</v>
      </c>
      <c r="B25399" t="s">
        <v>8731</v>
      </c>
    </row>
    <row r="25400" spans="1:2" x14ac:dyDescent="0.25">
      <c r="A25400">
        <v>55161400138</v>
      </c>
      <c r="B25400" t="s">
        <v>8732</v>
      </c>
    </row>
    <row r="25401" spans="1:2" x14ac:dyDescent="0.25">
      <c r="A25401">
        <v>55161400139</v>
      </c>
      <c r="B25401" t="s">
        <v>57</v>
      </c>
    </row>
    <row r="25402" spans="1:2" x14ac:dyDescent="0.25">
      <c r="A25402">
        <v>5516140019</v>
      </c>
      <c r="B25402" t="s">
        <v>8500</v>
      </c>
    </row>
    <row r="25403" spans="1:2" x14ac:dyDescent="0.25">
      <c r="A25403">
        <v>55161400191</v>
      </c>
      <c r="B25403" t="s">
        <v>8641</v>
      </c>
    </row>
    <row r="25404" spans="1:2" x14ac:dyDescent="0.25">
      <c r="A25404">
        <v>55161400192</v>
      </c>
      <c r="B25404" t="s">
        <v>8726</v>
      </c>
    </row>
    <row r="25405" spans="1:2" x14ac:dyDescent="0.25">
      <c r="A25405">
        <v>55161400193</v>
      </c>
      <c r="B25405" t="s">
        <v>8727</v>
      </c>
    </row>
    <row r="25406" spans="1:2" x14ac:dyDescent="0.25">
      <c r="A25406">
        <v>55161400194</v>
      </c>
      <c r="B25406" t="s">
        <v>8728</v>
      </c>
    </row>
    <row r="25407" spans="1:2" x14ac:dyDescent="0.25">
      <c r="A25407">
        <v>55161400195</v>
      </c>
      <c r="B25407" t="s">
        <v>8729</v>
      </c>
    </row>
    <row r="25408" spans="1:2" x14ac:dyDescent="0.25">
      <c r="A25408">
        <v>55161400196</v>
      </c>
      <c r="B25408" t="s">
        <v>8730</v>
      </c>
    </row>
    <row r="25409" spans="1:2" x14ac:dyDescent="0.25">
      <c r="A25409">
        <v>55161400197</v>
      </c>
      <c r="B25409" t="s">
        <v>8731</v>
      </c>
    </row>
    <row r="25410" spans="1:2" x14ac:dyDescent="0.25">
      <c r="A25410">
        <v>55161400198</v>
      </c>
      <c r="B25410" t="s">
        <v>8732</v>
      </c>
    </row>
    <row r="25411" spans="1:2" x14ac:dyDescent="0.25">
      <c r="A25411">
        <v>55161400199</v>
      </c>
      <c r="B25411" t="s">
        <v>57</v>
      </c>
    </row>
    <row r="25412" spans="1:2" x14ac:dyDescent="0.25">
      <c r="A25412">
        <v>551614009</v>
      </c>
      <c r="B25412" t="s">
        <v>57</v>
      </c>
    </row>
    <row r="25413" spans="1:2" x14ac:dyDescent="0.25">
      <c r="A25413">
        <v>5516140091</v>
      </c>
      <c r="B25413" t="s">
        <v>8535</v>
      </c>
    </row>
    <row r="25414" spans="1:2" x14ac:dyDescent="0.25">
      <c r="A25414">
        <v>55161400911</v>
      </c>
      <c r="B25414" t="s">
        <v>8641</v>
      </c>
    </row>
    <row r="25415" spans="1:2" x14ac:dyDescent="0.25">
      <c r="A25415">
        <v>55161400912</v>
      </c>
      <c r="B25415" t="s">
        <v>8726</v>
      </c>
    </row>
    <row r="25416" spans="1:2" x14ac:dyDescent="0.25">
      <c r="A25416">
        <v>55161400913</v>
      </c>
      <c r="B25416" t="s">
        <v>8727</v>
      </c>
    </row>
    <row r="25417" spans="1:2" x14ac:dyDescent="0.25">
      <c r="A25417">
        <v>55161400914</v>
      </c>
      <c r="B25417" t="s">
        <v>8728</v>
      </c>
    </row>
    <row r="25418" spans="1:2" x14ac:dyDescent="0.25">
      <c r="A25418">
        <v>55161400915</v>
      </c>
      <c r="B25418" t="s">
        <v>8729</v>
      </c>
    </row>
    <row r="25419" spans="1:2" x14ac:dyDescent="0.25">
      <c r="A25419">
        <v>55161400916</v>
      </c>
      <c r="B25419" t="s">
        <v>8730</v>
      </c>
    </row>
    <row r="25420" spans="1:2" x14ac:dyDescent="0.25">
      <c r="A25420">
        <v>55161400917</v>
      </c>
      <c r="B25420" t="s">
        <v>8731</v>
      </c>
    </row>
    <row r="25421" spans="1:2" x14ac:dyDescent="0.25">
      <c r="A25421">
        <v>55161400918</v>
      </c>
      <c r="B25421" t="s">
        <v>8732</v>
      </c>
    </row>
    <row r="25422" spans="1:2" x14ac:dyDescent="0.25">
      <c r="A25422">
        <v>55161400919</v>
      </c>
      <c r="B25422" t="s">
        <v>57</v>
      </c>
    </row>
    <row r="25423" spans="1:2" x14ac:dyDescent="0.25">
      <c r="A25423">
        <v>5516140092</v>
      </c>
      <c r="B25423" t="s">
        <v>8506</v>
      </c>
    </row>
    <row r="25424" spans="1:2" x14ac:dyDescent="0.25">
      <c r="A25424">
        <v>55161400921</v>
      </c>
      <c r="B25424" t="s">
        <v>8747</v>
      </c>
    </row>
    <row r="25425" spans="1:2" x14ac:dyDescent="0.25">
      <c r="A25425">
        <v>55161400922</v>
      </c>
      <c r="B25425" t="s">
        <v>8726</v>
      </c>
    </row>
    <row r="25426" spans="1:2" x14ac:dyDescent="0.25">
      <c r="A25426">
        <v>55161400923</v>
      </c>
      <c r="B25426" t="s">
        <v>8727</v>
      </c>
    </row>
    <row r="25427" spans="1:2" x14ac:dyDescent="0.25">
      <c r="A25427">
        <v>55161400924</v>
      </c>
      <c r="B25427" t="s">
        <v>8728</v>
      </c>
    </row>
    <row r="25428" spans="1:2" x14ac:dyDescent="0.25">
      <c r="A25428">
        <v>55161400925</v>
      </c>
      <c r="B25428" t="s">
        <v>8729</v>
      </c>
    </row>
    <row r="25429" spans="1:2" x14ac:dyDescent="0.25">
      <c r="A25429">
        <v>55161400926</v>
      </c>
      <c r="B25429" t="s">
        <v>8730</v>
      </c>
    </row>
    <row r="25430" spans="1:2" x14ac:dyDescent="0.25">
      <c r="A25430">
        <v>55161400927</v>
      </c>
      <c r="B25430" t="s">
        <v>8731</v>
      </c>
    </row>
    <row r="25431" spans="1:2" x14ac:dyDescent="0.25">
      <c r="A25431">
        <v>55161400928</v>
      </c>
      <c r="B25431" t="s">
        <v>8732</v>
      </c>
    </row>
    <row r="25432" spans="1:2" x14ac:dyDescent="0.25">
      <c r="A25432">
        <v>55161400929</v>
      </c>
      <c r="B25432" t="s">
        <v>57</v>
      </c>
    </row>
    <row r="25433" spans="1:2" x14ac:dyDescent="0.25">
      <c r="A25433">
        <v>5516140093</v>
      </c>
      <c r="B25433" t="s">
        <v>8498</v>
      </c>
    </row>
    <row r="25434" spans="1:2" x14ac:dyDescent="0.25">
      <c r="A25434">
        <v>55161400931</v>
      </c>
      <c r="B25434" t="s">
        <v>8641</v>
      </c>
    </row>
    <row r="25435" spans="1:2" x14ac:dyDescent="0.25">
      <c r="A25435">
        <v>55161400932</v>
      </c>
      <c r="B25435" t="s">
        <v>8726</v>
      </c>
    </row>
    <row r="25436" spans="1:2" x14ac:dyDescent="0.25">
      <c r="A25436">
        <v>55161400933</v>
      </c>
      <c r="B25436" t="s">
        <v>8727</v>
      </c>
    </row>
    <row r="25437" spans="1:2" x14ac:dyDescent="0.25">
      <c r="A25437">
        <v>55161400934</v>
      </c>
      <c r="B25437" t="s">
        <v>8728</v>
      </c>
    </row>
    <row r="25438" spans="1:2" x14ac:dyDescent="0.25">
      <c r="A25438">
        <v>55161400935</v>
      </c>
      <c r="B25438" t="s">
        <v>8729</v>
      </c>
    </row>
    <row r="25439" spans="1:2" x14ac:dyDescent="0.25">
      <c r="A25439">
        <v>55161400936</v>
      </c>
      <c r="B25439" t="s">
        <v>8730</v>
      </c>
    </row>
    <row r="25440" spans="1:2" x14ac:dyDescent="0.25">
      <c r="A25440">
        <v>55161400937</v>
      </c>
      <c r="B25440" t="s">
        <v>8731</v>
      </c>
    </row>
    <row r="25441" spans="1:2" x14ac:dyDescent="0.25">
      <c r="A25441">
        <v>55161400938</v>
      </c>
      <c r="B25441" t="s">
        <v>8732</v>
      </c>
    </row>
    <row r="25442" spans="1:2" x14ac:dyDescent="0.25">
      <c r="A25442">
        <v>55161400939</v>
      </c>
      <c r="B25442" t="s">
        <v>57</v>
      </c>
    </row>
    <row r="25443" spans="1:2" x14ac:dyDescent="0.25">
      <c r="A25443">
        <v>5516140099</v>
      </c>
      <c r="B25443" t="s">
        <v>8500</v>
      </c>
    </row>
    <row r="25444" spans="1:2" x14ac:dyDescent="0.25">
      <c r="A25444">
        <v>55161400991</v>
      </c>
      <c r="B25444" t="s">
        <v>8641</v>
      </c>
    </row>
    <row r="25445" spans="1:2" x14ac:dyDescent="0.25">
      <c r="A25445">
        <v>55161400992</v>
      </c>
      <c r="B25445" t="s">
        <v>8726</v>
      </c>
    </row>
    <row r="25446" spans="1:2" x14ac:dyDescent="0.25">
      <c r="A25446">
        <v>55161400993</v>
      </c>
      <c r="B25446" t="s">
        <v>8727</v>
      </c>
    </row>
    <row r="25447" spans="1:2" x14ac:dyDescent="0.25">
      <c r="A25447">
        <v>55161400994</v>
      </c>
      <c r="B25447" t="s">
        <v>8728</v>
      </c>
    </row>
    <row r="25448" spans="1:2" x14ac:dyDescent="0.25">
      <c r="A25448">
        <v>55161400995</v>
      </c>
      <c r="B25448" t="s">
        <v>8729</v>
      </c>
    </row>
    <row r="25449" spans="1:2" x14ac:dyDescent="0.25">
      <c r="A25449">
        <v>55161400996</v>
      </c>
      <c r="B25449" t="s">
        <v>8730</v>
      </c>
    </row>
    <row r="25450" spans="1:2" x14ac:dyDescent="0.25">
      <c r="A25450">
        <v>55161400997</v>
      </c>
      <c r="B25450" t="s">
        <v>8731</v>
      </c>
    </row>
    <row r="25451" spans="1:2" x14ac:dyDescent="0.25">
      <c r="A25451">
        <v>55161400998</v>
      </c>
      <c r="B25451" t="s">
        <v>8732</v>
      </c>
    </row>
    <row r="25452" spans="1:2" x14ac:dyDescent="0.25">
      <c r="A25452">
        <v>55161400999</v>
      </c>
      <c r="B25452" t="s">
        <v>57</v>
      </c>
    </row>
    <row r="25453" spans="1:2" x14ac:dyDescent="0.25">
      <c r="A25453">
        <v>55162</v>
      </c>
      <c r="B25453" t="s">
        <v>8748</v>
      </c>
    </row>
    <row r="25454" spans="1:2" x14ac:dyDescent="0.25">
      <c r="A25454">
        <v>55162100</v>
      </c>
      <c r="B25454" t="e">
        <f>- - crudos o Blanqueados</f>
        <v>#NAME?</v>
      </c>
    </row>
    <row r="25455" spans="1:2" x14ac:dyDescent="0.25">
      <c r="A25455">
        <v>551621001</v>
      </c>
      <c r="B25455" t="s">
        <v>8581</v>
      </c>
    </row>
    <row r="25456" spans="1:2" x14ac:dyDescent="0.25">
      <c r="A25456">
        <v>5516210011</v>
      </c>
      <c r="B25456" t="s">
        <v>8535</v>
      </c>
    </row>
    <row r="25457" spans="1:2" x14ac:dyDescent="0.25">
      <c r="A25457">
        <v>55162100111</v>
      </c>
      <c r="B25457" t="s">
        <v>8641</v>
      </c>
    </row>
    <row r="25458" spans="1:2" x14ac:dyDescent="0.25">
      <c r="A25458">
        <v>55162100112</v>
      </c>
      <c r="B25458" t="s">
        <v>8726</v>
      </c>
    </row>
    <row r="25459" spans="1:2" x14ac:dyDescent="0.25">
      <c r="A25459">
        <v>55162100113</v>
      </c>
      <c r="B25459" t="s">
        <v>8727</v>
      </c>
    </row>
    <row r="25460" spans="1:2" x14ac:dyDescent="0.25">
      <c r="A25460">
        <v>55162100114</v>
      </c>
      <c r="B25460" t="s">
        <v>8728</v>
      </c>
    </row>
    <row r="25461" spans="1:2" x14ac:dyDescent="0.25">
      <c r="A25461">
        <v>55162100115</v>
      </c>
      <c r="B25461" t="s">
        <v>8729</v>
      </c>
    </row>
    <row r="25462" spans="1:2" x14ac:dyDescent="0.25">
      <c r="A25462">
        <v>55162100116</v>
      </c>
      <c r="B25462" t="s">
        <v>8730</v>
      </c>
    </row>
    <row r="25463" spans="1:2" x14ac:dyDescent="0.25">
      <c r="A25463">
        <v>55162100117</v>
      </c>
      <c r="B25463" t="s">
        <v>8731</v>
      </c>
    </row>
    <row r="25464" spans="1:2" x14ac:dyDescent="0.25">
      <c r="A25464">
        <v>55162100118</v>
      </c>
      <c r="B25464" t="s">
        <v>8732</v>
      </c>
    </row>
    <row r="25465" spans="1:2" x14ac:dyDescent="0.25">
      <c r="A25465">
        <v>55162100119</v>
      </c>
      <c r="B25465" t="s">
        <v>57</v>
      </c>
    </row>
    <row r="25466" spans="1:2" x14ac:dyDescent="0.25">
      <c r="A25466">
        <v>5516210012</v>
      </c>
      <c r="B25466" t="s">
        <v>8506</v>
      </c>
    </row>
    <row r="25467" spans="1:2" x14ac:dyDescent="0.25">
      <c r="A25467">
        <v>55162100121</v>
      </c>
      <c r="B25467" t="s">
        <v>8641</v>
      </c>
    </row>
    <row r="25468" spans="1:2" x14ac:dyDescent="0.25">
      <c r="A25468">
        <v>55162100122</v>
      </c>
      <c r="B25468" t="s">
        <v>8726</v>
      </c>
    </row>
    <row r="25469" spans="1:2" x14ac:dyDescent="0.25">
      <c r="A25469">
        <v>55162100123</v>
      </c>
      <c r="B25469" t="s">
        <v>8727</v>
      </c>
    </row>
    <row r="25470" spans="1:2" x14ac:dyDescent="0.25">
      <c r="A25470">
        <v>55162100124</v>
      </c>
      <c r="B25470" t="s">
        <v>8728</v>
      </c>
    </row>
    <row r="25471" spans="1:2" x14ac:dyDescent="0.25">
      <c r="A25471">
        <v>55162100125</v>
      </c>
      <c r="B25471" t="s">
        <v>8729</v>
      </c>
    </row>
    <row r="25472" spans="1:2" x14ac:dyDescent="0.25">
      <c r="A25472">
        <v>55162100126</v>
      </c>
      <c r="B25472" t="s">
        <v>8730</v>
      </c>
    </row>
    <row r="25473" spans="1:2" x14ac:dyDescent="0.25">
      <c r="A25473">
        <v>55162100127</v>
      </c>
      <c r="B25473" t="s">
        <v>8731</v>
      </c>
    </row>
    <row r="25474" spans="1:2" x14ac:dyDescent="0.25">
      <c r="A25474">
        <v>55162100128</v>
      </c>
      <c r="B25474" t="s">
        <v>8732</v>
      </c>
    </row>
    <row r="25475" spans="1:2" x14ac:dyDescent="0.25">
      <c r="A25475">
        <v>55162100129</v>
      </c>
      <c r="B25475" t="s">
        <v>57</v>
      </c>
    </row>
    <row r="25476" spans="1:2" x14ac:dyDescent="0.25">
      <c r="A25476">
        <v>5516210013</v>
      </c>
      <c r="B25476" t="s">
        <v>8498</v>
      </c>
    </row>
    <row r="25477" spans="1:2" x14ac:dyDescent="0.25">
      <c r="A25477">
        <v>55162100131</v>
      </c>
      <c r="B25477" t="s">
        <v>8641</v>
      </c>
    </row>
    <row r="25478" spans="1:2" x14ac:dyDescent="0.25">
      <c r="A25478">
        <v>55162100132</v>
      </c>
      <c r="B25478" t="s">
        <v>8726</v>
      </c>
    </row>
    <row r="25479" spans="1:2" x14ac:dyDescent="0.25">
      <c r="A25479">
        <v>55162100133</v>
      </c>
      <c r="B25479" t="s">
        <v>8727</v>
      </c>
    </row>
    <row r="25480" spans="1:2" x14ac:dyDescent="0.25">
      <c r="A25480">
        <v>55162100134</v>
      </c>
      <c r="B25480" t="s">
        <v>8728</v>
      </c>
    </row>
    <row r="25481" spans="1:2" x14ac:dyDescent="0.25">
      <c r="A25481">
        <v>55162100135</v>
      </c>
      <c r="B25481" t="s">
        <v>8729</v>
      </c>
    </row>
    <row r="25482" spans="1:2" x14ac:dyDescent="0.25">
      <c r="A25482">
        <v>55162100136</v>
      </c>
      <c r="B25482" t="s">
        <v>8730</v>
      </c>
    </row>
    <row r="25483" spans="1:2" x14ac:dyDescent="0.25">
      <c r="A25483">
        <v>55162100137</v>
      </c>
      <c r="B25483" t="s">
        <v>8731</v>
      </c>
    </row>
    <row r="25484" spans="1:2" x14ac:dyDescent="0.25">
      <c r="A25484">
        <v>55162100138</v>
      </c>
      <c r="B25484" t="s">
        <v>8732</v>
      </c>
    </row>
    <row r="25485" spans="1:2" x14ac:dyDescent="0.25">
      <c r="A25485">
        <v>55162100139</v>
      </c>
      <c r="B25485" t="s">
        <v>57</v>
      </c>
    </row>
    <row r="25486" spans="1:2" x14ac:dyDescent="0.25">
      <c r="A25486">
        <v>5516210019</v>
      </c>
      <c r="B25486" t="s">
        <v>8500</v>
      </c>
    </row>
    <row r="25487" spans="1:2" x14ac:dyDescent="0.25">
      <c r="A25487">
        <v>55162100191</v>
      </c>
      <c r="B25487" t="s">
        <v>8641</v>
      </c>
    </row>
    <row r="25488" spans="1:2" x14ac:dyDescent="0.25">
      <c r="A25488">
        <v>55162100192</v>
      </c>
      <c r="B25488" t="s">
        <v>8726</v>
      </c>
    </row>
    <row r="25489" spans="1:2" x14ac:dyDescent="0.25">
      <c r="A25489">
        <v>55162100193</v>
      </c>
      <c r="B25489" t="s">
        <v>8727</v>
      </c>
    </row>
    <row r="25490" spans="1:2" x14ac:dyDescent="0.25">
      <c r="A25490">
        <v>55162100194</v>
      </c>
      <c r="B25490" t="s">
        <v>8728</v>
      </c>
    </row>
    <row r="25491" spans="1:2" x14ac:dyDescent="0.25">
      <c r="A25491">
        <v>55162100195</v>
      </c>
      <c r="B25491" t="s">
        <v>8729</v>
      </c>
    </row>
    <row r="25492" spans="1:2" x14ac:dyDescent="0.25">
      <c r="A25492">
        <v>55162100196</v>
      </c>
      <c r="B25492" t="s">
        <v>8730</v>
      </c>
    </row>
    <row r="25493" spans="1:2" x14ac:dyDescent="0.25">
      <c r="A25493">
        <v>55162100197</v>
      </c>
      <c r="B25493" t="s">
        <v>8731</v>
      </c>
    </row>
    <row r="25494" spans="1:2" x14ac:dyDescent="0.25">
      <c r="A25494">
        <v>55162100198</v>
      </c>
      <c r="B25494" t="s">
        <v>8732</v>
      </c>
    </row>
    <row r="25495" spans="1:2" x14ac:dyDescent="0.25">
      <c r="A25495">
        <v>55162100199</v>
      </c>
      <c r="B25495" t="s">
        <v>57</v>
      </c>
    </row>
    <row r="25496" spans="1:2" x14ac:dyDescent="0.25">
      <c r="A25496">
        <v>551621009</v>
      </c>
      <c r="B25496" t="s">
        <v>57</v>
      </c>
    </row>
    <row r="25497" spans="1:2" x14ac:dyDescent="0.25">
      <c r="A25497">
        <v>5516210091</v>
      </c>
      <c r="B25497" t="s">
        <v>8535</v>
      </c>
    </row>
    <row r="25498" spans="1:2" x14ac:dyDescent="0.25">
      <c r="A25498">
        <v>55162100911</v>
      </c>
      <c r="B25498" t="s">
        <v>8641</v>
      </c>
    </row>
    <row r="25499" spans="1:2" x14ac:dyDescent="0.25">
      <c r="A25499">
        <v>55162100912</v>
      </c>
      <c r="B25499" t="s">
        <v>8726</v>
      </c>
    </row>
    <row r="25500" spans="1:2" x14ac:dyDescent="0.25">
      <c r="A25500">
        <v>55162100913</v>
      </c>
      <c r="B25500" t="s">
        <v>8727</v>
      </c>
    </row>
    <row r="25501" spans="1:2" x14ac:dyDescent="0.25">
      <c r="A25501">
        <v>55162100914</v>
      </c>
      <c r="B25501" t="s">
        <v>8728</v>
      </c>
    </row>
    <row r="25502" spans="1:2" x14ac:dyDescent="0.25">
      <c r="A25502">
        <v>55162100915</v>
      </c>
      <c r="B25502" t="s">
        <v>8729</v>
      </c>
    </row>
    <row r="25503" spans="1:2" x14ac:dyDescent="0.25">
      <c r="A25503">
        <v>55162100916</v>
      </c>
      <c r="B25503" t="s">
        <v>8730</v>
      </c>
    </row>
    <row r="25504" spans="1:2" x14ac:dyDescent="0.25">
      <c r="A25504">
        <v>55162100917</v>
      </c>
      <c r="B25504" t="s">
        <v>8731</v>
      </c>
    </row>
    <row r="25505" spans="1:2" x14ac:dyDescent="0.25">
      <c r="A25505">
        <v>55162100918</v>
      </c>
      <c r="B25505" t="s">
        <v>8732</v>
      </c>
    </row>
    <row r="25506" spans="1:2" x14ac:dyDescent="0.25">
      <c r="A25506">
        <v>55162100919</v>
      </c>
      <c r="B25506" t="s">
        <v>57</v>
      </c>
    </row>
    <row r="25507" spans="1:2" x14ac:dyDescent="0.25">
      <c r="A25507">
        <v>5516210092</v>
      </c>
      <c r="B25507" t="s">
        <v>8506</v>
      </c>
    </row>
    <row r="25508" spans="1:2" x14ac:dyDescent="0.25">
      <c r="A25508">
        <v>55162100921</v>
      </c>
      <c r="B25508" t="s">
        <v>8641</v>
      </c>
    </row>
    <row r="25509" spans="1:2" x14ac:dyDescent="0.25">
      <c r="A25509">
        <v>55162100922</v>
      </c>
      <c r="B25509" t="s">
        <v>8726</v>
      </c>
    </row>
    <row r="25510" spans="1:2" x14ac:dyDescent="0.25">
      <c r="A25510">
        <v>55162100923</v>
      </c>
      <c r="B25510" t="s">
        <v>8727</v>
      </c>
    </row>
    <row r="25511" spans="1:2" x14ac:dyDescent="0.25">
      <c r="A25511">
        <v>55162100924</v>
      </c>
      <c r="B25511" t="s">
        <v>8728</v>
      </c>
    </row>
    <row r="25512" spans="1:2" x14ac:dyDescent="0.25">
      <c r="A25512">
        <v>55162100925</v>
      </c>
      <c r="B25512" t="s">
        <v>8729</v>
      </c>
    </row>
    <row r="25513" spans="1:2" x14ac:dyDescent="0.25">
      <c r="A25513">
        <v>55162100926</v>
      </c>
      <c r="B25513" t="s">
        <v>8730</v>
      </c>
    </row>
    <row r="25514" spans="1:2" x14ac:dyDescent="0.25">
      <c r="A25514">
        <v>55162100927</v>
      </c>
      <c r="B25514" t="s">
        <v>8731</v>
      </c>
    </row>
    <row r="25515" spans="1:2" x14ac:dyDescent="0.25">
      <c r="A25515">
        <v>55162100928</v>
      </c>
      <c r="B25515" t="s">
        <v>8732</v>
      </c>
    </row>
    <row r="25516" spans="1:2" x14ac:dyDescent="0.25">
      <c r="A25516">
        <v>55162100929</v>
      </c>
      <c r="B25516" t="s">
        <v>57</v>
      </c>
    </row>
    <row r="25517" spans="1:2" x14ac:dyDescent="0.25">
      <c r="A25517">
        <v>5516210093</v>
      </c>
      <c r="B25517" t="s">
        <v>8498</v>
      </c>
    </row>
    <row r="25518" spans="1:2" x14ac:dyDescent="0.25">
      <c r="A25518">
        <v>55162100931</v>
      </c>
      <c r="B25518" t="s">
        <v>8641</v>
      </c>
    </row>
    <row r="25519" spans="1:2" x14ac:dyDescent="0.25">
      <c r="A25519">
        <v>55162100932</v>
      </c>
      <c r="B25519" t="s">
        <v>8726</v>
      </c>
    </row>
    <row r="25520" spans="1:2" x14ac:dyDescent="0.25">
      <c r="A25520">
        <v>55162100933</v>
      </c>
      <c r="B25520" t="s">
        <v>8727</v>
      </c>
    </row>
    <row r="25521" spans="1:2" x14ac:dyDescent="0.25">
      <c r="A25521">
        <v>55162100934</v>
      </c>
      <c r="B25521" t="s">
        <v>8728</v>
      </c>
    </row>
    <row r="25522" spans="1:2" x14ac:dyDescent="0.25">
      <c r="A25522">
        <v>55162100935</v>
      </c>
      <c r="B25522" t="s">
        <v>8729</v>
      </c>
    </row>
    <row r="25523" spans="1:2" x14ac:dyDescent="0.25">
      <c r="A25523">
        <v>55162100936</v>
      </c>
      <c r="B25523" t="s">
        <v>8730</v>
      </c>
    </row>
    <row r="25524" spans="1:2" x14ac:dyDescent="0.25">
      <c r="A25524">
        <v>55162100937</v>
      </c>
      <c r="B25524" t="s">
        <v>8731</v>
      </c>
    </row>
    <row r="25525" spans="1:2" x14ac:dyDescent="0.25">
      <c r="A25525">
        <v>55162100938</v>
      </c>
      <c r="B25525" t="s">
        <v>8732</v>
      </c>
    </row>
    <row r="25526" spans="1:2" x14ac:dyDescent="0.25">
      <c r="A25526">
        <v>55162100939</v>
      </c>
      <c r="B25526" t="s">
        <v>57</v>
      </c>
    </row>
    <row r="25527" spans="1:2" x14ac:dyDescent="0.25">
      <c r="A25527">
        <v>5516210099</v>
      </c>
      <c r="B25527" t="s">
        <v>8500</v>
      </c>
    </row>
    <row r="25528" spans="1:2" x14ac:dyDescent="0.25">
      <c r="A25528">
        <v>55162100991</v>
      </c>
      <c r="B25528" t="s">
        <v>8641</v>
      </c>
    </row>
    <row r="25529" spans="1:2" x14ac:dyDescent="0.25">
      <c r="A25529">
        <v>55162100992</v>
      </c>
      <c r="B25529" t="s">
        <v>8726</v>
      </c>
    </row>
    <row r="25530" spans="1:2" x14ac:dyDescent="0.25">
      <c r="A25530">
        <v>55162100993</v>
      </c>
      <c r="B25530" t="s">
        <v>8727</v>
      </c>
    </row>
    <row r="25531" spans="1:2" x14ac:dyDescent="0.25">
      <c r="A25531">
        <v>55162100994</v>
      </c>
      <c r="B25531" t="s">
        <v>8728</v>
      </c>
    </row>
    <row r="25532" spans="1:2" x14ac:dyDescent="0.25">
      <c r="A25532">
        <v>55162100995</v>
      </c>
      <c r="B25532" t="s">
        <v>8729</v>
      </c>
    </row>
    <row r="25533" spans="1:2" x14ac:dyDescent="0.25">
      <c r="A25533">
        <v>55162100996</v>
      </c>
      <c r="B25533" t="s">
        <v>8730</v>
      </c>
    </row>
    <row r="25534" spans="1:2" x14ac:dyDescent="0.25">
      <c r="A25534">
        <v>55162100997</v>
      </c>
      <c r="B25534" t="s">
        <v>8731</v>
      </c>
    </row>
    <row r="25535" spans="1:2" x14ac:dyDescent="0.25">
      <c r="A25535">
        <v>55162100998</v>
      </c>
      <c r="B25535" t="s">
        <v>8732</v>
      </c>
    </row>
    <row r="25536" spans="1:2" x14ac:dyDescent="0.25">
      <c r="A25536">
        <v>55162100999</v>
      </c>
      <c r="B25536" t="s">
        <v>57</v>
      </c>
    </row>
    <row r="25537" spans="1:2" x14ac:dyDescent="0.25">
      <c r="A25537">
        <v>55162200</v>
      </c>
      <c r="B25537" t="e">
        <f>- - Teñidos</f>
        <v>#NAME?</v>
      </c>
    </row>
    <row r="25538" spans="1:2" x14ac:dyDescent="0.25">
      <c r="A25538">
        <v>551622001</v>
      </c>
      <c r="B25538" t="s">
        <v>8581</v>
      </c>
    </row>
    <row r="25539" spans="1:2" x14ac:dyDescent="0.25">
      <c r="A25539">
        <v>5516220011</v>
      </c>
      <c r="B25539" t="s">
        <v>8535</v>
      </c>
    </row>
    <row r="25540" spans="1:2" x14ac:dyDescent="0.25">
      <c r="A25540">
        <v>55162200111</v>
      </c>
      <c r="B25540" t="s">
        <v>8641</v>
      </c>
    </row>
    <row r="25541" spans="1:2" x14ac:dyDescent="0.25">
      <c r="A25541">
        <v>55162200112</v>
      </c>
      <c r="B25541" t="s">
        <v>8726</v>
      </c>
    </row>
    <row r="25542" spans="1:2" x14ac:dyDescent="0.25">
      <c r="A25542">
        <v>55162200113</v>
      </c>
      <c r="B25542" t="s">
        <v>8727</v>
      </c>
    </row>
    <row r="25543" spans="1:2" x14ac:dyDescent="0.25">
      <c r="A25543">
        <v>55162200114</v>
      </c>
      <c r="B25543" t="s">
        <v>8728</v>
      </c>
    </row>
    <row r="25544" spans="1:2" x14ac:dyDescent="0.25">
      <c r="A25544">
        <v>55162200115</v>
      </c>
      <c r="B25544" t="s">
        <v>8729</v>
      </c>
    </row>
    <row r="25545" spans="1:2" x14ac:dyDescent="0.25">
      <c r="A25545">
        <v>55162200116</v>
      </c>
      <c r="B25545" t="s">
        <v>8730</v>
      </c>
    </row>
    <row r="25546" spans="1:2" x14ac:dyDescent="0.25">
      <c r="A25546">
        <v>55162200117</v>
      </c>
      <c r="B25546" t="s">
        <v>8731</v>
      </c>
    </row>
    <row r="25547" spans="1:2" x14ac:dyDescent="0.25">
      <c r="A25547">
        <v>55162200118</v>
      </c>
      <c r="B25547" t="s">
        <v>8732</v>
      </c>
    </row>
    <row r="25548" spans="1:2" x14ac:dyDescent="0.25">
      <c r="A25548">
        <v>55162200119</v>
      </c>
      <c r="B25548" t="s">
        <v>57</v>
      </c>
    </row>
    <row r="25549" spans="1:2" x14ac:dyDescent="0.25">
      <c r="A25549">
        <v>5516220012</v>
      </c>
      <c r="B25549" t="s">
        <v>8506</v>
      </c>
    </row>
    <row r="25550" spans="1:2" x14ac:dyDescent="0.25">
      <c r="A25550">
        <v>55162200121</v>
      </c>
      <c r="B25550" t="s">
        <v>8641</v>
      </c>
    </row>
    <row r="25551" spans="1:2" x14ac:dyDescent="0.25">
      <c r="A25551">
        <v>55162200122</v>
      </c>
      <c r="B25551" t="s">
        <v>8726</v>
      </c>
    </row>
    <row r="25552" spans="1:2" x14ac:dyDescent="0.25">
      <c r="A25552">
        <v>55162200123</v>
      </c>
      <c r="B25552" t="s">
        <v>8727</v>
      </c>
    </row>
    <row r="25553" spans="1:2" x14ac:dyDescent="0.25">
      <c r="A25553">
        <v>55162200124</v>
      </c>
      <c r="B25553" t="s">
        <v>8728</v>
      </c>
    </row>
    <row r="25554" spans="1:2" x14ac:dyDescent="0.25">
      <c r="A25554">
        <v>55162200125</v>
      </c>
      <c r="B25554" t="s">
        <v>8729</v>
      </c>
    </row>
    <row r="25555" spans="1:2" x14ac:dyDescent="0.25">
      <c r="A25555">
        <v>55162200126</v>
      </c>
      <c r="B25555" t="s">
        <v>8730</v>
      </c>
    </row>
    <row r="25556" spans="1:2" x14ac:dyDescent="0.25">
      <c r="A25556">
        <v>55162200127</v>
      </c>
      <c r="B25556" t="s">
        <v>8731</v>
      </c>
    </row>
    <row r="25557" spans="1:2" x14ac:dyDescent="0.25">
      <c r="A25557">
        <v>55162200128</v>
      </c>
      <c r="B25557" t="s">
        <v>8732</v>
      </c>
    </row>
    <row r="25558" spans="1:2" x14ac:dyDescent="0.25">
      <c r="A25558">
        <v>55162200129</v>
      </c>
      <c r="B25558" t="s">
        <v>57</v>
      </c>
    </row>
    <row r="25559" spans="1:2" x14ac:dyDescent="0.25">
      <c r="A25559">
        <v>5516220013</v>
      </c>
      <c r="B25559" t="s">
        <v>8498</v>
      </c>
    </row>
    <row r="25560" spans="1:2" x14ac:dyDescent="0.25">
      <c r="A25560">
        <v>55162200131</v>
      </c>
      <c r="B25560" t="s">
        <v>8641</v>
      </c>
    </row>
    <row r="25561" spans="1:2" x14ac:dyDescent="0.25">
      <c r="A25561">
        <v>55162200132</v>
      </c>
      <c r="B25561" t="s">
        <v>8726</v>
      </c>
    </row>
    <row r="25562" spans="1:2" x14ac:dyDescent="0.25">
      <c r="A25562">
        <v>55162200133</v>
      </c>
      <c r="B25562" t="s">
        <v>8727</v>
      </c>
    </row>
    <row r="25563" spans="1:2" x14ac:dyDescent="0.25">
      <c r="A25563">
        <v>55162200134</v>
      </c>
      <c r="B25563" t="s">
        <v>8728</v>
      </c>
    </row>
    <row r="25564" spans="1:2" x14ac:dyDescent="0.25">
      <c r="A25564">
        <v>55162200135</v>
      </c>
      <c r="B25564" t="s">
        <v>8729</v>
      </c>
    </row>
    <row r="25565" spans="1:2" x14ac:dyDescent="0.25">
      <c r="A25565">
        <v>55162200136</v>
      </c>
      <c r="B25565" t="s">
        <v>8730</v>
      </c>
    </row>
    <row r="25566" spans="1:2" x14ac:dyDescent="0.25">
      <c r="A25566">
        <v>55162200137</v>
      </c>
      <c r="B25566" t="s">
        <v>8731</v>
      </c>
    </row>
    <row r="25567" spans="1:2" x14ac:dyDescent="0.25">
      <c r="A25567">
        <v>55162200138</v>
      </c>
      <c r="B25567" t="s">
        <v>8732</v>
      </c>
    </row>
    <row r="25568" spans="1:2" x14ac:dyDescent="0.25">
      <c r="A25568">
        <v>55162200139</v>
      </c>
      <c r="B25568" t="s">
        <v>57</v>
      </c>
    </row>
    <row r="25569" spans="1:2" x14ac:dyDescent="0.25">
      <c r="A25569">
        <v>5516220019</v>
      </c>
      <c r="B25569" t="s">
        <v>8500</v>
      </c>
    </row>
    <row r="25570" spans="1:2" x14ac:dyDescent="0.25">
      <c r="A25570">
        <v>55162200191</v>
      </c>
      <c r="B25570" t="s">
        <v>8641</v>
      </c>
    </row>
    <row r="25571" spans="1:2" x14ac:dyDescent="0.25">
      <c r="A25571">
        <v>55162200192</v>
      </c>
      <c r="B25571" t="s">
        <v>8726</v>
      </c>
    </row>
    <row r="25572" spans="1:2" x14ac:dyDescent="0.25">
      <c r="A25572">
        <v>55162200193</v>
      </c>
      <c r="B25572" t="s">
        <v>8727</v>
      </c>
    </row>
    <row r="25573" spans="1:2" x14ac:dyDescent="0.25">
      <c r="A25573">
        <v>55162200194</v>
      </c>
      <c r="B25573" t="s">
        <v>8728</v>
      </c>
    </row>
    <row r="25574" spans="1:2" x14ac:dyDescent="0.25">
      <c r="A25574">
        <v>55162200195</v>
      </c>
      <c r="B25574" t="s">
        <v>8729</v>
      </c>
    </row>
    <row r="25575" spans="1:2" x14ac:dyDescent="0.25">
      <c r="A25575">
        <v>55162200196</v>
      </c>
      <c r="B25575" t="s">
        <v>8730</v>
      </c>
    </row>
    <row r="25576" spans="1:2" x14ac:dyDescent="0.25">
      <c r="A25576">
        <v>55162200197</v>
      </c>
      <c r="B25576" t="s">
        <v>8731</v>
      </c>
    </row>
    <row r="25577" spans="1:2" x14ac:dyDescent="0.25">
      <c r="A25577">
        <v>55162200198</v>
      </c>
      <c r="B25577" t="s">
        <v>8732</v>
      </c>
    </row>
    <row r="25578" spans="1:2" x14ac:dyDescent="0.25">
      <c r="A25578">
        <v>55162200199</v>
      </c>
      <c r="B25578" t="s">
        <v>57</v>
      </c>
    </row>
    <row r="25579" spans="1:2" x14ac:dyDescent="0.25">
      <c r="A25579">
        <v>551622009</v>
      </c>
      <c r="B25579" t="s">
        <v>57</v>
      </c>
    </row>
    <row r="25580" spans="1:2" x14ac:dyDescent="0.25">
      <c r="A25580">
        <v>5516220091</v>
      </c>
      <c r="B25580" t="s">
        <v>8535</v>
      </c>
    </row>
    <row r="25581" spans="1:2" x14ac:dyDescent="0.25">
      <c r="A25581">
        <v>55162200911</v>
      </c>
      <c r="B25581" t="s">
        <v>8641</v>
      </c>
    </row>
    <row r="25582" spans="1:2" x14ac:dyDescent="0.25">
      <c r="A25582">
        <v>55162200912</v>
      </c>
      <c r="B25582" t="s">
        <v>8726</v>
      </c>
    </row>
    <row r="25583" spans="1:2" x14ac:dyDescent="0.25">
      <c r="A25583">
        <v>55162200913</v>
      </c>
      <c r="B25583" t="s">
        <v>8727</v>
      </c>
    </row>
    <row r="25584" spans="1:2" x14ac:dyDescent="0.25">
      <c r="A25584">
        <v>55162200914</v>
      </c>
      <c r="B25584" t="s">
        <v>8728</v>
      </c>
    </row>
    <row r="25585" spans="1:2" x14ac:dyDescent="0.25">
      <c r="A25585">
        <v>55162200915</v>
      </c>
      <c r="B25585" t="s">
        <v>8729</v>
      </c>
    </row>
    <row r="25586" spans="1:2" x14ac:dyDescent="0.25">
      <c r="A25586">
        <v>55162200916</v>
      </c>
      <c r="B25586" t="s">
        <v>8730</v>
      </c>
    </row>
    <row r="25587" spans="1:2" x14ac:dyDescent="0.25">
      <c r="A25587">
        <v>55162200917</v>
      </c>
      <c r="B25587" t="s">
        <v>8731</v>
      </c>
    </row>
    <row r="25588" spans="1:2" x14ac:dyDescent="0.25">
      <c r="A25588">
        <v>55162200918</v>
      </c>
      <c r="B25588" t="s">
        <v>8732</v>
      </c>
    </row>
    <row r="25589" spans="1:2" x14ac:dyDescent="0.25">
      <c r="A25589">
        <v>55162200919</v>
      </c>
      <c r="B25589" t="s">
        <v>57</v>
      </c>
    </row>
    <row r="25590" spans="1:2" x14ac:dyDescent="0.25">
      <c r="A25590">
        <v>5516220092</v>
      </c>
      <c r="B25590" t="s">
        <v>8506</v>
      </c>
    </row>
    <row r="25591" spans="1:2" x14ac:dyDescent="0.25">
      <c r="A25591">
        <v>55162200921</v>
      </c>
      <c r="B25591" t="s">
        <v>8641</v>
      </c>
    </row>
    <row r="25592" spans="1:2" x14ac:dyDescent="0.25">
      <c r="A25592">
        <v>55162200922</v>
      </c>
      <c r="B25592" t="s">
        <v>8726</v>
      </c>
    </row>
    <row r="25593" spans="1:2" x14ac:dyDescent="0.25">
      <c r="A25593">
        <v>55162200923</v>
      </c>
      <c r="B25593" t="s">
        <v>8727</v>
      </c>
    </row>
    <row r="25594" spans="1:2" x14ac:dyDescent="0.25">
      <c r="A25594">
        <v>55162200924</v>
      </c>
      <c r="B25594" t="s">
        <v>8728</v>
      </c>
    </row>
    <row r="25595" spans="1:2" x14ac:dyDescent="0.25">
      <c r="A25595">
        <v>55162200925</v>
      </c>
      <c r="B25595" t="s">
        <v>8729</v>
      </c>
    </row>
    <row r="25596" spans="1:2" x14ac:dyDescent="0.25">
      <c r="A25596">
        <v>55162200926</v>
      </c>
      <c r="B25596" t="s">
        <v>8730</v>
      </c>
    </row>
    <row r="25597" spans="1:2" x14ac:dyDescent="0.25">
      <c r="A25597">
        <v>55162200927</v>
      </c>
      <c r="B25597" t="s">
        <v>8731</v>
      </c>
    </row>
    <row r="25598" spans="1:2" x14ac:dyDescent="0.25">
      <c r="A25598">
        <v>55162200928</v>
      </c>
      <c r="B25598" t="s">
        <v>8732</v>
      </c>
    </row>
    <row r="25599" spans="1:2" x14ac:dyDescent="0.25">
      <c r="A25599">
        <v>55162200929</v>
      </c>
      <c r="B25599" t="s">
        <v>57</v>
      </c>
    </row>
    <row r="25600" spans="1:2" x14ac:dyDescent="0.25">
      <c r="A25600">
        <v>5516220093</v>
      </c>
      <c r="B25600" t="s">
        <v>8498</v>
      </c>
    </row>
    <row r="25601" spans="1:2" x14ac:dyDescent="0.25">
      <c r="A25601">
        <v>55162200931</v>
      </c>
      <c r="B25601" t="s">
        <v>8641</v>
      </c>
    </row>
    <row r="25602" spans="1:2" x14ac:dyDescent="0.25">
      <c r="A25602">
        <v>55162200932</v>
      </c>
      <c r="B25602" t="s">
        <v>8726</v>
      </c>
    </row>
    <row r="25603" spans="1:2" x14ac:dyDescent="0.25">
      <c r="A25603">
        <v>55162200933</v>
      </c>
      <c r="B25603" t="s">
        <v>8727</v>
      </c>
    </row>
    <row r="25604" spans="1:2" x14ac:dyDescent="0.25">
      <c r="A25604">
        <v>55162200934</v>
      </c>
      <c r="B25604" t="s">
        <v>8728</v>
      </c>
    </row>
    <row r="25605" spans="1:2" x14ac:dyDescent="0.25">
      <c r="A25605">
        <v>55162200935</v>
      </c>
      <c r="B25605" t="s">
        <v>8729</v>
      </c>
    </row>
    <row r="25606" spans="1:2" x14ac:dyDescent="0.25">
      <c r="A25606">
        <v>55162200936</v>
      </c>
      <c r="B25606" t="s">
        <v>8730</v>
      </c>
    </row>
    <row r="25607" spans="1:2" x14ac:dyDescent="0.25">
      <c r="A25607">
        <v>55162200937</v>
      </c>
      <c r="B25607" t="s">
        <v>8731</v>
      </c>
    </row>
    <row r="25608" spans="1:2" x14ac:dyDescent="0.25">
      <c r="A25608">
        <v>55162200938</v>
      </c>
      <c r="B25608" t="s">
        <v>8732</v>
      </c>
    </row>
    <row r="25609" spans="1:2" x14ac:dyDescent="0.25">
      <c r="A25609">
        <v>55162200939</v>
      </c>
      <c r="B25609" t="s">
        <v>57</v>
      </c>
    </row>
    <row r="25610" spans="1:2" x14ac:dyDescent="0.25">
      <c r="A25610">
        <v>5516220099</v>
      </c>
      <c r="B25610" t="s">
        <v>8500</v>
      </c>
    </row>
    <row r="25611" spans="1:2" x14ac:dyDescent="0.25">
      <c r="A25611">
        <v>55162200991</v>
      </c>
      <c r="B25611" t="s">
        <v>8641</v>
      </c>
    </row>
    <row r="25612" spans="1:2" x14ac:dyDescent="0.25">
      <c r="A25612">
        <v>55162200992</v>
      </c>
      <c r="B25612" t="s">
        <v>8726</v>
      </c>
    </row>
    <row r="25613" spans="1:2" x14ac:dyDescent="0.25">
      <c r="A25613">
        <v>55162200993</v>
      </c>
      <c r="B25613" t="s">
        <v>8727</v>
      </c>
    </row>
    <row r="25614" spans="1:2" x14ac:dyDescent="0.25">
      <c r="A25614">
        <v>55162200994</v>
      </c>
      <c r="B25614" t="s">
        <v>8728</v>
      </c>
    </row>
    <row r="25615" spans="1:2" x14ac:dyDescent="0.25">
      <c r="A25615">
        <v>55162200995</v>
      </c>
      <c r="B25615" t="s">
        <v>8729</v>
      </c>
    </row>
    <row r="25616" spans="1:2" x14ac:dyDescent="0.25">
      <c r="A25616">
        <v>55162200996</v>
      </c>
      <c r="B25616" t="s">
        <v>8730</v>
      </c>
    </row>
    <row r="25617" spans="1:2" x14ac:dyDescent="0.25">
      <c r="A25617">
        <v>55162200997</v>
      </c>
      <c r="B25617" t="s">
        <v>8731</v>
      </c>
    </row>
    <row r="25618" spans="1:2" x14ac:dyDescent="0.25">
      <c r="A25618">
        <v>55162200998</v>
      </c>
      <c r="B25618" t="s">
        <v>8732</v>
      </c>
    </row>
    <row r="25619" spans="1:2" x14ac:dyDescent="0.25">
      <c r="A25619">
        <v>55162200999</v>
      </c>
      <c r="B25619" t="s">
        <v>57</v>
      </c>
    </row>
    <row r="25620" spans="1:2" x14ac:dyDescent="0.25">
      <c r="A25620">
        <v>55162300</v>
      </c>
      <c r="B25620" t="e">
        <f>- - Con hilados de distintos colores</f>
        <v>#NAME?</v>
      </c>
    </row>
    <row r="25621" spans="1:2" x14ac:dyDescent="0.25">
      <c r="A25621">
        <v>551623001</v>
      </c>
      <c r="B25621" t="s">
        <v>8581</v>
      </c>
    </row>
    <row r="25622" spans="1:2" x14ac:dyDescent="0.25">
      <c r="A25622">
        <v>5516230011</v>
      </c>
      <c r="B25622" t="s">
        <v>8535</v>
      </c>
    </row>
    <row r="25623" spans="1:2" x14ac:dyDescent="0.25">
      <c r="A25623">
        <v>55162300111</v>
      </c>
      <c r="B25623" t="s">
        <v>8641</v>
      </c>
    </row>
    <row r="25624" spans="1:2" x14ac:dyDescent="0.25">
      <c r="A25624">
        <v>55162300112</v>
      </c>
      <c r="B25624" t="s">
        <v>8726</v>
      </c>
    </row>
    <row r="25625" spans="1:2" x14ac:dyDescent="0.25">
      <c r="A25625">
        <v>55162300113</v>
      </c>
      <c r="B25625" t="s">
        <v>8727</v>
      </c>
    </row>
    <row r="25626" spans="1:2" x14ac:dyDescent="0.25">
      <c r="A25626">
        <v>55162300114</v>
      </c>
      <c r="B25626" t="s">
        <v>8728</v>
      </c>
    </row>
    <row r="25627" spans="1:2" x14ac:dyDescent="0.25">
      <c r="A25627">
        <v>55162300115</v>
      </c>
      <c r="B25627" t="s">
        <v>8729</v>
      </c>
    </row>
    <row r="25628" spans="1:2" x14ac:dyDescent="0.25">
      <c r="A25628">
        <v>55162300116</v>
      </c>
      <c r="B25628" t="s">
        <v>8730</v>
      </c>
    </row>
    <row r="25629" spans="1:2" x14ac:dyDescent="0.25">
      <c r="A25629">
        <v>55162300117</v>
      </c>
      <c r="B25629" t="s">
        <v>8731</v>
      </c>
    </row>
    <row r="25630" spans="1:2" x14ac:dyDescent="0.25">
      <c r="A25630">
        <v>55162300118</v>
      </c>
      <c r="B25630" t="s">
        <v>8732</v>
      </c>
    </row>
    <row r="25631" spans="1:2" x14ac:dyDescent="0.25">
      <c r="A25631">
        <v>55162300119</v>
      </c>
      <c r="B25631" t="s">
        <v>57</v>
      </c>
    </row>
    <row r="25632" spans="1:2" x14ac:dyDescent="0.25">
      <c r="A25632">
        <v>5516230012</v>
      </c>
      <c r="B25632" t="s">
        <v>8506</v>
      </c>
    </row>
    <row r="25633" spans="1:2" x14ac:dyDescent="0.25">
      <c r="A25633">
        <v>55162300121</v>
      </c>
      <c r="B25633" t="s">
        <v>8641</v>
      </c>
    </row>
    <row r="25634" spans="1:2" x14ac:dyDescent="0.25">
      <c r="A25634">
        <v>55162300122</v>
      </c>
      <c r="B25634" t="s">
        <v>8726</v>
      </c>
    </row>
    <row r="25635" spans="1:2" x14ac:dyDescent="0.25">
      <c r="A25635">
        <v>55162300123</v>
      </c>
      <c r="B25635" t="s">
        <v>8727</v>
      </c>
    </row>
    <row r="25636" spans="1:2" x14ac:dyDescent="0.25">
      <c r="A25636">
        <v>55162300124</v>
      </c>
      <c r="B25636" t="s">
        <v>8728</v>
      </c>
    </row>
    <row r="25637" spans="1:2" x14ac:dyDescent="0.25">
      <c r="A25637">
        <v>55162300125</v>
      </c>
      <c r="B25637" t="s">
        <v>8729</v>
      </c>
    </row>
    <row r="25638" spans="1:2" x14ac:dyDescent="0.25">
      <c r="A25638">
        <v>55162300126</v>
      </c>
      <c r="B25638" t="s">
        <v>8730</v>
      </c>
    </row>
    <row r="25639" spans="1:2" x14ac:dyDescent="0.25">
      <c r="A25639">
        <v>55162300127</v>
      </c>
      <c r="B25639" t="s">
        <v>8731</v>
      </c>
    </row>
    <row r="25640" spans="1:2" x14ac:dyDescent="0.25">
      <c r="A25640">
        <v>55162300128</v>
      </c>
      <c r="B25640" t="s">
        <v>8732</v>
      </c>
    </row>
    <row r="25641" spans="1:2" x14ac:dyDescent="0.25">
      <c r="A25641">
        <v>55162300129</v>
      </c>
      <c r="B25641" t="s">
        <v>57</v>
      </c>
    </row>
    <row r="25642" spans="1:2" x14ac:dyDescent="0.25">
      <c r="A25642">
        <v>5516230013</v>
      </c>
      <c r="B25642" t="s">
        <v>8498</v>
      </c>
    </row>
    <row r="25643" spans="1:2" x14ac:dyDescent="0.25">
      <c r="A25643">
        <v>55162300131</v>
      </c>
      <c r="B25643" t="s">
        <v>8641</v>
      </c>
    </row>
    <row r="25644" spans="1:2" x14ac:dyDescent="0.25">
      <c r="A25644">
        <v>55162300132</v>
      </c>
      <c r="B25644" t="s">
        <v>8726</v>
      </c>
    </row>
    <row r="25645" spans="1:2" x14ac:dyDescent="0.25">
      <c r="A25645">
        <v>55162300133</v>
      </c>
      <c r="B25645" t="s">
        <v>8727</v>
      </c>
    </row>
    <row r="25646" spans="1:2" x14ac:dyDescent="0.25">
      <c r="A25646">
        <v>55162300134</v>
      </c>
      <c r="B25646" t="s">
        <v>8728</v>
      </c>
    </row>
    <row r="25647" spans="1:2" x14ac:dyDescent="0.25">
      <c r="A25647">
        <v>55162300135</v>
      </c>
      <c r="B25647" t="s">
        <v>8729</v>
      </c>
    </row>
    <row r="25648" spans="1:2" x14ac:dyDescent="0.25">
      <c r="A25648">
        <v>55162300136</v>
      </c>
      <c r="B25648" t="s">
        <v>8730</v>
      </c>
    </row>
    <row r="25649" spans="1:2" x14ac:dyDescent="0.25">
      <c r="A25649">
        <v>55162300137</v>
      </c>
      <c r="B25649" t="s">
        <v>8731</v>
      </c>
    </row>
    <row r="25650" spans="1:2" x14ac:dyDescent="0.25">
      <c r="A25650">
        <v>55162300138</v>
      </c>
      <c r="B25650" t="s">
        <v>8732</v>
      </c>
    </row>
    <row r="25651" spans="1:2" x14ac:dyDescent="0.25">
      <c r="A25651">
        <v>55162300139</v>
      </c>
      <c r="B25651" t="s">
        <v>57</v>
      </c>
    </row>
    <row r="25652" spans="1:2" x14ac:dyDescent="0.25">
      <c r="A25652">
        <v>5516230019</v>
      </c>
      <c r="B25652" t="s">
        <v>8500</v>
      </c>
    </row>
    <row r="25653" spans="1:2" x14ac:dyDescent="0.25">
      <c r="A25653">
        <v>55162300191</v>
      </c>
      <c r="B25653" t="s">
        <v>8641</v>
      </c>
    </row>
    <row r="25654" spans="1:2" x14ac:dyDescent="0.25">
      <c r="A25654">
        <v>55162300192</v>
      </c>
      <c r="B25654" t="s">
        <v>8726</v>
      </c>
    </row>
    <row r="25655" spans="1:2" x14ac:dyDescent="0.25">
      <c r="A25655">
        <v>55162300193</v>
      </c>
      <c r="B25655" t="s">
        <v>8727</v>
      </c>
    </row>
    <row r="25656" spans="1:2" x14ac:dyDescent="0.25">
      <c r="A25656">
        <v>55162300194</v>
      </c>
      <c r="B25656" t="s">
        <v>8728</v>
      </c>
    </row>
    <row r="25657" spans="1:2" x14ac:dyDescent="0.25">
      <c r="A25657">
        <v>55162300195</v>
      </c>
      <c r="B25657" t="s">
        <v>8729</v>
      </c>
    </row>
    <row r="25658" spans="1:2" x14ac:dyDescent="0.25">
      <c r="A25658">
        <v>55162300196</v>
      </c>
      <c r="B25658" t="s">
        <v>8730</v>
      </c>
    </row>
    <row r="25659" spans="1:2" x14ac:dyDescent="0.25">
      <c r="A25659">
        <v>55162300197</v>
      </c>
      <c r="B25659" t="s">
        <v>8731</v>
      </c>
    </row>
    <row r="25660" spans="1:2" x14ac:dyDescent="0.25">
      <c r="A25660">
        <v>55162300198</v>
      </c>
      <c r="B25660" t="s">
        <v>8732</v>
      </c>
    </row>
    <row r="25661" spans="1:2" x14ac:dyDescent="0.25">
      <c r="A25661">
        <v>55162300199</v>
      </c>
      <c r="B25661" t="s">
        <v>57</v>
      </c>
    </row>
    <row r="25662" spans="1:2" x14ac:dyDescent="0.25">
      <c r="A25662">
        <v>551623009</v>
      </c>
      <c r="B25662" t="s">
        <v>57</v>
      </c>
    </row>
    <row r="25663" spans="1:2" x14ac:dyDescent="0.25">
      <c r="A25663">
        <v>5516230091</v>
      </c>
      <c r="B25663" t="s">
        <v>8535</v>
      </c>
    </row>
    <row r="25664" spans="1:2" x14ac:dyDescent="0.25">
      <c r="A25664">
        <v>55162300911</v>
      </c>
      <c r="B25664" t="s">
        <v>8641</v>
      </c>
    </row>
    <row r="25665" spans="1:2" x14ac:dyDescent="0.25">
      <c r="A25665">
        <v>55162300912</v>
      </c>
      <c r="B25665" t="s">
        <v>8726</v>
      </c>
    </row>
    <row r="25666" spans="1:2" x14ac:dyDescent="0.25">
      <c r="A25666">
        <v>55162300913</v>
      </c>
      <c r="B25666" t="s">
        <v>8727</v>
      </c>
    </row>
    <row r="25667" spans="1:2" x14ac:dyDescent="0.25">
      <c r="A25667">
        <v>55162300914</v>
      </c>
      <c r="B25667" t="s">
        <v>8728</v>
      </c>
    </row>
    <row r="25668" spans="1:2" x14ac:dyDescent="0.25">
      <c r="A25668">
        <v>55162300915</v>
      </c>
      <c r="B25668" t="s">
        <v>8729</v>
      </c>
    </row>
    <row r="25669" spans="1:2" x14ac:dyDescent="0.25">
      <c r="A25669">
        <v>55162300916</v>
      </c>
      <c r="B25669" t="s">
        <v>8730</v>
      </c>
    </row>
    <row r="25670" spans="1:2" x14ac:dyDescent="0.25">
      <c r="A25670">
        <v>55162300917</v>
      </c>
      <c r="B25670" t="s">
        <v>8731</v>
      </c>
    </row>
    <row r="25671" spans="1:2" x14ac:dyDescent="0.25">
      <c r="A25671">
        <v>55162300918</v>
      </c>
      <c r="B25671" t="s">
        <v>8732</v>
      </c>
    </row>
    <row r="25672" spans="1:2" x14ac:dyDescent="0.25">
      <c r="A25672">
        <v>55162300919</v>
      </c>
      <c r="B25672" t="s">
        <v>57</v>
      </c>
    </row>
    <row r="25673" spans="1:2" x14ac:dyDescent="0.25">
      <c r="A25673">
        <v>5516230092</v>
      </c>
      <c r="B25673" t="s">
        <v>8506</v>
      </c>
    </row>
    <row r="25674" spans="1:2" x14ac:dyDescent="0.25">
      <c r="A25674">
        <v>55162300921</v>
      </c>
      <c r="B25674" t="s">
        <v>8641</v>
      </c>
    </row>
    <row r="25675" spans="1:2" x14ac:dyDescent="0.25">
      <c r="A25675">
        <v>55162300922</v>
      </c>
      <c r="B25675" t="s">
        <v>8726</v>
      </c>
    </row>
    <row r="25676" spans="1:2" x14ac:dyDescent="0.25">
      <c r="A25676">
        <v>55162300923</v>
      </c>
      <c r="B25676" t="s">
        <v>8727</v>
      </c>
    </row>
    <row r="25677" spans="1:2" x14ac:dyDescent="0.25">
      <c r="A25677">
        <v>55162300924</v>
      </c>
      <c r="B25677" t="s">
        <v>8728</v>
      </c>
    </row>
    <row r="25678" spans="1:2" x14ac:dyDescent="0.25">
      <c r="A25678">
        <v>55162300925</v>
      </c>
      <c r="B25678" t="s">
        <v>8729</v>
      </c>
    </row>
    <row r="25679" spans="1:2" x14ac:dyDescent="0.25">
      <c r="A25679">
        <v>55162300926</v>
      </c>
      <c r="B25679" t="s">
        <v>8730</v>
      </c>
    </row>
    <row r="25680" spans="1:2" x14ac:dyDescent="0.25">
      <c r="A25680">
        <v>55162300927</v>
      </c>
      <c r="B25680" t="s">
        <v>8731</v>
      </c>
    </row>
    <row r="25681" spans="1:2" x14ac:dyDescent="0.25">
      <c r="A25681">
        <v>55162300928</v>
      </c>
      <c r="B25681" t="s">
        <v>8732</v>
      </c>
    </row>
    <row r="25682" spans="1:2" x14ac:dyDescent="0.25">
      <c r="A25682">
        <v>55162300929</v>
      </c>
      <c r="B25682" t="s">
        <v>57</v>
      </c>
    </row>
    <row r="25683" spans="1:2" x14ac:dyDescent="0.25">
      <c r="A25683">
        <v>5516230093</v>
      </c>
      <c r="B25683" t="s">
        <v>8498</v>
      </c>
    </row>
    <row r="25684" spans="1:2" x14ac:dyDescent="0.25">
      <c r="A25684">
        <v>55162300931</v>
      </c>
      <c r="B25684" t="s">
        <v>8641</v>
      </c>
    </row>
    <row r="25685" spans="1:2" x14ac:dyDescent="0.25">
      <c r="A25685">
        <v>55162300932</v>
      </c>
      <c r="B25685" t="s">
        <v>8726</v>
      </c>
    </row>
    <row r="25686" spans="1:2" x14ac:dyDescent="0.25">
      <c r="A25686">
        <v>55162300933</v>
      </c>
      <c r="B25686" t="s">
        <v>8727</v>
      </c>
    </row>
    <row r="25687" spans="1:2" x14ac:dyDescent="0.25">
      <c r="A25687">
        <v>55162300934</v>
      </c>
      <c r="B25687" t="s">
        <v>8728</v>
      </c>
    </row>
    <row r="25688" spans="1:2" x14ac:dyDescent="0.25">
      <c r="A25688">
        <v>55162300935</v>
      </c>
      <c r="B25688" t="s">
        <v>8729</v>
      </c>
    </row>
    <row r="25689" spans="1:2" x14ac:dyDescent="0.25">
      <c r="A25689">
        <v>55162300936</v>
      </c>
      <c r="B25689" t="s">
        <v>8730</v>
      </c>
    </row>
    <row r="25690" spans="1:2" x14ac:dyDescent="0.25">
      <c r="A25690">
        <v>55162300937</v>
      </c>
      <c r="B25690" t="s">
        <v>8731</v>
      </c>
    </row>
    <row r="25691" spans="1:2" x14ac:dyDescent="0.25">
      <c r="A25691">
        <v>55162300938</v>
      </c>
      <c r="B25691" t="s">
        <v>8732</v>
      </c>
    </row>
    <row r="25692" spans="1:2" x14ac:dyDescent="0.25">
      <c r="A25692">
        <v>55162300939</v>
      </c>
      <c r="B25692" t="s">
        <v>57</v>
      </c>
    </row>
    <row r="25693" spans="1:2" x14ac:dyDescent="0.25">
      <c r="A25693">
        <v>5516230099</v>
      </c>
      <c r="B25693" t="s">
        <v>8500</v>
      </c>
    </row>
    <row r="25694" spans="1:2" x14ac:dyDescent="0.25">
      <c r="A25694">
        <v>55162300991</v>
      </c>
      <c r="B25694" t="s">
        <v>8641</v>
      </c>
    </row>
    <row r="25695" spans="1:2" x14ac:dyDescent="0.25">
      <c r="A25695">
        <v>55162300992</v>
      </c>
      <c r="B25695" t="s">
        <v>8726</v>
      </c>
    </row>
    <row r="25696" spans="1:2" x14ac:dyDescent="0.25">
      <c r="A25696">
        <v>55162300993</v>
      </c>
      <c r="B25696" t="s">
        <v>8727</v>
      </c>
    </row>
    <row r="25697" spans="1:2" x14ac:dyDescent="0.25">
      <c r="A25697">
        <v>55162300994</v>
      </c>
      <c r="B25697" t="s">
        <v>8728</v>
      </c>
    </row>
    <row r="25698" spans="1:2" x14ac:dyDescent="0.25">
      <c r="A25698">
        <v>55162300995</v>
      </c>
      <c r="B25698" t="s">
        <v>8729</v>
      </c>
    </row>
    <row r="25699" spans="1:2" x14ac:dyDescent="0.25">
      <c r="A25699">
        <v>55162300996</v>
      </c>
      <c r="B25699" t="s">
        <v>8730</v>
      </c>
    </row>
    <row r="25700" spans="1:2" x14ac:dyDescent="0.25">
      <c r="A25700">
        <v>55162300997</v>
      </c>
      <c r="B25700" t="s">
        <v>8731</v>
      </c>
    </row>
    <row r="25701" spans="1:2" x14ac:dyDescent="0.25">
      <c r="A25701">
        <v>55162300998</v>
      </c>
      <c r="B25701" t="s">
        <v>8732</v>
      </c>
    </row>
    <row r="25702" spans="1:2" x14ac:dyDescent="0.25">
      <c r="A25702">
        <v>55162300999</v>
      </c>
      <c r="B25702" t="s">
        <v>57</v>
      </c>
    </row>
    <row r="25703" spans="1:2" x14ac:dyDescent="0.25">
      <c r="A25703">
        <v>55162400</v>
      </c>
      <c r="B25703" t="e">
        <f>- - Estampados</f>
        <v>#NAME?</v>
      </c>
    </row>
    <row r="25704" spans="1:2" x14ac:dyDescent="0.25">
      <c r="A25704">
        <v>551624001</v>
      </c>
      <c r="B25704" t="s">
        <v>8581</v>
      </c>
    </row>
    <row r="25705" spans="1:2" x14ac:dyDescent="0.25">
      <c r="A25705">
        <v>5516240011</v>
      </c>
      <c r="B25705" t="s">
        <v>8535</v>
      </c>
    </row>
    <row r="25706" spans="1:2" x14ac:dyDescent="0.25">
      <c r="A25706">
        <v>55162400111</v>
      </c>
      <c r="B25706" t="s">
        <v>8641</v>
      </c>
    </row>
    <row r="25707" spans="1:2" x14ac:dyDescent="0.25">
      <c r="A25707">
        <v>55162400112</v>
      </c>
      <c r="B25707" t="s">
        <v>8726</v>
      </c>
    </row>
    <row r="25708" spans="1:2" x14ac:dyDescent="0.25">
      <c r="A25708">
        <v>55162400113</v>
      </c>
      <c r="B25708" t="s">
        <v>8727</v>
      </c>
    </row>
    <row r="25709" spans="1:2" x14ac:dyDescent="0.25">
      <c r="A25709">
        <v>55162400114</v>
      </c>
      <c r="B25709" t="s">
        <v>8728</v>
      </c>
    </row>
    <row r="25710" spans="1:2" x14ac:dyDescent="0.25">
      <c r="A25710">
        <v>55162400115</v>
      </c>
      <c r="B25710" t="s">
        <v>8729</v>
      </c>
    </row>
    <row r="25711" spans="1:2" x14ac:dyDescent="0.25">
      <c r="A25711">
        <v>55162400116</v>
      </c>
      <c r="B25711" t="s">
        <v>8730</v>
      </c>
    </row>
    <row r="25712" spans="1:2" x14ac:dyDescent="0.25">
      <c r="A25712">
        <v>55162400117</v>
      </c>
      <c r="B25712" t="s">
        <v>8731</v>
      </c>
    </row>
    <row r="25713" spans="1:2" x14ac:dyDescent="0.25">
      <c r="A25713">
        <v>55162400118</v>
      </c>
      <c r="B25713" t="s">
        <v>8732</v>
      </c>
    </row>
    <row r="25714" spans="1:2" x14ac:dyDescent="0.25">
      <c r="A25714">
        <v>55162400119</v>
      </c>
      <c r="B25714" t="s">
        <v>57</v>
      </c>
    </row>
    <row r="25715" spans="1:2" x14ac:dyDescent="0.25">
      <c r="A25715">
        <v>5516240012</v>
      </c>
      <c r="B25715" t="s">
        <v>8506</v>
      </c>
    </row>
    <row r="25716" spans="1:2" x14ac:dyDescent="0.25">
      <c r="A25716">
        <v>55162400121</v>
      </c>
      <c r="B25716" t="s">
        <v>8641</v>
      </c>
    </row>
    <row r="25717" spans="1:2" x14ac:dyDescent="0.25">
      <c r="A25717">
        <v>55162400122</v>
      </c>
      <c r="B25717" t="s">
        <v>8726</v>
      </c>
    </row>
    <row r="25718" spans="1:2" x14ac:dyDescent="0.25">
      <c r="A25718">
        <v>55162400123</v>
      </c>
      <c r="B25718" t="s">
        <v>8727</v>
      </c>
    </row>
    <row r="25719" spans="1:2" x14ac:dyDescent="0.25">
      <c r="A25719">
        <v>55162400124</v>
      </c>
      <c r="B25719" t="s">
        <v>8728</v>
      </c>
    </row>
    <row r="25720" spans="1:2" x14ac:dyDescent="0.25">
      <c r="A25720">
        <v>55162400125</v>
      </c>
      <c r="B25720" t="s">
        <v>8729</v>
      </c>
    </row>
    <row r="25721" spans="1:2" x14ac:dyDescent="0.25">
      <c r="A25721">
        <v>55162400126</v>
      </c>
      <c r="B25721" t="s">
        <v>8730</v>
      </c>
    </row>
    <row r="25722" spans="1:2" x14ac:dyDescent="0.25">
      <c r="A25722">
        <v>55162400127</v>
      </c>
      <c r="B25722" t="s">
        <v>8731</v>
      </c>
    </row>
    <row r="25723" spans="1:2" x14ac:dyDescent="0.25">
      <c r="A25723">
        <v>55162400128</v>
      </c>
      <c r="B25723" t="s">
        <v>8732</v>
      </c>
    </row>
    <row r="25724" spans="1:2" x14ac:dyDescent="0.25">
      <c r="A25724">
        <v>55162400129</v>
      </c>
      <c r="B25724" t="s">
        <v>57</v>
      </c>
    </row>
    <row r="25725" spans="1:2" x14ac:dyDescent="0.25">
      <c r="A25725">
        <v>5516240013</v>
      </c>
      <c r="B25725" t="s">
        <v>8498</v>
      </c>
    </row>
    <row r="25726" spans="1:2" x14ac:dyDescent="0.25">
      <c r="A25726">
        <v>55162400131</v>
      </c>
      <c r="B25726" t="s">
        <v>8641</v>
      </c>
    </row>
    <row r="25727" spans="1:2" x14ac:dyDescent="0.25">
      <c r="A25727">
        <v>55162400132</v>
      </c>
      <c r="B25727" t="s">
        <v>8726</v>
      </c>
    </row>
    <row r="25728" spans="1:2" x14ac:dyDescent="0.25">
      <c r="A25728">
        <v>55162400133</v>
      </c>
      <c r="B25728" t="s">
        <v>8727</v>
      </c>
    </row>
    <row r="25729" spans="1:2" x14ac:dyDescent="0.25">
      <c r="A25729">
        <v>55162400134</v>
      </c>
      <c r="B25729" t="s">
        <v>8728</v>
      </c>
    </row>
    <row r="25730" spans="1:2" x14ac:dyDescent="0.25">
      <c r="A25730">
        <v>55162400135</v>
      </c>
      <c r="B25730" t="s">
        <v>8729</v>
      </c>
    </row>
    <row r="25731" spans="1:2" x14ac:dyDescent="0.25">
      <c r="A25731">
        <v>55162400136</v>
      </c>
      <c r="B25731" t="s">
        <v>8730</v>
      </c>
    </row>
    <row r="25732" spans="1:2" x14ac:dyDescent="0.25">
      <c r="A25732">
        <v>55162400137</v>
      </c>
      <c r="B25732" t="s">
        <v>8731</v>
      </c>
    </row>
    <row r="25733" spans="1:2" x14ac:dyDescent="0.25">
      <c r="A25733">
        <v>55162400138</v>
      </c>
      <c r="B25733" t="s">
        <v>8732</v>
      </c>
    </row>
    <row r="25734" spans="1:2" x14ac:dyDescent="0.25">
      <c r="A25734">
        <v>55162400139</v>
      </c>
      <c r="B25734" t="s">
        <v>57</v>
      </c>
    </row>
    <row r="25735" spans="1:2" x14ac:dyDescent="0.25">
      <c r="A25735">
        <v>5516240019</v>
      </c>
      <c r="B25735" t="s">
        <v>8500</v>
      </c>
    </row>
    <row r="25736" spans="1:2" x14ac:dyDescent="0.25">
      <c r="A25736">
        <v>55162400191</v>
      </c>
      <c r="B25736" t="s">
        <v>8641</v>
      </c>
    </row>
    <row r="25737" spans="1:2" x14ac:dyDescent="0.25">
      <c r="A25737">
        <v>55162400192</v>
      </c>
      <c r="B25737" t="s">
        <v>8726</v>
      </c>
    </row>
    <row r="25738" spans="1:2" x14ac:dyDescent="0.25">
      <c r="A25738">
        <v>55162400193</v>
      </c>
      <c r="B25738" t="s">
        <v>8727</v>
      </c>
    </row>
    <row r="25739" spans="1:2" x14ac:dyDescent="0.25">
      <c r="A25739">
        <v>55162400194</v>
      </c>
      <c r="B25739" t="s">
        <v>8728</v>
      </c>
    </row>
    <row r="25740" spans="1:2" x14ac:dyDescent="0.25">
      <c r="A25740">
        <v>55162400195</v>
      </c>
      <c r="B25740" t="s">
        <v>8729</v>
      </c>
    </row>
    <row r="25741" spans="1:2" x14ac:dyDescent="0.25">
      <c r="A25741">
        <v>55162400196</v>
      </c>
      <c r="B25741" t="s">
        <v>8730</v>
      </c>
    </row>
    <row r="25742" spans="1:2" x14ac:dyDescent="0.25">
      <c r="A25742">
        <v>55162400197</v>
      </c>
      <c r="B25742" t="s">
        <v>8731</v>
      </c>
    </row>
    <row r="25743" spans="1:2" x14ac:dyDescent="0.25">
      <c r="A25743">
        <v>55162400198</v>
      </c>
      <c r="B25743" t="s">
        <v>8732</v>
      </c>
    </row>
    <row r="25744" spans="1:2" x14ac:dyDescent="0.25">
      <c r="A25744">
        <v>55162400199</v>
      </c>
      <c r="B25744" t="s">
        <v>57</v>
      </c>
    </row>
    <row r="25745" spans="1:2" x14ac:dyDescent="0.25">
      <c r="A25745">
        <v>551624009</v>
      </c>
      <c r="B25745" t="s">
        <v>57</v>
      </c>
    </row>
    <row r="25746" spans="1:2" x14ac:dyDescent="0.25">
      <c r="A25746">
        <v>5516240091</v>
      </c>
      <c r="B25746" t="s">
        <v>8535</v>
      </c>
    </row>
    <row r="25747" spans="1:2" x14ac:dyDescent="0.25">
      <c r="A25747">
        <v>55162400911</v>
      </c>
      <c r="B25747" t="s">
        <v>8641</v>
      </c>
    </row>
    <row r="25748" spans="1:2" x14ac:dyDescent="0.25">
      <c r="A25748">
        <v>55162400912</v>
      </c>
      <c r="B25748" t="s">
        <v>8726</v>
      </c>
    </row>
    <row r="25749" spans="1:2" x14ac:dyDescent="0.25">
      <c r="A25749">
        <v>55162400913</v>
      </c>
      <c r="B25749" t="s">
        <v>8727</v>
      </c>
    </row>
    <row r="25750" spans="1:2" x14ac:dyDescent="0.25">
      <c r="A25750">
        <v>55162400914</v>
      </c>
      <c r="B25750" t="s">
        <v>8728</v>
      </c>
    </row>
    <row r="25751" spans="1:2" x14ac:dyDescent="0.25">
      <c r="A25751">
        <v>55162400915</v>
      </c>
      <c r="B25751" t="s">
        <v>8729</v>
      </c>
    </row>
    <row r="25752" spans="1:2" x14ac:dyDescent="0.25">
      <c r="A25752">
        <v>55162400916</v>
      </c>
      <c r="B25752" t="s">
        <v>8730</v>
      </c>
    </row>
    <row r="25753" spans="1:2" x14ac:dyDescent="0.25">
      <c r="A25753">
        <v>55162400917</v>
      </c>
      <c r="B25753" t="s">
        <v>8731</v>
      </c>
    </row>
    <row r="25754" spans="1:2" x14ac:dyDescent="0.25">
      <c r="A25754">
        <v>55162400918</v>
      </c>
      <c r="B25754" t="s">
        <v>8732</v>
      </c>
    </row>
    <row r="25755" spans="1:2" x14ac:dyDescent="0.25">
      <c r="A25755">
        <v>55162400919</v>
      </c>
      <c r="B25755" t="s">
        <v>57</v>
      </c>
    </row>
    <row r="25756" spans="1:2" x14ac:dyDescent="0.25">
      <c r="A25756">
        <v>5516240092</v>
      </c>
      <c r="B25756" t="s">
        <v>8506</v>
      </c>
    </row>
    <row r="25757" spans="1:2" x14ac:dyDescent="0.25">
      <c r="A25757">
        <v>55162400921</v>
      </c>
      <c r="B25757" t="s">
        <v>8641</v>
      </c>
    </row>
    <row r="25758" spans="1:2" x14ac:dyDescent="0.25">
      <c r="A25758">
        <v>55162400922</v>
      </c>
      <c r="B25758" t="s">
        <v>8726</v>
      </c>
    </row>
    <row r="25759" spans="1:2" x14ac:dyDescent="0.25">
      <c r="A25759">
        <v>55162400923</v>
      </c>
      <c r="B25759" t="s">
        <v>8727</v>
      </c>
    </row>
    <row r="25760" spans="1:2" x14ac:dyDescent="0.25">
      <c r="A25760">
        <v>55162400924</v>
      </c>
      <c r="B25760" t="s">
        <v>8728</v>
      </c>
    </row>
    <row r="25761" spans="1:2" x14ac:dyDescent="0.25">
      <c r="A25761">
        <v>55162400925</v>
      </c>
      <c r="B25761" t="s">
        <v>8729</v>
      </c>
    </row>
    <row r="25762" spans="1:2" x14ac:dyDescent="0.25">
      <c r="A25762">
        <v>55162400926</v>
      </c>
      <c r="B25762" t="s">
        <v>8730</v>
      </c>
    </row>
    <row r="25763" spans="1:2" x14ac:dyDescent="0.25">
      <c r="A25763">
        <v>55162400927</v>
      </c>
      <c r="B25763" t="s">
        <v>8731</v>
      </c>
    </row>
    <row r="25764" spans="1:2" x14ac:dyDescent="0.25">
      <c r="A25764">
        <v>55162400928</v>
      </c>
      <c r="B25764" t="s">
        <v>8732</v>
      </c>
    </row>
    <row r="25765" spans="1:2" x14ac:dyDescent="0.25">
      <c r="A25765">
        <v>55162400929</v>
      </c>
      <c r="B25765" t="s">
        <v>57</v>
      </c>
    </row>
    <row r="25766" spans="1:2" x14ac:dyDescent="0.25">
      <c r="A25766">
        <v>5516240093</v>
      </c>
      <c r="B25766" t="s">
        <v>8498</v>
      </c>
    </row>
    <row r="25767" spans="1:2" x14ac:dyDescent="0.25">
      <c r="A25767">
        <v>55162400931</v>
      </c>
      <c r="B25767" t="s">
        <v>8641</v>
      </c>
    </row>
    <row r="25768" spans="1:2" x14ac:dyDescent="0.25">
      <c r="A25768">
        <v>55162400932</v>
      </c>
      <c r="B25768" t="s">
        <v>8726</v>
      </c>
    </row>
    <row r="25769" spans="1:2" x14ac:dyDescent="0.25">
      <c r="A25769">
        <v>55162400933</v>
      </c>
      <c r="B25769" t="s">
        <v>8727</v>
      </c>
    </row>
    <row r="25770" spans="1:2" x14ac:dyDescent="0.25">
      <c r="A25770">
        <v>55162400934</v>
      </c>
      <c r="B25770" t="s">
        <v>8728</v>
      </c>
    </row>
    <row r="25771" spans="1:2" x14ac:dyDescent="0.25">
      <c r="A25771">
        <v>55162400935</v>
      </c>
      <c r="B25771" t="s">
        <v>8729</v>
      </c>
    </row>
    <row r="25772" spans="1:2" x14ac:dyDescent="0.25">
      <c r="A25772">
        <v>55162400936</v>
      </c>
      <c r="B25772" t="s">
        <v>8730</v>
      </c>
    </row>
    <row r="25773" spans="1:2" x14ac:dyDescent="0.25">
      <c r="A25773">
        <v>55162400937</v>
      </c>
      <c r="B25773" t="s">
        <v>8731</v>
      </c>
    </row>
    <row r="25774" spans="1:2" x14ac:dyDescent="0.25">
      <c r="A25774">
        <v>55162400938</v>
      </c>
      <c r="B25774" t="s">
        <v>8732</v>
      </c>
    </row>
    <row r="25775" spans="1:2" x14ac:dyDescent="0.25">
      <c r="A25775">
        <v>55162400939</v>
      </c>
      <c r="B25775" t="s">
        <v>57</v>
      </c>
    </row>
    <row r="25776" spans="1:2" x14ac:dyDescent="0.25">
      <c r="A25776">
        <v>5516240099</v>
      </c>
      <c r="B25776" t="s">
        <v>8500</v>
      </c>
    </row>
    <row r="25777" spans="1:2" x14ac:dyDescent="0.25">
      <c r="A25777">
        <v>55162400991</v>
      </c>
      <c r="B25777" t="s">
        <v>8641</v>
      </c>
    </row>
    <row r="25778" spans="1:2" x14ac:dyDescent="0.25">
      <c r="A25778">
        <v>55162400992</v>
      </c>
      <c r="B25778" t="s">
        <v>8726</v>
      </c>
    </row>
    <row r="25779" spans="1:2" x14ac:dyDescent="0.25">
      <c r="A25779">
        <v>55162400993</v>
      </c>
      <c r="B25779" t="s">
        <v>8727</v>
      </c>
    </row>
    <row r="25780" spans="1:2" x14ac:dyDescent="0.25">
      <c r="A25780">
        <v>55162400994</v>
      </c>
      <c r="B25780" t="s">
        <v>8728</v>
      </c>
    </row>
    <row r="25781" spans="1:2" x14ac:dyDescent="0.25">
      <c r="A25781">
        <v>55162400995</v>
      </c>
      <c r="B25781" t="s">
        <v>8729</v>
      </c>
    </row>
    <row r="25782" spans="1:2" x14ac:dyDescent="0.25">
      <c r="A25782">
        <v>55162400996</v>
      </c>
      <c r="B25782" t="s">
        <v>8730</v>
      </c>
    </row>
    <row r="25783" spans="1:2" x14ac:dyDescent="0.25">
      <c r="A25783">
        <v>55162400997</v>
      </c>
      <c r="B25783" t="s">
        <v>8731</v>
      </c>
    </row>
    <row r="25784" spans="1:2" x14ac:dyDescent="0.25">
      <c r="A25784">
        <v>55162400998</v>
      </c>
      <c r="B25784" t="s">
        <v>8732</v>
      </c>
    </row>
    <row r="25785" spans="1:2" x14ac:dyDescent="0.25">
      <c r="A25785">
        <v>55162400999</v>
      </c>
      <c r="B25785" t="s">
        <v>57</v>
      </c>
    </row>
    <row r="25786" spans="1:2" x14ac:dyDescent="0.25">
      <c r="A25786">
        <v>55163</v>
      </c>
      <c r="B25786" t="s">
        <v>8749</v>
      </c>
    </row>
    <row r="25787" spans="1:2" x14ac:dyDescent="0.25">
      <c r="A25787">
        <v>55163100000</v>
      </c>
      <c r="B25787" t="e">
        <f>--crudos o Blanqueados</f>
        <v>#NAME?</v>
      </c>
    </row>
    <row r="25788" spans="1:2" x14ac:dyDescent="0.25">
      <c r="A25788">
        <v>55163200000</v>
      </c>
      <c r="B25788" t="e">
        <f>--Teñidos</f>
        <v>#NAME?</v>
      </c>
    </row>
    <row r="25789" spans="1:2" x14ac:dyDescent="0.25">
      <c r="A25789">
        <v>55163300000</v>
      </c>
      <c r="B25789" t="e">
        <f>--Con hilados de distintos colores</f>
        <v>#NAME?</v>
      </c>
    </row>
    <row r="25790" spans="1:2" x14ac:dyDescent="0.25">
      <c r="A25790">
        <v>55163400000</v>
      </c>
      <c r="B25790" t="e">
        <f>--Estampados</f>
        <v>#NAME?</v>
      </c>
    </row>
    <row r="25791" spans="1:2" x14ac:dyDescent="0.25">
      <c r="A25791">
        <v>55164</v>
      </c>
      <c r="B25791" t="s">
        <v>8750</v>
      </c>
    </row>
    <row r="25792" spans="1:2" x14ac:dyDescent="0.25">
      <c r="A25792">
        <v>55164100</v>
      </c>
      <c r="B25792" t="e">
        <f>- - crudos o Blanqueados</f>
        <v>#NAME?</v>
      </c>
    </row>
    <row r="25793" spans="1:2" x14ac:dyDescent="0.25">
      <c r="A25793">
        <v>551641001</v>
      </c>
      <c r="B25793" t="s">
        <v>8581</v>
      </c>
    </row>
    <row r="25794" spans="1:2" x14ac:dyDescent="0.25">
      <c r="A25794">
        <v>5516410011</v>
      </c>
      <c r="B25794" t="s">
        <v>8535</v>
      </c>
    </row>
    <row r="25795" spans="1:2" x14ac:dyDescent="0.25">
      <c r="A25795">
        <v>55164100111</v>
      </c>
      <c r="B25795" t="s">
        <v>8641</v>
      </c>
    </row>
    <row r="25796" spans="1:2" x14ac:dyDescent="0.25">
      <c r="A25796">
        <v>55164100112</v>
      </c>
      <c r="B25796" t="s">
        <v>8726</v>
      </c>
    </row>
    <row r="25797" spans="1:2" x14ac:dyDescent="0.25">
      <c r="A25797">
        <v>55164100113</v>
      </c>
      <c r="B25797" t="s">
        <v>8727</v>
      </c>
    </row>
    <row r="25798" spans="1:2" x14ac:dyDescent="0.25">
      <c r="A25798">
        <v>55164100114</v>
      </c>
      <c r="B25798" t="s">
        <v>8728</v>
      </c>
    </row>
    <row r="25799" spans="1:2" x14ac:dyDescent="0.25">
      <c r="A25799">
        <v>55164100115</v>
      </c>
      <c r="B25799" t="s">
        <v>8729</v>
      </c>
    </row>
    <row r="25800" spans="1:2" x14ac:dyDescent="0.25">
      <c r="A25800">
        <v>55164100116</v>
      </c>
      <c r="B25800" t="s">
        <v>8730</v>
      </c>
    </row>
    <row r="25801" spans="1:2" x14ac:dyDescent="0.25">
      <c r="A25801">
        <v>55164100117</v>
      </c>
      <c r="B25801" t="s">
        <v>8731</v>
      </c>
    </row>
    <row r="25802" spans="1:2" x14ac:dyDescent="0.25">
      <c r="A25802">
        <v>55164100118</v>
      </c>
      <c r="B25802" t="s">
        <v>8732</v>
      </c>
    </row>
    <row r="25803" spans="1:2" x14ac:dyDescent="0.25">
      <c r="A25803">
        <v>55164100119</v>
      </c>
      <c r="B25803" t="s">
        <v>57</v>
      </c>
    </row>
    <row r="25804" spans="1:2" x14ac:dyDescent="0.25">
      <c r="A25804">
        <v>5516410012</v>
      </c>
      <c r="B25804" t="s">
        <v>8506</v>
      </c>
    </row>
    <row r="25805" spans="1:2" x14ac:dyDescent="0.25">
      <c r="A25805">
        <v>55164100121</v>
      </c>
      <c r="B25805" t="s">
        <v>8641</v>
      </c>
    </row>
    <row r="25806" spans="1:2" x14ac:dyDescent="0.25">
      <c r="A25806">
        <v>55164100122</v>
      </c>
      <c r="B25806" t="s">
        <v>8726</v>
      </c>
    </row>
    <row r="25807" spans="1:2" x14ac:dyDescent="0.25">
      <c r="A25807">
        <v>55164100123</v>
      </c>
      <c r="B25807" t="s">
        <v>8727</v>
      </c>
    </row>
    <row r="25808" spans="1:2" x14ac:dyDescent="0.25">
      <c r="A25808">
        <v>55164100124</v>
      </c>
      <c r="B25808" t="s">
        <v>8728</v>
      </c>
    </row>
    <row r="25809" spans="1:2" x14ac:dyDescent="0.25">
      <c r="A25809">
        <v>55164100125</v>
      </c>
      <c r="B25809" t="s">
        <v>8729</v>
      </c>
    </row>
    <row r="25810" spans="1:2" x14ac:dyDescent="0.25">
      <c r="A25810">
        <v>55164100126</v>
      </c>
      <c r="B25810" t="s">
        <v>8730</v>
      </c>
    </row>
    <row r="25811" spans="1:2" x14ac:dyDescent="0.25">
      <c r="A25811">
        <v>55164100127</v>
      </c>
      <c r="B25811" t="s">
        <v>8731</v>
      </c>
    </row>
    <row r="25812" spans="1:2" x14ac:dyDescent="0.25">
      <c r="A25812">
        <v>55164100128</v>
      </c>
      <c r="B25812" t="s">
        <v>8732</v>
      </c>
    </row>
    <row r="25813" spans="1:2" x14ac:dyDescent="0.25">
      <c r="A25813">
        <v>55164100129</v>
      </c>
      <c r="B25813" t="s">
        <v>57</v>
      </c>
    </row>
    <row r="25814" spans="1:2" x14ac:dyDescent="0.25">
      <c r="A25814">
        <v>5516410013</v>
      </c>
      <c r="B25814" t="s">
        <v>8498</v>
      </c>
    </row>
    <row r="25815" spans="1:2" x14ac:dyDescent="0.25">
      <c r="A25815">
        <v>55164100131</v>
      </c>
      <c r="B25815" t="s">
        <v>8641</v>
      </c>
    </row>
    <row r="25816" spans="1:2" x14ac:dyDescent="0.25">
      <c r="A25816">
        <v>55164100132</v>
      </c>
      <c r="B25816" t="s">
        <v>8726</v>
      </c>
    </row>
    <row r="25817" spans="1:2" x14ac:dyDescent="0.25">
      <c r="A25817">
        <v>55164100133</v>
      </c>
      <c r="B25817" t="s">
        <v>8727</v>
      </c>
    </row>
    <row r="25818" spans="1:2" x14ac:dyDescent="0.25">
      <c r="A25818">
        <v>55164100134</v>
      </c>
      <c r="B25818" t="s">
        <v>8728</v>
      </c>
    </row>
    <row r="25819" spans="1:2" x14ac:dyDescent="0.25">
      <c r="A25819">
        <v>55164100135</v>
      </c>
      <c r="B25819" t="s">
        <v>8729</v>
      </c>
    </row>
    <row r="25820" spans="1:2" x14ac:dyDescent="0.25">
      <c r="A25820">
        <v>55164100136</v>
      </c>
      <c r="B25820" t="s">
        <v>8730</v>
      </c>
    </row>
    <row r="25821" spans="1:2" x14ac:dyDescent="0.25">
      <c r="A25821">
        <v>55164100137</v>
      </c>
      <c r="B25821" t="s">
        <v>8731</v>
      </c>
    </row>
    <row r="25822" spans="1:2" x14ac:dyDescent="0.25">
      <c r="A25822">
        <v>55164100138</v>
      </c>
      <c r="B25822" t="s">
        <v>8732</v>
      </c>
    </row>
    <row r="25823" spans="1:2" x14ac:dyDescent="0.25">
      <c r="A25823">
        <v>55164100139</v>
      </c>
      <c r="B25823" t="s">
        <v>57</v>
      </c>
    </row>
    <row r="25824" spans="1:2" x14ac:dyDescent="0.25">
      <c r="A25824">
        <v>5516410019</v>
      </c>
      <c r="B25824" t="s">
        <v>8500</v>
      </c>
    </row>
    <row r="25825" spans="1:2" x14ac:dyDescent="0.25">
      <c r="A25825">
        <v>55164100191</v>
      </c>
      <c r="B25825" t="s">
        <v>8641</v>
      </c>
    </row>
    <row r="25826" spans="1:2" x14ac:dyDescent="0.25">
      <c r="A25826">
        <v>55164100192</v>
      </c>
      <c r="B25826" t="s">
        <v>8726</v>
      </c>
    </row>
    <row r="25827" spans="1:2" x14ac:dyDescent="0.25">
      <c r="A25827">
        <v>55164100193</v>
      </c>
      <c r="B25827" t="s">
        <v>8727</v>
      </c>
    </row>
    <row r="25828" spans="1:2" x14ac:dyDescent="0.25">
      <c r="A25828">
        <v>55164100194</v>
      </c>
      <c r="B25828" t="s">
        <v>8728</v>
      </c>
    </row>
    <row r="25829" spans="1:2" x14ac:dyDescent="0.25">
      <c r="A25829">
        <v>55164100195</v>
      </c>
      <c r="B25829" t="s">
        <v>8729</v>
      </c>
    </row>
    <row r="25830" spans="1:2" x14ac:dyDescent="0.25">
      <c r="A25830">
        <v>55164100196</v>
      </c>
      <c r="B25830" t="s">
        <v>8730</v>
      </c>
    </row>
    <row r="25831" spans="1:2" x14ac:dyDescent="0.25">
      <c r="A25831">
        <v>55164100197</v>
      </c>
      <c r="B25831" t="s">
        <v>8731</v>
      </c>
    </row>
    <row r="25832" spans="1:2" x14ac:dyDescent="0.25">
      <c r="A25832">
        <v>55164100198</v>
      </c>
      <c r="B25832" t="s">
        <v>8732</v>
      </c>
    </row>
    <row r="25833" spans="1:2" x14ac:dyDescent="0.25">
      <c r="A25833">
        <v>55164100199</v>
      </c>
      <c r="B25833" t="s">
        <v>57</v>
      </c>
    </row>
    <row r="25834" spans="1:2" x14ac:dyDescent="0.25">
      <c r="A25834">
        <v>551641009</v>
      </c>
      <c r="B25834" t="s">
        <v>57</v>
      </c>
    </row>
    <row r="25835" spans="1:2" x14ac:dyDescent="0.25">
      <c r="A25835">
        <v>5516410091</v>
      </c>
      <c r="B25835" t="s">
        <v>8535</v>
      </c>
    </row>
    <row r="25836" spans="1:2" x14ac:dyDescent="0.25">
      <c r="A25836">
        <v>55164100911</v>
      </c>
      <c r="B25836" t="s">
        <v>8641</v>
      </c>
    </row>
    <row r="25837" spans="1:2" x14ac:dyDescent="0.25">
      <c r="A25837">
        <v>55164100912</v>
      </c>
      <c r="B25837" t="s">
        <v>8726</v>
      </c>
    </row>
    <row r="25838" spans="1:2" x14ac:dyDescent="0.25">
      <c r="A25838">
        <v>55164100913</v>
      </c>
      <c r="B25838" t="s">
        <v>8727</v>
      </c>
    </row>
    <row r="25839" spans="1:2" x14ac:dyDescent="0.25">
      <c r="A25839">
        <v>55164100914</v>
      </c>
      <c r="B25839" t="s">
        <v>8728</v>
      </c>
    </row>
    <row r="25840" spans="1:2" x14ac:dyDescent="0.25">
      <c r="A25840">
        <v>55164100915</v>
      </c>
      <c r="B25840" t="s">
        <v>8729</v>
      </c>
    </row>
    <row r="25841" spans="1:2" x14ac:dyDescent="0.25">
      <c r="A25841">
        <v>55164100916</v>
      </c>
      <c r="B25841" t="s">
        <v>8730</v>
      </c>
    </row>
    <row r="25842" spans="1:2" x14ac:dyDescent="0.25">
      <c r="A25842">
        <v>55164100917</v>
      </c>
      <c r="B25842" t="s">
        <v>8731</v>
      </c>
    </row>
    <row r="25843" spans="1:2" x14ac:dyDescent="0.25">
      <c r="A25843">
        <v>55164100918</v>
      </c>
      <c r="B25843" t="s">
        <v>8732</v>
      </c>
    </row>
    <row r="25844" spans="1:2" x14ac:dyDescent="0.25">
      <c r="A25844">
        <v>55164100919</v>
      </c>
      <c r="B25844" t="s">
        <v>57</v>
      </c>
    </row>
    <row r="25845" spans="1:2" x14ac:dyDescent="0.25">
      <c r="A25845">
        <v>5516410092</v>
      </c>
      <c r="B25845" t="s">
        <v>8506</v>
      </c>
    </row>
    <row r="25846" spans="1:2" x14ac:dyDescent="0.25">
      <c r="A25846">
        <v>55164100921</v>
      </c>
      <c r="B25846" t="s">
        <v>8641</v>
      </c>
    </row>
    <row r="25847" spans="1:2" x14ac:dyDescent="0.25">
      <c r="A25847">
        <v>55164100922</v>
      </c>
      <c r="B25847" t="s">
        <v>8726</v>
      </c>
    </row>
    <row r="25848" spans="1:2" x14ac:dyDescent="0.25">
      <c r="A25848">
        <v>55164100923</v>
      </c>
      <c r="B25848" t="s">
        <v>8727</v>
      </c>
    </row>
    <row r="25849" spans="1:2" x14ac:dyDescent="0.25">
      <c r="A25849">
        <v>55164100924</v>
      </c>
      <c r="B25849" t="s">
        <v>8728</v>
      </c>
    </row>
    <row r="25850" spans="1:2" x14ac:dyDescent="0.25">
      <c r="A25850">
        <v>55164100925</v>
      </c>
      <c r="B25850" t="s">
        <v>8729</v>
      </c>
    </row>
    <row r="25851" spans="1:2" x14ac:dyDescent="0.25">
      <c r="A25851">
        <v>55164100926</v>
      </c>
      <c r="B25851" t="s">
        <v>8730</v>
      </c>
    </row>
    <row r="25852" spans="1:2" x14ac:dyDescent="0.25">
      <c r="A25852">
        <v>55164100927</v>
      </c>
      <c r="B25852" t="s">
        <v>8731</v>
      </c>
    </row>
    <row r="25853" spans="1:2" x14ac:dyDescent="0.25">
      <c r="A25853">
        <v>55164100928</v>
      </c>
      <c r="B25853" t="s">
        <v>8732</v>
      </c>
    </row>
    <row r="25854" spans="1:2" x14ac:dyDescent="0.25">
      <c r="A25854">
        <v>55164100929</v>
      </c>
      <c r="B25854" t="s">
        <v>57</v>
      </c>
    </row>
    <row r="25855" spans="1:2" x14ac:dyDescent="0.25">
      <c r="A25855">
        <v>5516410093</v>
      </c>
      <c r="B25855" t="s">
        <v>8498</v>
      </c>
    </row>
    <row r="25856" spans="1:2" x14ac:dyDescent="0.25">
      <c r="A25856">
        <v>55164100931</v>
      </c>
      <c r="B25856" t="s">
        <v>8641</v>
      </c>
    </row>
    <row r="25857" spans="1:2" x14ac:dyDescent="0.25">
      <c r="A25857">
        <v>55164100932</v>
      </c>
      <c r="B25857" t="s">
        <v>8726</v>
      </c>
    </row>
    <row r="25858" spans="1:2" x14ac:dyDescent="0.25">
      <c r="A25858">
        <v>55164100933</v>
      </c>
      <c r="B25858" t="s">
        <v>8727</v>
      </c>
    </row>
    <row r="25859" spans="1:2" x14ac:dyDescent="0.25">
      <c r="A25859">
        <v>55164100934</v>
      </c>
      <c r="B25859" t="s">
        <v>8728</v>
      </c>
    </row>
    <row r="25860" spans="1:2" x14ac:dyDescent="0.25">
      <c r="A25860">
        <v>55164100935</v>
      </c>
      <c r="B25860" t="s">
        <v>8729</v>
      </c>
    </row>
    <row r="25861" spans="1:2" x14ac:dyDescent="0.25">
      <c r="A25861">
        <v>55164100936</v>
      </c>
      <c r="B25861" t="s">
        <v>8730</v>
      </c>
    </row>
    <row r="25862" spans="1:2" x14ac:dyDescent="0.25">
      <c r="A25862">
        <v>55164100937</v>
      </c>
      <c r="B25862" t="s">
        <v>8731</v>
      </c>
    </row>
    <row r="25863" spans="1:2" x14ac:dyDescent="0.25">
      <c r="A25863">
        <v>55164100938</v>
      </c>
      <c r="B25863" t="s">
        <v>8732</v>
      </c>
    </row>
    <row r="25864" spans="1:2" x14ac:dyDescent="0.25">
      <c r="A25864">
        <v>55164100939</v>
      </c>
      <c r="B25864" t="s">
        <v>57</v>
      </c>
    </row>
    <row r="25865" spans="1:2" x14ac:dyDescent="0.25">
      <c r="A25865">
        <v>5516410099</v>
      </c>
      <c r="B25865" t="s">
        <v>8500</v>
      </c>
    </row>
    <row r="25866" spans="1:2" x14ac:dyDescent="0.25">
      <c r="A25866">
        <v>55164100991</v>
      </c>
      <c r="B25866" t="s">
        <v>8641</v>
      </c>
    </row>
    <row r="25867" spans="1:2" x14ac:dyDescent="0.25">
      <c r="A25867">
        <v>55164100992</v>
      </c>
      <c r="B25867" t="s">
        <v>8726</v>
      </c>
    </row>
    <row r="25868" spans="1:2" x14ac:dyDescent="0.25">
      <c r="A25868">
        <v>55164100993</v>
      </c>
      <c r="B25868" t="s">
        <v>8727</v>
      </c>
    </row>
    <row r="25869" spans="1:2" x14ac:dyDescent="0.25">
      <c r="A25869">
        <v>55164100994</v>
      </c>
      <c r="B25869" t="s">
        <v>8728</v>
      </c>
    </row>
    <row r="25870" spans="1:2" x14ac:dyDescent="0.25">
      <c r="A25870">
        <v>55164100995</v>
      </c>
      <c r="B25870" t="s">
        <v>8729</v>
      </c>
    </row>
    <row r="25871" spans="1:2" x14ac:dyDescent="0.25">
      <c r="A25871">
        <v>55164100996</v>
      </c>
      <c r="B25871" t="s">
        <v>8730</v>
      </c>
    </row>
    <row r="25872" spans="1:2" x14ac:dyDescent="0.25">
      <c r="A25872">
        <v>55164100997</v>
      </c>
      <c r="B25872" t="s">
        <v>8731</v>
      </c>
    </row>
    <row r="25873" spans="1:2" x14ac:dyDescent="0.25">
      <c r="A25873">
        <v>55164100998</v>
      </c>
      <c r="B25873" t="s">
        <v>8732</v>
      </c>
    </row>
    <row r="25874" spans="1:2" x14ac:dyDescent="0.25">
      <c r="A25874">
        <v>55164100999</v>
      </c>
      <c r="B25874" t="s">
        <v>57</v>
      </c>
    </row>
    <row r="25875" spans="1:2" x14ac:dyDescent="0.25">
      <c r="A25875">
        <v>55164200</v>
      </c>
      <c r="B25875" t="e">
        <f>- - Teñidos</f>
        <v>#NAME?</v>
      </c>
    </row>
    <row r="25876" spans="1:2" x14ac:dyDescent="0.25">
      <c r="A25876">
        <v>551642001</v>
      </c>
      <c r="B25876" t="s">
        <v>8581</v>
      </c>
    </row>
    <row r="25877" spans="1:2" x14ac:dyDescent="0.25">
      <c r="A25877">
        <v>5516420011</v>
      </c>
      <c r="B25877" t="s">
        <v>8535</v>
      </c>
    </row>
    <row r="25878" spans="1:2" x14ac:dyDescent="0.25">
      <c r="A25878">
        <v>55164200111</v>
      </c>
      <c r="B25878" t="s">
        <v>8641</v>
      </c>
    </row>
    <row r="25879" spans="1:2" x14ac:dyDescent="0.25">
      <c r="A25879">
        <v>55164200112</v>
      </c>
      <c r="B25879" t="s">
        <v>8726</v>
      </c>
    </row>
    <row r="25880" spans="1:2" x14ac:dyDescent="0.25">
      <c r="A25880">
        <v>55164200113</v>
      </c>
      <c r="B25880" t="s">
        <v>8727</v>
      </c>
    </row>
    <row r="25881" spans="1:2" x14ac:dyDescent="0.25">
      <c r="A25881">
        <v>55164200114</v>
      </c>
      <c r="B25881" t="s">
        <v>8728</v>
      </c>
    </row>
    <row r="25882" spans="1:2" x14ac:dyDescent="0.25">
      <c r="A25882">
        <v>55164200115</v>
      </c>
      <c r="B25882" t="s">
        <v>8729</v>
      </c>
    </row>
    <row r="25883" spans="1:2" x14ac:dyDescent="0.25">
      <c r="A25883">
        <v>55164200116</v>
      </c>
      <c r="B25883" t="s">
        <v>8730</v>
      </c>
    </row>
    <row r="25884" spans="1:2" x14ac:dyDescent="0.25">
      <c r="A25884">
        <v>55164200117</v>
      </c>
      <c r="B25884" t="s">
        <v>8731</v>
      </c>
    </row>
    <row r="25885" spans="1:2" x14ac:dyDescent="0.25">
      <c r="A25885">
        <v>55164200118</v>
      </c>
      <c r="B25885" t="s">
        <v>8732</v>
      </c>
    </row>
    <row r="25886" spans="1:2" x14ac:dyDescent="0.25">
      <c r="A25886">
        <v>55164200119</v>
      </c>
      <c r="B25886" t="s">
        <v>57</v>
      </c>
    </row>
    <row r="25887" spans="1:2" x14ac:dyDescent="0.25">
      <c r="A25887">
        <v>5516420012</v>
      </c>
      <c r="B25887" t="s">
        <v>8506</v>
      </c>
    </row>
    <row r="25888" spans="1:2" x14ac:dyDescent="0.25">
      <c r="A25888">
        <v>55164200121</v>
      </c>
      <c r="B25888" t="s">
        <v>8641</v>
      </c>
    </row>
    <row r="25889" spans="1:2" x14ac:dyDescent="0.25">
      <c r="A25889">
        <v>55164200122</v>
      </c>
      <c r="B25889" t="s">
        <v>8726</v>
      </c>
    </row>
    <row r="25890" spans="1:2" x14ac:dyDescent="0.25">
      <c r="A25890">
        <v>55164200123</v>
      </c>
      <c r="B25890" t="s">
        <v>8727</v>
      </c>
    </row>
    <row r="25891" spans="1:2" x14ac:dyDescent="0.25">
      <c r="A25891">
        <v>55164200124</v>
      </c>
      <c r="B25891" t="s">
        <v>8728</v>
      </c>
    </row>
    <row r="25892" spans="1:2" x14ac:dyDescent="0.25">
      <c r="A25892">
        <v>55164200125</v>
      </c>
      <c r="B25892" t="s">
        <v>8729</v>
      </c>
    </row>
    <row r="25893" spans="1:2" x14ac:dyDescent="0.25">
      <c r="A25893">
        <v>55164200126</v>
      </c>
      <c r="B25893" t="s">
        <v>8730</v>
      </c>
    </row>
    <row r="25894" spans="1:2" x14ac:dyDescent="0.25">
      <c r="A25894">
        <v>55164200127</v>
      </c>
      <c r="B25894" t="s">
        <v>8731</v>
      </c>
    </row>
    <row r="25895" spans="1:2" x14ac:dyDescent="0.25">
      <c r="A25895">
        <v>55164200128</v>
      </c>
      <c r="B25895" t="s">
        <v>8732</v>
      </c>
    </row>
    <row r="25896" spans="1:2" x14ac:dyDescent="0.25">
      <c r="A25896">
        <v>55164200129</v>
      </c>
      <c r="B25896" t="s">
        <v>57</v>
      </c>
    </row>
    <row r="25897" spans="1:2" x14ac:dyDescent="0.25">
      <c r="A25897">
        <v>5516420013</v>
      </c>
      <c r="B25897" t="s">
        <v>8498</v>
      </c>
    </row>
    <row r="25898" spans="1:2" x14ac:dyDescent="0.25">
      <c r="A25898">
        <v>55164200131</v>
      </c>
      <c r="B25898" t="s">
        <v>8641</v>
      </c>
    </row>
    <row r="25899" spans="1:2" x14ac:dyDescent="0.25">
      <c r="A25899">
        <v>55164200132</v>
      </c>
      <c r="B25899" t="s">
        <v>8726</v>
      </c>
    </row>
    <row r="25900" spans="1:2" x14ac:dyDescent="0.25">
      <c r="A25900">
        <v>55164200133</v>
      </c>
      <c r="B25900" t="s">
        <v>8727</v>
      </c>
    </row>
    <row r="25901" spans="1:2" x14ac:dyDescent="0.25">
      <c r="A25901">
        <v>55164200134</v>
      </c>
      <c r="B25901" t="s">
        <v>8728</v>
      </c>
    </row>
    <row r="25902" spans="1:2" x14ac:dyDescent="0.25">
      <c r="A25902">
        <v>55164200135</v>
      </c>
      <c r="B25902" t="s">
        <v>8729</v>
      </c>
    </row>
    <row r="25903" spans="1:2" x14ac:dyDescent="0.25">
      <c r="A25903">
        <v>55164200136</v>
      </c>
      <c r="B25903" t="s">
        <v>8730</v>
      </c>
    </row>
    <row r="25904" spans="1:2" x14ac:dyDescent="0.25">
      <c r="A25904">
        <v>55164200137</v>
      </c>
      <c r="B25904" t="s">
        <v>8731</v>
      </c>
    </row>
    <row r="25905" spans="1:2" x14ac:dyDescent="0.25">
      <c r="A25905">
        <v>55164200138</v>
      </c>
      <c r="B25905" t="s">
        <v>8732</v>
      </c>
    </row>
    <row r="25906" spans="1:2" x14ac:dyDescent="0.25">
      <c r="A25906">
        <v>55164200139</v>
      </c>
      <c r="B25906" t="s">
        <v>57</v>
      </c>
    </row>
    <row r="25907" spans="1:2" x14ac:dyDescent="0.25">
      <c r="A25907">
        <v>5516420019</v>
      </c>
      <c r="B25907" t="s">
        <v>8500</v>
      </c>
    </row>
    <row r="25908" spans="1:2" x14ac:dyDescent="0.25">
      <c r="A25908">
        <v>55164200191</v>
      </c>
      <c r="B25908" t="s">
        <v>8641</v>
      </c>
    </row>
    <row r="25909" spans="1:2" x14ac:dyDescent="0.25">
      <c r="A25909">
        <v>55164200192</v>
      </c>
      <c r="B25909" t="s">
        <v>8726</v>
      </c>
    </row>
    <row r="25910" spans="1:2" x14ac:dyDescent="0.25">
      <c r="A25910">
        <v>55164200193</v>
      </c>
      <c r="B25910" t="s">
        <v>8727</v>
      </c>
    </row>
    <row r="25911" spans="1:2" x14ac:dyDescent="0.25">
      <c r="A25911">
        <v>55164200194</v>
      </c>
      <c r="B25911" t="s">
        <v>8728</v>
      </c>
    </row>
    <row r="25912" spans="1:2" x14ac:dyDescent="0.25">
      <c r="A25912">
        <v>55164200195</v>
      </c>
      <c r="B25912" t="s">
        <v>8729</v>
      </c>
    </row>
    <row r="25913" spans="1:2" x14ac:dyDescent="0.25">
      <c r="A25913">
        <v>55164200196</v>
      </c>
      <c r="B25913" t="s">
        <v>8730</v>
      </c>
    </row>
    <row r="25914" spans="1:2" x14ac:dyDescent="0.25">
      <c r="A25914">
        <v>55164200197</v>
      </c>
      <c r="B25914" t="s">
        <v>8731</v>
      </c>
    </row>
    <row r="25915" spans="1:2" x14ac:dyDescent="0.25">
      <c r="A25915">
        <v>55164200198</v>
      </c>
      <c r="B25915" t="s">
        <v>8732</v>
      </c>
    </row>
    <row r="25916" spans="1:2" x14ac:dyDescent="0.25">
      <c r="A25916">
        <v>55164200199</v>
      </c>
      <c r="B25916" t="s">
        <v>57</v>
      </c>
    </row>
    <row r="25917" spans="1:2" x14ac:dyDescent="0.25">
      <c r="A25917">
        <v>551642009</v>
      </c>
      <c r="B25917" t="s">
        <v>57</v>
      </c>
    </row>
    <row r="25918" spans="1:2" x14ac:dyDescent="0.25">
      <c r="A25918">
        <v>5516420091</v>
      </c>
      <c r="B25918" t="s">
        <v>8535</v>
      </c>
    </row>
    <row r="25919" spans="1:2" x14ac:dyDescent="0.25">
      <c r="A25919">
        <v>55164200911</v>
      </c>
      <c r="B25919" t="s">
        <v>8641</v>
      </c>
    </row>
    <row r="25920" spans="1:2" x14ac:dyDescent="0.25">
      <c r="A25920">
        <v>55164200912</v>
      </c>
      <c r="B25920" t="s">
        <v>8726</v>
      </c>
    </row>
    <row r="25921" spans="1:2" x14ac:dyDescent="0.25">
      <c r="A25921">
        <v>55164200913</v>
      </c>
      <c r="B25921" t="s">
        <v>8727</v>
      </c>
    </row>
    <row r="25922" spans="1:2" x14ac:dyDescent="0.25">
      <c r="A25922">
        <v>55164200914</v>
      </c>
      <c r="B25922" t="s">
        <v>8728</v>
      </c>
    </row>
    <row r="25923" spans="1:2" x14ac:dyDescent="0.25">
      <c r="A25923">
        <v>55164200915</v>
      </c>
      <c r="B25923" t="s">
        <v>8729</v>
      </c>
    </row>
    <row r="25924" spans="1:2" x14ac:dyDescent="0.25">
      <c r="A25924">
        <v>55164200916</v>
      </c>
      <c r="B25924" t="s">
        <v>8730</v>
      </c>
    </row>
    <row r="25925" spans="1:2" x14ac:dyDescent="0.25">
      <c r="A25925">
        <v>55164200917</v>
      </c>
      <c r="B25925" t="s">
        <v>8731</v>
      </c>
    </row>
    <row r="25926" spans="1:2" x14ac:dyDescent="0.25">
      <c r="A25926">
        <v>55164200918</v>
      </c>
      <c r="B25926" t="s">
        <v>8732</v>
      </c>
    </row>
    <row r="25927" spans="1:2" x14ac:dyDescent="0.25">
      <c r="A25927">
        <v>55164200919</v>
      </c>
      <c r="B25927" t="s">
        <v>57</v>
      </c>
    </row>
    <row r="25928" spans="1:2" x14ac:dyDescent="0.25">
      <c r="A25928">
        <v>5516420092</v>
      </c>
      <c r="B25928" t="s">
        <v>8506</v>
      </c>
    </row>
    <row r="25929" spans="1:2" x14ac:dyDescent="0.25">
      <c r="A25929">
        <v>55164200921</v>
      </c>
      <c r="B25929" t="s">
        <v>8641</v>
      </c>
    </row>
    <row r="25930" spans="1:2" x14ac:dyDescent="0.25">
      <c r="A25930">
        <v>55164200922</v>
      </c>
      <c r="B25930" t="s">
        <v>8726</v>
      </c>
    </row>
    <row r="25931" spans="1:2" x14ac:dyDescent="0.25">
      <c r="A25931">
        <v>55164200923</v>
      </c>
      <c r="B25931" t="s">
        <v>8727</v>
      </c>
    </row>
    <row r="25932" spans="1:2" x14ac:dyDescent="0.25">
      <c r="A25932">
        <v>55164200924</v>
      </c>
      <c r="B25932" t="s">
        <v>8728</v>
      </c>
    </row>
    <row r="25933" spans="1:2" x14ac:dyDescent="0.25">
      <c r="A25933">
        <v>55164200925</v>
      </c>
      <c r="B25933" t="s">
        <v>8729</v>
      </c>
    </row>
    <row r="25934" spans="1:2" x14ac:dyDescent="0.25">
      <c r="A25934">
        <v>55164200926</v>
      </c>
      <c r="B25934" t="s">
        <v>8730</v>
      </c>
    </row>
    <row r="25935" spans="1:2" x14ac:dyDescent="0.25">
      <c r="A25935">
        <v>55164200927</v>
      </c>
      <c r="B25935" t="s">
        <v>8731</v>
      </c>
    </row>
    <row r="25936" spans="1:2" x14ac:dyDescent="0.25">
      <c r="A25936">
        <v>55164200928</v>
      </c>
      <c r="B25936" t="s">
        <v>8732</v>
      </c>
    </row>
    <row r="25937" spans="1:2" x14ac:dyDescent="0.25">
      <c r="A25937">
        <v>55164200929</v>
      </c>
      <c r="B25937" t="s">
        <v>57</v>
      </c>
    </row>
    <row r="25938" spans="1:2" x14ac:dyDescent="0.25">
      <c r="A25938">
        <v>5516420093</v>
      </c>
      <c r="B25938" t="s">
        <v>8498</v>
      </c>
    </row>
    <row r="25939" spans="1:2" x14ac:dyDescent="0.25">
      <c r="A25939">
        <v>55164200931</v>
      </c>
      <c r="B25939" t="s">
        <v>8641</v>
      </c>
    </row>
    <row r="25940" spans="1:2" x14ac:dyDescent="0.25">
      <c r="A25940">
        <v>55164200932</v>
      </c>
      <c r="B25940" t="s">
        <v>8726</v>
      </c>
    </row>
    <row r="25941" spans="1:2" x14ac:dyDescent="0.25">
      <c r="A25941">
        <v>55164200933</v>
      </c>
      <c r="B25941" t="s">
        <v>8727</v>
      </c>
    </row>
    <row r="25942" spans="1:2" x14ac:dyDescent="0.25">
      <c r="A25942">
        <v>55164200934</v>
      </c>
      <c r="B25942" t="s">
        <v>8728</v>
      </c>
    </row>
    <row r="25943" spans="1:2" x14ac:dyDescent="0.25">
      <c r="A25943">
        <v>55164200935</v>
      </c>
      <c r="B25943" t="s">
        <v>8729</v>
      </c>
    </row>
    <row r="25944" spans="1:2" x14ac:dyDescent="0.25">
      <c r="A25944">
        <v>55164200936</v>
      </c>
      <c r="B25944" t="s">
        <v>8730</v>
      </c>
    </row>
    <row r="25945" spans="1:2" x14ac:dyDescent="0.25">
      <c r="A25945">
        <v>55164200937</v>
      </c>
      <c r="B25945" t="s">
        <v>8731</v>
      </c>
    </row>
    <row r="25946" spans="1:2" x14ac:dyDescent="0.25">
      <c r="A25946">
        <v>55164200938</v>
      </c>
      <c r="B25946" t="s">
        <v>8732</v>
      </c>
    </row>
    <row r="25947" spans="1:2" x14ac:dyDescent="0.25">
      <c r="A25947">
        <v>55164200939</v>
      </c>
      <c r="B25947" t="s">
        <v>57</v>
      </c>
    </row>
    <row r="25948" spans="1:2" x14ac:dyDescent="0.25">
      <c r="A25948">
        <v>5516420099</v>
      </c>
      <c r="B25948" t="s">
        <v>8500</v>
      </c>
    </row>
    <row r="25949" spans="1:2" x14ac:dyDescent="0.25">
      <c r="A25949">
        <v>55164200991</v>
      </c>
      <c r="B25949" t="s">
        <v>8641</v>
      </c>
    </row>
    <row r="25950" spans="1:2" x14ac:dyDescent="0.25">
      <c r="A25950">
        <v>55164200992</v>
      </c>
      <c r="B25950" t="s">
        <v>8726</v>
      </c>
    </row>
    <row r="25951" spans="1:2" x14ac:dyDescent="0.25">
      <c r="A25951">
        <v>55164200993</v>
      </c>
      <c r="B25951" t="s">
        <v>8727</v>
      </c>
    </row>
    <row r="25952" spans="1:2" x14ac:dyDescent="0.25">
      <c r="A25952">
        <v>55164200994</v>
      </c>
      <c r="B25952" t="s">
        <v>8728</v>
      </c>
    </row>
    <row r="25953" spans="1:2" x14ac:dyDescent="0.25">
      <c r="A25953">
        <v>55164200995</v>
      </c>
      <c r="B25953" t="s">
        <v>8729</v>
      </c>
    </row>
    <row r="25954" spans="1:2" x14ac:dyDescent="0.25">
      <c r="A25954">
        <v>55164200996</v>
      </c>
      <c r="B25954" t="s">
        <v>8730</v>
      </c>
    </row>
    <row r="25955" spans="1:2" x14ac:dyDescent="0.25">
      <c r="A25955">
        <v>55164200997</v>
      </c>
      <c r="B25955" t="s">
        <v>8731</v>
      </c>
    </row>
    <row r="25956" spans="1:2" x14ac:dyDescent="0.25">
      <c r="A25956">
        <v>55164200998</v>
      </c>
      <c r="B25956" t="s">
        <v>8732</v>
      </c>
    </row>
    <row r="25957" spans="1:2" x14ac:dyDescent="0.25">
      <c r="A25957">
        <v>55164200999</v>
      </c>
      <c r="B25957" t="s">
        <v>57</v>
      </c>
    </row>
    <row r="25958" spans="1:2" x14ac:dyDescent="0.25">
      <c r="A25958">
        <v>55164300</v>
      </c>
      <c r="B25958" t="e">
        <f>- - Con hilados de distintos colores</f>
        <v>#NAME?</v>
      </c>
    </row>
    <row r="25959" spans="1:2" x14ac:dyDescent="0.25">
      <c r="A25959">
        <v>551643001</v>
      </c>
      <c r="B25959" t="s">
        <v>8581</v>
      </c>
    </row>
    <row r="25960" spans="1:2" x14ac:dyDescent="0.25">
      <c r="A25960">
        <v>5516430011</v>
      </c>
      <c r="B25960" t="s">
        <v>8535</v>
      </c>
    </row>
    <row r="25961" spans="1:2" x14ac:dyDescent="0.25">
      <c r="A25961">
        <v>55164300111</v>
      </c>
      <c r="B25961" t="s">
        <v>8641</v>
      </c>
    </row>
    <row r="25962" spans="1:2" x14ac:dyDescent="0.25">
      <c r="A25962">
        <v>55164300112</v>
      </c>
      <c r="B25962" t="s">
        <v>8726</v>
      </c>
    </row>
    <row r="25963" spans="1:2" x14ac:dyDescent="0.25">
      <c r="A25963">
        <v>55164300113</v>
      </c>
      <c r="B25963" t="s">
        <v>8727</v>
      </c>
    </row>
    <row r="25964" spans="1:2" x14ac:dyDescent="0.25">
      <c r="A25964">
        <v>55164300114</v>
      </c>
      <c r="B25964" t="s">
        <v>8728</v>
      </c>
    </row>
    <row r="25965" spans="1:2" x14ac:dyDescent="0.25">
      <c r="A25965">
        <v>55164300115</v>
      </c>
      <c r="B25965" t="s">
        <v>8729</v>
      </c>
    </row>
    <row r="25966" spans="1:2" x14ac:dyDescent="0.25">
      <c r="A25966">
        <v>55164300116</v>
      </c>
      <c r="B25966" t="s">
        <v>8730</v>
      </c>
    </row>
    <row r="25967" spans="1:2" x14ac:dyDescent="0.25">
      <c r="A25967">
        <v>55164300117</v>
      </c>
      <c r="B25967" t="s">
        <v>8731</v>
      </c>
    </row>
    <row r="25968" spans="1:2" x14ac:dyDescent="0.25">
      <c r="A25968">
        <v>55164300118</v>
      </c>
      <c r="B25968" t="s">
        <v>8732</v>
      </c>
    </row>
    <row r="25969" spans="1:2" x14ac:dyDescent="0.25">
      <c r="A25969">
        <v>55164300119</v>
      </c>
      <c r="B25969" t="s">
        <v>57</v>
      </c>
    </row>
    <row r="25970" spans="1:2" x14ac:dyDescent="0.25">
      <c r="A25970">
        <v>5516430012</v>
      </c>
      <c r="B25970" t="s">
        <v>8506</v>
      </c>
    </row>
    <row r="25971" spans="1:2" x14ac:dyDescent="0.25">
      <c r="A25971">
        <v>55164300121</v>
      </c>
      <c r="B25971" t="s">
        <v>8641</v>
      </c>
    </row>
    <row r="25972" spans="1:2" x14ac:dyDescent="0.25">
      <c r="A25972">
        <v>55164300122</v>
      </c>
      <c r="B25972" t="s">
        <v>8726</v>
      </c>
    </row>
    <row r="25973" spans="1:2" x14ac:dyDescent="0.25">
      <c r="A25973">
        <v>55164300123</v>
      </c>
      <c r="B25973" t="s">
        <v>8727</v>
      </c>
    </row>
    <row r="25974" spans="1:2" x14ac:dyDescent="0.25">
      <c r="A25974">
        <v>55164300124</v>
      </c>
      <c r="B25974" t="s">
        <v>8728</v>
      </c>
    </row>
    <row r="25975" spans="1:2" x14ac:dyDescent="0.25">
      <c r="A25975">
        <v>55164300125</v>
      </c>
      <c r="B25975" t="s">
        <v>8729</v>
      </c>
    </row>
    <row r="25976" spans="1:2" x14ac:dyDescent="0.25">
      <c r="A25976">
        <v>55164300126</v>
      </c>
      <c r="B25976" t="s">
        <v>8730</v>
      </c>
    </row>
    <row r="25977" spans="1:2" x14ac:dyDescent="0.25">
      <c r="A25977">
        <v>55164300127</v>
      </c>
      <c r="B25977" t="s">
        <v>8731</v>
      </c>
    </row>
    <row r="25978" spans="1:2" x14ac:dyDescent="0.25">
      <c r="A25978">
        <v>55164300128</v>
      </c>
      <c r="B25978" t="s">
        <v>8732</v>
      </c>
    </row>
    <row r="25979" spans="1:2" x14ac:dyDescent="0.25">
      <c r="A25979">
        <v>55164300129</v>
      </c>
      <c r="B25979" t="s">
        <v>57</v>
      </c>
    </row>
    <row r="25980" spans="1:2" x14ac:dyDescent="0.25">
      <c r="A25980">
        <v>5516430013</v>
      </c>
      <c r="B25980" t="s">
        <v>8498</v>
      </c>
    </row>
    <row r="25981" spans="1:2" x14ac:dyDescent="0.25">
      <c r="A25981">
        <v>55164300131</v>
      </c>
      <c r="B25981" t="s">
        <v>8641</v>
      </c>
    </row>
    <row r="25982" spans="1:2" x14ac:dyDescent="0.25">
      <c r="A25982">
        <v>55164300132</v>
      </c>
      <c r="B25982" t="s">
        <v>8726</v>
      </c>
    </row>
    <row r="25983" spans="1:2" x14ac:dyDescent="0.25">
      <c r="A25983">
        <v>55164300133</v>
      </c>
      <c r="B25983" t="s">
        <v>8727</v>
      </c>
    </row>
    <row r="25984" spans="1:2" x14ac:dyDescent="0.25">
      <c r="A25984">
        <v>55164300134</v>
      </c>
      <c r="B25984" t="s">
        <v>8728</v>
      </c>
    </row>
    <row r="25985" spans="1:2" x14ac:dyDescent="0.25">
      <c r="A25985">
        <v>55164300135</v>
      </c>
      <c r="B25985" t="s">
        <v>8729</v>
      </c>
    </row>
    <row r="25986" spans="1:2" x14ac:dyDescent="0.25">
      <c r="A25986">
        <v>55164300136</v>
      </c>
      <c r="B25986" t="s">
        <v>8730</v>
      </c>
    </row>
    <row r="25987" spans="1:2" x14ac:dyDescent="0.25">
      <c r="A25987">
        <v>55164300137</v>
      </c>
      <c r="B25987" t="s">
        <v>8731</v>
      </c>
    </row>
    <row r="25988" spans="1:2" x14ac:dyDescent="0.25">
      <c r="A25988">
        <v>55164300138</v>
      </c>
      <c r="B25988" t="s">
        <v>8732</v>
      </c>
    </row>
    <row r="25989" spans="1:2" x14ac:dyDescent="0.25">
      <c r="A25989">
        <v>55164300139</v>
      </c>
      <c r="B25989" t="s">
        <v>57</v>
      </c>
    </row>
    <row r="25990" spans="1:2" x14ac:dyDescent="0.25">
      <c r="A25990">
        <v>5516430019</v>
      </c>
      <c r="B25990" t="s">
        <v>8500</v>
      </c>
    </row>
    <row r="25991" spans="1:2" x14ac:dyDescent="0.25">
      <c r="A25991">
        <v>55164300191</v>
      </c>
      <c r="B25991" t="s">
        <v>8641</v>
      </c>
    </row>
    <row r="25992" spans="1:2" x14ac:dyDescent="0.25">
      <c r="A25992">
        <v>55164300192</v>
      </c>
      <c r="B25992" t="s">
        <v>8726</v>
      </c>
    </row>
    <row r="25993" spans="1:2" x14ac:dyDescent="0.25">
      <c r="A25993">
        <v>55164300193</v>
      </c>
      <c r="B25993" t="s">
        <v>8727</v>
      </c>
    </row>
    <row r="25994" spans="1:2" x14ac:dyDescent="0.25">
      <c r="A25994">
        <v>55164300194</v>
      </c>
      <c r="B25994" t="s">
        <v>8728</v>
      </c>
    </row>
    <row r="25995" spans="1:2" x14ac:dyDescent="0.25">
      <c r="A25995">
        <v>55164300195</v>
      </c>
      <c r="B25995" t="s">
        <v>8729</v>
      </c>
    </row>
    <row r="25996" spans="1:2" x14ac:dyDescent="0.25">
      <c r="A25996">
        <v>55164300196</v>
      </c>
      <c r="B25996" t="s">
        <v>8730</v>
      </c>
    </row>
    <row r="25997" spans="1:2" x14ac:dyDescent="0.25">
      <c r="A25997">
        <v>55164300197</v>
      </c>
      <c r="B25997" t="s">
        <v>8731</v>
      </c>
    </row>
    <row r="25998" spans="1:2" x14ac:dyDescent="0.25">
      <c r="A25998">
        <v>55164300198</v>
      </c>
      <c r="B25998" t="s">
        <v>8732</v>
      </c>
    </row>
    <row r="25999" spans="1:2" x14ac:dyDescent="0.25">
      <c r="A25999">
        <v>55164300199</v>
      </c>
      <c r="B25999" t="s">
        <v>57</v>
      </c>
    </row>
    <row r="26000" spans="1:2" x14ac:dyDescent="0.25">
      <c r="A26000">
        <v>551643009</v>
      </c>
      <c r="B26000" t="s">
        <v>57</v>
      </c>
    </row>
    <row r="26001" spans="1:2" x14ac:dyDescent="0.25">
      <c r="A26001">
        <v>5516430091</v>
      </c>
      <c r="B26001" t="s">
        <v>8535</v>
      </c>
    </row>
    <row r="26002" spans="1:2" x14ac:dyDescent="0.25">
      <c r="A26002">
        <v>55164300911</v>
      </c>
      <c r="B26002" t="s">
        <v>8641</v>
      </c>
    </row>
    <row r="26003" spans="1:2" x14ac:dyDescent="0.25">
      <c r="A26003">
        <v>55164300912</v>
      </c>
      <c r="B26003" t="s">
        <v>8726</v>
      </c>
    </row>
    <row r="26004" spans="1:2" x14ac:dyDescent="0.25">
      <c r="A26004">
        <v>55164300913</v>
      </c>
      <c r="B26004" t="s">
        <v>8727</v>
      </c>
    </row>
    <row r="26005" spans="1:2" x14ac:dyDescent="0.25">
      <c r="A26005">
        <v>55164300914</v>
      </c>
      <c r="B26005" t="s">
        <v>8728</v>
      </c>
    </row>
    <row r="26006" spans="1:2" x14ac:dyDescent="0.25">
      <c r="A26006">
        <v>55164300915</v>
      </c>
      <c r="B26006" t="s">
        <v>8729</v>
      </c>
    </row>
    <row r="26007" spans="1:2" x14ac:dyDescent="0.25">
      <c r="A26007">
        <v>55164300916</v>
      </c>
      <c r="B26007" t="s">
        <v>8730</v>
      </c>
    </row>
    <row r="26008" spans="1:2" x14ac:dyDescent="0.25">
      <c r="A26008">
        <v>55164300917</v>
      </c>
      <c r="B26008" t="s">
        <v>8731</v>
      </c>
    </row>
    <row r="26009" spans="1:2" x14ac:dyDescent="0.25">
      <c r="A26009">
        <v>55164300918</v>
      </c>
      <c r="B26009" t="s">
        <v>8732</v>
      </c>
    </row>
    <row r="26010" spans="1:2" x14ac:dyDescent="0.25">
      <c r="A26010">
        <v>55164300919</v>
      </c>
      <c r="B26010" t="s">
        <v>57</v>
      </c>
    </row>
    <row r="26011" spans="1:2" x14ac:dyDescent="0.25">
      <c r="A26011">
        <v>5516430092</v>
      </c>
      <c r="B26011" t="s">
        <v>8506</v>
      </c>
    </row>
    <row r="26012" spans="1:2" x14ac:dyDescent="0.25">
      <c r="A26012">
        <v>55164300921</v>
      </c>
      <c r="B26012" t="s">
        <v>8641</v>
      </c>
    </row>
    <row r="26013" spans="1:2" x14ac:dyDescent="0.25">
      <c r="A26013">
        <v>55164300922</v>
      </c>
      <c r="B26013" t="s">
        <v>8726</v>
      </c>
    </row>
    <row r="26014" spans="1:2" x14ac:dyDescent="0.25">
      <c r="A26014">
        <v>55164300923</v>
      </c>
      <c r="B26014" t="s">
        <v>8727</v>
      </c>
    </row>
    <row r="26015" spans="1:2" x14ac:dyDescent="0.25">
      <c r="A26015">
        <v>55164300924</v>
      </c>
      <c r="B26015" t="s">
        <v>8728</v>
      </c>
    </row>
    <row r="26016" spans="1:2" x14ac:dyDescent="0.25">
      <c r="A26016">
        <v>55164300925</v>
      </c>
      <c r="B26016" t="s">
        <v>8729</v>
      </c>
    </row>
    <row r="26017" spans="1:2" x14ac:dyDescent="0.25">
      <c r="A26017">
        <v>55164300926</v>
      </c>
      <c r="B26017" t="s">
        <v>8730</v>
      </c>
    </row>
    <row r="26018" spans="1:2" x14ac:dyDescent="0.25">
      <c r="A26018">
        <v>55164300927</v>
      </c>
      <c r="B26018" t="s">
        <v>8731</v>
      </c>
    </row>
    <row r="26019" spans="1:2" x14ac:dyDescent="0.25">
      <c r="A26019">
        <v>55164300928</v>
      </c>
      <c r="B26019" t="s">
        <v>8732</v>
      </c>
    </row>
    <row r="26020" spans="1:2" x14ac:dyDescent="0.25">
      <c r="A26020">
        <v>55164300929</v>
      </c>
      <c r="B26020" t="s">
        <v>57</v>
      </c>
    </row>
    <row r="26021" spans="1:2" x14ac:dyDescent="0.25">
      <c r="A26021">
        <v>5516430093</v>
      </c>
      <c r="B26021" t="s">
        <v>8498</v>
      </c>
    </row>
    <row r="26022" spans="1:2" x14ac:dyDescent="0.25">
      <c r="A26022">
        <v>55164300931</v>
      </c>
      <c r="B26022" t="s">
        <v>8641</v>
      </c>
    </row>
    <row r="26023" spans="1:2" x14ac:dyDescent="0.25">
      <c r="A26023">
        <v>55164300932</v>
      </c>
      <c r="B26023" t="s">
        <v>8726</v>
      </c>
    </row>
    <row r="26024" spans="1:2" x14ac:dyDescent="0.25">
      <c r="A26024">
        <v>55164300933</v>
      </c>
      <c r="B26024" t="s">
        <v>8727</v>
      </c>
    </row>
    <row r="26025" spans="1:2" x14ac:dyDescent="0.25">
      <c r="A26025">
        <v>55164300934</v>
      </c>
      <c r="B26025" t="s">
        <v>8728</v>
      </c>
    </row>
    <row r="26026" spans="1:2" x14ac:dyDescent="0.25">
      <c r="A26026">
        <v>55164300935</v>
      </c>
      <c r="B26026" t="s">
        <v>8729</v>
      </c>
    </row>
    <row r="26027" spans="1:2" x14ac:dyDescent="0.25">
      <c r="A26027">
        <v>55164300936</v>
      </c>
      <c r="B26027" t="s">
        <v>8730</v>
      </c>
    </row>
    <row r="26028" spans="1:2" x14ac:dyDescent="0.25">
      <c r="A26028">
        <v>55164300937</v>
      </c>
      <c r="B26028" t="s">
        <v>8731</v>
      </c>
    </row>
    <row r="26029" spans="1:2" x14ac:dyDescent="0.25">
      <c r="A26029">
        <v>55164300938</v>
      </c>
      <c r="B26029" t="s">
        <v>8732</v>
      </c>
    </row>
    <row r="26030" spans="1:2" x14ac:dyDescent="0.25">
      <c r="A26030">
        <v>55164300939</v>
      </c>
      <c r="B26030" t="s">
        <v>57</v>
      </c>
    </row>
    <row r="26031" spans="1:2" x14ac:dyDescent="0.25">
      <c r="A26031">
        <v>5516430099</v>
      </c>
      <c r="B26031" t="s">
        <v>8500</v>
      </c>
    </row>
    <row r="26032" spans="1:2" x14ac:dyDescent="0.25">
      <c r="A26032">
        <v>55164300991</v>
      </c>
      <c r="B26032" t="s">
        <v>8641</v>
      </c>
    </row>
    <row r="26033" spans="1:2" x14ac:dyDescent="0.25">
      <c r="A26033">
        <v>55164300992</v>
      </c>
      <c r="B26033" t="s">
        <v>8726</v>
      </c>
    </row>
    <row r="26034" spans="1:2" x14ac:dyDescent="0.25">
      <c r="A26034">
        <v>55164300993</v>
      </c>
      <c r="B26034" t="s">
        <v>8727</v>
      </c>
    </row>
    <row r="26035" spans="1:2" x14ac:dyDescent="0.25">
      <c r="A26035">
        <v>55164300994</v>
      </c>
      <c r="B26035" t="s">
        <v>8728</v>
      </c>
    </row>
    <row r="26036" spans="1:2" x14ac:dyDescent="0.25">
      <c r="A26036">
        <v>55164300995</v>
      </c>
      <c r="B26036" t="s">
        <v>8729</v>
      </c>
    </row>
    <row r="26037" spans="1:2" x14ac:dyDescent="0.25">
      <c r="A26037">
        <v>55164300996</v>
      </c>
      <c r="B26037" t="s">
        <v>8730</v>
      </c>
    </row>
    <row r="26038" spans="1:2" x14ac:dyDescent="0.25">
      <c r="A26038">
        <v>55164300997</v>
      </c>
      <c r="B26038" t="s">
        <v>8731</v>
      </c>
    </row>
    <row r="26039" spans="1:2" x14ac:dyDescent="0.25">
      <c r="A26039">
        <v>55164300998</v>
      </c>
      <c r="B26039" t="s">
        <v>8732</v>
      </c>
    </row>
    <row r="26040" spans="1:2" x14ac:dyDescent="0.25">
      <c r="A26040">
        <v>55164300999</v>
      </c>
      <c r="B26040" t="s">
        <v>57</v>
      </c>
    </row>
    <row r="26041" spans="1:2" x14ac:dyDescent="0.25">
      <c r="A26041">
        <v>55164400</v>
      </c>
      <c r="B26041" t="e">
        <f>- - Estampados</f>
        <v>#NAME?</v>
      </c>
    </row>
    <row r="26042" spans="1:2" x14ac:dyDescent="0.25">
      <c r="A26042">
        <v>551644001</v>
      </c>
      <c r="B26042" t="s">
        <v>8581</v>
      </c>
    </row>
    <row r="26043" spans="1:2" x14ac:dyDescent="0.25">
      <c r="A26043">
        <v>5516440011</v>
      </c>
      <c r="B26043" t="s">
        <v>8535</v>
      </c>
    </row>
    <row r="26044" spans="1:2" x14ac:dyDescent="0.25">
      <c r="A26044">
        <v>55164400111</v>
      </c>
      <c r="B26044" t="s">
        <v>8641</v>
      </c>
    </row>
    <row r="26045" spans="1:2" x14ac:dyDescent="0.25">
      <c r="A26045">
        <v>55164400112</v>
      </c>
      <c r="B26045" t="s">
        <v>8726</v>
      </c>
    </row>
    <row r="26046" spans="1:2" x14ac:dyDescent="0.25">
      <c r="A26046">
        <v>55164400113</v>
      </c>
      <c r="B26046" t="s">
        <v>8727</v>
      </c>
    </row>
    <row r="26047" spans="1:2" x14ac:dyDescent="0.25">
      <c r="A26047">
        <v>55164400114</v>
      </c>
      <c r="B26047" t="s">
        <v>8728</v>
      </c>
    </row>
    <row r="26048" spans="1:2" x14ac:dyDescent="0.25">
      <c r="A26048">
        <v>55164400115</v>
      </c>
      <c r="B26048" t="s">
        <v>8729</v>
      </c>
    </row>
    <row r="26049" spans="1:2" x14ac:dyDescent="0.25">
      <c r="A26049">
        <v>55164400116</v>
      </c>
      <c r="B26049" t="s">
        <v>8730</v>
      </c>
    </row>
    <row r="26050" spans="1:2" x14ac:dyDescent="0.25">
      <c r="A26050">
        <v>55164400117</v>
      </c>
      <c r="B26050" t="s">
        <v>8731</v>
      </c>
    </row>
    <row r="26051" spans="1:2" x14ac:dyDescent="0.25">
      <c r="A26051">
        <v>55164400118</v>
      </c>
      <c r="B26051" t="s">
        <v>8732</v>
      </c>
    </row>
    <row r="26052" spans="1:2" x14ac:dyDescent="0.25">
      <c r="A26052">
        <v>55164400119</v>
      </c>
      <c r="B26052" t="s">
        <v>57</v>
      </c>
    </row>
    <row r="26053" spans="1:2" x14ac:dyDescent="0.25">
      <c r="A26053">
        <v>5516440012</v>
      </c>
      <c r="B26053" t="s">
        <v>8506</v>
      </c>
    </row>
    <row r="26054" spans="1:2" x14ac:dyDescent="0.25">
      <c r="A26054">
        <v>55164400121</v>
      </c>
      <c r="B26054" t="s">
        <v>8641</v>
      </c>
    </row>
    <row r="26055" spans="1:2" x14ac:dyDescent="0.25">
      <c r="A26055">
        <v>55164400122</v>
      </c>
      <c r="B26055" t="s">
        <v>8726</v>
      </c>
    </row>
    <row r="26056" spans="1:2" x14ac:dyDescent="0.25">
      <c r="A26056">
        <v>55164400123</v>
      </c>
      <c r="B26056" t="s">
        <v>8727</v>
      </c>
    </row>
    <row r="26057" spans="1:2" x14ac:dyDescent="0.25">
      <c r="A26057">
        <v>55164400124</v>
      </c>
      <c r="B26057" t="s">
        <v>8728</v>
      </c>
    </row>
    <row r="26058" spans="1:2" x14ac:dyDescent="0.25">
      <c r="A26058">
        <v>55164400125</v>
      </c>
      <c r="B26058" t="s">
        <v>8729</v>
      </c>
    </row>
    <row r="26059" spans="1:2" x14ac:dyDescent="0.25">
      <c r="A26059">
        <v>55164400126</v>
      </c>
      <c r="B26059" t="s">
        <v>8730</v>
      </c>
    </row>
    <row r="26060" spans="1:2" x14ac:dyDescent="0.25">
      <c r="A26060">
        <v>55164400127</v>
      </c>
      <c r="B26060" t="s">
        <v>8731</v>
      </c>
    </row>
    <row r="26061" spans="1:2" x14ac:dyDescent="0.25">
      <c r="A26061">
        <v>55164400128</v>
      </c>
      <c r="B26061" t="s">
        <v>8732</v>
      </c>
    </row>
    <row r="26062" spans="1:2" x14ac:dyDescent="0.25">
      <c r="A26062">
        <v>55164400129</v>
      </c>
      <c r="B26062" t="s">
        <v>57</v>
      </c>
    </row>
    <row r="26063" spans="1:2" x14ac:dyDescent="0.25">
      <c r="A26063">
        <v>5516440013</v>
      </c>
      <c r="B26063" t="s">
        <v>8498</v>
      </c>
    </row>
    <row r="26064" spans="1:2" x14ac:dyDescent="0.25">
      <c r="A26064">
        <v>55164400131</v>
      </c>
      <c r="B26064" t="s">
        <v>8641</v>
      </c>
    </row>
    <row r="26065" spans="1:2" x14ac:dyDescent="0.25">
      <c r="A26065">
        <v>55164400132</v>
      </c>
      <c r="B26065" t="s">
        <v>8726</v>
      </c>
    </row>
    <row r="26066" spans="1:2" x14ac:dyDescent="0.25">
      <c r="A26066">
        <v>55164400133</v>
      </c>
      <c r="B26066" t="s">
        <v>8727</v>
      </c>
    </row>
    <row r="26067" spans="1:2" x14ac:dyDescent="0.25">
      <c r="A26067">
        <v>55164400134</v>
      </c>
      <c r="B26067" t="s">
        <v>8728</v>
      </c>
    </row>
    <row r="26068" spans="1:2" x14ac:dyDescent="0.25">
      <c r="A26068">
        <v>55164400135</v>
      </c>
      <c r="B26068" t="s">
        <v>8729</v>
      </c>
    </row>
    <row r="26069" spans="1:2" x14ac:dyDescent="0.25">
      <c r="A26069">
        <v>55164400136</v>
      </c>
      <c r="B26069" t="s">
        <v>8730</v>
      </c>
    </row>
    <row r="26070" spans="1:2" x14ac:dyDescent="0.25">
      <c r="A26070">
        <v>55164400137</v>
      </c>
      <c r="B26070" t="s">
        <v>8731</v>
      </c>
    </row>
    <row r="26071" spans="1:2" x14ac:dyDescent="0.25">
      <c r="A26071">
        <v>55164400138</v>
      </c>
      <c r="B26071" t="s">
        <v>8732</v>
      </c>
    </row>
    <row r="26072" spans="1:2" x14ac:dyDescent="0.25">
      <c r="A26072">
        <v>55164400139</v>
      </c>
      <c r="B26072" t="s">
        <v>57</v>
      </c>
    </row>
    <row r="26073" spans="1:2" x14ac:dyDescent="0.25">
      <c r="A26073">
        <v>5516440019</v>
      </c>
      <c r="B26073" t="s">
        <v>8500</v>
      </c>
    </row>
    <row r="26074" spans="1:2" x14ac:dyDescent="0.25">
      <c r="A26074">
        <v>55164400191</v>
      </c>
      <c r="B26074" t="s">
        <v>8641</v>
      </c>
    </row>
    <row r="26075" spans="1:2" x14ac:dyDescent="0.25">
      <c r="A26075">
        <v>55164400192</v>
      </c>
      <c r="B26075" t="s">
        <v>8726</v>
      </c>
    </row>
    <row r="26076" spans="1:2" x14ac:dyDescent="0.25">
      <c r="A26076">
        <v>55164400193</v>
      </c>
      <c r="B26076" t="s">
        <v>8727</v>
      </c>
    </row>
    <row r="26077" spans="1:2" x14ac:dyDescent="0.25">
      <c r="A26077">
        <v>55164400194</v>
      </c>
      <c r="B26077" t="s">
        <v>8728</v>
      </c>
    </row>
    <row r="26078" spans="1:2" x14ac:dyDescent="0.25">
      <c r="A26078">
        <v>55164400195</v>
      </c>
      <c r="B26078" t="s">
        <v>8729</v>
      </c>
    </row>
    <row r="26079" spans="1:2" x14ac:dyDescent="0.25">
      <c r="A26079">
        <v>55164400196</v>
      </c>
      <c r="B26079" t="s">
        <v>8730</v>
      </c>
    </row>
    <row r="26080" spans="1:2" x14ac:dyDescent="0.25">
      <c r="A26080">
        <v>55164400197</v>
      </c>
      <c r="B26080" t="s">
        <v>8731</v>
      </c>
    </row>
    <row r="26081" spans="1:2" x14ac:dyDescent="0.25">
      <c r="A26081">
        <v>55164400198</v>
      </c>
      <c r="B26081" t="s">
        <v>8732</v>
      </c>
    </row>
    <row r="26082" spans="1:2" x14ac:dyDescent="0.25">
      <c r="A26082">
        <v>55164400199</v>
      </c>
      <c r="B26082" t="s">
        <v>57</v>
      </c>
    </row>
    <row r="26083" spans="1:2" x14ac:dyDescent="0.25">
      <c r="A26083">
        <v>551644009</v>
      </c>
      <c r="B26083" t="s">
        <v>57</v>
      </c>
    </row>
    <row r="26084" spans="1:2" x14ac:dyDescent="0.25">
      <c r="A26084">
        <v>5516440091</v>
      </c>
      <c r="B26084" t="s">
        <v>8535</v>
      </c>
    </row>
    <row r="26085" spans="1:2" x14ac:dyDescent="0.25">
      <c r="A26085">
        <v>55164400911</v>
      </c>
      <c r="B26085" t="s">
        <v>8641</v>
      </c>
    </row>
    <row r="26086" spans="1:2" x14ac:dyDescent="0.25">
      <c r="A26086">
        <v>55164400912</v>
      </c>
      <c r="B26086" t="s">
        <v>8726</v>
      </c>
    </row>
    <row r="26087" spans="1:2" x14ac:dyDescent="0.25">
      <c r="A26087">
        <v>55164400913</v>
      </c>
      <c r="B26087" t="s">
        <v>8727</v>
      </c>
    </row>
    <row r="26088" spans="1:2" x14ac:dyDescent="0.25">
      <c r="A26088">
        <v>55164400914</v>
      </c>
      <c r="B26088" t="s">
        <v>8728</v>
      </c>
    </row>
    <row r="26089" spans="1:2" x14ac:dyDescent="0.25">
      <c r="A26089">
        <v>55164400915</v>
      </c>
      <c r="B26089" t="s">
        <v>8729</v>
      </c>
    </row>
    <row r="26090" spans="1:2" x14ac:dyDescent="0.25">
      <c r="A26090">
        <v>55164400916</v>
      </c>
      <c r="B26090" t="s">
        <v>8730</v>
      </c>
    </row>
    <row r="26091" spans="1:2" x14ac:dyDescent="0.25">
      <c r="A26091">
        <v>55164400917</v>
      </c>
      <c r="B26091" t="s">
        <v>8731</v>
      </c>
    </row>
    <row r="26092" spans="1:2" x14ac:dyDescent="0.25">
      <c r="A26092">
        <v>55164400918</v>
      </c>
      <c r="B26092" t="s">
        <v>8732</v>
      </c>
    </row>
    <row r="26093" spans="1:2" x14ac:dyDescent="0.25">
      <c r="A26093">
        <v>55164400919</v>
      </c>
      <c r="B26093" t="s">
        <v>57</v>
      </c>
    </row>
    <row r="26094" spans="1:2" x14ac:dyDescent="0.25">
      <c r="A26094">
        <v>5516440092</v>
      </c>
      <c r="B26094" t="s">
        <v>8506</v>
      </c>
    </row>
    <row r="26095" spans="1:2" x14ac:dyDescent="0.25">
      <c r="A26095">
        <v>55164400921</v>
      </c>
      <c r="B26095" t="s">
        <v>8641</v>
      </c>
    </row>
    <row r="26096" spans="1:2" x14ac:dyDescent="0.25">
      <c r="A26096">
        <v>55164400922</v>
      </c>
      <c r="B26096" t="s">
        <v>8726</v>
      </c>
    </row>
    <row r="26097" spans="1:2" x14ac:dyDescent="0.25">
      <c r="A26097">
        <v>55164400923</v>
      </c>
      <c r="B26097" t="s">
        <v>8727</v>
      </c>
    </row>
    <row r="26098" spans="1:2" x14ac:dyDescent="0.25">
      <c r="A26098">
        <v>55164400924</v>
      </c>
      <c r="B26098" t="s">
        <v>8728</v>
      </c>
    </row>
    <row r="26099" spans="1:2" x14ac:dyDescent="0.25">
      <c r="A26099">
        <v>55164400925</v>
      </c>
      <c r="B26099" t="s">
        <v>8729</v>
      </c>
    </row>
    <row r="26100" spans="1:2" x14ac:dyDescent="0.25">
      <c r="A26100">
        <v>55164400926</v>
      </c>
      <c r="B26100" t="s">
        <v>8730</v>
      </c>
    </row>
    <row r="26101" spans="1:2" x14ac:dyDescent="0.25">
      <c r="A26101">
        <v>55164400927</v>
      </c>
      <c r="B26101" t="s">
        <v>8731</v>
      </c>
    </row>
    <row r="26102" spans="1:2" x14ac:dyDescent="0.25">
      <c r="A26102">
        <v>55164400928</v>
      </c>
      <c r="B26102" t="s">
        <v>8732</v>
      </c>
    </row>
    <row r="26103" spans="1:2" x14ac:dyDescent="0.25">
      <c r="A26103">
        <v>55164400929</v>
      </c>
      <c r="B26103" t="s">
        <v>57</v>
      </c>
    </row>
    <row r="26104" spans="1:2" x14ac:dyDescent="0.25">
      <c r="A26104">
        <v>5516440093</v>
      </c>
      <c r="B26104" t="s">
        <v>8498</v>
      </c>
    </row>
    <row r="26105" spans="1:2" x14ac:dyDescent="0.25">
      <c r="A26105">
        <v>55164400931</v>
      </c>
      <c r="B26105" t="s">
        <v>8641</v>
      </c>
    </row>
    <row r="26106" spans="1:2" x14ac:dyDescent="0.25">
      <c r="A26106">
        <v>55164400932</v>
      </c>
      <c r="B26106" t="s">
        <v>8726</v>
      </c>
    </row>
    <row r="26107" spans="1:2" x14ac:dyDescent="0.25">
      <c r="A26107">
        <v>55164400933</v>
      </c>
      <c r="B26107" t="s">
        <v>8727</v>
      </c>
    </row>
    <row r="26108" spans="1:2" x14ac:dyDescent="0.25">
      <c r="A26108">
        <v>55164400934</v>
      </c>
      <c r="B26108" t="s">
        <v>8728</v>
      </c>
    </row>
    <row r="26109" spans="1:2" x14ac:dyDescent="0.25">
      <c r="A26109">
        <v>55164400935</v>
      </c>
      <c r="B26109" t="s">
        <v>8729</v>
      </c>
    </row>
    <row r="26110" spans="1:2" x14ac:dyDescent="0.25">
      <c r="A26110">
        <v>55164400936</v>
      </c>
      <c r="B26110" t="s">
        <v>8730</v>
      </c>
    </row>
    <row r="26111" spans="1:2" x14ac:dyDescent="0.25">
      <c r="A26111">
        <v>55164400937</v>
      </c>
      <c r="B26111" t="s">
        <v>8731</v>
      </c>
    </row>
    <row r="26112" spans="1:2" x14ac:dyDescent="0.25">
      <c r="A26112">
        <v>55164400938</v>
      </c>
      <c r="B26112" t="s">
        <v>8732</v>
      </c>
    </row>
    <row r="26113" spans="1:2" x14ac:dyDescent="0.25">
      <c r="A26113">
        <v>55164400939</v>
      </c>
      <c r="B26113" t="s">
        <v>57</v>
      </c>
    </row>
    <row r="26114" spans="1:2" x14ac:dyDescent="0.25">
      <c r="A26114">
        <v>5516440099</v>
      </c>
      <c r="B26114" t="s">
        <v>8500</v>
      </c>
    </row>
    <row r="26115" spans="1:2" x14ac:dyDescent="0.25">
      <c r="A26115">
        <v>55164400991</v>
      </c>
      <c r="B26115" t="s">
        <v>8641</v>
      </c>
    </row>
    <row r="26116" spans="1:2" x14ac:dyDescent="0.25">
      <c r="A26116">
        <v>55164400992</v>
      </c>
      <c r="B26116" t="s">
        <v>8726</v>
      </c>
    </row>
    <row r="26117" spans="1:2" x14ac:dyDescent="0.25">
      <c r="A26117">
        <v>55164400993</v>
      </c>
      <c r="B26117" t="s">
        <v>8727</v>
      </c>
    </row>
    <row r="26118" spans="1:2" x14ac:dyDescent="0.25">
      <c r="A26118">
        <v>55164400994</v>
      </c>
      <c r="B26118" t="s">
        <v>8728</v>
      </c>
    </row>
    <row r="26119" spans="1:2" x14ac:dyDescent="0.25">
      <c r="A26119">
        <v>55164400995</v>
      </c>
      <c r="B26119" t="s">
        <v>8729</v>
      </c>
    </row>
    <row r="26120" spans="1:2" x14ac:dyDescent="0.25">
      <c r="A26120">
        <v>55164400996</v>
      </c>
      <c r="B26120" t="s">
        <v>8730</v>
      </c>
    </row>
    <row r="26121" spans="1:2" x14ac:dyDescent="0.25">
      <c r="A26121">
        <v>55164400997</v>
      </c>
      <c r="B26121" t="s">
        <v>8731</v>
      </c>
    </row>
    <row r="26122" spans="1:2" x14ac:dyDescent="0.25">
      <c r="A26122">
        <v>55164400998</v>
      </c>
      <c r="B26122" t="s">
        <v>8732</v>
      </c>
    </row>
    <row r="26123" spans="1:2" x14ac:dyDescent="0.25">
      <c r="A26123">
        <v>55164400999</v>
      </c>
      <c r="B26123" t="s">
        <v>57</v>
      </c>
    </row>
    <row r="26124" spans="1:2" x14ac:dyDescent="0.25">
      <c r="A26124">
        <v>55169</v>
      </c>
      <c r="B26124" t="s">
        <v>28</v>
      </c>
    </row>
    <row r="26125" spans="1:2" x14ac:dyDescent="0.25">
      <c r="A26125">
        <v>55169100000</v>
      </c>
      <c r="B26125" t="e">
        <f>--crudos o Blanqueados</f>
        <v>#NAME?</v>
      </c>
    </row>
    <row r="26126" spans="1:2" x14ac:dyDescent="0.25">
      <c r="A26126">
        <v>55169200000</v>
      </c>
      <c r="B26126" t="e">
        <f>--Teñidos</f>
        <v>#NAME?</v>
      </c>
    </row>
    <row r="26127" spans="1:2" x14ac:dyDescent="0.25">
      <c r="A26127">
        <v>55169300000</v>
      </c>
      <c r="B26127" t="e">
        <f>--Con hilados de distintos colores</f>
        <v>#NAME?</v>
      </c>
    </row>
    <row r="26128" spans="1:2" x14ac:dyDescent="0.25">
      <c r="A26128">
        <v>55169400000</v>
      </c>
      <c r="B26128" t="e">
        <f>--Estampados</f>
        <v>#NAME?</v>
      </c>
    </row>
    <row r="26129" spans="1:2" x14ac:dyDescent="0.25">
      <c r="A26129">
        <v>5601</v>
      </c>
      <c r="B26129" t="s">
        <v>8751</v>
      </c>
    </row>
    <row r="26130" spans="1:2" x14ac:dyDescent="0.25">
      <c r="A26130">
        <v>56012</v>
      </c>
      <c r="B26130" t="s">
        <v>8752</v>
      </c>
    </row>
    <row r="26131" spans="1:2" x14ac:dyDescent="0.25">
      <c r="A26131">
        <v>560121</v>
      </c>
      <c r="B26131" t="e">
        <f>- - de algodon</f>
        <v>#NAME?</v>
      </c>
    </row>
    <row r="26132" spans="1:2" x14ac:dyDescent="0.25">
      <c r="A26132">
        <v>56012110</v>
      </c>
      <c r="B26132" t="s">
        <v>8753</v>
      </c>
    </row>
    <row r="26133" spans="1:2" x14ac:dyDescent="0.25">
      <c r="A26133">
        <v>56012110100</v>
      </c>
      <c r="B26133" t="s">
        <v>6693</v>
      </c>
    </row>
    <row r="26134" spans="1:2" x14ac:dyDescent="0.25">
      <c r="A26134">
        <v>56012110200</v>
      </c>
      <c r="B26134" t="s">
        <v>8754</v>
      </c>
    </row>
    <row r="26135" spans="1:2" x14ac:dyDescent="0.25">
      <c r="A26135">
        <v>56012110900</v>
      </c>
      <c r="B26135" t="s">
        <v>57</v>
      </c>
    </row>
    <row r="26136" spans="1:2" x14ac:dyDescent="0.25">
      <c r="A26136">
        <v>56012190</v>
      </c>
      <c r="B26136" t="s">
        <v>8755</v>
      </c>
    </row>
    <row r="26137" spans="1:2" x14ac:dyDescent="0.25">
      <c r="A26137">
        <v>56012190100</v>
      </c>
      <c r="B26137" t="s">
        <v>8756</v>
      </c>
    </row>
    <row r="26138" spans="1:2" x14ac:dyDescent="0.25">
      <c r="A26138">
        <v>56012190900</v>
      </c>
      <c r="B26138" t="s">
        <v>10</v>
      </c>
    </row>
    <row r="26139" spans="1:2" x14ac:dyDescent="0.25">
      <c r="A26139">
        <v>560122</v>
      </c>
      <c r="B26139" t="e">
        <f>- - de fibras sinteticas o artificiales</f>
        <v>#NAME?</v>
      </c>
    </row>
    <row r="26140" spans="1:2" x14ac:dyDescent="0.25">
      <c r="A26140">
        <v>5601221</v>
      </c>
      <c r="B26140" t="s">
        <v>8753</v>
      </c>
    </row>
    <row r="26141" spans="1:2" x14ac:dyDescent="0.25">
      <c r="A26141">
        <v>56012211</v>
      </c>
      <c r="B26141" t="s">
        <v>8603</v>
      </c>
    </row>
    <row r="26142" spans="1:2" x14ac:dyDescent="0.25">
      <c r="A26142">
        <v>56012211100</v>
      </c>
      <c r="B26142" t="s">
        <v>6693</v>
      </c>
    </row>
    <row r="26143" spans="1:2" x14ac:dyDescent="0.25">
      <c r="A26143">
        <v>56012211200</v>
      </c>
      <c r="B26143" t="s">
        <v>8754</v>
      </c>
    </row>
    <row r="26144" spans="1:2" x14ac:dyDescent="0.25">
      <c r="A26144">
        <v>56012211900</v>
      </c>
      <c r="B26144" t="s">
        <v>57</v>
      </c>
    </row>
    <row r="26145" spans="1:2" x14ac:dyDescent="0.25">
      <c r="A26145">
        <v>56012219</v>
      </c>
      <c r="B26145" t="s">
        <v>57</v>
      </c>
    </row>
    <row r="26146" spans="1:2" x14ac:dyDescent="0.25">
      <c r="A26146">
        <v>56012219100</v>
      </c>
      <c r="B26146" t="s">
        <v>6693</v>
      </c>
    </row>
    <row r="26147" spans="1:2" x14ac:dyDescent="0.25">
      <c r="A26147">
        <v>56012219200</v>
      </c>
      <c r="B26147" t="s">
        <v>8754</v>
      </c>
    </row>
    <row r="26148" spans="1:2" x14ac:dyDescent="0.25">
      <c r="A26148">
        <v>56012219900</v>
      </c>
      <c r="B26148" t="s">
        <v>57</v>
      </c>
    </row>
    <row r="26149" spans="1:2" x14ac:dyDescent="0.25">
      <c r="A26149">
        <v>5601229</v>
      </c>
      <c r="B26149" t="s">
        <v>8755</v>
      </c>
    </row>
    <row r="26150" spans="1:2" x14ac:dyDescent="0.25">
      <c r="A26150">
        <v>56012291000</v>
      </c>
      <c r="B26150" t="s">
        <v>8757</v>
      </c>
    </row>
    <row r="26151" spans="1:2" x14ac:dyDescent="0.25">
      <c r="A26151">
        <v>56012299000</v>
      </c>
      <c r="B26151" t="s">
        <v>10</v>
      </c>
    </row>
    <row r="26152" spans="1:2" x14ac:dyDescent="0.25">
      <c r="A26152">
        <v>56012900000</v>
      </c>
      <c r="B26152" t="e">
        <f>--Los demas</f>
        <v>#NAME?</v>
      </c>
    </row>
    <row r="26153" spans="1:2" x14ac:dyDescent="0.25">
      <c r="A26153">
        <v>560130</v>
      </c>
      <c r="B26153" t="e">
        <f>- Tundizno. nudos y motas de materia textil</f>
        <v>#NAME?</v>
      </c>
    </row>
    <row r="26154" spans="1:2" x14ac:dyDescent="0.25">
      <c r="A26154">
        <v>56013010000</v>
      </c>
      <c r="B26154" t="s">
        <v>8603</v>
      </c>
    </row>
    <row r="26155" spans="1:2" x14ac:dyDescent="0.25">
      <c r="A26155">
        <v>56013090000</v>
      </c>
      <c r="B26155" t="s">
        <v>10</v>
      </c>
    </row>
    <row r="26156" spans="1:2" x14ac:dyDescent="0.25">
      <c r="A26156">
        <v>5602</v>
      </c>
      <c r="B26156" t="s">
        <v>8758</v>
      </c>
    </row>
    <row r="26157" spans="1:2" x14ac:dyDescent="0.25">
      <c r="A26157">
        <v>56021000</v>
      </c>
      <c r="B26157" t="e">
        <f>- fieltro punzonado y Productos obtenidos mediante costura por cadeneta</f>
        <v>#NAME?</v>
      </c>
    </row>
    <row r="26158" spans="1:2" x14ac:dyDescent="0.25">
      <c r="A26158">
        <v>560210001</v>
      </c>
      <c r="B26158" t="s">
        <v>6693</v>
      </c>
    </row>
    <row r="26159" spans="1:2" x14ac:dyDescent="0.25">
      <c r="A26159">
        <v>5602100011</v>
      </c>
      <c r="B26159" t="s">
        <v>8759</v>
      </c>
    </row>
    <row r="26160" spans="1:2" x14ac:dyDescent="0.25">
      <c r="A26160">
        <v>56021000111</v>
      </c>
      <c r="B26160" t="s">
        <v>8760</v>
      </c>
    </row>
    <row r="26161" spans="1:2" x14ac:dyDescent="0.25">
      <c r="A26161">
        <v>56021000112</v>
      </c>
      <c r="B26161" t="s">
        <v>8761</v>
      </c>
    </row>
    <row r="26162" spans="1:2" x14ac:dyDescent="0.25">
      <c r="A26162">
        <v>56021000113</v>
      </c>
      <c r="B26162" t="s">
        <v>8762</v>
      </c>
    </row>
    <row r="26163" spans="1:2" x14ac:dyDescent="0.25">
      <c r="A26163">
        <v>56021000114</v>
      </c>
      <c r="B26163" t="s">
        <v>8763</v>
      </c>
    </row>
    <row r="26164" spans="1:2" x14ac:dyDescent="0.25">
      <c r="A26164">
        <v>56021000115</v>
      </c>
      <c r="B26164" t="s">
        <v>8764</v>
      </c>
    </row>
    <row r="26165" spans="1:2" x14ac:dyDescent="0.25">
      <c r="A26165">
        <v>56021000116</v>
      </c>
      <c r="B26165" t="s">
        <v>8765</v>
      </c>
    </row>
    <row r="26166" spans="1:2" x14ac:dyDescent="0.25">
      <c r="A26166">
        <v>56021000119</v>
      </c>
      <c r="B26166" t="s">
        <v>10</v>
      </c>
    </row>
    <row r="26167" spans="1:2" x14ac:dyDescent="0.25">
      <c r="A26167">
        <v>5602100019</v>
      </c>
      <c r="B26167" t="s">
        <v>10</v>
      </c>
    </row>
    <row r="26168" spans="1:2" x14ac:dyDescent="0.25">
      <c r="A26168">
        <v>56021000191</v>
      </c>
      <c r="B26168" t="s">
        <v>8760</v>
      </c>
    </row>
    <row r="26169" spans="1:2" x14ac:dyDescent="0.25">
      <c r="A26169">
        <v>56021000192</v>
      </c>
      <c r="B26169" t="s">
        <v>8761</v>
      </c>
    </row>
    <row r="26170" spans="1:2" x14ac:dyDescent="0.25">
      <c r="A26170">
        <v>56021000193</v>
      </c>
      <c r="B26170" t="s">
        <v>8762</v>
      </c>
    </row>
    <row r="26171" spans="1:2" x14ac:dyDescent="0.25">
      <c r="A26171">
        <v>56021000194</v>
      </c>
      <c r="B26171" t="s">
        <v>8763</v>
      </c>
    </row>
    <row r="26172" spans="1:2" x14ac:dyDescent="0.25">
      <c r="A26172">
        <v>56021000195</v>
      </c>
      <c r="B26172" t="s">
        <v>8764</v>
      </c>
    </row>
    <row r="26173" spans="1:2" x14ac:dyDescent="0.25">
      <c r="A26173">
        <v>56021000196</v>
      </c>
      <c r="B26173" t="s">
        <v>8765</v>
      </c>
    </row>
    <row r="26174" spans="1:2" x14ac:dyDescent="0.25">
      <c r="A26174">
        <v>56021000199</v>
      </c>
      <c r="B26174" t="s">
        <v>10</v>
      </c>
    </row>
    <row r="26175" spans="1:2" x14ac:dyDescent="0.25">
      <c r="A26175">
        <v>560210002</v>
      </c>
      <c r="B26175" t="s">
        <v>8754</v>
      </c>
    </row>
    <row r="26176" spans="1:2" x14ac:dyDescent="0.25">
      <c r="A26176">
        <v>56021000210</v>
      </c>
      <c r="B26176" t="s">
        <v>8760</v>
      </c>
    </row>
    <row r="26177" spans="1:2" x14ac:dyDescent="0.25">
      <c r="A26177">
        <v>56021000220</v>
      </c>
      <c r="B26177" t="s">
        <v>8761</v>
      </c>
    </row>
    <row r="26178" spans="1:2" x14ac:dyDescent="0.25">
      <c r="A26178">
        <v>56021000230</v>
      </c>
      <c r="B26178" t="s">
        <v>8762</v>
      </c>
    </row>
    <row r="26179" spans="1:2" x14ac:dyDescent="0.25">
      <c r="A26179">
        <v>56021000240</v>
      </c>
      <c r="B26179" t="s">
        <v>8763</v>
      </c>
    </row>
    <row r="26180" spans="1:2" x14ac:dyDescent="0.25">
      <c r="A26180">
        <v>56021000250</v>
      </c>
      <c r="B26180" t="s">
        <v>8764</v>
      </c>
    </row>
    <row r="26181" spans="1:2" x14ac:dyDescent="0.25">
      <c r="A26181">
        <v>56021000260</v>
      </c>
      <c r="B26181" t="s">
        <v>8765</v>
      </c>
    </row>
    <row r="26182" spans="1:2" x14ac:dyDescent="0.25">
      <c r="A26182">
        <v>56021000290</v>
      </c>
      <c r="B26182" t="s">
        <v>10</v>
      </c>
    </row>
    <row r="26183" spans="1:2" x14ac:dyDescent="0.25">
      <c r="A26183">
        <v>560210009</v>
      </c>
      <c r="B26183" t="s">
        <v>57</v>
      </c>
    </row>
    <row r="26184" spans="1:2" x14ac:dyDescent="0.25">
      <c r="A26184">
        <v>56021000910</v>
      </c>
      <c r="B26184" t="s">
        <v>8760</v>
      </c>
    </row>
    <row r="26185" spans="1:2" x14ac:dyDescent="0.25">
      <c r="A26185">
        <v>56021000920</v>
      </c>
      <c r="B26185" t="s">
        <v>8761</v>
      </c>
    </row>
    <row r="26186" spans="1:2" x14ac:dyDescent="0.25">
      <c r="A26186">
        <v>56021000930</v>
      </c>
      <c r="B26186" t="s">
        <v>8762</v>
      </c>
    </row>
    <row r="26187" spans="1:2" x14ac:dyDescent="0.25">
      <c r="A26187">
        <v>56021000940</v>
      </c>
      <c r="B26187" t="s">
        <v>8763</v>
      </c>
    </row>
    <row r="26188" spans="1:2" x14ac:dyDescent="0.25">
      <c r="A26188">
        <v>56021000950</v>
      </c>
      <c r="B26188" t="s">
        <v>8764</v>
      </c>
    </row>
    <row r="26189" spans="1:2" x14ac:dyDescent="0.25">
      <c r="A26189">
        <v>56021000960</v>
      </c>
      <c r="B26189" t="s">
        <v>8765</v>
      </c>
    </row>
    <row r="26190" spans="1:2" x14ac:dyDescent="0.25">
      <c r="A26190">
        <v>56021000990</v>
      </c>
      <c r="B26190" t="s">
        <v>10</v>
      </c>
    </row>
    <row r="26191" spans="1:2" x14ac:dyDescent="0.25">
      <c r="A26191">
        <v>56022</v>
      </c>
      <c r="B26191" t="s">
        <v>8766</v>
      </c>
    </row>
    <row r="26192" spans="1:2" x14ac:dyDescent="0.25">
      <c r="A26192">
        <v>56022100</v>
      </c>
      <c r="B26192" t="e">
        <f>- - de lana o Pelo fino</f>
        <v>#NAME?</v>
      </c>
    </row>
    <row r="26193" spans="1:2" x14ac:dyDescent="0.25">
      <c r="A26193">
        <v>56022100100</v>
      </c>
      <c r="B26193" t="s">
        <v>8760</v>
      </c>
    </row>
    <row r="26194" spans="1:2" x14ac:dyDescent="0.25">
      <c r="A26194">
        <v>56022100200</v>
      </c>
      <c r="B26194" t="s">
        <v>8761</v>
      </c>
    </row>
    <row r="26195" spans="1:2" x14ac:dyDescent="0.25">
      <c r="A26195">
        <v>56022100300</v>
      </c>
      <c r="B26195" t="s">
        <v>8762</v>
      </c>
    </row>
    <row r="26196" spans="1:2" x14ac:dyDescent="0.25">
      <c r="A26196">
        <v>56022100400</v>
      </c>
      <c r="B26196" t="s">
        <v>8763</v>
      </c>
    </row>
    <row r="26197" spans="1:2" x14ac:dyDescent="0.25">
      <c r="A26197">
        <v>56022100500</v>
      </c>
      <c r="B26197" t="s">
        <v>8764</v>
      </c>
    </row>
    <row r="26198" spans="1:2" x14ac:dyDescent="0.25">
      <c r="A26198">
        <v>56022100600</v>
      </c>
      <c r="B26198" t="s">
        <v>8765</v>
      </c>
    </row>
    <row r="26199" spans="1:2" x14ac:dyDescent="0.25">
      <c r="A26199">
        <v>56022100900</v>
      </c>
      <c r="B26199" t="s">
        <v>10</v>
      </c>
    </row>
    <row r="26200" spans="1:2" x14ac:dyDescent="0.25">
      <c r="A26200">
        <v>56022900</v>
      </c>
      <c r="B26200" t="e">
        <f>- - de las demas materias textiles</f>
        <v>#NAME?</v>
      </c>
    </row>
    <row r="26201" spans="1:2" x14ac:dyDescent="0.25">
      <c r="A26201">
        <v>56022900100</v>
      </c>
      <c r="B26201" t="s">
        <v>8767</v>
      </c>
    </row>
    <row r="26202" spans="1:2" x14ac:dyDescent="0.25">
      <c r="A26202">
        <v>56022900200</v>
      </c>
      <c r="B26202" t="s">
        <v>8761</v>
      </c>
    </row>
    <row r="26203" spans="1:2" x14ac:dyDescent="0.25">
      <c r="A26203">
        <v>56022900300</v>
      </c>
      <c r="B26203" t="s">
        <v>8762</v>
      </c>
    </row>
    <row r="26204" spans="1:2" x14ac:dyDescent="0.25">
      <c r="A26204">
        <v>56022900400</v>
      </c>
      <c r="B26204" t="s">
        <v>8763</v>
      </c>
    </row>
    <row r="26205" spans="1:2" x14ac:dyDescent="0.25">
      <c r="A26205">
        <v>56022900500</v>
      </c>
      <c r="B26205" t="s">
        <v>8764</v>
      </c>
    </row>
    <row r="26206" spans="1:2" x14ac:dyDescent="0.25">
      <c r="A26206">
        <v>56022900600</v>
      </c>
      <c r="B26206" t="s">
        <v>8765</v>
      </c>
    </row>
    <row r="26207" spans="1:2" x14ac:dyDescent="0.25">
      <c r="A26207">
        <v>56022900900</v>
      </c>
      <c r="B26207" t="s">
        <v>10</v>
      </c>
    </row>
    <row r="26208" spans="1:2" x14ac:dyDescent="0.25">
      <c r="A26208">
        <v>56029000</v>
      </c>
      <c r="B26208" t="e">
        <f>- Los demas</f>
        <v>#NAME?</v>
      </c>
    </row>
    <row r="26209" spans="1:2" x14ac:dyDescent="0.25">
      <c r="A26209">
        <v>560290001</v>
      </c>
      <c r="B26209" t="s">
        <v>6693</v>
      </c>
    </row>
    <row r="26210" spans="1:2" x14ac:dyDescent="0.25">
      <c r="A26210">
        <v>56029000110</v>
      </c>
      <c r="B26210" t="s">
        <v>8760</v>
      </c>
    </row>
    <row r="26211" spans="1:2" x14ac:dyDescent="0.25">
      <c r="A26211">
        <v>56029000120</v>
      </c>
      <c r="B26211" t="s">
        <v>8761</v>
      </c>
    </row>
    <row r="26212" spans="1:2" x14ac:dyDescent="0.25">
      <c r="A26212">
        <v>56029000130</v>
      </c>
      <c r="B26212" t="s">
        <v>8762</v>
      </c>
    </row>
    <row r="26213" spans="1:2" x14ac:dyDescent="0.25">
      <c r="A26213">
        <v>56029000140</v>
      </c>
      <c r="B26213" t="s">
        <v>8763</v>
      </c>
    </row>
    <row r="26214" spans="1:2" x14ac:dyDescent="0.25">
      <c r="A26214">
        <v>56029000150</v>
      </c>
      <c r="B26214" t="s">
        <v>8764</v>
      </c>
    </row>
    <row r="26215" spans="1:2" x14ac:dyDescent="0.25">
      <c r="A26215">
        <v>56029000160</v>
      </c>
      <c r="B26215" t="s">
        <v>8765</v>
      </c>
    </row>
    <row r="26216" spans="1:2" x14ac:dyDescent="0.25">
      <c r="A26216">
        <v>56029000190</v>
      </c>
      <c r="B26216" t="s">
        <v>10</v>
      </c>
    </row>
    <row r="26217" spans="1:2" x14ac:dyDescent="0.25">
      <c r="A26217">
        <v>560290002</v>
      </c>
      <c r="B26217" t="s">
        <v>8754</v>
      </c>
    </row>
    <row r="26218" spans="1:2" x14ac:dyDescent="0.25">
      <c r="A26218">
        <v>56029000210</v>
      </c>
      <c r="B26218" t="s">
        <v>8760</v>
      </c>
    </row>
    <row r="26219" spans="1:2" x14ac:dyDescent="0.25">
      <c r="A26219">
        <v>56029000220</v>
      </c>
      <c r="B26219" t="s">
        <v>8761</v>
      </c>
    </row>
    <row r="26220" spans="1:2" x14ac:dyDescent="0.25">
      <c r="A26220">
        <v>56029000230</v>
      </c>
      <c r="B26220" t="s">
        <v>8762</v>
      </c>
    </row>
    <row r="26221" spans="1:2" x14ac:dyDescent="0.25">
      <c r="A26221">
        <v>56029000240</v>
      </c>
      <c r="B26221" t="s">
        <v>8763</v>
      </c>
    </row>
    <row r="26222" spans="1:2" x14ac:dyDescent="0.25">
      <c r="A26222">
        <v>56029000250</v>
      </c>
      <c r="B26222" t="s">
        <v>8764</v>
      </c>
    </row>
    <row r="26223" spans="1:2" x14ac:dyDescent="0.25">
      <c r="A26223">
        <v>56029000260</v>
      </c>
      <c r="B26223" t="s">
        <v>8765</v>
      </c>
    </row>
    <row r="26224" spans="1:2" x14ac:dyDescent="0.25">
      <c r="A26224">
        <v>56029000290</v>
      </c>
      <c r="B26224" t="s">
        <v>10</v>
      </c>
    </row>
    <row r="26225" spans="1:2" x14ac:dyDescent="0.25">
      <c r="A26225">
        <v>560290009</v>
      </c>
      <c r="B26225" t="s">
        <v>57</v>
      </c>
    </row>
    <row r="26226" spans="1:2" x14ac:dyDescent="0.25">
      <c r="A26226">
        <v>56029000910</v>
      </c>
      <c r="B26226" t="s">
        <v>8760</v>
      </c>
    </row>
    <row r="26227" spans="1:2" x14ac:dyDescent="0.25">
      <c r="A26227">
        <v>56029000920</v>
      </c>
      <c r="B26227" t="s">
        <v>8761</v>
      </c>
    </row>
    <row r="26228" spans="1:2" x14ac:dyDescent="0.25">
      <c r="A26228">
        <v>56029000930</v>
      </c>
      <c r="B26228" t="s">
        <v>8762</v>
      </c>
    </row>
    <row r="26229" spans="1:2" x14ac:dyDescent="0.25">
      <c r="A26229">
        <v>56029000940</v>
      </c>
      <c r="B26229" t="s">
        <v>8763</v>
      </c>
    </row>
    <row r="26230" spans="1:2" x14ac:dyDescent="0.25">
      <c r="A26230">
        <v>56029000950</v>
      </c>
      <c r="B26230" t="s">
        <v>8764</v>
      </c>
    </row>
    <row r="26231" spans="1:2" x14ac:dyDescent="0.25">
      <c r="A26231">
        <v>56029000960</v>
      </c>
      <c r="B26231" t="s">
        <v>8765</v>
      </c>
    </row>
    <row r="26232" spans="1:2" x14ac:dyDescent="0.25">
      <c r="A26232">
        <v>56029000990</v>
      </c>
      <c r="B26232" t="s">
        <v>10</v>
      </c>
    </row>
    <row r="26233" spans="1:2" x14ac:dyDescent="0.25">
      <c r="A26233">
        <v>5603</v>
      </c>
      <c r="B26233" t="s">
        <v>8768</v>
      </c>
    </row>
    <row r="26234" spans="1:2" x14ac:dyDescent="0.25">
      <c r="A26234">
        <v>56031</v>
      </c>
      <c r="B26234" t="s">
        <v>8769</v>
      </c>
    </row>
    <row r="26235" spans="1:2" x14ac:dyDescent="0.25">
      <c r="A26235">
        <v>560311</v>
      </c>
      <c r="B26235" t="s">
        <v>8770</v>
      </c>
    </row>
    <row r="26236" spans="1:2" x14ac:dyDescent="0.25">
      <c r="A26236">
        <v>56031110000</v>
      </c>
      <c r="B26236" t="s">
        <v>8603</v>
      </c>
    </row>
    <row r="26237" spans="1:2" x14ac:dyDescent="0.25">
      <c r="A26237">
        <v>56031120000</v>
      </c>
      <c r="B26237" t="s">
        <v>6664</v>
      </c>
    </row>
    <row r="26238" spans="1:2" x14ac:dyDescent="0.25">
      <c r="A26238">
        <v>56031130000</v>
      </c>
      <c r="B26238" t="s">
        <v>5414</v>
      </c>
    </row>
    <row r="26239" spans="1:2" x14ac:dyDescent="0.25">
      <c r="A26239">
        <v>56031140000</v>
      </c>
      <c r="B26239" t="s">
        <v>8581</v>
      </c>
    </row>
    <row r="26240" spans="1:2" x14ac:dyDescent="0.25">
      <c r="A26240">
        <v>56031190</v>
      </c>
      <c r="B26240" t="s">
        <v>57</v>
      </c>
    </row>
    <row r="26241" spans="1:2" x14ac:dyDescent="0.25">
      <c r="A26241">
        <v>560311901</v>
      </c>
      <c r="B26241" t="s">
        <v>8771</v>
      </c>
    </row>
    <row r="26242" spans="1:2" x14ac:dyDescent="0.25">
      <c r="A26242">
        <v>56031190110</v>
      </c>
      <c r="B26242" t="s">
        <v>8577</v>
      </c>
    </row>
    <row r="26243" spans="1:2" x14ac:dyDescent="0.25">
      <c r="A26243">
        <v>56031190190</v>
      </c>
      <c r="B26243" t="s">
        <v>57</v>
      </c>
    </row>
    <row r="26244" spans="1:2" x14ac:dyDescent="0.25">
      <c r="A26244">
        <v>56031190200</v>
      </c>
      <c r="B26244" t="s">
        <v>8772</v>
      </c>
    </row>
    <row r="26245" spans="1:2" x14ac:dyDescent="0.25">
      <c r="A26245">
        <v>560312</v>
      </c>
      <c r="B26245" t="s">
        <v>8773</v>
      </c>
    </row>
    <row r="26246" spans="1:2" x14ac:dyDescent="0.25">
      <c r="A26246">
        <v>56031210000</v>
      </c>
      <c r="B26246" t="s">
        <v>8774</v>
      </c>
    </row>
    <row r="26247" spans="1:2" x14ac:dyDescent="0.25">
      <c r="A26247">
        <v>56031220000</v>
      </c>
      <c r="B26247" t="s">
        <v>8603</v>
      </c>
    </row>
    <row r="26248" spans="1:2" x14ac:dyDescent="0.25">
      <c r="A26248">
        <v>56031230</v>
      </c>
      <c r="B26248" t="s">
        <v>5932</v>
      </c>
    </row>
    <row r="26249" spans="1:2" x14ac:dyDescent="0.25">
      <c r="A26249">
        <v>56031230100</v>
      </c>
      <c r="B26249" t="s">
        <v>8775</v>
      </c>
    </row>
    <row r="26250" spans="1:2" x14ac:dyDescent="0.25">
      <c r="A26250">
        <v>560312302</v>
      </c>
      <c r="B26250" t="s">
        <v>8754</v>
      </c>
    </row>
    <row r="26251" spans="1:2" x14ac:dyDescent="0.25">
      <c r="A26251">
        <v>56031230210</v>
      </c>
      <c r="B26251" t="s">
        <v>8776</v>
      </c>
    </row>
    <row r="26252" spans="1:2" x14ac:dyDescent="0.25">
      <c r="A26252">
        <v>56031230290</v>
      </c>
      <c r="B26252" t="s">
        <v>57</v>
      </c>
    </row>
    <row r="26253" spans="1:2" x14ac:dyDescent="0.25">
      <c r="A26253">
        <v>56031230900</v>
      </c>
      <c r="B26253" t="s">
        <v>57</v>
      </c>
    </row>
    <row r="26254" spans="1:2" x14ac:dyDescent="0.25">
      <c r="A26254">
        <v>56031240</v>
      </c>
      <c r="B26254" t="s">
        <v>5414</v>
      </c>
    </row>
    <row r="26255" spans="1:2" x14ac:dyDescent="0.25">
      <c r="A26255">
        <v>56031240100</v>
      </c>
      <c r="B26255" t="s">
        <v>8775</v>
      </c>
    </row>
    <row r="26256" spans="1:2" x14ac:dyDescent="0.25">
      <c r="A26256">
        <v>560312402</v>
      </c>
      <c r="B26256" t="s">
        <v>8754</v>
      </c>
    </row>
    <row r="26257" spans="1:2" x14ac:dyDescent="0.25">
      <c r="A26257">
        <v>56031240210</v>
      </c>
      <c r="B26257" t="s">
        <v>7964</v>
      </c>
    </row>
    <row r="26258" spans="1:2" x14ac:dyDescent="0.25">
      <c r="A26258">
        <v>56031240290</v>
      </c>
      <c r="B26258" t="s">
        <v>57</v>
      </c>
    </row>
    <row r="26259" spans="1:2" x14ac:dyDescent="0.25">
      <c r="A26259">
        <v>56031240900</v>
      </c>
      <c r="B26259" t="s">
        <v>57</v>
      </c>
    </row>
    <row r="26260" spans="1:2" x14ac:dyDescent="0.25">
      <c r="A26260">
        <v>56031250</v>
      </c>
      <c r="B26260" t="s">
        <v>8581</v>
      </c>
    </row>
    <row r="26261" spans="1:2" x14ac:dyDescent="0.25">
      <c r="A26261">
        <v>56031250100</v>
      </c>
      <c r="B26261" t="s">
        <v>8775</v>
      </c>
    </row>
    <row r="26262" spans="1:2" x14ac:dyDescent="0.25">
      <c r="A26262">
        <v>560312502</v>
      </c>
      <c r="B26262" t="s">
        <v>8754</v>
      </c>
    </row>
    <row r="26263" spans="1:2" x14ac:dyDescent="0.25">
      <c r="A26263">
        <v>56031250210</v>
      </c>
      <c r="B26263" t="s">
        <v>7964</v>
      </c>
    </row>
    <row r="26264" spans="1:2" x14ac:dyDescent="0.25">
      <c r="A26264">
        <v>56031250290</v>
      </c>
      <c r="B26264" t="s">
        <v>57</v>
      </c>
    </row>
    <row r="26265" spans="1:2" x14ac:dyDescent="0.25">
      <c r="A26265">
        <v>56031250900</v>
      </c>
      <c r="B26265" t="s">
        <v>57</v>
      </c>
    </row>
    <row r="26266" spans="1:2" x14ac:dyDescent="0.25">
      <c r="A26266">
        <v>56031290</v>
      </c>
      <c r="B26266" t="s">
        <v>57</v>
      </c>
    </row>
    <row r="26267" spans="1:2" x14ac:dyDescent="0.25">
      <c r="A26267">
        <v>560312901</v>
      </c>
      <c r="B26267" t="s">
        <v>8775</v>
      </c>
    </row>
    <row r="26268" spans="1:2" x14ac:dyDescent="0.25">
      <c r="A26268">
        <v>56031290110</v>
      </c>
      <c r="B26268" t="s">
        <v>8577</v>
      </c>
    </row>
    <row r="26269" spans="1:2" x14ac:dyDescent="0.25">
      <c r="A26269">
        <v>56031290190</v>
      </c>
      <c r="B26269" t="s">
        <v>57</v>
      </c>
    </row>
    <row r="26270" spans="1:2" x14ac:dyDescent="0.25">
      <c r="A26270">
        <v>560312902</v>
      </c>
      <c r="B26270" t="s">
        <v>8754</v>
      </c>
    </row>
    <row r="26271" spans="1:2" x14ac:dyDescent="0.25">
      <c r="A26271">
        <v>5603129021</v>
      </c>
      <c r="B26271" t="s">
        <v>7964</v>
      </c>
    </row>
    <row r="26272" spans="1:2" x14ac:dyDescent="0.25">
      <c r="A26272">
        <v>56031290211</v>
      </c>
      <c r="B26272" t="s">
        <v>8577</v>
      </c>
    </row>
    <row r="26273" spans="1:2" x14ac:dyDescent="0.25">
      <c r="A26273">
        <v>56031290219</v>
      </c>
      <c r="B26273" t="s">
        <v>57</v>
      </c>
    </row>
    <row r="26274" spans="1:2" x14ac:dyDescent="0.25">
      <c r="A26274">
        <v>5603129029</v>
      </c>
      <c r="B26274" t="s">
        <v>57</v>
      </c>
    </row>
    <row r="26275" spans="1:2" x14ac:dyDescent="0.25">
      <c r="A26275">
        <v>56031290291</v>
      </c>
      <c r="B26275" t="s">
        <v>8577</v>
      </c>
    </row>
    <row r="26276" spans="1:2" x14ac:dyDescent="0.25">
      <c r="A26276">
        <v>56031290299</v>
      </c>
      <c r="B26276" t="s">
        <v>57</v>
      </c>
    </row>
    <row r="26277" spans="1:2" x14ac:dyDescent="0.25">
      <c r="A26277">
        <v>560312909</v>
      </c>
      <c r="B26277" t="s">
        <v>57</v>
      </c>
    </row>
    <row r="26278" spans="1:2" x14ac:dyDescent="0.25">
      <c r="A26278">
        <v>5603129091</v>
      </c>
      <c r="B26278" t="s">
        <v>8771</v>
      </c>
    </row>
    <row r="26279" spans="1:2" x14ac:dyDescent="0.25">
      <c r="A26279">
        <v>56031290911</v>
      </c>
      <c r="B26279" t="s">
        <v>8577</v>
      </c>
    </row>
    <row r="26280" spans="1:2" x14ac:dyDescent="0.25">
      <c r="A26280">
        <v>56031290919</v>
      </c>
      <c r="B26280" t="s">
        <v>57</v>
      </c>
    </row>
    <row r="26281" spans="1:2" x14ac:dyDescent="0.25">
      <c r="A26281">
        <v>56031290920</v>
      </c>
      <c r="B26281" t="s">
        <v>8772</v>
      </c>
    </row>
    <row r="26282" spans="1:2" x14ac:dyDescent="0.25">
      <c r="A26282">
        <v>560313</v>
      </c>
      <c r="B26282" t="s">
        <v>8777</v>
      </c>
    </row>
    <row r="26283" spans="1:2" x14ac:dyDescent="0.25">
      <c r="A26283">
        <v>56031310000</v>
      </c>
      <c r="B26283" t="s">
        <v>8774</v>
      </c>
    </row>
    <row r="26284" spans="1:2" x14ac:dyDescent="0.25">
      <c r="A26284">
        <v>56031320000</v>
      </c>
      <c r="B26284" t="s">
        <v>8603</v>
      </c>
    </row>
    <row r="26285" spans="1:2" x14ac:dyDescent="0.25">
      <c r="A26285">
        <v>56031330</v>
      </c>
      <c r="B26285" t="s">
        <v>5932</v>
      </c>
    </row>
    <row r="26286" spans="1:2" x14ac:dyDescent="0.25">
      <c r="A26286">
        <v>560313301</v>
      </c>
      <c r="B26286" t="s">
        <v>8775</v>
      </c>
    </row>
    <row r="26287" spans="1:2" x14ac:dyDescent="0.25">
      <c r="A26287">
        <v>56031330110</v>
      </c>
      <c r="B26287" t="s">
        <v>8778</v>
      </c>
    </row>
    <row r="26288" spans="1:2" x14ac:dyDescent="0.25">
      <c r="A26288">
        <v>56031330190</v>
      </c>
      <c r="B26288" t="s">
        <v>57</v>
      </c>
    </row>
    <row r="26289" spans="1:2" x14ac:dyDescent="0.25">
      <c r="A26289">
        <v>560313302</v>
      </c>
      <c r="B26289" t="s">
        <v>8754</v>
      </c>
    </row>
    <row r="26290" spans="1:2" x14ac:dyDescent="0.25">
      <c r="A26290">
        <v>56031330210</v>
      </c>
      <c r="B26290" t="s">
        <v>7964</v>
      </c>
    </row>
    <row r="26291" spans="1:2" x14ac:dyDescent="0.25">
      <c r="A26291">
        <v>56031330290</v>
      </c>
      <c r="B26291" t="s">
        <v>57</v>
      </c>
    </row>
    <row r="26292" spans="1:2" x14ac:dyDescent="0.25">
      <c r="A26292">
        <v>56031330900</v>
      </c>
      <c r="B26292" t="s">
        <v>57</v>
      </c>
    </row>
    <row r="26293" spans="1:2" x14ac:dyDescent="0.25">
      <c r="A26293">
        <v>56031340</v>
      </c>
      <c r="B26293" t="s">
        <v>5414</v>
      </c>
    </row>
    <row r="26294" spans="1:2" x14ac:dyDescent="0.25">
      <c r="A26294">
        <v>560313401</v>
      </c>
      <c r="B26294" t="s">
        <v>8775</v>
      </c>
    </row>
    <row r="26295" spans="1:2" x14ac:dyDescent="0.25">
      <c r="A26295">
        <v>56031340110</v>
      </c>
      <c r="B26295" t="s">
        <v>8778</v>
      </c>
    </row>
    <row r="26296" spans="1:2" x14ac:dyDescent="0.25">
      <c r="A26296">
        <v>56031340190</v>
      </c>
      <c r="B26296" t="s">
        <v>57</v>
      </c>
    </row>
    <row r="26297" spans="1:2" x14ac:dyDescent="0.25">
      <c r="A26297">
        <v>560313402</v>
      </c>
      <c r="B26297" t="s">
        <v>8754</v>
      </c>
    </row>
    <row r="26298" spans="1:2" x14ac:dyDescent="0.25">
      <c r="A26298">
        <v>56031340210</v>
      </c>
      <c r="B26298" t="s">
        <v>7964</v>
      </c>
    </row>
    <row r="26299" spans="1:2" x14ac:dyDescent="0.25">
      <c r="A26299">
        <v>56031340290</v>
      </c>
      <c r="B26299" t="s">
        <v>57</v>
      </c>
    </row>
    <row r="26300" spans="1:2" x14ac:dyDescent="0.25">
      <c r="A26300">
        <v>56031340900</v>
      </c>
      <c r="B26300" t="s">
        <v>57</v>
      </c>
    </row>
    <row r="26301" spans="1:2" x14ac:dyDescent="0.25">
      <c r="A26301">
        <v>56031350</v>
      </c>
      <c r="B26301" t="s">
        <v>8581</v>
      </c>
    </row>
    <row r="26302" spans="1:2" x14ac:dyDescent="0.25">
      <c r="A26302">
        <v>560313501</v>
      </c>
      <c r="B26302" t="s">
        <v>8779</v>
      </c>
    </row>
    <row r="26303" spans="1:2" x14ac:dyDescent="0.25">
      <c r="A26303">
        <v>56031350110</v>
      </c>
      <c r="B26303" t="s">
        <v>8778</v>
      </c>
    </row>
    <row r="26304" spans="1:2" x14ac:dyDescent="0.25">
      <c r="A26304">
        <v>56031350190</v>
      </c>
      <c r="B26304" t="s">
        <v>57</v>
      </c>
    </row>
    <row r="26305" spans="1:2" x14ac:dyDescent="0.25">
      <c r="A26305">
        <v>560313502</v>
      </c>
      <c r="B26305" t="s">
        <v>8754</v>
      </c>
    </row>
    <row r="26306" spans="1:2" x14ac:dyDescent="0.25">
      <c r="A26306">
        <v>56031350210</v>
      </c>
      <c r="B26306" t="s">
        <v>7964</v>
      </c>
    </row>
    <row r="26307" spans="1:2" x14ac:dyDescent="0.25">
      <c r="A26307">
        <v>56031350290</v>
      </c>
      <c r="B26307" t="s">
        <v>57</v>
      </c>
    </row>
    <row r="26308" spans="1:2" x14ac:dyDescent="0.25">
      <c r="A26308">
        <v>56031350900</v>
      </c>
      <c r="B26308" t="s">
        <v>57</v>
      </c>
    </row>
    <row r="26309" spans="1:2" x14ac:dyDescent="0.25">
      <c r="A26309">
        <v>56031390</v>
      </c>
      <c r="B26309" t="s">
        <v>57</v>
      </c>
    </row>
    <row r="26310" spans="1:2" x14ac:dyDescent="0.25">
      <c r="A26310">
        <v>560313901</v>
      </c>
      <c r="B26310" t="s">
        <v>8775</v>
      </c>
    </row>
    <row r="26311" spans="1:2" x14ac:dyDescent="0.25">
      <c r="A26311">
        <v>5603139011</v>
      </c>
      <c r="B26311" t="s">
        <v>8778</v>
      </c>
    </row>
    <row r="26312" spans="1:2" x14ac:dyDescent="0.25">
      <c r="A26312">
        <v>56031390111</v>
      </c>
      <c r="B26312" t="s">
        <v>8577</v>
      </c>
    </row>
    <row r="26313" spans="1:2" x14ac:dyDescent="0.25">
      <c r="A26313">
        <v>56031390119</v>
      </c>
      <c r="B26313" t="s">
        <v>57</v>
      </c>
    </row>
    <row r="26314" spans="1:2" x14ac:dyDescent="0.25">
      <c r="A26314">
        <v>5603139019</v>
      </c>
      <c r="B26314" t="s">
        <v>57</v>
      </c>
    </row>
    <row r="26315" spans="1:2" x14ac:dyDescent="0.25">
      <c r="A26315">
        <v>56031390191</v>
      </c>
      <c r="B26315" t="s">
        <v>8577</v>
      </c>
    </row>
    <row r="26316" spans="1:2" x14ac:dyDescent="0.25">
      <c r="A26316">
        <v>56031390199</v>
      </c>
      <c r="B26316" t="s">
        <v>57</v>
      </c>
    </row>
    <row r="26317" spans="1:2" x14ac:dyDescent="0.25">
      <c r="A26317">
        <v>560313902</v>
      </c>
      <c r="B26317" t="s">
        <v>8754</v>
      </c>
    </row>
    <row r="26318" spans="1:2" x14ac:dyDescent="0.25">
      <c r="A26318">
        <v>5603139021</v>
      </c>
      <c r="B26318" t="s">
        <v>7964</v>
      </c>
    </row>
    <row r="26319" spans="1:2" x14ac:dyDescent="0.25">
      <c r="A26319">
        <v>56031390211</v>
      </c>
      <c r="B26319" t="s">
        <v>8577</v>
      </c>
    </row>
    <row r="26320" spans="1:2" x14ac:dyDescent="0.25">
      <c r="A26320">
        <v>56031390219</v>
      </c>
      <c r="B26320" t="s">
        <v>57</v>
      </c>
    </row>
    <row r="26321" spans="1:2" x14ac:dyDescent="0.25">
      <c r="A26321">
        <v>5603139029</v>
      </c>
      <c r="B26321" t="s">
        <v>57</v>
      </c>
    </row>
    <row r="26322" spans="1:2" x14ac:dyDescent="0.25">
      <c r="A26322">
        <v>56031390291</v>
      </c>
      <c r="B26322" t="s">
        <v>8577</v>
      </c>
    </row>
    <row r="26323" spans="1:2" x14ac:dyDescent="0.25">
      <c r="A26323">
        <v>56031390299</v>
      </c>
      <c r="B26323" t="s">
        <v>57</v>
      </c>
    </row>
    <row r="26324" spans="1:2" x14ac:dyDescent="0.25">
      <c r="A26324">
        <v>560313909</v>
      </c>
      <c r="B26324" t="s">
        <v>57</v>
      </c>
    </row>
    <row r="26325" spans="1:2" x14ac:dyDescent="0.25">
      <c r="A26325">
        <v>5603139091</v>
      </c>
      <c r="B26325" t="s">
        <v>8771</v>
      </c>
    </row>
    <row r="26326" spans="1:2" x14ac:dyDescent="0.25">
      <c r="A26326">
        <v>56031390911</v>
      </c>
      <c r="B26326" t="s">
        <v>8577</v>
      </c>
    </row>
    <row r="26327" spans="1:2" x14ac:dyDescent="0.25">
      <c r="A26327">
        <v>56031390919</v>
      </c>
      <c r="B26327" t="s">
        <v>57</v>
      </c>
    </row>
    <row r="26328" spans="1:2" x14ac:dyDescent="0.25">
      <c r="A26328">
        <v>56031390920</v>
      </c>
      <c r="B26328" t="s">
        <v>8772</v>
      </c>
    </row>
    <row r="26329" spans="1:2" x14ac:dyDescent="0.25">
      <c r="A26329">
        <v>560314</v>
      </c>
      <c r="B26329" t="s">
        <v>7987</v>
      </c>
    </row>
    <row r="26330" spans="1:2" x14ac:dyDescent="0.25">
      <c r="A26330">
        <v>56031410000</v>
      </c>
      <c r="B26330" t="s">
        <v>8603</v>
      </c>
    </row>
    <row r="26331" spans="1:2" x14ac:dyDescent="0.25">
      <c r="A26331">
        <v>56031420</v>
      </c>
      <c r="B26331" t="s">
        <v>5932</v>
      </c>
    </row>
    <row r="26332" spans="1:2" x14ac:dyDescent="0.25">
      <c r="A26332">
        <v>560314201</v>
      </c>
      <c r="B26332" t="s">
        <v>8780</v>
      </c>
    </row>
    <row r="26333" spans="1:2" x14ac:dyDescent="0.25">
      <c r="A26333">
        <v>56031420110</v>
      </c>
      <c r="B26333" t="s">
        <v>8778</v>
      </c>
    </row>
    <row r="26334" spans="1:2" x14ac:dyDescent="0.25">
      <c r="A26334">
        <v>56031420190</v>
      </c>
      <c r="B26334" t="s">
        <v>57</v>
      </c>
    </row>
    <row r="26335" spans="1:2" x14ac:dyDescent="0.25">
      <c r="A26335">
        <v>560314202</v>
      </c>
      <c r="B26335" t="s">
        <v>8754</v>
      </c>
    </row>
    <row r="26336" spans="1:2" x14ac:dyDescent="0.25">
      <c r="A26336">
        <v>56031420210</v>
      </c>
      <c r="B26336" t="s">
        <v>7964</v>
      </c>
    </row>
    <row r="26337" spans="1:2" x14ac:dyDescent="0.25">
      <c r="A26337">
        <v>56031420290</v>
      </c>
      <c r="B26337" t="s">
        <v>57</v>
      </c>
    </row>
    <row r="26338" spans="1:2" x14ac:dyDescent="0.25">
      <c r="A26338">
        <v>56031420900</v>
      </c>
      <c r="B26338" t="s">
        <v>57</v>
      </c>
    </row>
    <row r="26339" spans="1:2" x14ac:dyDescent="0.25">
      <c r="A26339">
        <v>56031430</v>
      </c>
      <c r="B26339" t="s">
        <v>5414</v>
      </c>
    </row>
    <row r="26340" spans="1:2" x14ac:dyDescent="0.25">
      <c r="A26340">
        <v>560314301</v>
      </c>
      <c r="B26340" t="s">
        <v>8775</v>
      </c>
    </row>
    <row r="26341" spans="1:2" x14ac:dyDescent="0.25">
      <c r="A26341">
        <v>56031430110</v>
      </c>
      <c r="B26341" t="s">
        <v>8778</v>
      </c>
    </row>
    <row r="26342" spans="1:2" x14ac:dyDescent="0.25">
      <c r="A26342">
        <v>56031430190</v>
      </c>
      <c r="B26342" t="s">
        <v>57</v>
      </c>
    </row>
    <row r="26343" spans="1:2" x14ac:dyDescent="0.25">
      <c r="A26343">
        <v>560314302</v>
      </c>
      <c r="B26343" t="s">
        <v>8754</v>
      </c>
    </row>
    <row r="26344" spans="1:2" x14ac:dyDescent="0.25">
      <c r="A26344">
        <v>56031430210</v>
      </c>
      <c r="B26344" t="s">
        <v>7964</v>
      </c>
    </row>
    <row r="26345" spans="1:2" x14ac:dyDescent="0.25">
      <c r="A26345">
        <v>56031430290</v>
      </c>
      <c r="B26345" t="s">
        <v>57</v>
      </c>
    </row>
    <row r="26346" spans="1:2" x14ac:dyDescent="0.25">
      <c r="A26346">
        <v>56031430900</v>
      </c>
      <c r="B26346" t="s">
        <v>57</v>
      </c>
    </row>
    <row r="26347" spans="1:2" x14ac:dyDescent="0.25">
      <c r="A26347">
        <v>56031440</v>
      </c>
      <c r="B26347" t="s">
        <v>8581</v>
      </c>
    </row>
    <row r="26348" spans="1:2" x14ac:dyDescent="0.25">
      <c r="A26348">
        <v>560314401</v>
      </c>
      <c r="B26348" t="s">
        <v>8775</v>
      </c>
    </row>
    <row r="26349" spans="1:2" x14ac:dyDescent="0.25">
      <c r="A26349">
        <v>56031440110</v>
      </c>
      <c r="B26349" t="s">
        <v>8778</v>
      </c>
    </row>
    <row r="26350" spans="1:2" x14ac:dyDescent="0.25">
      <c r="A26350">
        <v>56031440190</v>
      </c>
      <c r="B26350" t="s">
        <v>57</v>
      </c>
    </row>
    <row r="26351" spans="1:2" x14ac:dyDescent="0.25">
      <c r="A26351">
        <v>560314402</v>
      </c>
      <c r="B26351" t="s">
        <v>8754</v>
      </c>
    </row>
    <row r="26352" spans="1:2" x14ac:dyDescent="0.25">
      <c r="A26352">
        <v>56031440210</v>
      </c>
      <c r="B26352" t="s">
        <v>7964</v>
      </c>
    </row>
    <row r="26353" spans="1:2" x14ac:dyDescent="0.25">
      <c r="A26353">
        <v>56031440290</v>
      </c>
      <c r="B26353" t="s">
        <v>57</v>
      </c>
    </row>
    <row r="26354" spans="1:2" x14ac:dyDescent="0.25">
      <c r="A26354">
        <v>56031440900</v>
      </c>
      <c r="B26354" t="s">
        <v>57</v>
      </c>
    </row>
    <row r="26355" spans="1:2" x14ac:dyDescent="0.25">
      <c r="A26355">
        <v>56031490</v>
      </c>
      <c r="B26355" t="s">
        <v>57</v>
      </c>
    </row>
    <row r="26356" spans="1:2" x14ac:dyDescent="0.25">
      <c r="A26356">
        <v>560314901</v>
      </c>
      <c r="B26356" t="s">
        <v>8775</v>
      </c>
    </row>
    <row r="26357" spans="1:2" x14ac:dyDescent="0.25">
      <c r="A26357">
        <v>5603149011</v>
      </c>
      <c r="B26357" t="s">
        <v>8778</v>
      </c>
    </row>
    <row r="26358" spans="1:2" x14ac:dyDescent="0.25">
      <c r="A26358">
        <v>56031490111</v>
      </c>
      <c r="B26358" t="s">
        <v>8577</v>
      </c>
    </row>
    <row r="26359" spans="1:2" x14ac:dyDescent="0.25">
      <c r="A26359">
        <v>56031490119</v>
      </c>
      <c r="B26359" t="s">
        <v>57</v>
      </c>
    </row>
    <row r="26360" spans="1:2" x14ac:dyDescent="0.25">
      <c r="A26360">
        <v>5603149019</v>
      </c>
      <c r="B26360" t="s">
        <v>57</v>
      </c>
    </row>
    <row r="26361" spans="1:2" x14ac:dyDescent="0.25">
      <c r="A26361">
        <v>56031490191</v>
      </c>
      <c r="B26361" t="s">
        <v>8577</v>
      </c>
    </row>
    <row r="26362" spans="1:2" x14ac:dyDescent="0.25">
      <c r="A26362">
        <v>56031490199</v>
      </c>
      <c r="B26362" t="s">
        <v>57</v>
      </c>
    </row>
    <row r="26363" spans="1:2" x14ac:dyDescent="0.25">
      <c r="A26363">
        <v>560314902</v>
      </c>
      <c r="B26363" t="s">
        <v>8754</v>
      </c>
    </row>
    <row r="26364" spans="1:2" x14ac:dyDescent="0.25">
      <c r="A26364">
        <v>5603149021</v>
      </c>
      <c r="B26364" t="s">
        <v>7964</v>
      </c>
    </row>
    <row r="26365" spans="1:2" x14ac:dyDescent="0.25">
      <c r="A26365">
        <v>56031490211</v>
      </c>
      <c r="B26365" t="s">
        <v>8577</v>
      </c>
    </row>
    <row r="26366" spans="1:2" x14ac:dyDescent="0.25">
      <c r="A26366">
        <v>56031490219</v>
      </c>
      <c r="B26366" t="s">
        <v>57</v>
      </c>
    </row>
    <row r="26367" spans="1:2" x14ac:dyDescent="0.25">
      <c r="A26367">
        <v>5603149029</v>
      </c>
      <c r="B26367" t="s">
        <v>57</v>
      </c>
    </row>
    <row r="26368" spans="1:2" x14ac:dyDescent="0.25">
      <c r="A26368">
        <v>56031490291</v>
      </c>
      <c r="B26368" t="s">
        <v>8577</v>
      </c>
    </row>
    <row r="26369" spans="1:2" x14ac:dyDescent="0.25">
      <c r="A26369">
        <v>56031490299</v>
      </c>
      <c r="B26369" t="s">
        <v>57</v>
      </c>
    </row>
    <row r="26370" spans="1:2" x14ac:dyDescent="0.25">
      <c r="A26370">
        <v>560314909</v>
      </c>
      <c r="B26370" t="s">
        <v>57</v>
      </c>
    </row>
    <row r="26371" spans="1:2" x14ac:dyDescent="0.25">
      <c r="A26371">
        <v>5603149091</v>
      </c>
      <c r="B26371" t="s">
        <v>8771</v>
      </c>
    </row>
    <row r="26372" spans="1:2" x14ac:dyDescent="0.25">
      <c r="A26372">
        <v>56031490911</v>
      </c>
      <c r="B26372" t="s">
        <v>8577</v>
      </c>
    </row>
    <row r="26373" spans="1:2" x14ac:dyDescent="0.25">
      <c r="A26373">
        <v>56031490919</v>
      </c>
      <c r="B26373" t="s">
        <v>57</v>
      </c>
    </row>
    <row r="26374" spans="1:2" x14ac:dyDescent="0.25">
      <c r="A26374">
        <v>56031490920</v>
      </c>
      <c r="B26374" t="s">
        <v>8772</v>
      </c>
    </row>
    <row r="26375" spans="1:2" x14ac:dyDescent="0.25">
      <c r="A26375">
        <v>56039</v>
      </c>
      <c r="B26375" t="s">
        <v>567</v>
      </c>
    </row>
    <row r="26376" spans="1:2" x14ac:dyDescent="0.25">
      <c r="A26376">
        <v>560391</v>
      </c>
      <c r="B26376" t="s">
        <v>8770</v>
      </c>
    </row>
    <row r="26377" spans="1:2" x14ac:dyDescent="0.25">
      <c r="A26377">
        <v>56039110000</v>
      </c>
      <c r="B26377" t="s">
        <v>6664</v>
      </c>
    </row>
    <row r="26378" spans="1:2" x14ac:dyDescent="0.25">
      <c r="A26378">
        <v>56039120000</v>
      </c>
      <c r="B26378" t="s">
        <v>5414</v>
      </c>
    </row>
    <row r="26379" spans="1:2" x14ac:dyDescent="0.25">
      <c r="A26379">
        <v>56039130000</v>
      </c>
      <c r="B26379" t="s">
        <v>8581</v>
      </c>
    </row>
    <row r="26380" spans="1:2" x14ac:dyDescent="0.25">
      <c r="A26380">
        <v>56039190</v>
      </c>
      <c r="B26380" t="s">
        <v>57</v>
      </c>
    </row>
    <row r="26381" spans="1:2" x14ac:dyDescent="0.25">
      <c r="A26381">
        <v>56039190100</v>
      </c>
      <c r="B26381" t="s">
        <v>8577</v>
      </c>
    </row>
    <row r="26382" spans="1:2" x14ac:dyDescent="0.25">
      <c r="A26382">
        <v>56039190900</v>
      </c>
      <c r="B26382" t="s">
        <v>57</v>
      </c>
    </row>
    <row r="26383" spans="1:2" x14ac:dyDescent="0.25">
      <c r="A26383">
        <v>560392</v>
      </c>
      <c r="B26383" t="s">
        <v>8773</v>
      </c>
    </row>
    <row r="26384" spans="1:2" x14ac:dyDescent="0.25">
      <c r="A26384">
        <v>56039210000</v>
      </c>
      <c r="B26384" t="s">
        <v>8774</v>
      </c>
    </row>
    <row r="26385" spans="1:2" x14ac:dyDescent="0.25">
      <c r="A26385">
        <v>56039220</v>
      </c>
      <c r="B26385" t="s">
        <v>5932</v>
      </c>
    </row>
    <row r="26386" spans="1:2" x14ac:dyDescent="0.25">
      <c r="A26386">
        <v>560392201</v>
      </c>
      <c r="B26386" t="s">
        <v>8775</v>
      </c>
    </row>
    <row r="26387" spans="1:2" x14ac:dyDescent="0.25">
      <c r="A26387">
        <v>56039220110</v>
      </c>
      <c r="B26387" t="s">
        <v>8778</v>
      </c>
    </row>
    <row r="26388" spans="1:2" x14ac:dyDescent="0.25">
      <c r="A26388">
        <v>56039220190</v>
      </c>
      <c r="B26388" t="s">
        <v>57</v>
      </c>
    </row>
    <row r="26389" spans="1:2" x14ac:dyDescent="0.25">
      <c r="A26389">
        <v>560392202</v>
      </c>
      <c r="B26389" t="s">
        <v>8754</v>
      </c>
    </row>
    <row r="26390" spans="1:2" x14ac:dyDescent="0.25">
      <c r="A26390">
        <v>5603922021</v>
      </c>
      <c r="B26390" t="s">
        <v>7964</v>
      </c>
    </row>
    <row r="26391" spans="1:2" x14ac:dyDescent="0.25">
      <c r="A26391">
        <v>56039220211</v>
      </c>
      <c r="B26391" t="s">
        <v>8778</v>
      </c>
    </row>
    <row r="26392" spans="1:2" x14ac:dyDescent="0.25">
      <c r="A26392">
        <v>56039220219</v>
      </c>
      <c r="B26392" t="s">
        <v>57</v>
      </c>
    </row>
    <row r="26393" spans="1:2" x14ac:dyDescent="0.25">
      <c r="A26393">
        <v>5603922029</v>
      </c>
      <c r="B26393" t="s">
        <v>57</v>
      </c>
    </row>
    <row r="26394" spans="1:2" x14ac:dyDescent="0.25">
      <c r="A26394">
        <v>56039220291</v>
      </c>
      <c r="B26394" t="s">
        <v>8778</v>
      </c>
    </row>
    <row r="26395" spans="1:2" x14ac:dyDescent="0.25">
      <c r="A26395">
        <v>56039220299</v>
      </c>
      <c r="B26395" t="s">
        <v>57</v>
      </c>
    </row>
    <row r="26396" spans="1:2" x14ac:dyDescent="0.25">
      <c r="A26396">
        <v>560392209</v>
      </c>
      <c r="B26396" t="s">
        <v>57</v>
      </c>
    </row>
    <row r="26397" spans="1:2" x14ac:dyDescent="0.25">
      <c r="A26397">
        <v>56039220910</v>
      </c>
      <c r="B26397" t="s">
        <v>8778</v>
      </c>
    </row>
    <row r="26398" spans="1:2" x14ac:dyDescent="0.25">
      <c r="A26398">
        <v>56039220990</v>
      </c>
      <c r="B26398" t="s">
        <v>57</v>
      </c>
    </row>
    <row r="26399" spans="1:2" x14ac:dyDescent="0.25">
      <c r="A26399">
        <v>56039230</v>
      </c>
      <c r="B26399" t="s">
        <v>5414</v>
      </c>
    </row>
    <row r="26400" spans="1:2" x14ac:dyDescent="0.25">
      <c r="A26400">
        <v>560392301</v>
      </c>
      <c r="B26400" t="s">
        <v>8780</v>
      </c>
    </row>
    <row r="26401" spans="1:2" x14ac:dyDescent="0.25">
      <c r="A26401">
        <v>56039230110</v>
      </c>
      <c r="B26401" t="s">
        <v>8778</v>
      </c>
    </row>
    <row r="26402" spans="1:2" x14ac:dyDescent="0.25">
      <c r="A26402">
        <v>56039230190</v>
      </c>
      <c r="B26402" t="s">
        <v>57</v>
      </c>
    </row>
    <row r="26403" spans="1:2" x14ac:dyDescent="0.25">
      <c r="A26403">
        <v>560392302</v>
      </c>
      <c r="B26403" t="s">
        <v>8754</v>
      </c>
    </row>
    <row r="26404" spans="1:2" x14ac:dyDescent="0.25">
      <c r="A26404">
        <v>5603923021</v>
      </c>
      <c r="B26404" t="s">
        <v>7964</v>
      </c>
    </row>
    <row r="26405" spans="1:2" x14ac:dyDescent="0.25">
      <c r="A26405">
        <v>56039230211</v>
      </c>
      <c r="B26405" t="s">
        <v>8778</v>
      </c>
    </row>
    <row r="26406" spans="1:2" x14ac:dyDescent="0.25">
      <c r="A26406">
        <v>56039230219</v>
      </c>
      <c r="B26406" t="s">
        <v>57</v>
      </c>
    </row>
    <row r="26407" spans="1:2" x14ac:dyDescent="0.25">
      <c r="A26407">
        <v>5603923029</v>
      </c>
      <c r="B26407" t="s">
        <v>57</v>
      </c>
    </row>
    <row r="26408" spans="1:2" x14ac:dyDescent="0.25">
      <c r="A26408">
        <v>56039230291</v>
      </c>
      <c r="B26408" t="s">
        <v>8778</v>
      </c>
    </row>
    <row r="26409" spans="1:2" x14ac:dyDescent="0.25">
      <c r="A26409">
        <v>56039230299</v>
      </c>
      <c r="B26409" t="s">
        <v>57</v>
      </c>
    </row>
    <row r="26410" spans="1:2" x14ac:dyDescent="0.25">
      <c r="A26410">
        <v>560392309</v>
      </c>
      <c r="B26410" t="s">
        <v>57</v>
      </c>
    </row>
    <row r="26411" spans="1:2" x14ac:dyDescent="0.25">
      <c r="A26411">
        <v>56039230910</v>
      </c>
      <c r="B26411" t="s">
        <v>8778</v>
      </c>
    </row>
    <row r="26412" spans="1:2" x14ac:dyDescent="0.25">
      <c r="A26412">
        <v>56039230990</v>
      </c>
      <c r="B26412" t="s">
        <v>57</v>
      </c>
    </row>
    <row r="26413" spans="1:2" x14ac:dyDescent="0.25">
      <c r="A26413">
        <v>56039240</v>
      </c>
      <c r="B26413" t="s">
        <v>8581</v>
      </c>
    </row>
    <row r="26414" spans="1:2" x14ac:dyDescent="0.25">
      <c r="A26414">
        <v>560392401</v>
      </c>
      <c r="B26414" t="s">
        <v>8775</v>
      </c>
    </row>
    <row r="26415" spans="1:2" x14ac:dyDescent="0.25">
      <c r="A26415">
        <v>56039240110</v>
      </c>
      <c r="B26415" t="s">
        <v>8778</v>
      </c>
    </row>
    <row r="26416" spans="1:2" x14ac:dyDescent="0.25">
      <c r="A26416">
        <v>56039240190</v>
      </c>
      <c r="B26416" t="s">
        <v>57</v>
      </c>
    </row>
    <row r="26417" spans="1:2" x14ac:dyDescent="0.25">
      <c r="A26417">
        <v>560392402</v>
      </c>
      <c r="B26417" t="s">
        <v>8754</v>
      </c>
    </row>
    <row r="26418" spans="1:2" x14ac:dyDescent="0.25">
      <c r="A26418">
        <v>5603924021</v>
      </c>
      <c r="B26418" t="s">
        <v>7964</v>
      </c>
    </row>
    <row r="26419" spans="1:2" x14ac:dyDescent="0.25">
      <c r="A26419">
        <v>56039240211</v>
      </c>
      <c r="B26419" t="s">
        <v>8778</v>
      </c>
    </row>
    <row r="26420" spans="1:2" x14ac:dyDescent="0.25">
      <c r="A26420">
        <v>56039240219</v>
      </c>
      <c r="B26420" t="s">
        <v>57</v>
      </c>
    </row>
    <row r="26421" spans="1:2" x14ac:dyDescent="0.25">
      <c r="A26421">
        <v>5603924029</v>
      </c>
      <c r="B26421" t="s">
        <v>57</v>
      </c>
    </row>
    <row r="26422" spans="1:2" x14ac:dyDescent="0.25">
      <c r="A26422">
        <v>56039240291</v>
      </c>
      <c r="B26422" t="s">
        <v>8778</v>
      </c>
    </row>
    <row r="26423" spans="1:2" x14ac:dyDescent="0.25">
      <c r="A26423">
        <v>56039240299</v>
      </c>
      <c r="B26423" t="s">
        <v>57</v>
      </c>
    </row>
    <row r="26424" spans="1:2" x14ac:dyDescent="0.25">
      <c r="A26424">
        <v>560392409</v>
      </c>
      <c r="B26424" t="s">
        <v>57</v>
      </c>
    </row>
    <row r="26425" spans="1:2" x14ac:dyDescent="0.25">
      <c r="A26425">
        <v>56039240910</v>
      </c>
      <c r="B26425" t="s">
        <v>8778</v>
      </c>
    </row>
    <row r="26426" spans="1:2" x14ac:dyDescent="0.25">
      <c r="A26426">
        <v>56039240990</v>
      </c>
      <c r="B26426" t="s">
        <v>57</v>
      </c>
    </row>
    <row r="26427" spans="1:2" x14ac:dyDescent="0.25">
      <c r="A26427">
        <v>56039290</v>
      </c>
      <c r="B26427" t="s">
        <v>57</v>
      </c>
    </row>
    <row r="26428" spans="1:2" x14ac:dyDescent="0.25">
      <c r="A26428">
        <v>560392901</v>
      </c>
      <c r="B26428" t="s">
        <v>8775</v>
      </c>
    </row>
    <row r="26429" spans="1:2" x14ac:dyDescent="0.25">
      <c r="A26429">
        <v>5603929011</v>
      </c>
      <c r="B26429" t="s">
        <v>8778</v>
      </c>
    </row>
    <row r="26430" spans="1:2" x14ac:dyDescent="0.25">
      <c r="A26430">
        <v>56039290111</v>
      </c>
      <c r="B26430" t="s">
        <v>8577</v>
      </c>
    </row>
    <row r="26431" spans="1:2" x14ac:dyDescent="0.25">
      <c r="A26431">
        <v>56039290119</v>
      </c>
      <c r="B26431" t="s">
        <v>57</v>
      </c>
    </row>
    <row r="26432" spans="1:2" x14ac:dyDescent="0.25">
      <c r="A26432">
        <v>5603929019</v>
      </c>
      <c r="B26432" t="s">
        <v>57</v>
      </c>
    </row>
    <row r="26433" spans="1:2" x14ac:dyDescent="0.25">
      <c r="A26433">
        <v>56039290191</v>
      </c>
      <c r="B26433" t="s">
        <v>8577</v>
      </c>
    </row>
    <row r="26434" spans="1:2" x14ac:dyDescent="0.25">
      <c r="A26434">
        <v>56039290199</v>
      </c>
      <c r="B26434" t="s">
        <v>57</v>
      </c>
    </row>
    <row r="26435" spans="1:2" x14ac:dyDescent="0.25">
      <c r="A26435">
        <v>560392902</v>
      </c>
      <c r="B26435" t="s">
        <v>8754</v>
      </c>
    </row>
    <row r="26436" spans="1:2" x14ac:dyDescent="0.25">
      <c r="A26436">
        <v>5603929021</v>
      </c>
      <c r="B26436" t="s">
        <v>7964</v>
      </c>
    </row>
    <row r="26437" spans="1:2" x14ac:dyDescent="0.25">
      <c r="A26437">
        <v>56039290211</v>
      </c>
      <c r="B26437" t="s">
        <v>8778</v>
      </c>
    </row>
    <row r="26438" spans="1:2" x14ac:dyDescent="0.25">
      <c r="A26438">
        <v>56039290219</v>
      </c>
      <c r="B26438" t="s">
        <v>57</v>
      </c>
    </row>
    <row r="26439" spans="1:2" x14ac:dyDescent="0.25">
      <c r="A26439">
        <v>5603929029</v>
      </c>
      <c r="B26439" t="s">
        <v>57</v>
      </c>
    </row>
    <row r="26440" spans="1:2" x14ac:dyDescent="0.25">
      <c r="A26440">
        <v>56039290291</v>
      </c>
      <c r="B26440" t="s">
        <v>8778</v>
      </c>
    </row>
    <row r="26441" spans="1:2" x14ac:dyDescent="0.25">
      <c r="A26441">
        <v>56039290299</v>
      </c>
      <c r="B26441" t="s">
        <v>57</v>
      </c>
    </row>
    <row r="26442" spans="1:2" x14ac:dyDescent="0.25">
      <c r="A26442">
        <v>560392909</v>
      </c>
      <c r="B26442" t="s">
        <v>57</v>
      </c>
    </row>
    <row r="26443" spans="1:2" x14ac:dyDescent="0.25">
      <c r="A26443">
        <v>5603929091</v>
      </c>
      <c r="B26443" t="s">
        <v>8778</v>
      </c>
    </row>
    <row r="26444" spans="1:2" x14ac:dyDescent="0.25">
      <c r="A26444">
        <v>56039290911</v>
      </c>
      <c r="B26444" t="s">
        <v>8577</v>
      </c>
    </row>
    <row r="26445" spans="1:2" x14ac:dyDescent="0.25">
      <c r="A26445">
        <v>56039290919</v>
      </c>
      <c r="B26445" t="s">
        <v>57</v>
      </c>
    </row>
    <row r="26446" spans="1:2" x14ac:dyDescent="0.25">
      <c r="A26446">
        <v>5603929099</v>
      </c>
      <c r="B26446" t="s">
        <v>57</v>
      </c>
    </row>
    <row r="26447" spans="1:2" x14ac:dyDescent="0.25">
      <c r="A26447">
        <v>56039290991</v>
      </c>
      <c r="B26447" t="s">
        <v>8577</v>
      </c>
    </row>
    <row r="26448" spans="1:2" x14ac:dyDescent="0.25">
      <c r="A26448">
        <v>56039290999</v>
      </c>
      <c r="B26448" t="s">
        <v>57</v>
      </c>
    </row>
    <row r="26449" spans="1:2" x14ac:dyDescent="0.25">
      <c r="A26449">
        <v>560393</v>
      </c>
      <c r="B26449" t="s">
        <v>8777</v>
      </c>
    </row>
    <row r="26450" spans="1:2" x14ac:dyDescent="0.25">
      <c r="A26450">
        <v>56039310000</v>
      </c>
      <c r="B26450" t="s">
        <v>8774</v>
      </c>
    </row>
    <row r="26451" spans="1:2" x14ac:dyDescent="0.25">
      <c r="A26451">
        <v>56039320</v>
      </c>
      <c r="B26451" t="s">
        <v>5932</v>
      </c>
    </row>
    <row r="26452" spans="1:2" x14ac:dyDescent="0.25">
      <c r="A26452">
        <v>560393201</v>
      </c>
      <c r="B26452" t="s">
        <v>8775</v>
      </c>
    </row>
    <row r="26453" spans="1:2" x14ac:dyDescent="0.25">
      <c r="A26453">
        <v>56039320110</v>
      </c>
      <c r="B26453" t="s">
        <v>8778</v>
      </c>
    </row>
    <row r="26454" spans="1:2" x14ac:dyDescent="0.25">
      <c r="A26454">
        <v>56039320190</v>
      </c>
      <c r="B26454" t="s">
        <v>57</v>
      </c>
    </row>
    <row r="26455" spans="1:2" x14ac:dyDescent="0.25">
      <c r="A26455">
        <v>560393202</v>
      </c>
      <c r="B26455" t="s">
        <v>8754</v>
      </c>
    </row>
    <row r="26456" spans="1:2" x14ac:dyDescent="0.25">
      <c r="A26456">
        <v>5603932021</v>
      </c>
      <c r="B26456" t="s">
        <v>7964</v>
      </c>
    </row>
    <row r="26457" spans="1:2" x14ac:dyDescent="0.25">
      <c r="A26457">
        <v>56039320211</v>
      </c>
      <c r="B26457" t="s">
        <v>8778</v>
      </c>
    </row>
    <row r="26458" spans="1:2" x14ac:dyDescent="0.25">
      <c r="A26458">
        <v>56039320219</v>
      </c>
      <c r="B26458" t="s">
        <v>8781</v>
      </c>
    </row>
    <row r="26459" spans="1:2" x14ac:dyDescent="0.25">
      <c r="A26459">
        <v>5603932029</v>
      </c>
      <c r="B26459" t="s">
        <v>57</v>
      </c>
    </row>
    <row r="26460" spans="1:2" x14ac:dyDescent="0.25">
      <c r="A26460">
        <v>56039320291</v>
      </c>
      <c r="B26460" t="s">
        <v>8782</v>
      </c>
    </row>
    <row r="26461" spans="1:2" x14ac:dyDescent="0.25">
      <c r="A26461">
        <v>56039320299</v>
      </c>
      <c r="B26461" t="s">
        <v>57</v>
      </c>
    </row>
    <row r="26462" spans="1:2" x14ac:dyDescent="0.25">
      <c r="A26462">
        <v>560393209</v>
      </c>
      <c r="B26462" t="s">
        <v>57</v>
      </c>
    </row>
    <row r="26463" spans="1:2" x14ac:dyDescent="0.25">
      <c r="A26463">
        <v>56039320910</v>
      </c>
      <c r="B26463" t="s">
        <v>8778</v>
      </c>
    </row>
    <row r="26464" spans="1:2" x14ac:dyDescent="0.25">
      <c r="A26464">
        <v>56039320990</v>
      </c>
      <c r="B26464" t="s">
        <v>57</v>
      </c>
    </row>
    <row r="26465" spans="1:2" x14ac:dyDescent="0.25">
      <c r="A26465">
        <v>56039330</v>
      </c>
      <c r="B26465" t="s">
        <v>5414</v>
      </c>
    </row>
    <row r="26466" spans="1:2" x14ac:dyDescent="0.25">
      <c r="A26466">
        <v>560393301</v>
      </c>
      <c r="B26466" t="s">
        <v>8775</v>
      </c>
    </row>
    <row r="26467" spans="1:2" x14ac:dyDescent="0.25">
      <c r="A26467">
        <v>56039330110</v>
      </c>
      <c r="B26467" t="s">
        <v>8778</v>
      </c>
    </row>
    <row r="26468" spans="1:2" x14ac:dyDescent="0.25">
      <c r="A26468">
        <v>56039330190</v>
      </c>
      <c r="B26468" t="s">
        <v>57</v>
      </c>
    </row>
    <row r="26469" spans="1:2" x14ac:dyDescent="0.25">
      <c r="A26469">
        <v>560393302</v>
      </c>
      <c r="B26469" t="s">
        <v>8754</v>
      </c>
    </row>
    <row r="26470" spans="1:2" x14ac:dyDescent="0.25">
      <c r="A26470">
        <v>5603933021</v>
      </c>
      <c r="B26470" t="s">
        <v>7964</v>
      </c>
    </row>
    <row r="26471" spans="1:2" x14ac:dyDescent="0.25">
      <c r="A26471">
        <v>56039330211</v>
      </c>
      <c r="B26471" t="s">
        <v>8778</v>
      </c>
    </row>
    <row r="26472" spans="1:2" x14ac:dyDescent="0.25">
      <c r="A26472">
        <v>56039330219</v>
      </c>
      <c r="B26472" t="s">
        <v>57</v>
      </c>
    </row>
    <row r="26473" spans="1:2" x14ac:dyDescent="0.25">
      <c r="A26473">
        <v>5603933029</v>
      </c>
      <c r="B26473" t="s">
        <v>57</v>
      </c>
    </row>
    <row r="26474" spans="1:2" x14ac:dyDescent="0.25">
      <c r="A26474">
        <v>56039330291</v>
      </c>
      <c r="B26474" t="s">
        <v>8778</v>
      </c>
    </row>
    <row r="26475" spans="1:2" x14ac:dyDescent="0.25">
      <c r="A26475">
        <v>56039330299</v>
      </c>
      <c r="B26475" t="s">
        <v>57</v>
      </c>
    </row>
    <row r="26476" spans="1:2" x14ac:dyDescent="0.25">
      <c r="A26476">
        <v>560393309</v>
      </c>
      <c r="B26476" t="s">
        <v>57</v>
      </c>
    </row>
    <row r="26477" spans="1:2" x14ac:dyDescent="0.25">
      <c r="A26477">
        <v>56039330910</v>
      </c>
      <c r="B26477" t="s">
        <v>8778</v>
      </c>
    </row>
    <row r="26478" spans="1:2" x14ac:dyDescent="0.25">
      <c r="A26478">
        <v>56039330990</v>
      </c>
      <c r="B26478" t="s">
        <v>57</v>
      </c>
    </row>
    <row r="26479" spans="1:2" x14ac:dyDescent="0.25">
      <c r="A26479">
        <v>56039340</v>
      </c>
      <c r="B26479" t="s">
        <v>8581</v>
      </c>
    </row>
    <row r="26480" spans="1:2" x14ac:dyDescent="0.25">
      <c r="A26480">
        <v>560393401</v>
      </c>
      <c r="B26480" t="s">
        <v>8775</v>
      </c>
    </row>
    <row r="26481" spans="1:2" x14ac:dyDescent="0.25">
      <c r="A26481">
        <v>56039340110</v>
      </c>
      <c r="B26481" t="s">
        <v>8778</v>
      </c>
    </row>
    <row r="26482" spans="1:2" x14ac:dyDescent="0.25">
      <c r="A26482">
        <v>56039340190</v>
      </c>
      <c r="B26482" t="s">
        <v>57</v>
      </c>
    </row>
    <row r="26483" spans="1:2" x14ac:dyDescent="0.25">
      <c r="A26483">
        <v>560393402</v>
      </c>
      <c r="B26483" t="s">
        <v>8754</v>
      </c>
    </row>
    <row r="26484" spans="1:2" x14ac:dyDescent="0.25">
      <c r="A26484">
        <v>5603934021</v>
      </c>
      <c r="B26484" t="s">
        <v>7964</v>
      </c>
    </row>
    <row r="26485" spans="1:2" x14ac:dyDescent="0.25">
      <c r="A26485">
        <v>56039340211</v>
      </c>
      <c r="B26485" t="s">
        <v>8778</v>
      </c>
    </row>
    <row r="26486" spans="1:2" x14ac:dyDescent="0.25">
      <c r="A26486">
        <v>56039340219</v>
      </c>
      <c r="B26486" t="s">
        <v>57</v>
      </c>
    </row>
    <row r="26487" spans="1:2" x14ac:dyDescent="0.25">
      <c r="A26487">
        <v>5603934029</v>
      </c>
      <c r="B26487" t="s">
        <v>57</v>
      </c>
    </row>
    <row r="26488" spans="1:2" x14ac:dyDescent="0.25">
      <c r="A26488">
        <v>56039340291</v>
      </c>
      <c r="B26488" t="s">
        <v>8778</v>
      </c>
    </row>
    <row r="26489" spans="1:2" x14ac:dyDescent="0.25">
      <c r="A26489">
        <v>56039340299</v>
      </c>
      <c r="B26489" t="s">
        <v>57</v>
      </c>
    </row>
    <row r="26490" spans="1:2" x14ac:dyDescent="0.25">
      <c r="A26490">
        <v>560393409</v>
      </c>
      <c r="B26490" t="s">
        <v>57</v>
      </c>
    </row>
    <row r="26491" spans="1:2" x14ac:dyDescent="0.25">
      <c r="A26491">
        <v>56039340910</v>
      </c>
      <c r="B26491" t="s">
        <v>8778</v>
      </c>
    </row>
    <row r="26492" spans="1:2" x14ac:dyDescent="0.25">
      <c r="A26492">
        <v>56039340990</v>
      </c>
      <c r="B26492" t="s">
        <v>57</v>
      </c>
    </row>
    <row r="26493" spans="1:2" x14ac:dyDescent="0.25">
      <c r="A26493">
        <v>56039390</v>
      </c>
      <c r="B26493" t="s">
        <v>57</v>
      </c>
    </row>
    <row r="26494" spans="1:2" x14ac:dyDescent="0.25">
      <c r="A26494">
        <v>560393901</v>
      </c>
      <c r="B26494" t="s">
        <v>8775</v>
      </c>
    </row>
    <row r="26495" spans="1:2" x14ac:dyDescent="0.25">
      <c r="A26495">
        <v>5603939011</v>
      </c>
      <c r="B26495" t="s">
        <v>8778</v>
      </c>
    </row>
    <row r="26496" spans="1:2" x14ac:dyDescent="0.25">
      <c r="A26496">
        <v>56039390111</v>
      </c>
      <c r="B26496" t="s">
        <v>8577</v>
      </c>
    </row>
    <row r="26497" spans="1:2" x14ac:dyDescent="0.25">
      <c r="A26497">
        <v>56039390119</v>
      </c>
      <c r="B26497" t="s">
        <v>57</v>
      </c>
    </row>
    <row r="26498" spans="1:2" x14ac:dyDescent="0.25">
      <c r="A26498">
        <v>5603939019</v>
      </c>
      <c r="B26498" t="s">
        <v>57</v>
      </c>
    </row>
    <row r="26499" spans="1:2" x14ac:dyDescent="0.25">
      <c r="A26499">
        <v>56039390191</v>
      </c>
      <c r="B26499" t="s">
        <v>8577</v>
      </c>
    </row>
    <row r="26500" spans="1:2" x14ac:dyDescent="0.25">
      <c r="A26500">
        <v>56039390199</v>
      </c>
      <c r="B26500" t="s">
        <v>57</v>
      </c>
    </row>
    <row r="26501" spans="1:2" x14ac:dyDescent="0.25">
      <c r="A26501">
        <v>560393902</v>
      </c>
      <c r="B26501" t="s">
        <v>8754</v>
      </c>
    </row>
    <row r="26502" spans="1:2" x14ac:dyDescent="0.25">
      <c r="A26502">
        <v>5603939021</v>
      </c>
      <c r="B26502" t="s">
        <v>7964</v>
      </c>
    </row>
    <row r="26503" spans="1:2" x14ac:dyDescent="0.25">
      <c r="A26503">
        <v>56039390211</v>
      </c>
      <c r="B26503" t="s">
        <v>8778</v>
      </c>
    </row>
    <row r="26504" spans="1:2" x14ac:dyDescent="0.25">
      <c r="A26504">
        <v>56039390219</v>
      </c>
      <c r="B26504" t="s">
        <v>57</v>
      </c>
    </row>
    <row r="26505" spans="1:2" x14ac:dyDescent="0.25">
      <c r="A26505">
        <v>5603939029</v>
      </c>
      <c r="B26505" t="s">
        <v>57</v>
      </c>
    </row>
    <row r="26506" spans="1:2" x14ac:dyDescent="0.25">
      <c r="A26506">
        <v>56039390291</v>
      </c>
      <c r="B26506" t="s">
        <v>8778</v>
      </c>
    </row>
    <row r="26507" spans="1:2" x14ac:dyDescent="0.25">
      <c r="A26507">
        <v>56039390299</v>
      </c>
      <c r="B26507" t="s">
        <v>57</v>
      </c>
    </row>
    <row r="26508" spans="1:2" x14ac:dyDescent="0.25">
      <c r="A26508">
        <v>560393909</v>
      </c>
      <c r="B26508" t="s">
        <v>57</v>
      </c>
    </row>
    <row r="26509" spans="1:2" x14ac:dyDescent="0.25">
      <c r="A26509">
        <v>5603939091</v>
      </c>
      <c r="B26509" t="s">
        <v>8778</v>
      </c>
    </row>
    <row r="26510" spans="1:2" x14ac:dyDescent="0.25">
      <c r="A26510">
        <v>56039390911</v>
      </c>
      <c r="B26510" t="s">
        <v>8577</v>
      </c>
    </row>
    <row r="26511" spans="1:2" x14ac:dyDescent="0.25">
      <c r="A26511">
        <v>56039390919</v>
      </c>
      <c r="B26511" t="s">
        <v>57</v>
      </c>
    </row>
    <row r="26512" spans="1:2" x14ac:dyDescent="0.25">
      <c r="A26512">
        <v>5603939099</v>
      </c>
      <c r="B26512" t="s">
        <v>57</v>
      </c>
    </row>
    <row r="26513" spans="1:2" x14ac:dyDescent="0.25">
      <c r="A26513">
        <v>56039390991</v>
      </c>
      <c r="B26513" t="s">
        <v>8577</v>
      </c>
    </row>
    <row r="26514" spans="1:2" x14ac:dyDescent="0.25">
      <c r="A26514">
        <v>56039390999</v>
      </c>
      <c r="B26514" t="s">
        <v>57</v>
      </c>
    </row>
    <row r="26515" spans="1:2" x14ac:dyDescent="0.25">
      <c r="A26515">
        <v>560394</v>
      </c>
      <c r="B26515" t="s">
        <v>7987</v>
      </c>
    </row>
    <row r="26516" spans="1:2" x14ac:dyDescent="0.25">
      <c r="A26516">
        <v>56039410</v>
      </c>
      <c r="B26516" t="s">
        <v>5932</v>
      </c>
    </row>
    <row r="26517" spans="1:2" x14ac:dyDescent="0.25">
      <c r="A26517">
        <v>560394101</v>
      </c>
      <c r="B26517" t="s">
        <v>8775</v>
      </c>
    </row>
    <row r="26518" spans="1:2" x14ac:dyDescent="0.25">
      <c r="A26518">
        <v>56039410110</v>
      </c>
      <c r="B26518" t="s">
        <v>8778</v>
      </c>
    </row>
    <row r="26519" spans="1:2" x14ac:dyDescent="0.25">
      <c r="A26519">
        <v>56039410190</v>
      </c>
      <c r="B26519" t="s">
        <v>57</v>
      </c>
    </row>
    <row r="26520" spans="1:2" x14ac:dyDescent="0.25">
      <c r="A26520">
        <v>560394102</v>
      </c>
      <c r="B26520" t="s">
        <v>8754</v>
      </c>
    </row>
    <row r="26521" spans="1:2" x14ac:dyDescent="0.25">
      <c r="A26521">
        <v>5603941021</v>
      </c>
      <c r="B26521" t="s">
        <v>7964</v>
      </c>
    </row>
    <row r="26522" spans="1:2" x14ac:dyDescent="0.25">
      <c r="A26522">
        <v>56039410211</v>
      </c>
      <c r="B26522" t="s">
        <v>8778</v>
      </c>
    </row>
    <row r="26523" spans="1:2" x14ac:dyDescent="0.25">
      <c r="A26523">
        <v>56039410219</v>
      </c>
      <c r="B26523" t="s">
        <v>57</v>
      </c>
    </row>
    <row r="26524" spans="1:2" x14ac:dyDescent="0.25">
      <c r="A26524">
        <v>5603941029</v>
      </c>
      <c r="B26524" t="s">
        <v>57</v>
      </c>
    </row>
    <row r="26525" spans="1:2" x14ac:dyDescent="0.25">
      <c r="A26525">
        <v>56039410291</v>
      </c>
      <c r="B26525" t="s">
        <v>8778</v>
      </c>
    </row>
    <row r="26526" spans="1:2" x14ac:dyDescent="0.25">
      <c r="A26526">
        <v>56039410299</v>
      </c>
      <c r="B26526" t="s">
        <v>57</v>
      </c>
    </row>
    <row r="26527" spans="1:2" x14ac:dyDescent="0.25">
      <c r="A26527">
        <v>560394109</v>
      </c>
      <c r="B26527" t="s">
        <v>57</v>
      </c>
    </row>
    <row r="26528" spans="1:2" x14ac:dyDescent="0.25">
      <c r="A26528">
        <v>5603941091</v>
      </c>
      <c r="B26528" t="s">
        <v>8778</v>
      </c>
    </row>
    <row r="26529" spans="1:2" x14ac:dyDescent="0.25">
      <c r="A26529">
        <v>56039410911</v>
      </c>
      <c r="B26529" t="s">
        <v>8783</v>
      </c>
    </row>
    <row r="26530" spans="1:2" x14ac:dyDescent="0.25">
      <c r="A26530">
        <v>56039410912</v>
      </c>
      <c r="B26530" t="s">
        <v>8784</v>
      </c>
    </row>
    <row r="26531" spans="1:2" x14ac:dyDescent="0.25">
      <c r="A26531">
        <v>56039410913</v>
      </c>
      <c r="B26531" t="s">
        <v>8785</v>
      </c>
    </row>
    <row r="26532" spans="1:2" x14ac:dyDescent="0.25">
      <c r="A26532">
        <v>56039410914</v>
      </c>
      <c r="B26532" t="s">
        <v>8786</v>
      </c>
    </row>
    <row r="26533" spans="1:2" x14ac:dyDescent="0.25">
      <c r="A26533">
        <v>56039410919</v>
      </c>
      <c r="B26533" t="s">
        <v>10</v>
      </c>
    </row>
    <row r="26534" spans="1:2" x14ac:dyDescent="0.25">
      <c r="A26534">
        <v>5603941099</v>
      </c>
      <c r="B26534" t="s">
        <v>57</v>
      </c>
    </row>
    <row r="26535" spans="1:2" x14ac:dyDescent="0.25">
      <c r="A26535">
        <v>56039410991</v>
      </c>
      <c r="B26535" t="s">
        <v>8783</v>
      </c>
    </row>
    <row r="26536" spans="1:2" x14ac:dyDescent="0.25">
      <c r="A26536">
        <v>56039410992</v>
      </c>
      <c r="B26536" t="s">
        <v>8784</v>
      </c>
    </row>
    <row r="26537" spans="1:2" x14ac:dyDescent="0.25">
      <c r="A26537">
        <v>56039410993</v>
      </c>
      <c r="B26537" t="s">
        <v>8787</v>
      </c>
    </row>
    <row r="26538" spans="1:2" x14ac:dyDescent="0.25">
      <c r="A26538">
        <v>56039410994</v>
      </c>
      <c r="B26538" t="s">
        <v>8786</v>
      </c>
    </row>
    <row r="26539" spans="1:2" x14ac:dyDescent="0.25">
      <c r="A26539">
        <v>56039410999</v>
      </c>
      <c r="B26539" t="s">
        <v>10</v>
      </c>
    </row>
    <row r="26540" spans="1:2" x14ac:dyDescent="0.25">
      <c r="A26540">
        <v>56039420</v>
      </c>
      <c r="B26540" t="s">
        <v>5414</v>
      </c>
    </row>
    <row r="26541" spans="1:2" x14ac:dyDescent="0.25">
      <c r="A26541">
        <v>560394201</v>
      </c>
      <c r="B26541" t="s">
        <v>8775</v>
      </c>
    </row>
    <row r="26542" spans="1:2" x14ac:dyDescent="0.25">
      <c r="A26542">
        <v>56039420110</v>
      </c>
      <c r="B26542" t="s">
        <v>8788</v>
      </c>
    </row>
    <row r="26543" spans="1:2" x14ac:dyDescent="0.25">
      <c r="A26543">
        <v>56039420190</v>
      </c>
      <c r="B26543" t="s">
        <v>57</v>
      </c>
    </row>
    <row r="26544" spans="1:2" x14ac:dyDescent="0.25">
      <c r="A26544">
        <v>560394202</v>
      </c>
      <c r="B26544" t="s">
        <v>8754</v>
      </c>
    </row>
    <row r="26545" spans="1:2" x14ac:dyDescent="0.25">
      <c r="A26545">
        <v>5603942021</v>
      </c>
      <c r="B26545" t="s">
        <v>7964</v>
      </c>
    </row>
    <row r="26546" spans="1:2" x14ac:dyDescent="0.25">
      <c r="A26546">
        <v>56039420211</v>
      </c>
      <c r="B26546" t="s">
        <v>8778</v>
      </c>
    </row>
    <row r="26547" spans="1:2" x14ac:dyDescent="0.25">
      <c r="A26547">
        <v>56039420219</v>
      </c>
      <c r="B26547" t="s">
        <v>57</v>
      </c>
    </row>
    <row r="26548" spans="1:2" x14ac:dyDescent="0.25">
      <c r="A26548">
        <v>5603942029</v>
      </c>
      <c r="B26548" t="s">
        <v>57</v>
      </c>
    </row>
    <row r="26549" spans="1:2" x14ac:dyDescent="0.25">
      <c r="A26549">
        <v>56039420291</v>
      </c>
      <c r="B26549" t="s">
        <v>8778</v>
      </c>
    </row>
    <row r="26550" spans="1:2" x14ac:dyDescent="0.25">
      <c r="A26550">
        <v>56039420299</v>
      </c>
      <c r="B26550" t="s">
        <v>57</v>
      </c>
    </row>
    <row r="26551" spans="1:2" x14ac:dyDescent="0.25">
      <c r="A26551">
        <v>560394209</v>
      </c>
      <c r="B26551" t="s">
        <v>57</v>
      </c>
    </row>
    <row r="26552" spans="1:2" x14ac:dyDescent="0.25">
      <c r="A26552">
        <v>5603942091</v>
      </c>
      <c r="B26552" t="s">
        <v>8778</v>
      </c>
    </row>
    <row r="26553" spans="1:2" x14ac:dyDescent="0.25">
      <c r="A26553">
        <v>56039420911</v>
      </c>
      <c r="B26553" t="s">
        <v>8783</v>
      </c>
    </row>
    <row r="26554" spans="1:2" x14ac:dyDescent="0.25">
      <c r="A26554">
        <v>56039420912</v>
      </c>
      <c r="B26554" t="s">
        <v>8784</v>
      </c>
    </row>
    <row r="26555" spans="1:2" x14ac:dyDescent="0.25">
      <c r="A26555">
        <v>56039420913</v>
      </c>
      <c r="B26555" t="s">
        <v>8787</v>
      </c>
    </row>
    <row r="26556" spans="1:2" x14ac:dyDescent="0.25">
      <c r="A26556">
        <v>56039420914</v>
      </c>
      <c r="B26556" t="s">
        <v>8786</v>
      </c>
    </row>
    <row r="26557" spans="1:2" x14ac:dyDescent="0.25">
      <c r="A26557">
        <v>56039420919</v>
      </c>
      <c r="B26557" t="s">
        <v>10</v>
      </c>
    </row>
    <row r="26558" spans="1:2" x14ac:dyDescent="0.25">
      <c r="A26558">
        <v>5603942099</v>
      </c>
      <c r="B26558" t="s">
        <v>57</v>
      </c>
    </row>
    <row r="26559" spans="1:2" x14ac:dyDescent="0.25">
      <c r="A26559">
        <v>56039420991</v>
      </c>
      <c r="B26559" t="s">
        <v>8783</v>
      </c>
    </row>
    <row r="26560" spans="1:2" x14ac:dyDescent="0.25">
      <c r="A26560">
        <v>56039420992</v>
      </c>
      <c r="B26560" t="s">
        <v>8784</v>
      </c>
    </row>
    <row r="26561" spans="1:2" x14ac:dyDescent="0.25">
      <c r="A26561">
        <v>56039420993</v>
      </c>
      <c r="B26561" t="s">
        <v>8787</v>
      </c>
    </row>
    <row r="26562" spans="1:2" x14ac:dyDescent="0.25">
      <c r="A26562">
        <v>56039420994</v>
      </c>
      <c r="B26562" t="s">
        <v>8786</v>
      </c>
    </row>
    <row r="26563" spans="1:2" x14ac:dyDescent="0.25">
      <c r="A26563">
        <v>56039420999</v>
      </c>
      <c r="B26563" t="s">
        <v>10</v>
      </c>
    </row>
    <row r="26564" spans="1:2" x14ac:dyDescent="0.25">
      <c r="A26564">
        <v>56039430</v>
      </c>
      <c r="B26564" t="s">
        <v>8581</v>
      </c>
    </row>
    <row r="26565" spans="1:2" x14ac:dyDescent="0.25">
      <c r="A26565">
        <v>560394301</v>
      </c>
      <c r="B26565" t="s">
        <v>8775</v>
      </c>
    </row>
    <row r="26566" spans="1:2" x14ac:dyDescent="0.25">
      <c r="A26566">
        <v>56039430110</v>
      </c>
      <c r="B26566" t="s">
        <v>8778</v>
      </c>
    </row>
    <row r="26567" spans="1:2" x14ac:dyDescent="0.25">
      <c r="A26567">
        <v>56039430190</v>
      </c>
      <c r="B26567" t="s">
        <v>57</v>
      </c>
    </row>
    <row r="26568" spans="1:2" x14ac:dyDescent="0.25">
      <c r="A26568">
        <v>560394302</v>
      </c>
      <c r="B26568" t="s">
        <v>8754</v>
      </c>
    </row>
    <row r="26569" spans="1:2" x14ac:dyDescent="0.25">
      <c r="A26569">
        <v>5603943021</v>
      </c>
      <c r="B26569" t="s">
        <v>7964</v>
      </c>
    </row>
    <row r="26570" spans="1:2" x14ac:dyDescent="0.25">
      <c r="A26570">
        <v>56039430211</v>
      </c>
      <c r="B26570" t="s">
        <v>8778</v>
      </c>
    </row>
    <row r="26571" spans="1:2" x14ac:dyDescent="0.25">
      <c r="A26571">
        <v>56039430219</v>
      </c>
      <c r="B26571" t="s">
        <v>57</v>
      </c>
    </row>
    <row r="26572" spans="1:2" x14ac:dyDescent="0.25">
      <c r="A26572">
        <v>5603943029</v>
      </c>
      <c r="B26572" t="s">
        <v>57</v>
      </c>
    </row>
    <row r="26573" spans="1:2" x14ac:dyDescent="0.25">
      <c r="A26573">
        <v>56039430291</v>
      </c>
      <c r="B26573" t="s">
        <v>8778</v>
      </c>
    </row>
    <row r="26574" spans="1:2" x14ac:dyDescent="0.25">
      <c r="A26574">
        <v>56039430299</v>
      </c>
      <c r="B26574" t="s">
        <v>57</v>
      </c>
    </row>
    <row r="26575" spans="1:2" x14ac:dyDescent="0.25">
      <c r="A26575">
        <v>560394309</v>
      </c>
      <c r="B26575" t="s">
        <v>57</v>
      </c>
    </row>
    <row r="26576" spans="1:2" x14ac:dyDescent="0.25">
      <c r="A26576">
        <v>5603943091</v>
      </c>
      <c r="B26576" t="s">
        <v>8789</v>
      </c>
    </row>
    <row r="26577" spans="1:2" x14ac:dyDescent="0.25">
      <c r="A26577">
        <v>56039430911</v>
      </c>
      <c r="B26577" t="s">
        <v>8790</v>
      </c>
    </row>
    <row r="26578" spans="1:2" x14ac:dyDescent="0.25">
      <c r="A26578">
        <v>56039430912</v>
      </c>
      <c r="B26578" t="s">
        <v>8784</v>
      </c>
    </row>
    <row r="26579" spans="1:2" x14ac:dyDescent="0.25">
      <c r="A26579">
        <v>56039430913</v>
      </c>
      <c r="B26579" t="s">
        <v>8787</v>
      </c>
    </row>
    <row r="26580" spans="1:2" x14ac:dyDescent="0.25">
      <c r="A26580">
        <v>56039430914</v>
      </c>
      <c r="B26580" t="s">
        <v>8786</v>
      </c>
    </row>
    <row r="26581" spans="1:2" x14ac:dyDescent="0.25">
      <c r="A26581">
        <v>56039430919</v>
      </c>
      <c r="B26581" t="s">
        <v>10</v>
      </c>
    </row>
    <row r="26582" spans="1:2" x14ac:dyDescent="0.25">
      <c r="A26582">
        <v>5603943099</v>
      </c>
      <c r="B26582" t="s">
        <v>57</v>
      </c>
    </row>
    <row r="26583" spans="1:2" x14ac:dyDescent="0.25">
      <c r="A26583">
        <v>56039430991</v>
      </c>
      <c r="B26583" t="s">
        <v>8783</v>
      </c>
    </row>
    <row r="26584" spans="1:2" x14ac:dyDescent="0.25">
      <c r="A26584">
        <v>56039430992</v>
      </c>
      <c r="B26584" t="s">
        <v>8784</v>
      </c>
    </row>
    <row r="26585" spans="1:2" x14ac:dyDescent="0.25">
      <c r="A26585">
        <v>56039430993</v>
      </c>
      <c r="B26585" t="s">
        <v>8787</v>
      </c>
    </row>
    <row r="26586" spans="1:2" x14ac:dyDescent="0.25">
      <c r="A26586">
        <v>56039430994</v>
      </c>
      <c r="B26586" t="s">
        <v>8786</v>
      </c>
    </row>
    <row r="26587" spans="1:2" x14ac:dyDescent="0.25">
      <c r="A26587">
        <v>56039430999</v>
      </c>
      <c r="B26587" t="s">
        <v>10</v>
      </c>
    </row>
    <row r="26588" spans="1:2" x14ac:dyDescent="0.25">
      <c r="A26588">
        <v>56039490</v>
      </c>
      <c r="B26588" t="s">
        <v>57</v>
      </c>
    </row>
    <row r="26589" spans="1:2" x14ac:dyDescent="0.25">
      <c r="A26589">
        <v>560394901</v>
      </c>
      <c r="B26589" t="s">
        <v>8775</v>
      </c>
    </row>
    <row r="26590" spans="1:2" x14ac:dyDescent="0.25">
      <c r="A26590">
        <v>5603949011</v>
      </c>
      <c r="B26590" t="s">
        <v>8778</v>
      </c>
    </row>
    <row r="26591" spans="1:2" x14ac:dyDescent="0.25">
      <c r="A26591">
        <v>56039490111</v>
      </c>
      <c r="B26591" t="s">
        <v>8577</v>
      </c>
    </row>
    <row r="26592" spans="1:2" x14ac:dyDescent="0.25">
      <c r="A26592">
        <v>56039490119</v>
      </c>
      <c r="B26592" t="s">
        <v>57</v>
      </c>
    </row>
    <row r="26593" spans="1:2" x14ac:dyDescent="0.25">
      <c r="A26593">
        <v>5603949019</v>
      </c>
      <c r="B26593" t="s">
        <v>57</v>
      </c>
    </row>
    <row r="26594" spans="1:2" x14ac:dyDescent="0.25">
      <c r="A26594">
        <v>56039490191</v>
      </c>
      <c r="B26594" t="s">
        <v>8577</v>
      </c>
    </row>
    <row r="26595" spans="1:2" x14ac:dyDescent="0.25">
      <c r="A26595">
        <v>56039490199</v>
      </c>
      <c r="B26595" t="s">
        <v>57</v>
      </c>
    </row>
    <row r="26596" spans="1:2" x14ac:dyDescent="0.25">
      <c r="A26596">
        <v>560394902</v>
      </c>
      <c r="B26596" t="s">
        <v>8754</v>
      </c>
    </row>
    <row r="26597" spans="1:2" x14ac:dyDescent="0.25">
      <c r="A26597">
        <v>5603949021</v>
      </c>
      <c r="B26597" t="s">
        <v>7964</v>
      </c>
    </row>
    <row r="26598" spans="1:2" x14ac:dyDescent="0.25">
      <c r="A26598">
        <v>56039490211</v>
      </c>
      <c r="B26598" t="s">
        <v>8778</v>
      </c>
    </row>
    <row r="26599" spans="1:2" x14ac:dyDescent="0.25">
      <c r="A26599">
        <v>56039490219</v>
      </c>
      <c r="B26599" t="s">
        <v>57</v>
      </c>
    </row>
    <row r="26600" spans="1:2" x14ac:dyDescent="0.25">
      <c r="A26600">
        <v>5603949029</v>
      </c>
      <c r="B26600" t="s">
        <v>57</v>
      </c>
    </row>
    <row r="26601" spans="1:2" x14ac:dyDescent="0.25">
      <c r="A26601">
        <v>56039490291</v>
      </c>
      <c r="B26601" t="s">
        <v>8778</v>
      </c>
    </row>
    <row r="26602" spans="1:2" x14ac:dyDescent="0.25">
      <c r="A26602">
        <v>56039490299</v>
      </c>
      <c r="B26602" t="s">
        <v>57</v>
      </c>
    </row>
    <row r="26603" spans="1:2" x14ac:dyDescent="0.25">
      <c r="A26603">
        <v>560394909</v>
      </c>
      <c r="B26603" t="s">
        <v>57</v>
      </c>
    </row>
    <row r="26604" spans="1:2" x14ac:dyDescent="0.25">
      <c r="A26604">
        <v>5603949091</v>
      </c>
      <c r="B26604" t="s">
        <v>8778</v>
      </c>
    </row>
    <row r="26605" spans="1:2" x14ac:dyDescent="0.25">
      <c r="A26605">
        <v>56039490911</v>
      </c>
      <c r="B26605" t="s">
        <v>8790</v>
      </c>
    </row>
    <row r="26606" spans="1:2" x14ac:dyDescent="0.25">
      <c r="A26606">
        <v>56039490912</v>
      </c>
      <c r="B26606" t="s">
        <v>8791</v>
      </c>
    </row>
    <row r="26607" spans="1:2" x14ac:dyDescent="0.25">
      <c r="A26607">
        <v>56039490913</v>
      </c>
      <c r="B26607" t="s">
        <v>8787</v>
      </c>
    </row>
    <row r="26608" spans="1:2" x14ac:dyDescent="0.25">
      <c r="A26608">
        <v>56039490914</v>
      </c>
      <c r="B26608" t="s">
        <v>8786</v>
      </c>
    </row>
    <row r="26609" spans="1:2" x14ac:dyDescent="0.25">
      <c r="A26609">
        <v>56039490919</v>
      </c>
      <c r="B26609" t="s">
        <v>10</v>
      </c>
    </row>
    <row r="26610" spans="1:2" x14ac:dyDescent="0.25">
      <c r="A26610">
        <v>5603949099</v>
      </c>
      <c r="B26610" t="s">
        <v>57</v>
      </c>
    </row>
    <row r="26611" spans="1:2" x14ac:dyDescent="0.25">
      <c r="A26611">
        <v>56039490991</v>
      </c>
      <c r="B26611" t="s">
        <v>8783</v>
      </c>
    </row>
    <row r="26612" spans="1:2" x14ac:dyDescent="0.25">
      <c r="A26612">
        <v>56039490992</v>
      </c>
      <c r="B26612" t="s">
        <v>8784</v>
      </c>
    </row>
    <row r="26613" spans="1:2" x14ac:dyDescent="0.25">
      <c r="A26613">
        <v>56039490993</v>
      </c>
      <c r="B26613" t="s">
        <v>8787</v>
      </c>
    </row>
    <row r="26614" spans="1:2" x14ac:dyDescent="0.25">
      <c r="A26614">
        <v>56039490994</v>
      </c>
      <c r="B26614" t="s">
        <v>8786</v>
      </c>
    </row>
    <row r="26615" spans="1:2" x14ac:dyDescent="0.25">
      <c r="A26615">
        <v>56039490999</v>
      </c>
      <c r="B26615" t="s">
        <v>10</v>
      </c>
    </row>
    <row r="26616" spans="1:2" x14ac:dyDescent="0.25">
      <c r="A26616">
        <v>5604</v>
      </c>
      <c r="B26616" t="s">
        <v>8792</v>
      </c>
    </row>
    <row r="26617" spans="1:2" x14ac:dyDescent="0.25">
      <c r="A26617">
        <v>56041000000</v>
      </c>
      <c r="B26617" t="e">
        <f>-hilos y cuerdas de caucho revestidos de textiles</f>
        <v>#NAME?</v>
      </c>
    </row>
    <row r="26618" spans="1:2" x14ac:dyDescent="0.25">
      <c r="A26618">
        <v>560490</v>
      </c>
      <c r="B26618" t="e">
        <f>- Los demas</f>
        <v>#NAME?</v>
      </c>
    </row>
    <row r="26619" spans="1:2" x14ac:dyDescent="0.25">
      <c r="A26619">
        <v>56049010000</v>
      </c>
      <c r="B26619" t="s">
        <v>8793</v>
      </c>
    </row>
    <row r="26620" spans="1:2" x14ac:dyDescent="0.25">
      <c r="A26620">
        <v>5604902</v>
      </c>
      <c r="B26620" t="s">
        <v>8794</v>
      </c>
    </row>
    <row r="26621" spans="1:2" x14ac:dyDescent="0.25">
      <c r="A26621">
        <v>56049021000</v>
      </c>
      <c r="B26621" t="s">
        <v>8795</v>
      </c>
    </row>
    <row r="26622" spans="1:2" x14ac:dyDescent="0.25">
      <c r="A26622">
        <v>56049022000</v>
      </c>
      <c r="B26622" t="s">
        <v>8796</v>
      </c>
    </row>
    <row r="26623" spans="1:2" x14ac:dyDescent="0.25">
      <c r="A26623">
        <v>56049090000</v>
      </c>
      <c r="B26623" t="s">
        <v>10</v>
      </c>
    </row>
    <row r="26624" spans="1:2" x14ac:dyDescent="0.25">
      <c r="A26624">
        <v>560500</v>
      </c>
      <c r="B26624" t="s">
        <v>8797</v>
      </c>
    </row>
    <row r="26625" spans="1:2" x14ac:dyDescent="0.25">
      <c r="A26625">
        <v>56050010</v>
      </c>
      <c r="B26625" t="s">
        <v>8798</v>
      </c>
    </row>
    <row r="26626" spans="1:2" x14ac:dyDescent="0.25">
      <c r="A26626">
        <v>56050010100</v>
      </c>
      <c r="B26626" t="s">
        <v>8390</v>
      </c>
    </row>
    <row r="26627" spans="1:2" x14ac:dyDescent="0.25">
      <c r="A26627">
        <v>56050010900</v>
      </c>
      <c r="B26627" t="s">
        <v>10</v>
      </c>
    </row>
    <row r="26628" spans="1:2" x14ac:dyDescent="0.25">
      <c r="A26628">
        <v>56050020</v>
      </c>
      <c r="B26628" t="s">
        <v>8799</v>
      </c>
    </row>
    <row r="26629" spans="1:2" x14ac:dyDescent="0.25">
      <c r="A26629">
        <v>56050020100</v>
      </c>
      <c r="B26629" t="s">
        <v>8390</v>
      </c>
    </row>
    <row r="26630" spans="1:2" x14ac:dyDescent="0.25">
      <c r="A26630">
        <v>56050020900</v>
      </c>
      <c r="B26630" t="s">
        <v>10</v>
      </c>
    </row>
    <row r="26631" spans="1:2" x14ac:dyDescent="0.25">
      <c r="A26631">
        <v>56050090</v>
      </c>
      <c r="B26631" t="s">
        <v>10</v>
      </c>
    </row>
    <row r="26632" spans="1:2" x14ac:dyDescent="0.25">
      <c r="A26632">
        <v>56050090100</v>
      </c>
      <c r="B26632" t="s">
        <v>8390</v>
      </c>
    </row>
    <row r="26633" spans="1:2" x14ac:dyDescent="0.25">
      <c r="A26633">
        <v>56050090900</v>
      </c>
      <c r="B26633" t="s">
        <v>10</v>
      </c>
    </row>
    <row r="26634" spans="1:2" x14ac:dyDescent="0.25">
      <c r="A26634">
        <v>56060000</v>
      </c>
      <c r="B26634" t="s">
        <v>8800</v>
      </c>
    </row>
    <row r="26635" spans="1:2" x14ac:dyDescent="0.25">
      <c r="A26635">
        <v>560600001</v>
      </c>
      <c r="B26635" t="s">
        <v>8801</v>
      </c>
    </row>
    <row r="26636" spans="1:2" x14ac:dyDescent="0.25">
      <c r="A26636">
        <v>56060000110</v>
      </c>
      <c r="B26636" t="s">
        <v>8802</v>
      </c>
    </row>
    <row r="26637" spans="1:2" x14ac:dyDescent="0.25">
      <c r="A26637">
        <v>56060000120</v>
      </c>
      <c r="B26637" t="s">
        <v>8803</v>
      </c>
    </row>
    <row r="26638" spans="1:2" x14ac:dyDescent="0.25">
      <c r="A26638">
        <v>560600002</v>
      </c>
      <c r="B26638" t="s">
        <v>8804</v>
      </c>
    </row>
    <row r="26639" spans="1:2" x14ac:dyDescent="0.25">
      <c r="A26639">
        <v>56060000210</v>
      </c>
      <c r="B26639" t="s">
        <v>8805</v>
      </c>
    </row>
    <row r="26640" spans="1:2" x14ac:dyDescent="0.25">
      <c r="A26640">
        <v>56060000220</v>
      </c>
      <c r="B26640" t="s">
        <v>8577</v>
      </c>
    </row>
    <row r="26641" spans="1:2" x14ac:dyDescent="0.25">
      <c r="A26641">
        <v>56060000230</v>
      </c>
      <c r="B26641" t="s">
        <v>6664</v>
      </c>
    </row>
    <row r="26642" spans="1:2" x14ac:dyDescent="0.25">
      <c r="A26642">
        <v>56060000240</v>
      </c>
      <c r="B26642" t="s">
        <v>8806</v>
      </c>
    </row>
    <row r="26643" spans="1:2" x14ac:dyDescent="0.25">
      <c r="A26643">
        <v>56060000250</v>
      </c>
      <c r="B26643" t="s">
        <v>8581</v>
      </c>
    </row>
    <row r="26644" spans="1:2" x14ac:dyDescent="0.25">
      <c r="A26644">
        <v>56060000290</v>
      </c>
      <c r="B26644" t="s">
        <v>57</v>
      </c>
    </row>
    <row r="26645" spans="1:2" x14ac:dyDescent="0.25">
      <c r="A26645">
        <v>560600003</v>
      </c>
      <c r="B26645" t="s">
        <v>8807</v>
      </c>
    </row>
    <row r="26646" spans="1:2" x14ac:dyDescent="0.25">
      <c r="A26646">
        <v>56060000310</v>
      </c>
      <c r="B26646" t="s">
        <v>8805</v>
      </c>
    </row>
    <row r="26647" spans="1:2" x14ac:dyDescent="0.25">
      <c r="A26647">
        <v>56060000320</v>
      </c>
      <c r="B26647" t="s">
        <v>8808</v>
      </c>
    </row>
    <row r="26648" spans="1:2" x14ac:dyDescent="0.25">
      <c r="A26648">
        <v>56060000330</v>
      </c>
      <c r="B26648" t="s">
        <v>8809</v>
      </c>
    </row>
    <row r="26649" spans="1:2" x14ac:dyDescent="0.25">
      <c r="A26649">
        <v>56060000390</v>
      </c>
      <c r="B26649" t="s">
        <v>57</v>
      </c>
    </row>
    <row r="26650" spans="1:2" x14ac:dyDescent="0.25">
      <c r="A26650">
        <v>5607</v>
      </c>
      <c r="B26650" t="s">
        <v>8810</v>
      </c>
    </row>
    <row r="26651" spans="1:2" x14ac:dyDescent="0.25">
      <c r="A26651">
        <v>56072</v>
      </c>
      <c r="B26651" t="s">
        <v>8811</v>
      </c>
    </row>
    <row r="26652" spans="1:2" x14ac:dyDescent="0.25">
      <c r="A26652">
        <v>56072100000</v>
      </c>
      <c r="B26652" t="e">
        <f>--Cordeles para atar o engavillar</f>
        <v>#NAME?</v>
      </c>
    </row>
    <row r="26653" spans="1:2" x14ac:dyDescent="0.25">
      <c r="A26653">
        <v>56072900000</v>
      </c>
      <c r="B26653" t="e">
        <f>--Los demas</f>
        <v>#NAME?</v>
      </c>
    </row>
    <row r="26654" spans="1:2" x14ac:dyDescent="0.25">
      <c r="A26654">
        <v>56074</v>
      </c>
      <c r="B26654" t="s">
        <v>8812</v>
      </c>
    </row>
    <row r="26655" spans="1:2" x14ac:dyDescent="0.25">
      <c r="A26655">
        <v>56074100</v>
      </c>
      <c r="B26655" t="e">
        <f>- - Cordeles para atar o engavillar</f>
        <v>#NAME?</v>
      </c>
    </row>
    <row r="26656" spans="1:2" x14ac:dyDescent="0.25">
      <c r="A26656">
        <v>56074100100</v>
      </c>
      <c r="B26656" t="s">
        <v>8813</v>
      </c>
    </row>
    <row r="26657" spans="1:2" x14ac:dyDescent="0.25">
      <c r="A26657">
        <v>56074100900</v>
      </c>
      <c r="B26657" t="s">
        <v>10</v>
      </c>
    </row>
    <row r="26658" spans="1:2" x14ac:dyDescent="0.25">
      <c r="A26658">
        <v>56074900</v>
      </c>
      <c r="B26658" t="e">
        <f>- - Los demas</f>
        <v>#NAME?</v>
      </c>
    </row>
    <row r="26659" spans="1:2" x14ac:dyDescent="0.25">
      <c r="A26659">
        <v>560749001</v>
      </c>
      <c r="B26659" t="s">
        <v>8813</v>
      </c>
    </row>
    <row r="26660" spans="1:2" x14ac:dyDescent="0.25">
      <c r="A26660">
        <v>56074900110</v>
      </c>
      <c r="B26660" t="s">
        <v>8814</v>
      </c>
    </row>
    <row r="26661" spans="1:2" x14ac:dyDescent="0.25">
      <c r="A26661">
        <v>56074900120</v>
      </c>
      <c r="B26661" t="s">
        <v>8815</v>
      </c>
    </row>
    <row r="26662" spans="1:2" x14ac:dyDescent="0.25">
      <c r="A26662">
        <v>56074900190</v>
      </c>
      <c r="B26662" t="s">
        <v>10</v>
      </c>
    </row>
    <row r="26663" spans="1:2" x14ac:dyDescent="0.25">
      <c r="A26663">
        <v>560749009</v>
      </c>
      <c r="B26663" t="s">
        <v>10</v>
      </c>
    </row>
    <row r="26664" spans="1:2" x14ac:dyDescent="0.25">
      <c r="A26664">
        <v>56074900910</v>
      </c>
      <c r="B26664" t="s">
        <v>8814</v>
      </c>
    </row>
    <row r="26665" spans="1:2" x14ac:dyDescent="0.25">
      <c r="A26665">
        <v>56074900920</v>
      </c>
      <c r="B26665" t="s">
        <v>8815</v>
      </c>
    </row>
    <row r="26666" spans="1:2" x14ac:dyDescent="0.25">
      <c r="A26666">
        <v>56074900990</v>
      </c>
      <c r="B26666" t="s">
        <v>10</v>
      </c>
    </row>
    <row r="26667" spans="1:2" x14ac:dyDescent="0.25">
      <c r="A26667">
        <v>560750</v>
      </c>
      <c r="B26667" t="e">
        <f>- de las demas fibras sinteticas</f>
        <v>#NAME?</v>
      </c>
    </row>
    <row r="26668" spans="1:2" x14ac:dyDescent="0.25">
      <c r="A26668">
        <v>5607501</v>
      </c>
      <c r="B26668" t="s">
        <v>6926</v>
      </c>
    </row>
    <row r="26669" spans="1:2" x14ac:dyDescent="0.25">
      <c r="A26669">
        <v>56075011</v>
      </c>
      <c r="B26669" t="s">
        <v>8584</v>
      </c>
    </row>
    <row r="26670" spans="1:2" x14ac:dyDescent="0.25">
      <c r="A26670">
        <v>560750111</v>
      </c>
      <c r="B26670" t="s">
        <v>8813</v>
      </c>
    </row>
    <row r="26671" spans="1:2" x14ac:dyDescent="0.25">
      <c r="A26671">
        <v>56075011110</v>
      </c>
      <c r="B26671" t="s">
        <v>8814</v>
      </c>
    </row>
    <row r="26672" spans="1:2" x14ac:dyDescent="0.25">
      <c r="A26672">
        <v>56075011120</v>
      </c>
      <c r="B26672" t="s">
        <v>8815</v>
      </c>
    </row>
    <row r="26673" spans="1:2" x14ac:dyDescent="0.25">
      <c r="A26673">
        <v>56075011190</v>
      </c>
      <c r="B26673" t="s">
        <v>10</v>
      </c>
    </row>
    <row r="26674" spans="1:2" x14ac:dyDescent="0.25">
      <c r="A26674">
        <v>560750119</v>
      </c>
      <c r="B26674" t="s">
        <v>10</v>
      </c>
    </row>
    <row r="26675" spans="1:2" x14ac:dyDescent="0.25">
      <c r="A26675">
        <v>56075011910</v>
      </c>
      <c r="B26675" t="s">
        <v>8814</v>
      </c>
    </row>
    <row r="26676" spans="1:2" x14ac:dyDescent="0.25">
      <c r="A26676">
        <v>56075011920</v>
      </c>
      <c r="B26676" t="s">
        <v>8815</v>
      </c>
    </row>
    <row r="26677" spans="1:2" x14ac:dyDescent="0.25">
      <c r="A26677">
        <v>56075011990</v>
      </c>
      <c r="B26677" t="s">
        <v>10</v>
      </c>
    </row>
    <row r="26678" spans="1:2" x14ac:dyDescent="0.25">
      <c r="A26678">
        <v>56075019</v>
      </c>
      <c r="B26678" t="s">
        <v>10</v>
      </c>
    </row>
    <row r="26679" spans="1:2" x14ac:dyDescent="0.25">
      <c r="A26679">
        <v>560750191</v>
      </c>
      <c r="B26679" t="s">
        <v>8813</v>
      </c>
    </row>
    <row r="26680" spans="1:2" x14ac:dyDescent="0.25">
      <c r="A26680">
        <v>56075019110</v>
      </c>
      <c r="B26680" t="s">
        <v>8814</v>
      </c>
    </row>
    <row r="26681" spans="1:2" x14ac:dyDescent="0.25">
      <c r="A26681">
        <v>56075019120</v>
      </c>
      <c r="B26681" t="s">
        <v>8815</v>
      </c>
    </row>
    <row r="26682" spans="1:2" x14ac:dyDescent="0.25">
      <c r="A26682">
        <v>56075019190</v>
      </c>
      <c r="B26682" t="s">
        <v>10</v>
      </c>
    </row>
    <row r="26683" spans="1:2" x14ac:dyDescent="0.25">
      <c r="A26683">
        <v>560750199</v>
      </c>
      <c r="B26683" t="s">
        <v>10</v>
      </c>
    </row>
    <row r="26684" spans="1:2" x14ac:dyDescent="0.25">
      <c r="A26684">
        <v>56075019910</v>
      </c>
      <c r="B26684" t="s">
        <v>8814</v>
      </c>
    </row>
    <row r="26685" spans="1:2" x14ac:dyDescent="0.25">
      <c r="A26685">
        <v>56075019920</v>
      </c>
      <c r="B26685" t="s">
        <v>8815</v>
      </c>
    </row>
    <row r="26686" spans="1:2" x14ac:dyDescent="0.25">
      <c r="A26686">
        <v>56075019990</v>
      </c>
      <c r="B26686" t="s">
        <v>10</v>
      </c>
    </row>
    <row r="26687" spans="1:2" x14ac:dyDescent="0.25">
      <c r="A26687">
        <v>56075090</v>
      </c>
      <c r="B26687" t="s">
        <v>10</v>
      </c>
    </row>
    <row r="26688" spans="1:2" x14ac:dyDescent="0.25">
      <c r="A26688">
        <v>560750901</v>
      </c>
      <c r="B26688" t="s">
        <v>8813</v>
      </c>
    </row>
    <row r="26689" spans="1:2" x14ac:dyDescent="0.25">
      <c r="A26689">
        <v>56075090110</v>
      </c>
      <c r="B26689" t="s">
        <v>8814</v>
      </c>
    </row>
    <row r="26690" spans="1:2" x14ac:dyDescent="0.25">
      <c r="A26690">
        <v>56075090120</v>
      </c>
      <c r="B26690" t="s">
        <v>8815</v>
      </c>
    </row>
    <row r="26691" spans="1:2" x14ac:dyDescent="0.25">
      <c r="A26691">
        <v>56075090190</v>
      </c>
      <c r="B26691" t="s">
        <v>10</v>
      </c>
    </row>
    <row r="26692" spans="1:2" x14ac:dyDescent="0.25">
      <c r="A26692">
        <v>560750909</v>
      </c>
      <c r="B26692" t="s">
        <v>10</v>
      </c>
    </row>
    <row r="26693" spans="1:2" x14ac:dyDescent="0.25">
      <c r="A26693">
        <v>56075090910</v>
      </c>
      <c r="B26693" t="s">
        <v>8814</v>
      </c>
    </row>
    <row r="26694" spans="1:2" x14ac:dyDescent="0.25">
      <c r="A26694">
        <v>56075090920</v>
      </c>
      <c r="B26694" t="s">
        <v>8815</v>
      </c>
    </row>
    <row r="26695" spans="1:2" x14ac:dyDescent="0.25">
      <c r="A26695">
        <v>56075090990</v>
      </c>
      <c r="B26695" t="s">
        <v>10</v>
      </c>
    </row>
    <row r="26696" spans="1:2" x14ac:dyDescent="0.25">
      <c r="A26696">
        <v>560790</v>
      </c>
      <c r="B26696" t="e">
        <f>- Los demas</f>
        <v>#NAME?</v>
      </c>
    </row>
    <row r="26697" spans="1:2" x14ac:dyDescent="0.25">
      <c r="A26697">
        <v>56079010</v>
      </c>
      <c r="B26697" t="s">
        <v>8805</v>
      </c>
    </row>
    <row r="26698" spans="1:2" x14ac:dyDescent="0.25">
      <c r="A26698">
        <v>56079010100</v>
      </c>
      <c r="B26698" t="s">
        <v>8813</v>
      </c>
    </row>
    <row r="26699" spans="1:2" x14ac:dyDescent="0.25">
      <c r="A26699">
        <v>56079010900</v>
      </c>
      <c r="B26699" t="s">
        <v>10</v>
      </c>
    </row>
    <row r="26700" spans="1:2" x14ac:dyDescent="0.25">
      <c r="A26700">
        <v>56079020000</v>
      </c>
      <c r="B26700" t="s">
        <v>8816</v>
      </c>
    </row>
    <row r="26701" spans="1:2" x14ac:dyDescent="0.25">
      <c r="A26701">
        <v>56079090</v>
      </c>
      <c r="B26701" t="s">
        <v>10</v>
      </c>
    </row>
    <row r="26702" spans="1:2" x14ac:dyDescent="0.25">
      <c r="A26702">
        <v>56079090100</v>
      </c>
      <c r="B26702" t="s">
        <v>8813</v>
      </c>
    </row>
    <row r="26703" spans="1:2" x14ac:dyDescent="0.25">
      <c r="A26703">
        <v>56079090900</v>
      </c>
      <c r="B26703" t="s">
        <v>10</v>
      </c>
    </row>
    <row r="26704" spans="1:2" x14ac:dyDescent="0.25">
      <c r="A26704">
        <v>5608</v>
      </c>
      <c r="B26704" t="s">
        <v>8817</v>
      </c>
    </row>
    <row r="26705" spans="1:2" x14ac:dyDescent="0.25">
      <c r="A26705">
        <v>56081</v>
      </c>
      <c r="B26705" t="s">
        <v>8818</v>
      </c>
    </row>
    <row r="26706" spans="1:2" x14ac:dyDescent="0.25">
      <c r="A26706">
        <v>56081100</v>
      </c>
      <c r="B26706" t="e">
        <f>- - Redes confeccionadas para la pesca</f>
        <v>#NAME?</v>
      </c>
    </row>
    <row r="26707" spans="1:2" x14ac:dyDescent="0.25">
      <c r="A26707">
        <v>56081100100</v>
      </c>
      <c r="B26707" t="s">
        <v>8819</v>
      </c>
    </row>
    <row r="26708" spans="1:2" x14ac:dyDescent="0.25">
      <c r="A26708">
        <v>56081100900</v>
      </c>
      <c r="B26708" t="s">
        <v>57</v>
      </c>
    </row>
    <row r="26709" spans="1:2" x14ac:dyDescent="0.25">
      <c r="A26709">
        <v>56081900000</v>
      </c>
      <c r="B26709" t="e">
        <f>--las demas</f>
        <v>#NAME?</v>
      </c>
    </row>
    <row r="26710" spans="1:2" x14ac:dyDescent="0.25">
      <c r="A26710">
        <v>56089000000</v>
      </c>
      <c r="B26710" t="e">
        <f>-las demas</f>
        <v>#NAME?</v>
      </c>
    </row>
    <row r="26711" spans="1:2" x14ac:dyDescent="0.25">
      <c r="A26711">
        <v>560900</v>
      </c>
      <c r="B26711" t="s">
        <v>8820</v>
      </c>
    </row>
    <row r="26712" spans="1:2" x14ac:dyDescent="0.25">
      <c r="A26712">
        <v>56090010000</v>
      </c>
      <c r="B26712" t="s">
        <v>8805</v>
      </c>
    </row>
    <row r="26713" spans="1:2" x14ac:dyDescent="0.25">
      <c r="A26713">
        <v>56090090000</v>
      </c>
      <c r="B26713" t="s">
        <v>10</v>
      </c>
    </row>
    <row r="26714" spans="1:2" x14ac:dyDescent="0.25">
      <c r="A26714">
        <v>5701</v>
      </c>
      <c r="B26714" t="s">
        <v>8821</v>
      </c>
    </row>
    <row r="26715" spans="1:2" x14ac:dyDescent="0.25">
      <c r="A26715">
        <v>570110</v>
      </c>
      <c r="B26715" t="e">
        <f>- de lana o Pelo fino</f>
        <v>#NAME?</v>
      </c>
    </row>
    <row r="26716" spans="1:2" x14ac:dyDescent="0.25">
      <c r="A26716">
        <v>5701101</v>
      </c>
      <c r="B26716" t="s">
        <v>8344</v>
      </c>
    </row>
    <row r="26717" spans="1:2" x14ac:dyDescent="0.25">
      <c r="A26717">
        <v>57011011</v>
      </c>
      <c r="B26717" t="s">
        <v>8822</v>
      </c>
    </row>
    <row r="26718" spans="1:2" x14ac:dyDescent="0.25">
      <c r="A26718">
        <v>570110111</v>
      </c>
      <c r="B26718" t="s">
        <v>8823</v>
      </c>
    </row>
    <row r="26719" spans="1:2" x14ac:dyDescent="0.25">
      <c r="A26719">
        <v>57011011110</v>
      </c>
      <c r="B26719" t="s">
        <v>8824</v>
      </c>
    </row>
    <row r="26720" spans="1:2" x14ac:dyDescent="0.25">
      <c r="A26720">
        <v>57011011120</v>
      </c>
      <c r="B26720" t="s">
        <v>8825</v>
      </c>
    </row>
    <row r="26721" spans="1:2" x14ac:dyDescent="0.25">
      <c r="A26721">
        <v>57011011190</v>
      </c>
      <c r="B26721" t="s">
        <v>57</v>
      </c>
    </row>
    <row r="26722" spans="1:2" x14ac:dyDescent="0.25">
      <c r="A26722">
        <v>57011011200</v>
      </c>
      <c r="B26722" t="s">
        <v>8826</v>
      </c>
    </row>
    <row r="26723" spans="1:2" x14ac:dyDescent="0.25">
      <c r="A26723">
        <v>57011012</v>
      </c>
      <c r="B26723" t="s">
        <v>8827</v>
      </c>
    </row>
    <row r="26724" spans="1:2" x14ac:dyDescent="0.25">
      <c r="A26724">
        <v>570110121</v>
      </c>
      <c r="B26724" t="s">
        <v>8823</v>
      </c>
    </row>
    <row r="26725" spans="1:2" x14ac:dyDescent="0.25">
      <c r="A26725">
        <v>57011012110</v>
      </c>
      <c r="B26725" t="s">
        <v>8824</v>
      </c>
    </row>
    <row r="26726" spans="1:2" x14ac:dyDescent="0.25">
      <c r="A26726">
        <v>57011012120</v>
      </c>
      <c r="B26726" t="s">
        <v>8825</v>
      </c>
    </row>
    <row r="26727" spans="1:2" x14ac:dyDescent="0.25">
      <c r="A26727">
        <v>57011012190</v>
      </c>
      <c r="B26727" t="s">
        <v>57</v>
      </c>
    </row>
    <row r="26728" spans="1:2" x14ac:dyDescent="0.25">
      <c r="A26728">
        <v>57011012200</v>
      </c>
      <c r="B26728" t="s">
        <v>8826</v>
      </c>
    </row>
    <row r="26729" spans="1:2" x14ac:dyDescent="0.25">
      <c r="A26729">
        <v>57011020000</v>
      </c>
      <c r="B26729" t="s">
        <v>8345</v>
      </c>
    </row>
    <row r="26730" spans="1:2" x14ac:dyDescent="0.25">
      <c r="A26730">
        <v>57019000</v>
      </c>
      <c r="B26730" t="e">
        <f>- de las demas materias textiles</f>
        <v>#NAME?</v>
      </c>
    </row>
    <row r="26731" spans="1:2" x14ac:dyDescent="0.25">
      <c r="A26731">
        <v>570190001</v>
      </c>
      <c r="B26731" t="s">
        <v>8823</v>
      </c>
    </row>
    <row r="26732" spans="1:2" x14ac:dyDescent="0.25">
      <c r="A26732">
        <v>57019000110</v>
      </c>
      <c r="B26732" t="s">
        <v>8824</v>
      </c>
    </row>
    <row r="26733" spans="1:2" x14ac:dyDescent="0.25">
      <c r="A26733">
        <v>57019000120</v>
      </c>
      <c r="B26733" t="s">
        <v>8825</v>
      </c>
    </row>
    <row r="26734" spans="1:2" x14ac:dyDescent="0.25">
      <c r="A26734">
        <v>57019000190</v>
      </c>
      <c r="B26734" t="s">
        <v>57</v>
      </c>
    </row>
    <row r="26735" spans="1:2" x14ac:dyDescent="0.25">
      <c r="A26735">
        <v>57019000200</v>
      </c>
      <c r="B26735" t="s">
        <v>8826</v>
      </c>
    </row>
    <row r="26736" spans="1:2" x14ac:dyDescent="0.25">
      <c r="A26736">
        <v>5702</v>
      </c>
      <c r="B26736" t="s">
        <v>8828</v>
      </c>
    </row>
    <row r="26737" spans="1:2" x14ac:dyDescent="0.25">
      <c r="A26737">
        <v>57021000000</v>
      </c>
      <c r="B26737" t="s">
        <v>8829</v>
      </c>
    </row>
    <row r="26738" spans="1:2" x14ac:dyDescent="0.25">
      <c r="A26738">
        <v>57022000000</v>
      </c>
      <c r="B26738" t="e">
        <f>-Revestimientos para el suelo de fibras de coco</f>
        <v>#NAME?</v>
      </c>
    </row>
    <row r="26739" spans="1:2" x14ac:dyDescent="0.25">
      <c r="A26739">
        <v>57023</v>
      </c>
      <c r="B26739" t="s">
        <v>8830</v>
      </c>
    </row>
    <row r="26740" spans="1:2" x14ac:dyDescent="0.25">
      <c r="A26740">
        <v>57023100000</v>
      </c>
      <c r="B26740" t="e">
        <f>--de lana o Pelo fino</f>
        <v>#NAME?</v>
      </c>
    </row>
    <row r="26741" spans="1:2" x14ac:dyDescent="0.25">
      <c r="A26741">
        <v>57023200000</v>
      </c>
      <c r="B26741" t="e">
        <f>--de materia textil sintetica o artificial</f>
        <v>#NAME?</v>
      </c>
    </row>
    <row r="26742" spans="1:2" x14ac:dyDescent="0.25">
      <c r="A26742">
        <v>57023900000</v>
      </c>
      <c r="B26742" t="e">
        <f>--de las demas materias textiles</f>
        <v>#NAME?</v>
      </c>
    </row>
    <row r="26743" spans="1:2" x14ac:dyDescent="0.25">
      <c r="A26743">
        <v>57024</v>
      </c>
      <c r="B26743" t="s">
        <v>8831</v>
      </c>
    </row>
    <row r="26744" spans="1:2" x14ac:dyDescent="0.25">
      <c r="A26744">
        <v>57024100</v>
      </c>
      <c r="B26744" t="e">
        <f>- - de lana o Pelo fino</f>
        <v>#NAME?</v>
      </c>
    </row>
    <row r="26745" spans="1:2" x14ac:dyDescent="0.25">
      <c r="A26745">
        <v>570241001</v>
      </c>
      <c r="B26745" t="s">
        <v>8832</v>
      </c>
    </row>
    <row r="26746" spans="1:2" x14ac:dyDescent="0.25">
      <c r="A26746">
        <v>57024100110</v>
      </c>
      <c r="B26746" t="s">
        <v>8833</v>
      </c>
    </row>
    <row r="26747" spans="1:2" x14ac:dyDescent="0.25">
      <c r="A26747">
        <v>57024100120</v>
      </c>
      <c r="B26747" t="s">
        <v>8834</v>
      </c>
    </row>
    <row r="26748" spans="1:2" x14ac:dyDescent="0.25">
      <c r="A26748">
        <v>570241002</v>
      </c>
      <c r="B26748" t="s">
        <v>8825</v>
      </c>
    </row>
    <row r="26749" spans="1:2" x14ac:dyDescent="0.25">
      <c r="A26749">
        <v>57024100210</v>
      </c>
      <c r="B26749" t="s">
        <v>8833</v>
      </c>
    </row>
    <row r="26750" spans="1:2" x14ac:dyDescent="0.25">
      <c r="A26750">
        <v>57024100220</v>
      </c>
      <c r="B26750" t="s">
        <v>8834</v>
      </c>
    </row>
    <row r="26751" spans="1:2" x14ac:dyDescent="0.25">
      <c r="A26751">
        <v>570241009</v>
      </c>
      <c r="B26751" t="s">
        <v>10</v>
      </c>
    </row>
    <row r="26752" spans="1:2" x14ac:dyDescent="0.25">
      <c r="A26752">
        <v>57024100910</v>
      </c>
      <c r="B26752" t="s">
        <v>8833</v>
      </c>
    </row>
    <row r="26753" spans="1:2" x14ac:dyDescent="0.25">
      <c r="A26753">
        <v>57024100920</v>
      </c>
      <c r="B26753" t="s">
        <v>8834</v>
      </c>
    </row>
    <row r="26754" spans="1:2" x14ac:dyDescent="0.25">
      <c r="A26754">
        <v>57024200</v>
      </c>
      <c r="B26754" t="e">
        <f>- - de materia textil sintetica o artificial</f>
        <v>#NAME?</v>
      </c>
    </row>
    <row r="26755" spans="1:2" x14ac:dyDescent="0.25">
      <c r="A26755">
        <v>570242001</v>
      </c>
      <c r="B26755" t="s">
        <v>8832</v>
      </c>
    </row>
    <row r="26756" spans="1:2" x14ac:dyDescent="0.25">
      <c r="A26756">
        <v>57024200110</v>
      </c>
      <c r="B26756" t="s">
        <v>8833</v>
      </c>
    </row>
    <row r="26757" spans="1:2" x14ac:dyDescent="0.25">
      <c r="A26757">
        <v>57024200120</v>
      </c>
      <c r="B26757" t="s">
        <v>8834</v>
      </c>
    </row>
    <row r="26758" spans="1:2" x14ac:dyDescent="0.25">
      <c r="A26758">
        <v>570242002</v>
      </c>
      <c r="B26758" t="s">
        <v>8825</v>
      </c>
    </row>
    <row r="26759" spans="1:2" x14ac:dyDescent="0.25">
      <c r="A26759">
        <v>57024200210</v>
      </c>
      <c r="B26759" t="s">
        <v>8833</v>
      </c>
    </row>
    <row r="26760" spans="1:2" x14ac:dyDescent="0.25">
      <c r="A26760">
        <v>57024200220</v>
      </c>
      <c r="B26760" t="s">
        <v>8834</v>
      </c>
    </row>
    <row r="26761" spans="1:2" x14ac:dyDescent="0.25">
      <c r="A26761">
        <v>570242009</v>
      </c>
      <c r="B26761" t="s">
        <v>10</v>
      </c>
    </row>
    <row r="26762" spans="1:2" x14ac:dyDescent="0.25">
      <c r="A26762">
        <v>57024200910</v>
      </c>
      <c r="B26762" t="s">
        <v>8833</v>
      </c>
    </row>
    <row r="26763" spans="1:2" x14ac:dyDescent="0.25">
      <c r="A26763">
        <v>57024200920</v>
      </c>
      <c r="B26763" t="s">
        <v>8834</v>
      </c>
    </row>
    <row r="26764" spans="1:2" x14ac:dyDescent="0.25">
      <c r="A26764">
        <v>57024900</v>
      </c>
      <c r="B26764" t="e">
        <f>- - de las demas materias textiles</f>
        <v>#NAME?</v>
      </c>
    </row>
    <row r="26765" spans="1:2" x14ac:dyDescent="0.25">
      <c r="A26765">
        <v>570249001</v>
      </c>
      <c r="B26765" t="s">
        <v>8832</v>
      </c>
    </row>
    <row r="26766" spans="1:2" x14ac:dyDescent="0.25">
      <c r="A26766">
        <v>57024900110</v>
      </c>
      <c r="B26766" t="s">
        <v>8833</v>
      </c>
    </row>
    <row r="26767" spans="1:2" x14ac:dyDescent="0.25">
      <c r="A26767">
        <v>57024900120</v>
      </c>
      <c r="B26767" t="s">
        <v>8834</v>
      </c>
    </row>
    <row r="26768" spans="1:2" x14ac:dyDescent="0.25">
      <c r="A26768">
        <v>570249002</v>
      </c>
      <c r="B26768" t="s">
        <v>8825</v>
      </c>
    </row>
    <row r="26769" spans="1:2" x14ac:dyDescent="0.25">
      <c r="A26769">
        <v>57024900210</v>
      </c>
      <c r="B26769" t="s">
        <v>8833</v>
      </c>
    </row>
    <row r="26770" spans="1:2" x14ac:dyDescent="0.25">
      <c r="A26770">
        <v>57024900220</v>
      </c>
      <c r="B26770" t="s">
        <v>8834</v>
      </c>
    </row>
    <row r="26771" spans="1:2" x14ac:dyDescent="0.25">
      <c r="A26771">
        <v>570249009</v>
      </c>
      <c r="B26771" t="s">
        <v>10</v>
      </c>
    </row>
    <row r="26772" spans="1:2" x14ac:dyDescent="0.25">
      <c r="A26772">
        <v>57024900910</v>
      </c>
      <c r="B26772" t="s">
        <v>8833</v>
      </c>
    </row>
    <row r="26773" spans="1:2" x14ac:dyDescent="0.25">
      <c r="A26773">
        <v>57024900920</v>
      </c>
      <c r="B26773" t="s">
        <v>8834</v>
      </c>
    </row>
    <row r="26774" spans="1:2" x14ac:dyDescent="0.25">
      <c r="A26774">
        <v>570250</v>
      </c>
      <c r="B26774" t="e">
        <f>- Los demas. sin aterciopelar ni confeccionar</f>
        <v>#NAME?</v>
      </c>
    </row>
    <row r="26775" spans="1:2" x14ac:dyDescent="0.25">
      <c r="A26775">
        <v>57025010000</v>
      </c>
      <c r="B26775" t="s">
        <v>8835</v>
      </c>
    </row>
    <row r="26776" spans="1:2" x14ac:dyDescent="0.25">
      <c r="A26776">
        <v>57025020000</v>
      </c>
      <c r="B26776" t="s">
        <v>8836</v>
      </c>
    </row>
    <row r="26777" spans="1:2" x14ac:dyDescent="0.25">
      <c r="A26777">
        <v>57025090000</v>
      </c>
      <c r="B26777" t="s">
        <v>8837</v>
      </c>
    </row>
    <row r="26778" spans="1:2" x14ac:dyDescent="0.25">
      <c r="A26778">
        <v>57029</v>
      </c>
      <c r="B26778" t="s">
        <v>8838</v>
      </c>
    </row>
    <row r="26779" spans="1:2" x14ac:dyDescent="0.25">
      <c r="A26779">
        <v>57029100</v>
      </c>
      <c r="B26779" t="e">
        <f>- - de lana o Pelo fino</f>
        <v>#NAME?</v>
      </c>
    </row>
    <row r="26780" spans="1:2" x14ac:dyDescent="0.25">
      <c r="A26780">
        <v>57029100100</v>
      </c>
      <c r="B26780" t="s">
        <v>8832</v>
      </c>
    </row>
    <row r="26781" spans="1:2" x14ac:dyDescent="0.25">
      <c r="A26781">
        <v>57029100200</v>
      </c>
      <c r="B26781" t="s">
        <v>8825</v>
      </c>
    </row>
    <row r="26782" spans="1:2" x14ac:dyDescent="0.25">
      <c r="A26782">
        <v>57029100900</v>
      </c>
      <c r="B26782" t="s">
        <v>10</v>
      </c>
    </row>
    <row r="26783" spans="1:2" x14ac:dyDescent="0.25">
      <c r="A26783">
        <v>57029200</v>
      </c>
      <c r="B26783" t="e">
        <f>- - de materia textil sintetica o artificial</f>
        <v>#NAME?</v>
      </c>
    </row>
    <row r="26784" spans="1:2" x14ac:dyDescent="0.25">
      <c r="A26784">
        <v>57029200100</v>
      </c>
      <c r="B26784" t="s">
        <v>8832</v>
      </c>
    </row>
    <row r="26785" spans="1:2" x14ac:dyDescent="0.25">
      <c r="A26785">
        <v>57029200200</v>
      </c>
      <c r="B26785" t="s">
        <v>8825</v>
      </c>
    </row>
    <row r="26786" spans="1:2" x14ac:dyDescent="0.25">
      <c r="A26786">
        <v>57029200900</v>
      </c>
      <c r="B26786" t="s">
        <v>10</v>
      </c>
    </row>
    <row r="26787" spans="1:2" x14ac:dyDescent="0.25">
      <c r="A26787">
        <v>57029900</v>
      </c>
      <c r="B26787" t="e">
        <f>- - de las demas materias textiles</f>
        <v>#NAME?</v>
      </c>
    </row>
    <row r="26788" spans="1:2" x14ac:dyDescent="0.25">
      <c r="A26788">
        <v>57029900100</v>
      </c>
      <c r="B26788" t="s">
        <v>8832</v>
      </c>
    </row>
    <row r="26789" spans="1:2" x14ac:dyDescent="0.25">
      <c r="A26789">
        <v>57029900200</v>
      </c>
      <c r="B26789" t="s">
        <v>8825</v>
      </c>
    </row>
    <row r="26790" spans="1:2" x14ac:dyDescent="0.25">
      <c r="A26790">
        <v>57029900900</v>
      </c>
      <c r="B26790" t="s">
        <v>10</v>
      </c>
    </row>
    <row r="26791" spans="1:2" x14ac:dyDescent="0.25">
      <c r="A26791">
        <v>5703</v>
      </c>
      <c r="B26791" t="s">
        <v>8839</v>
      </c>
    </row>
    <row r="26792" spans="1:2" x14ac:dyDescent="0.25">
      <c r="A26792">
        <v>57031000</v>
      </c>
      <c r="B26792" t="e">
        <f>- de lana o Pelo fino</f>
        <v>#NAME?</v>
      </c>
    </row>
    <row r="26793" spans="1:2" x14ac:dyDescent="0.25">
      <c r="A26793">
        <v>570310001</v>
      </c>
      <c r="B26793" t="s">
        <v>8840</v>
      </c>
    </row>
    <row r="26794" spans="1:2" x14ac:dyDescent="0.25">
      <c r="A26794">
        <v>57031000110</v>
      </c>
      <c r="B26794" t="s">
        <v>8832</v>
      </c>
    </row>
    <row r="26795" spans="1:2" x14ac:dyDescent="0.25">
      <c r="A26795">
        <v>57031000120</v>
      </c>
      <c r="B26795" t="s">
        <v>8825</v>
      </c>
    </row>
    <row r="26796" spans="1:2" x14ac:dyDescent="0.25">
      <c r="A26796">
        <v>57031000190</v>
      </c>
      <c r="B26796" t="s">
        <v>10</v>
      </c>
    </row>
    <row r="26797" spans="1:2" x14ac:dyDescent="0.25">
      <c r="A26797">
        <v>570310002</v>
      </c>
      <c r="B26797" t="s">
        <v>8826</v>
      </c>
    </row>
    <row r="26798" spans="1:2" x14ac:dyDescent="0.25">
      <c r="A26798">
        <v>57031000210</v>
      </c>
      <c r="B26798" t="s">
        <v>8841</v>
      </c>
    </row>
    <row r="26799" spans="1:2" x14ac:dyDescent="0.25">
      <c r="A26799">
        <v>5703100022</v>
      </c>
      <c r="B26799" t="s">
        <v>8842</v>
      </c>
    </row>
    <row r="26800" spans="1:2" x14ac:dyDescent="0.25">
      <c r="A26800">
        <v>57031000221</v>
      </c>
      <c r="B26800" t="s">
        <v>8843</v>
      </c>
    </row>
    <row r="26801" spans="1:2" x14ac:dyDescent="0.25">
      <c r="A26801">
        <v>57031000229</v>
      </c>
      <c r="B26801" t="s">
        <v>57</v>
      </c>
    </row>
    <row r="26802" spans="1:2" x14ac:dyDescent="0.25">
      <c r="A26802">
        <v>57032000</v>
      </c>
      <c r="B26802" t="e">
        <f>- de nailon o demas Poliamidas</f>
        <v>#NAME?</v>
      </c>
    </row>
    <row r="26803" spans="1:2" x14ac:dyDescent="0.25">
      <c r="A26803">
        <v>570320001</v>
      </c>
      <c r="B26803" t="s">
        <v>8844</v>
      </c>
    </row>
    <row r="26804" spans="1:2" x14ac:dyDescent="0.25">
      <c r="A26804">
        <v>5703200011</v>
      </c>
      <c r="B26804" t="s">
        <v>8845</v>
      </c>
    </row>
    <row r="26805" spans="1:2" x14ac:dyDescent="0.25">
      <c r="A26805">
        <v>57032000111</v>
      </c>
      <c r="B26805" t="s">
        <v>8846</v>
      </c>
    </row>
    <row r="26806" spans="1:2" x14ac:dyDescent="0.25">
      <c r="A26806">
        <v>57032000112</v>
      </c>
      <c r="B26806" t="s">
        <v>8847</v>
      </c>
    </row>
    <row r="26807" spans="1:2" x14ac:dyDescent="0.25">
      <c r="A26807">
        <v>57032000113</v>
      </c>
      <c r="B26807" t="s">
        <v>8848</v>
      </c>
    </row>
    <row r="26808" spans="1:2" x14ac:dyDescent="0.25">
      <c r="A26808">
        <v>5703200012</v>
      </c>
      <c r="B26808" t="s">
        <v>8825</v>
      </c>
    </row>
    <row r="26809" spans="1:2" x14ac:dyDescent="0.25">
      <c r="A26809">
        <v>57032000121</v>
      </c>
      <c r="B26809" t="s">
        <v>8846</v>
      </c>
    </row>
    <row r="26810" spans="1:2" x14ac:dyDescent="0.25">
      <c r="A26810">
        <v>57032000122</v>
      </c>
      <c r="B26810" t="s">
        <v>8847</v>
      </c>
    </row>
    <row r="26811" spans="1:2" x14ac:dyDescent="0.25">
      <c r="A26811">
        <v>57032000123</v>
      </c>
      <c r="B26811" t="s">
        <v>8848</v>
      </c>
    </row>
    <row r="26812" spans="1:2" x14ac:dyDescent="0.25">
      <c r="A26812">
        <v>5703200013</v>
      </c>
      <c r="B26812" t="s">
        <v>8849</v>
      </c>
    </row>
    <row r="26813" spans="1:2" x14ac:dyDescent="0.25">
      <c r="A26813">
        <v>57032000131</v>
      </c>
      <c r="B26813" t="s">
        <v>8846</v>
      </c>
    </row>
    <row r="26814" spans="1:2" x14ac:dyDescent="0.25">
      <c r="A26814">
        <v>57032000132</v>
      </c>
      <c r="B26814" t="s">
        <v>8847</v>
      </c>
    </row>
    <row r="26815" spans="1:2" x14ac:dyDescent="0.25">
      <c r="A26815">
        <v>57032000133</v>
      </c>
      <c r="B26815" t="s">
        <v>8848</v>
      </c>
    </row>
    <row r="26816" spans="1:2" x14ac:dyDescent="0.25">
      <c r="A26816">
        <v>5703200014</v>
      </c>
      <c r="B26816" t="s">
        <v>8826</v>
      </c>
    </row>
    <row r="26817" spans="1:2" x14ac:dyDescent="0.25">
      <c r="A26817">
        <v>57032000141</v>
      </c>
      <c r="B26817" t="s">
        <v>8846</v>
      </c>
    </row>
    <row r="26818" spans="1:2" x14ac:dyDescent="0.25">
      <c r="A26818">
        <v>57032000142</v>
      </c>
      <c r="B26818" t="s">
        <v>8847</v>
      </c>
    </row>
    <row r="26819" spans="1:2" x14ac:dyDescent="0.25">
      <c r="A26819">
        <v>57032000143</v>
      </c>
      <c r="B26819" t="s">
        <v>8848</v>
      </c>
    </row>
    <row r="26820" spans="1:2" x14ac:dyDescent="0.25">
      <c r="A26820">
        <v>570320009</v>
      </c>
      <c r="B26820" t="s">
        <v>10</v>
      </c>
    </row>
    <row r="26821" spans="1:2" x14ac:dyDescent="0.25">
      <c r="A26821">
        <v>5703200091</v>
      </c>
      <c r="B26821" t="s">
        <v>8850</v>
      </c>
    </row>
    <row r="26822" spans="1:2" x14ac:dyDescent="0.25">
      <c r="A26822">
        <v>57032000911</v>
      </c>
      <c r="B26822" t="s">
        <v>8851</v>
      </c>
    </row>
    <row r="26823" spans="1:2" x14ac:dyDescent="0.25">
      <c r="A26823">
        <v>57032000912</v>
      </c>
      <c r="B26823" t="s">
        <v>8852</v>
      </c>
    </row>
    <row r="26824" spans="1:2" x14ac:dyDescent="0.25">
      <c r="A26824">
        <v>5703200092</v>
      </c>
      <c r="B26824" t="s">
        <v>8825</v>
      </c>
    </row>
    <row r="26825" spans="1:2" x14ac:dyDescent="0.25">
      <c r="A26825">
        <v>57032000921</v>
      </c>
      <c r="B26825" t="s">
        <v>8851</v>
      </c>
    </row>
    <row r="26826" spans="1:2" x14ac:dyDescent="0.25">
      <c r="A26826">
        <v>57032000922</v>
      </c>
      <c r="B26826" t="s">
        <v>8852</v>
      </c>
    </row>
    <row r="26827" spans="1:2" x14ac:dyDescent="0.25">
      <c r="A26827">
        <v>5703200093</v>
      </c>
      <c r="B26827" t="s">
        <v>8853</v>
      </c>
    </row>
    <row r="26828" spans="1:2" x14ac:dyDescent="0.25">
      <c r="A26828">
        <v>57032000931</v>
      </c>
      <c r="B26828" t="s">
        <v>8851</v>
      </c>
    </row>
    <row r="26829" spans="1:2" x14ac:dyDescent="0.25">
      <c r="A26829">
        <v>57032000932</v>
      </c>
      <c r="B26829" t="s">
        <v>8852</v>
      </c>
    </row>
    <row r="26830" spans="1:2" x14ac:dyDescent="0.25">
      <c r="A26830">
        <v>5703200094</v>
      </c>
      <c r="B26830" t="s">
        <v>8826</v>
      </c>
    </row>
    <row r="26831" spans="1:2" x14ac:dyDescent="0.25">
      <c r="A26831">
        <v>57032000941</v>
      </c>
      <c r="B26831" t="s">
        <v>8851</v>
      </c>
    </row>
    <row r="26832" spans="1:2" x14ac:dyDescent="0.25">
      <c r="A26832">
        <v>57032000942</v>
      </c>
      <c r="B26832" t="s">
        <v>8854</v>
      </c>
    </row>
    <row r="26833" spans="1:2" x14ac:dyDescent="0.25">
      <c r="A26833">
        <v>57032000943</v>
      </c>
      <c r="B26833" t="s">
        <v>8843</v>
      </c>
    </row>
    <row r="26834" spans="1:2" x14ac:dyDescent="0.25">
      <c r="A26834">
        <v>57032000949</v>
      </c>
      <c r="B26834" t="s">
        <v>57</v>
      </c>
    </row>
    <row r="26835" spans="1:2" x14ac:dyDescent="0.25">
      <c r="A26835">
        <v>57033000</v>
      </c>
      <c r="B26835" t="e">
        <f>- de las demas materias textiles sinteticas o de materia textil artificial</f>
        <v>#NAME?</v>
      </c>
    </row>
    <row r="26836" spans="1:2" x14ac:dyDescent="0.25">
      <c r="A26836">
        <v>570330001</v>
      </c>
      <c r="B26836" t="s">
        <v>8823</v>
      </c>
    </row>
    <row r="26837" spans="1:2" x14ac:dyDescent="0.25">
      <c r="A26837">
        <v>5703300011</v>
      </c>
      <c r="B26837" t="s">
        <v>8855</v>
      </c>
    </row>
    <row r="26838" spans="1:2" x14ac:dyDescent="0.25">
      <c r="A26838">
        <v>57033000111</v>
      </c>
      <c r="B26838" t="s">
        <v>8846</v>
      </c>
    </row>
    <row r="26839" spans="1:2" x14ac:dyDescent="0.25">
      <c r="A26839">
        <v>57033000112</v>
      </c>
      <c r="B26839" t="s">
        <v>8847</v>
      </c>
    </row>
    <row r="26840" spans="1:2" x14ac:dyDescent="0.25">
      <c r="A26840">
        <v>57033000113</v>
      </c>
      <c r="B26840" t="s">
        <v>8856</v>
      </c>
    </row>
    <row r="26841" spans="1:2" x14ac:dyDescent="0.25">
      <c r="A26841">
        <v>57033000114</v>
      </c>
      <c r="B26841" t="s">
        <v>8852</v>
      </c>
    </row>
    <row r="26842" spans="1:2" x14ac:dyDescent="0.25">
      <c r="A26842">
        <v>5703300012</v>
      </c>
      <c r="B26842" t="s">
        <v>8857</v>
      </c>
    </row>
    <row r="26843" spans="1:2" x14ac:dyDescent="0.25">
      <c r="A26843">
        <v>57033000121</v>
      </c>
      <c r="B26843" t="s">
        <v>8846</v>
      </c>
    </row>
    <row r="26844" spans="1:2" x14ac:dyDescent="0.25">
      <c r="A26844">
        <v>57033000122</v>
      </c>
      <c r="B26844" t="s">
        <v>8847</v>
      </c>
    </row>
    <row r="26845" spans="1:2" x14ac:dyDescent="0.25">
      <c r="A26845">
        <v>57033000123</v>
      </c>
      <c r="B26845" t="s">
        <v>8856</v>
      </c>
    </row>
    <row r="26846" spans="1:2" x14ac:dyDescent="0.25">
      <c r="A26846">
        <v>57033000124</v>
      </c>
      <c r="B26846" t="s">
        <v>8852</v>
      </c>
    </row>
    <row r="26847" spans="1:2" x14ac:dyDescent="0.25">
      <c r="A26847">
        <v>5703300013</v>
      </c>
      <c r="B26847" t="s">
        <v>8858</v>
      </c>
    </row>
    <row r="26848" spans="1:2" x14ac:dyDescent="0.25">
      <c r="A26848">
        <v>57033000131</v>
      </c>
      <c r="B26848" t="s">
        <v>8846</v>
      </c>
    </row>
    <row r="26849" spans="1:2" x14ac:dyDescent="0.25">
      <c r="A26849">
        <v>57033000132</v>
      </c>
      <c r="B26849" t="s">
        <v>8847</v>
      </c>
    </row>
    <row r="26850" spans="1:2" x14ac:dyDescent="0.25">
      <c r="A26850">
        <v>57033000133</v>
      </c>
      <c r="B26850" t="s">
        <v>8856</v>
      </c>
    </row>
    <row r="26851" spans="1:2" x14ac:dyDescent="0.25">
      <c r="A26851">
        <v>57033000134</v>
      </c>
      <c r="B26851" t="s">
        <v>8852</v>
      </c>
    </row>
    <row r="26852" spans="1:2" x14ac:dyDescent="0.25">
      <c r="A26852">
        <v>5703300014</v>
      </c>
      <c r="B26852" t="s">
        <v>8859</v>
      </c>
    </row>
    <row r="26853" spans="1:2" x14ac:dyDescent="0.25">
      <c r="A26853">
        <v>57033000141</v>
      </c>
      <c r="B26853" t="s">
        <v>8846</v>
      </c>
    </row>
    <row r="26854" spans="1:2" x14ac:dyDescent="0.25">
      <c r="A26854">
        <v>57033000142</v>
      </c>
      <c r="B26854" t="s">
        <v>8847</v>
      </c>
    </row>
    <row r="26855" spans="1:2" x14ac:dyDescent="0.25">
      <c r="A26855">
        <v>57033000143</v>
      </c>
      <c r="B26855" t="s">
        <v>8856</v>
      </c>
    </row>
    <row r="26856" spans="1:2" x14ac:dyDescent="0.25">
      <c r="A26856">
        <v>57033000144</v>
      </c>
      <c r="B26856" t="s">
        <v>8852</v>
      </c>
    </row>
    <row r="26857" spans="1:2" x14ac:dyDescent="0.25">
      <c r="A26857">
        <v>5703300015</v>
      </c>
      <c r="B26857" t="s">
        <v>8860</v>
      </c>
    </row>
    <row r="26858" spans="1:2" x14ac:dyDescent="0.25">
      <c r="A26858">
        <v>57033000151</v>
      </c>
      <c r="B26858" t="s">
        <v>8846</v>
      </c>
    </row>
    <row r="26859" spans="1:2" x14ac:dyDescent="0.25">
      <c r="A26859">
        <v>57033000152</v>
      </c>
      <c r="B26859" t="s">
        <v>8847</v>
      </c>
    </row>
    <row r="26860" spans="1:2" x14ac:dyDescent="0.25">
      <c r="A26860">
        <v>57033000153</v>
      </c>
      <c r="B26860" t="s">
        <v>8856</v>
      </c>
    </row>
    <row r="26861" spans="1:2" x14ac:dyDescent="0.25">
      <c r="A26861">
        <v>57033000154</v>
      </c>
      <c r="B26861" t="s">
        <v>8852</v>
      </c>
    </row>
    <row r="26862" spans="1:2" x14ac:dyDescent="0.25">
      <c r="A26862">
        <v>5703300016</v>
      </c>
      <c r="B26862" t="s">
        <v>8861</v>
      </c>
    </row>
    <row r="26863" spans="1:2" x14ac:dyDescent="0.25">
      <c r="A26863">
        <v>57033000161</v>
      </c>
      <c r="B26863" t="s">
        <v>8846</v>
      </c>
    </row>
    <row r="26864" spans="1:2" x14ac:dyDescent="0.25">
      <c r="A26864">
        <v>57033000162</v>
      </c>
      <c r="B26864" t="s">
        <v>8847</v>
      </c>
    </row>
    <row r="26865" spans="1:2" x14ac:dyDescent="0.25">
      <c r="A26865">
        <v>57033000163</v>
      </c>
      <c r="B26865" t="s">
        <v>8856</v>
      </c>
    </row>
    <row r="26866" spans="1:2" x14ac:dyDescent="0.25">
      <c r="A26866">
        <v>57033000164</v>
      </c>
      <c r="B26866" t="s">
        <v>8852</v>
      </c>
    </row>
    <row r="26867" spans="1:2" x14ac:dyDescent="0.25">
      <c r="A26867">
        <v>5703300017</v>
      </c>
      <c r="B26867" t="s">
        <v>8862</v>
      </c>
    </row>
    <row r="26868" spans="1:2" x14ac:dyDescent="0.25">
      <c r="A26868">
        <v>57033000171</v>
      </c>
      <c r="B26868" t="s">
        <v>8846</v>
      </c>
    </row>
    <row r="26869" spans="1:2" x14ac:dyDescent="0.25">
      <c r="A26869">
        <v>57033000172</v>
      </c>
      <c r="B26869" t="s">
        <v>8847</v>
      </c>
    </row>
    <row r="26870" spans="1:2" x14ac:dyDescent="0.25">
      <c r="A26870">
        <v>57033000173</v>
      </c>
      <c r="B26870" t="s">
        <v>8856</v>
      </c>
    </row>
    <row r="26871" spans="1:2" x14ac:dyDescent="0.25">
      <c r="A26871">
        <v>57033000174</v>
      </c>
      <c r="B26871" t="s">
        <v>8852</v>
      </c>
    </row>
    <row r="26872" spans="1:2" x14ac:dyDescent="0.25">
      <c r="A26872">
        <v>5703300018</v>
      </c>
      <c r="B26872" t="s">
        <v>8863</v>
      </c>
    </row>
    <row r="26873" spans="1:2" x14ac:dyDescent="0.25">
      <c r="A26873">
        <v>57033000181</v>
      </c>
      <c r="B26873" t="s">
        <v>8846</v>
      </c>
    </row>
    <row r="26874" spans="1:2" x14ac:dyDescent="0.25">
      <c r="A26874">
        <v>57033000182</v>
      </c>
      <c r="B26874" t="s">
        <v>8847</v>
      </c>
    </row>
    <row r="26875" spans="1:2" x14ac:dyDescent="0.25">
      <c r="A26875">
        <v>57033000183</v>
      </c>
      <c r="B26875" t="s">
        <v>8856</v>
      </c>
    </row>
    <row r="26876" spans="1:2" x14ac:dyDescent="0.25">
      <c r="A26876">
        <v>57033000184</v>
      </c>
      <c r="B26876" t="s">
        <v>8852</v>
      </c>
    </row>
    <row r="26877" spans="1:2" x14ac:dyDescent="0.25">
      <c r="A26877">
        <v>5703300019</v>
      </c>
      <c r="B26877" t="s">
        <v>8864</v>
      </c>
    </row>
    <row r="26878" spans="1:2" x14ac:dyDescent="0.25">
      <c r="A26878">
        <v>57033000191</v>
      </c>
      <c r="B26878" t="s">
        <v>8846</v>
      </c>
    </row>
    <row r="26879" spans="1:2" x14ac:dyDescent="0.25">
      <c r="A26879">
        <v>57033000192</v>
      </c>
      <c r="B26879" t="s">
        <v>8847</v>
      </c>
    </row>
    <row r="26880" spans="1:2" x14ac:dyDescent="0.25">
      <c r="A26880">
        <v>57033000193</v>
      </c>
      <c r="B26880" t="s">
        <v>8856</v>
      </c>
    </row>
    <row r="26881" spans="1:2" x14ac:dyDescent="0.25">
      <c r="A26881">
        <v>57033000194</v>
      </c>
      <c r="B26881" t="s">
        <v>8852</v>
      </c>
    </row>
    <row r="26882" spans="1:2" x14ac:dyDescent="0.25">
      <c r="A26882">
        <v>570330002</v>
      </c>
      <c r="B26882" t="s">
        <v>8826</v>
      </c>
    </row>
    <row r="26883" spans="1:2" x14ac:dyDescent="0.25">
      <c r="A26883">
        <v>5703300021</v>
      </c>
      <c r="B26883" t="s">
        <v>6664</v>
      </c>
    </row>
    <row r="26884" spans="1:2" x14ac:dyDescent="0.25">
      <c r="A26884">
        <v>57033000211</v>
      </c>
      <c r="B26884" t="s">
        <v>8846</v>
      </c>
    </row>
    <row r="26885" spans="1:2" x14ac:dyDescent="0.25">
      <c r="A26885">
        <v>57033000212</v>
      </c>
      <c r="B26885" t="s">
        <v>8847</v>
      </c>
    </row>
    <row r="26886" spans="1:2" x14ac:dyDescent="0.25">
      <c r="A26886">
        <v>57033000213</v>
      </c>
      <c r="B26886" t="s">
        <v>8856</v>
      </c>
    </row>
    <row r="26887" spans="1:2" x14ac:dyDescent="0.25">
      <c r="A26887">
        <v>57033000214</v>
      </c>
      <c r="B26887" t="s">
        <v>8854</v>
      </c>
    </row>
    <row r="26888" spans="1:2" x14ac:dyDescent="0.25">
      <c r="A26888">
        <v>57033000215</v>
      </c>
      <c r="B26888" t="s">
        <v>8843</v>
      </c>
    </row>
    <row r="26889" spans="1:2" x14ac:dyDescent="0.25">
      <c r="A26889">
        <v>57033000219</v>
      </c>
      <c r="B26889" t="s">
        <v>57</v>
      </c>
    </row>
    <row r="26890" spans="1:2" x14ac:dyDescent="0.25">
      <c r="A26890">
        <v>5703300022</v>
      </c>
      <c r="B26890" t="s">
        <v>5414</v>
      </c>
    </row>
    <row r="26891" spans="1:2" x14ac:dyDescent="0.25">
      <c r="A26891">
        <v>57033000221</v>
      </c>
      <c r="B26891" t="s">
        <v>8846</v>
      </c>
    </row>
    <row r="26892" spans="1:2" x14ac:dyDescent="0.25">
      <c r="A26892">
        <v>57033000222</v>
      </c>
      <c r="B26892" t="s">
        <v>8847</v>
      </c>
    </row>
    <row r="26893" spans="1:2" x14ac:dyDescent="0.25">
      <c r="A26893">
        <v>57033000223</v>
      </c>
      <c r="B26893" t="s">
        <v>8856</v>
      </c>
    </row>
    <row r="26894" spans="1:2" x14ac:dyDescent="0.25">
      <c r="A26894">
        <v>57033000224</v>
      </c>
      <c r="B26894" t="s">
        <v>8854</v>
      </c>
    </row>
    <row r="26895" spans="1:2" x14ac:dyDescent="0.25">
      <c r="A26895">
        <v>57033000225</v>
      </c>
      <c r="B26895" t="s">
        <v>8843</v>
      </c>
    </row>
    <row r="26896" spans="1:2" x14ac:dyDescent="0.25">
      <c r="A26896">
        <v>57033000229</v>
      </c>
      <c r="B26896" t="s">
        <v>57</v>
      </c>
    </row>
    <row r="26897" spans="1:2" x14ac:dyDescent="0.25">
      <c r="A26897">
        <v>5703300023</v>
      </c>
      <c r="B26897" t="s">
        <v>8865</v>
      </c>
    </row>
    <row r="26898" spans="1:2" x14ac:dyDescent="0.25">
      <c r="A26898">
        <v>57033000231</v>
      </c>
      <c r="B26898" t="s">
        <v>8846</v>
      </c>
    </row>
    <row r="26899" spans="1:2" x14ac:dyDescent="0.25">
      <c r="A26899">
        <v>57033000232</v>
      </c>
      <c r="B26899" t="s">
        <v>8847</v>
      </c>
    </row>
    <row r="26900" spans="1:2" x14ac:dyDescent="0.25">
      <c r="A26900">
        <v>57033000233</v>
      </c>
      <c r="B26900" t="s">
        <v>8856</v>
      </c>
    </row>
    <row r="26901" spans="1:2" x14ac:dyDescent="0.25">
      <c r="A26901">
        <v>57033000234</v>
      </c>
      <c r="B26901" t="s">
        <v>8854</v>
      </c>
    </row>
    <row r="26902" spans="1:2" x14ac:dyDescent="0.25">
      <c r="A26902">
        <v>57033000235</v>
      </c>
      <c r="B26902" t="s">
        <v>8843</v>
      </c>
    </row>
    <row r="26903" spans="1:2" x14ac:dyDescent="0.25">
      <c r="A26903">
        <v>57033000239</v>
      </c>
      <c r="B26903" t="s">
        <v>57</v>
      </c>
    </row>
    <row r="26904" spans="1:2" x14ac:dyDescent="0.25">
      <c r="A26904">
        <v>57039000</v>
      </c>
      <c r="B26904" t="e">
        <f>- de las demas materias textiles</f>
        <v>#NAME?</v>
      </c>
    </row>
    <row r="26905" spans="1:2" x14ac:dyDescent="0.25">
      <c r="A26905">
        <v>570390001</v>
      </c>
      <c r="B26905" t="s">
        <v>8840</v>
      </c>
    </row>
    <row r="26906" spans="1:2" x14ac:dyDescent="0.25">
      <c r="A26906">
        <v>57039000110</v>
      </c>
      <c r="B26906" t="s">
        <v>8824</v>
      </c>
    </row>
    <row r="26907" spans="1:2" x14ac:dyDescent="0.25">
      <c r="A26907">
        <v>57039000120</v>
      </c>
      <c r="B26907" t="s">
        <v>8825</v>
      </c>
    </row>
    <row r="26908" spans="1:2" x14ac:dyDescent="0.25">
      <c r="A26908">
        <v>57039000190</v>
      </c>
      <c r="B26908" t="s">
        <v>10</v>
      </c>
    </row>
    <row r="26909" spans="1:2" x14ac:dyDescent="0.25">
      <c r="A26909">
        <v>570390002</v>
      </c>
      <c r="B26909" t="s">
        <v>8826</v>
      </c>
    </row>
    <row r="26910" spans="1:2" x14ac:dyDescent="0.25">
      <c r="A26910">
        <v>57039000210</v>
      </c>
      <c r="B26910" t="s">
        <v>8841</v>
      </c>
    </row>
    <row r="26911" spans="1:2" x14ac:dyDescent="0.25">
      <c r="A26911">
        <v>5703900022</v>
      </c>
      <c r="B26911" t="s">
        <v>8842</v>
      </c>
    </row>
    <row r="26912" spans="1:2" x14ac:dyDescent="0.25">
      <c r="A26912">
        <v>57039000221</v>
      </c>
      <c r="B26912" t="s">
        <v>8843</v>
      </c>
    </row>
    <row r="26913" spans="1:2" x14ac:dyDescent="0.25">
      <c r="A26913">
        <v>57039000229</v>
      </c>
      <c r="B26913" t="s">
        <v>57</v>
      </c>
    </row>
    <row r="26914" spans="1:2" x14ac:dyDescent="0.25">
      <c r="A26914">
        <v>5704</v>
      </c>
      <c r="B26914" t="s">
        <v>8866</v>
      </c>
    </row>
    <row r="26915" spans="1:2" x14ac:dyDescent="0.25">
      <c r="A26915">
        <v>57041000</v>
      </c>
      <c r="B26915" t="s">
        <v>8867</v>
      </c>
    </row>
    <row r="26916" spans="1:2" x14ac:dyDescent="0.25">
      <c r="A26916">
        <v>570410001</v>
      </c>
      <c r="B26916" t="s">
        <v>8868</v>
      </c>
    </row>
    <row r="26917" spans="1:2" x14ac:dyDescent="0.25">
      <c r="A26917">
        <v>57041000110</v>
      </c>
      <c r="B26917" t="s">
        <v>8832</v>
      </c>
    </row>
    <row r="26918" spans="1:2" x14ac:dyDescent="0.25">
      <c r="A26918">
        <v>57041000120</v>
      </c>
      <c r="B26918" t="s">
        <v>8825</v>
      </c>
    </row>
    <row r="26919" spans="1:2" x14ac:dyDescent="0.25">
      <c r="A26919">
        <v>57041000190</v>
      </c>
      <c r="B26919" t="s">
        <v>10</v>
      </c>
    </row>
    <row r="26920" spans="1:2" x14ac:dyDescent="0.25">
      <c r="A26920">
        <v>570410002</v>
      </c>
      <c r="B26920" t="s">
        <v>8826</v>
      </c>
    </row>
    <row r="26921" spans="1:2" x14ac:dyDescent="0.25">
      <c r="A26921">
        <v>5704100021</v>
      </c>
      <c r="B26921" t="s">
        <v>8869</v>
      </c>
    </row>
    <row r="26922" spans="1:2" x14ac:dyDescent="0.25">
      <c r="A26922">
        <v>57041000211</v>
      </c>
      <c r="B26922" t="s">
        <v>8870</v>
      </c>
    </row>
    <row r="26923" spans="1:2" x14ac:dyDescent="0.25">
      <c r="A26923">
        <v>57041000219</v>
      </c>
      <c r="B26923" t="s">
        <v>10</v>
      </c>
    </row>
    <row r="26924" spans="1:2" x14ac:dyDescent="0.25">
      <c r="A26924">
        <v>5704100029</v>
      </c>
      <c r="B26924" t="s">
        <v>10</v>
      </c>
    </row>
    <row r="26925" spans="1:2" x14ac:dyDescent="0.25">
      <c r="A26925">
        <v>57041000291</v>
      </c>
      <c r="B26925" t="s">
        <v>8870</v>
      </c>
    </row>
    <row r="26926" spans="1:2" x14ac:dyDescent="0.25">
      <c r="A26926">
        <v>57041000299</v>
      </c>
      <c r="B26926" t="s">
        <v>10</v>
      </c>
    </row>
    <row r="26927" spans="1:2" x14ac:dyDescent="0.25">
      <c r="A26927">
        <v>57042000000</v>
      </c>
      <c r="B26927" t="s">
        <v>8871</v>
      </c>
    </row>
    <row r="26928" spans="1:2" x14ac:dyDescent="0.25">
      <c r="A26928">
        <v>57049000</v>
      </c>
      <c r="B26928" t="e">
        <f>- Los demas</f>
        <v>#NAME?</v>
      </c>
    </row>
    <row r="26929" spans="1:2" x14ac:dyDescent="0.25">
      <c r="A26929">
        <v>570490001</v>
      </c>
      <c r="B26929" t="s">
        <v>8840</v>
      </c>
    </row>
    <row r="26930" spans="1:2" x14ac:dyDescent="0.25">
      <c r="A26930">
        <v>57049000110</v>
      </c>
      <c r="B26930" t="s">
        <v>8832</v>
      </c>
    </row>
    <row r="26931" spans="1:2" x14ac:dyDescent="0.25">
      <c r="A26931">
        <v>57049000120</v>
      </c>
      <c r="B26931" t="s">
        <v>8825</v>
      </c>
    </row>
    <row r="26932" spans="1:2" x14ac:dyDescent="0.25">
      <c r="A26932">
        <v>57049000130</v>
      </c>
      <c r="B26932" t="s">
        <v>8872</v>
      </c>
    </row>
    <row r="26933" spans="1:2" x14ac:dyDescent="0.25">
      <c r="A26933">
        <v>57049000190</v>
      </c>
      <c r="B26933" t="s">
        <v>10</v>
      </c>
    </row>
    <row r="26934" spans="1:2" x14ac:dyDescent="0.25">
      <c r="A26934">
        <v>57049000200</v>
      </c>
      <c r="B26934" t="s">
        <v>8826</v>
      </c>
    </row>
    <row r="26935" spans="1:2" x14ac:dyDescent="0.25">
      <c r="A26935">
        <v>57050000</v>
      </c>
      <c r="B26935" t="s">
        <v>8873</v>
      </c>
    </row>
    <row r="26936" spans="1:2" x14ac:dyDescent="0.25">
      <c r="A26936">
        <v>570500001</v>
      </c>
      <c r="B26936" t="s">
        <v>8840</v>
      </c>
    </row>
    <row r="26937" spans="1:2" x14ac:dyDescent="0.25">
      <c r="A26937">
        <v>5705000011</v>
      </c>
      <c r="B26937" t="s">
        <v>8874</v>
      </c>
    </row>
    <row r="26938" spans="1:2" x14ac:dyDescent="0.25">
      <c r="A26938">
        <v>57050000111</v>
      </c>
      <c r="B26938" t="s">
        <v>8832</v>
      </c>
    </row>
    <row r="26939" spans="1:2" x14ac:dyDescent="0.25">
      <c r="A26939">
        <v>57050000112</v>
      </c>
      <c r="B26939" t="s">
        <v>8825</v>
      </c>
    </row>
    <row r="26940" spans="1:2" x14ac:dyDescent="0.25">
      <c r="A26940">
        <v>57050000119</v>
      </c>
      <c r="B26940" t="s">
        <v>10</v>
      </c>
    </row>
    <row r="26941" spans="1:2" x14ac:dyDescent="0.25">
      <c r="A26941">
        <v>57050000120</v>
      </c>
      <c r="B26941" t="s">
        <v>8875</v>
      </c>
    </row>
    <row r="26942" spans="1:2" x14ac:dyDescent="0.25">
      <c r="A26942">
        <v>5705000019</v>
      </c>
      <c r="B26942" t="s">
        <v>10</v>
      </c>
    </row>
    <row r="26943" spans="1:2" x14ac:dyDescent="0.25">
      <c r="A26943">
        <v>57050000191</v>
      </c>
      <c r="B26943" t="s">
        <v>8832</v>
      </c>
    </row>
    <row r="26944" spans="1:2" x14ac:dyDescent="0.25">
      <c r="A26944">
        <v>57050000192</v>
      </c>
      <c r="B26944" t="s">
        <v>8825</v>
      </c>
    </row>
    <row r="26945" spans="1:2" x14ac:dyDescent="0.25">
      <c r="A26945">
        <v>57050000199</v>
      </c>
      <c r="B26945" t="s">
        <v>10</v>
      </c>
    </row>
    <row r="26946" spans="1:2" x14ac:dyDescent="0.25">
      <c r="A26946">
        <v>570500002</v>
      </c>
      <c r="B26946" t="s">
        <v>8826</v>
      </c>
    </row>
    <row r="26947" spans="1:2" x14ac:dyDescent="0.25">
      <c r="A26947">
        <v>57050000210</v>
      </c>
      <c r="B26947" t="s">
        <v>8874</v>
      </c>
    </row>
    <row r="26948" spans="1:2" x14ac:dyDescent="0.25">
      <c r="A26948">
        <v>57050000220</v>
      </c>
      <c r="B26948" t="s">
        <v>8875</v>
      </c>
    </row>
    <row r="26949" spans="1:2" x14ac:dyDescent="0.25">
      <c r="A26949">
        <v>5705000029</v>
      </c>
      <c r="B26949" t="s">
        <v>10</v>
      </c>
    </row>
    <row r="26950" spans="1:2" x14ac:dyDescent="0.25">
      <c r="A26950">
        <v>57050000291</v>
      </c>
      <c r="B26950" t="s">
        <v>8876</v>
      </c>
    </row>
    <row r="26951" spans="1:2" x14ac:dyDescent="0.25">
      <c r="A26951">
        <v>57050000299</v>
      </c>
      <c r="B26951" t="s">
        <v>10</v>
      </c>
    </row>
    <row r="26952" spans="1:2" x14ac:dyDescent="0.25">
      <c r="A26952">
        <v>5801</v>
      </c>
      <c r="B26952" t="s">
        <v>8877</v>
      </c>
    </row>
    <row r="26953" spans="1:2" x14ac:dyDescent="0.25">
      <c r="A26953">
        <v>58011000</v>
      </c>
      <c r="B26953" t="e">
        <f>- de lana o Pelo fino</f>
        <v>#NAME?</v>
      </c>
    </row>
    <row r="26954" spans="1:2" x14ac:dyDescent="0.25">
      <c r="A26954">
        <v>58011000100</v>
      </c>
      <c r="B26954" t="s">
        <v>8572</v>
      </c>
    </row>
    <row r="26955" spans="1:2" x14ac:dyDescent="0.25">
      <c r="A26955">
        <v>58011000200</v>
      </c>
      <c r="B26955" t="s">
        <v>8568</v>
      </c>
    </row>
    <row r="26956" spans="1:2" x14ac:dyDescent="0.25">
      <c r="A26956">
        <v>58011000300</v>
      </c>
      <c r="B26956" t="s">
        <v>8573</v>
      </c>
    </row>
    <row r="26957" spans="1:2" x14ac:dyDescent="0.25">
      <c r="A26957">
        <v>58011000400</v>
      </c>
      <c r="B26957" t="s">
        <v>8574</v>
      </c>
    </row>
    <row r="26958" spans="1:2" x14ac:dyDescent="0.25">
      <c r="A26958">
        <v>58011000900</v>
      </c>
      <c r="B26958" t="s">
        <v>10</v>
      </c>
    </row>
    <row r="26959" spans="1:2" x14ac:dyDescent="0.25">
      <c r="A26959">
        <v>58012</v>
      </c>
      <c r="B26959" t="s">
        <v>8878</v>
      </c>
    </row>
    <row r="26960" spans="1:2" x14ac:dyDescent="0.25">
      <c r="A26960">
        <v>58012100</v>
      </c>
      <c r="B26960" t="e">
        <f>- - Terciopelo y felpa por trama. sin cortar</f>
        <v>#NAME?</v>
      </c>
    </row>
    <row r="26961" spans="1:2" x14ac:dyDescent="0.25">
      <c r="A26961">
        <v>58012100100</v>
      </c>
      <c r="B26961" t="s">
        <v>8572</v>
      </c>
    </row>
    <row r="26962" spans="1:2" x14ac:dyDescent="0.25">
      <c r="A26962">
        <v>58012100200</v>
      </c>
      <c r="B26962" t="s">
        <v>8568</v>
      </c>
    </row>
    <row r="26963" spans="1:2" x14ac:dyDescent="0.25">
      <c r="A26963">
        <v>58012100300</v>
      </c>
      <c r="B26963" t="s">
        <v>8573</v>
      </c>
    </row>
    <row r="26964" spans="1:2" x14ac:dyDescent="0.25">
      <c r="A26964">
        <v>58012100400</v>
      </c>
      <c r="B26964" t="s">
        <v>8574</v>
      </c>
    </row>
    <row r="26965" spans="1:2" x14ac:dyDescent="0.25">
      <c r="A26965">
        <v>58012100900</v>
      </c>
      <c r="B26965" t="s">
        <v>10</v>
      </c>
    </row>
    <row r="26966" spans="1:2" x14ac:dyDescent="0.25">
      <c r="A26966">
        <v>58012200</v>
      </c>
      <c r="B26966" t="s">
        <v>8879</v>
      </c>
    </row>
    <row r="26967" spans="1:2" x14ac:dyDescent="0.25">
      <c r="A26967">
        <v>58012200100</v>
      </c>
      <c r="B26967" t="s">
        <v>8572</v>
      </c>
    </row>
    <row r="26968" spans="1:2" x14ac:dyDescent="0.25">
      <c r="A26968">
        <v>58012200200</v>
      </c>
      <c r="B26968" t="s">
        <v>8568</v>
      </c>
    </row>
    <row r="26969" spans="1:2" x14ac:dyDescent="0.25">
      <c r="A26969">
        <v>58012200300</v>
      </c>
      <c r="B26969" t="s">
        <v>8573</v>
      </c>
    </row>
    <row r="26970" spans="1:2" x14ac:dyDescent="0.25">
      <c r="A26970">
        <v>58012200400</v>
      </c>
      <c r="B26970" t="s">
        <v>8574</v>
      </c>
    </row>
    <row r="26971" spans="1:2" x14ac:dyDescent="0.25">
      <c r="A26971">
        <v>58012200900</v>
      </c>
      <c r="B26971" t="s">
        <v>10</v>
      </c>
    </row>
    <row r="26972" spans="1:2" x14ac:dyDescent="0.25">
      <c r="A26972">
        <v>58012300</v>
      </c>
      <c r="B26972" t="e">
        <f>- - Los demas terciopelos y felpas por trama</f>
        <v>#NAME?</v>
      </c>
    </row>
    <row r="26973" spans="1:2" x14ac:dyDescent="0.25">
      <c r="A26973">
        <v>58012300100</v>
      </c>
      <c r="B26973" t="s">
        <v>8572</v>
      </c>
    </row>
    <row r="26974" spans="1:2" x14ac:dyDescent="0.25">
      <c r="A26974">
        <v>58012300200</v>
      </c>
      <c r="B26974" t="s">
        <v>8568</v>
      </c>
    </row>
    <row r="26975" spans="1:2" x14ac:dyDescent="0.25">
      <c r="A26975">
        <v>58012300300</v>
      </c>
      <c r="B26975" t="s">
        <v>8573</v>
      </c>
    </row>
    <row r="26976" spans="1:2" x14ac:dyDescent="0.25">
      <c r="A26976">
        <v>58012300400</v>
      </c>
      <c r="B26976" t="s">
        <v>8574</v>
      </c>
    </row>
    <row r="26977" spans="1:2" x14ac:dyDescent="0.25">
      <c r="A26977">
        <v>58012300900</v>
      </c>
      <c r="B26977" t="s">
        <v>10</v>
      </c>
    </row>
    <row r="26978" spans="1:2" x14ac:dyDescent="0.25">
      <c r="A26978">
        <v>58012600</v>
      </c>
      <c r="B26978" t="e">
        <f>- - tejidos de chenilla</f>
        <v>#NAME?</v>
      </c>
    </row>
    <row r="26979" spans="1:2" x14ac:dyDescent="0.25">
      <c r="A26979">
        <v>58012600100</v>
      </c>
      <c r="B26979" t="s">
        <v>8572</v>
      </c>
    </row>
    <row r="26980" spans="1:2" x14ac:dyDescent="0.25">
      <c r="A26980">
        <v>58012600200</v>
      </c>
      <c r="B26980" t="s">
        <v>8568</v>
      </c>
    </row>
    <row r="26981" spans="1:2" x14ac:dyDescent="0.25">
      <c r="A26981">
        <v>58012600300</v>
      </c>
      <c r="B26981" t="s">
        <v>8573</v>
      </c>
    </row>
    <row r="26982" spans="1:2" x14ac:dyDescent="0.25">
      <c r="A26982">
        <v>58012600400</v>
      </c>
      <c r="B26982" t="s">
        <v>8574</v>
      </c>
    </row>
    <row r="26983" spans="1:2" x14ac:dyDescent="0.25">
      <c r="A26983">
        <v>58012600900</v>
      </c>
      <c r="B26983" t="s">
        <v>10</v>
      </c>
    </row>
    <row r="26984" spans="1:2" x14ac:dyDescent="0.25">
      <c r="A26984">
        <v>58012700</v>
      </c>
      <c r="B26984" t="e">
        <f>- - Terciopelo y felpa por urdimbre</f>
        <v>#NAME?</v>
      </c>
    </row>
    <row r="26985" spans="1:2" x14ac:dyDescent="0.25">
      <c r="A26985">
        <v>58012700100</v>
      </c>
      <c r="B26985" t="s">
        <v>8572</v>
      </c>
    </row>
    <row r="26986" spans="1:2" x14ac:dyDescent="0.25">
      <c r="A26986">
        <v>58012700200</v>
      </c>
      <c r="B26986" t="s">
        <v>8568</v>
      </c>
    </row>
    <row r="26987" spans="1:2" x14ac:dyDescent="0.25">
      <c r="A26987">
        <v>58012700300</v>
      </c>
      <c r="B26987" t="s">
        <v>8573</v>
      </c>
    </row>
    <row r="26988" spans="1:2" x14ac:dyDescent="0.25">
      <c r="A26988">
        <v>58012700400</v>
      </c>
      <c r="B26988" t="s">
        <v>8574</v>
      </c>
    </row>
    <row r="26989" spans="1:2" x14ac:dyDescent="0.25">
      <c r="A26989">
        <v>58012700900</v>
      </c>
      <c r="B26989" t="s">
        <v>10</v>
      </c>
    </row>
    <row r="26990" spans="1:2" x14ac:dyDescent="0.25">
      <c r="A26990">
        <v>58013</v>
      </c>
      <c r="B26990" t="s">
        <v>8880</v>
      </c>
    </row>
    <row r="26991" spans="1:2" x14ac:dyDescent="0.25">
      <c r="A26991">
        <v>58013100</v>
      </c>
      <c r="B26991" t="e">
        <f>- - Terciopelo y felpa por trama. sin cortar</f>
        <v>#NAME?</v>
      </c>
    </row>
    <row r="26992" spans="1:2" x14ac:dyDescent="0.25">
      <c r="A26992">
        <v>580131001</v>
      </c>
      <c r="B26992" t="s">
        <v>8808</v>
      </c>
    </row>
    <row r="26993" spans="1:2" x14ac:dyDescent="0.25">
      <c r="A26993">
        <v>5801310011</v>
      </c>
      <c r="B26993" t="s">
        <v>8577</v>
      </c>
    </row>
    <row r="26994" spans="1:2" x14ac:dyDescent="0.25">
      <c r="A26994">
        <v>58013100111</v>
      </c>
      <c r="B26994" t="s">
        <v>8572</v>
      </c>
    </row>
    <row r="26995" spans="1:2" x14ac:dyDescent="0.25">
      <c r="A26995">
        <v>58013100112</v>
      </c>
      <c r="B26995" t="s">
        <v>8568</v>
      </c>
    </row>
    <row r="26996" spans="1:2" x14ac:dyDescent="0.25">
      <c r="A26996">
        <v>58013100113</v>
      </c>
      <c r="B26996" t="s">
        <v>8573</v>
      </c>
    </row>
    <row r="26997" spans="1:2" x14ac:dyDescent="0.25">
      <c r="A26997">
        <v>58013100114</v>
      </c>
      <c r="B26997" t="s">
        <v>8574</v>
      </c>
    </row>
    <row r="26998" spans="1:2" x14ac:dyDescent="0.25">
      <c r="A26998">
        <v>58013100119</v>
      </c>
      <c r="B26998" t="s">
        <v>10</v>
      </c>
    </row>
    <row r="26999" spans="1:2" x14ac:dyDescent="0.25">
      <c r="A26999">
        <v>5801310012</v>
      </c>
      <c r="B26999" t="s">
        <v>6664</v>
      </c>
    </row>
    <row r="27000" spans="1:2" x14ac:dyDescent="0.25">
      <c r="A27000">
        <v>58013100121</v>
      </c>
      <c r="B27000" t="s">
        <v>8572</v>
      </c>
    </row>
    <row r="27001" spans="1:2" x14ac:dyDescent="0.25">
      <c r="A27001">
        <v>58013100122</v>
      </c>
      <c r="B27001" t="s">
        <v>8568</v>
      </c>
    </row>
    <row r="27002" spans="1:2" x14ac:dyDescent="0.25">
      <c r="A27002">
        <v>58013100123</v>
      </c>
      <c r="B27002" t="s">
        <v>8573</v>
      </c>
    </row>
    <row r="27003" spans="1:2" x14ac:dyDescent="0.25">
      <c r="A27003">
        <v>58013100124</v>
      </c>
      <c r="B27003" t="s">
        <v>8574</v>
      </c>
    </row>
    <row r="27004" spans="1:2" x14ac:dyDescent="0.25">
      <c r="A27004">
        <v>58013100129</v>
      </c>
      <c r="B27004" t="s">
        <v>10</v>
      </c>
    </row>
    <row r="27005" spans="1:2" x14ac:dyDescent="0.25">
      <c r="A27005">
        <v>5801310013</v>
      </c>
      <c r="B27005" t="s">
        <v>8806</v>
      </c>
    </row>
    <row r="27006" spans="1:2" x14ac:dyDescent="0.25">
      <c r="A27006">
        <v>58013100131</v>
      </c>
      <c r="B27006" t="s">
        <v>8572</v>
      </c>
    </row>
    <row r="27007" spans="1:2" x14ac:dyDescent="0.25">
      <c r="A27007">
        <v>58013100132</v>
      </c>
      <c r="B27007" t="s">
        <v>8568</v>
      </c>
    </row>
    <row r="27008" spans="1:2" x14ac:dyDescent="0.25">
      <c r="A27008">
        <v>58013100133</v>
      </c>
      <c r="B27008" t="s">
        <v>8573</v>
      </c>
    </row>
    <row r="27009" spans="1:2" x14ac:dyDescent="0.25">
      <c r="A27009">
        <v>58013100134</v>
      </c>
      <c r="B27009" t="s">
        <v>8574</v>
      </c>
    </row>
    <row r="27010" spans="1:2" x14ac:dyDescent="0.25">
      <c r="A27010">
        <v>58013100139</v>
      </c>
      <c r="B27010" t="s">
        <v>10</v>
      </c>
    </row>
    <row r="27011" spans="1:2" x14ac:dyDescent="0.25">
      <c r="A27011">
        <v>5801310019</v>
      </c>
      <c r="B27011" t="s">
        <v>10</v>
      </c>
    </row>
    <row r="27012" spans="1:2" x14ac:dyDescent="0.25">
      <c r="A27012">
        <v>58013100191</v>
      </c>
      <c r="B27012" t="s">
        <v>8572</v>
      </c>
    </row>
    <row r="27013" spans="1:2" x14ac:dyDescent="0.25">
      <c r="A27013">
        <v>58013100192</v>
      </c>
      <c r="B27013" t="s">
        <v>8568</v>
      </c>
    </row>
    <row r="27014" spans="1:2" x14ac:dyDescent="0.25">
      <c r="A27014">
        <v>58013100193</v>
      </c>
      <c r="B27014" t="s">
        <v>8573</v>
      </c>
    </row>
    <row r="27015" spans="1:2" x14ac:dyDescent="0.25">
      <c r="A27015">
        <v>58013100194</v>
      </c>
      <c r="B27015" t="s">
        <v>8574</v>
      </c>
    </row>
    <row r="27016" spans="1:2" x14ac:dyDescent="0.25">
      <c r="A27016">
        <v>58013100199</v>
      </c>
      <c r="B27016" t="s">
        <v>10</v>
      </c>
    </row>
    <row r="27017" spans="1:2" x14ac:dyDescent="0.25">
      <c r="A27017">
        <v>580131002</v>
      </c>
      <c r="B27017" t="s">
        <v>8809</v>
      </c>
    </row>
    <row r="27018" spans="1:2" x14ac:dyDescent="0.25">
      <c r="A27018">
        <v>58013100210</v>
      </c>
      <c r="B27018" t="s">
        <v>8572</v>
      </c>
    </row>
    <row r="27019" spans="1:2" x14ac:dyDescent="0.25">
      <c r="A27019">
        <v>58013100220</v>
      </c>
      <c r="B27019" t="s">
        <v>8568</v>
      </c>
    </row>
    <row r="27020" spans="1:2" x14ac:dyDescent="0.25">
      <c r="A27020">
        <v>58013100230</v>
      </c>
      <c r="B27020" t="s">
        <v>8573</v>
      </c>
    </row>
    <row r="27021" spans="1:2" x14ac:dyDescent="0.25">
      <c r="A27021">
        <v>58013100240</v>
      </c>
      <c r="B27021" t="s">
        <v>8574</v>
      </c>
    </row>
    <row r="27022" spans="1:2" x14ac:dyDescent="0.25">
      <c r="A27022">
        <v>58013100290</v>
      </c>
      <c r="B27022" t="s">
        <v>10</v>
      </c>
    </row>
    <row r="27023" spans="1:2" x14ac:dyDescent="0.25">
      <c r="A27023">
        <v>58013200</v>
      </c>
      <c r="B27023" t="s">
        <v>8879</v>
      </c>
    </row>
    <row r="27024" spans="1:2" x14ac:dyDescent="0.25">
      <c r="A27024">
        <v>580132001</v>
      </c>
      <c r="B27024" t="s">
        <v>8808</v>
      </c>
    </row>
    <row r="27025" spans="1:2" x14ac:dyDescent="0.25">
      <c r="A27025">
        <v>5801320011</v>
      </c>
      <c r="B27025" t="s">
        <v>8577</v>
      </c>
    </row>
    <row r="27026" spans="1:2" x14ac:dyDescent="0.25">
      <c r="A27026">
        <v>58013200111</v>
      </c>
      <c r="B27026" t="s">
        <v>8572</v>
      </c>
    </row>
    <row r="27027" spans="1:2" x14ac:dyDescent="0.25">
      <c r="A27027">
        <v>58013200112</v>
      </c>
      <c r="B27027" t="s">
        <v>8568</v>
      </c>
    </row>
    <row r="27028" spans="1:2" x14ac:dyDescent="0.25">
      <c r="A27028">
        <v>58013200113</v>
      </c>
      <c r="B27028" t="s">
        <v>8573</v>
      </c>
    </row>
    <row r="27029" spans="1:2" x14ac:dyDescent="0.25">
      <c r="A27029">
        <v>58013200114</v>
      </c>
      <c r="B27029" t="s">
        <v>8574</v>
      </c>
    </row>
    <row r="27030" spans="1:2" x14ac:dyDescent="0.25">
      <c r="A27030">
        <v>58013200119</v>
      </c>
      <c r="B27030" t="s">
        <v>10</v>
      </c>
    </row>
    <row r="27031" spans="1:2" x14ac:dyDescent="0.25">
      <c r="A27031">
        <v>5801320012</v>
      </c>
      <c r="B27031" t="s">
        <v>6664</v>
      </c>
    </row>
    <row r="27032" spans="1:2" x14ac:dyDescent="0.25">
      <c r="A27032">
        <v>58013200121</v>
      </c>
      <c r="B27032" t="s">
        <v>8572</v>
      </c>
    </row>
    <row r="27033" spans="1:2" x14ac:dyDescent="0.25">
      <c r="A27033">
        <v>58013200122</v>
      </c>
      <c r="B27033" t="s">
        <v>8568</v>
      </c>
    </row>
    <row r="27034" spans="1:2" x14ac:dyDescent="0.25">
      <c r="A27034">
        <v>58013200123</v>
      </c>
      <c r="B27034" t="s">
        <v>8573</v>
      </c>
    </row>
    <row r="27035" spans="1:2" x14ac:dyDescent="0.25">
      <c r="A27035">
        <v>58013200124</v>
      </c>
      <c r="B27035" t="s">
        <v>8574</v>
      </c>
    </row>
    <row r="27036" spans="1:2" x14ac:dyDescent="0.25">
      <c r="A27036">
        <v>58013200129</v>
      </c>
      <c r="B27036" t="s">
        <v>10</v>
      </c>
    </row>
    <row r="27037" spans="1:2" x14ac:dyDescent="0.25">
      <c r="A27037">
        <v>5801320013</v>
      </c>
      <c r="B27037" t="s">
        <v>8806</v>
      </c>
    </row>
    <row r="27038" spans="1:2" x14ac:dyDescent="0.25">
      <c r="A27038">
        <v>58013200131</v>
      </c>
      <c r="B27038" t="s">
        <v>8572</v>
      </c>
    </row>
    <row r="27039" spans="1:2" x14ac:dyDescent="0.25">
      <c r="A27039">
        <v>58013200132</v>
      </c>
      <c r="B27039" t="s">
        <v>8568</v>
      </c>
    </row>
    <row r="27040" spans="1:2" x14ac:dyDescent="0.25">
      <c r="A27040">
        <v>58013200133</v>
      </c>
      <c r="B27040" t="s">
        <v>8573</v>
      </c>
    </row>
    <row r="27041" spans="1:2" x14ac:dyDescent="0.25">
      <c r="A27041">
        <v>58013200134</v>
      </c>
      <c r="B27041" t="s">
        <v>8574</v>
      </c>
    </row>
    <row r="27042" spans="1:2" x14ac:dyDescent="0.25">
      <c r="A27042">
        <v>58013200139</v>
      </c>
      <c r="B27042" t="s">
        <v>10</v>
      </c>
    </row>
    <row r="27043" spans="1:2" x14ac:dyDescent="0.25">
      <c r="A27043">
        <v>5801320019</v>
      </c>
      <c r="B27043" t="s">
        <v>10</v>
      </c>
    </row>
    <row r="27044" spans="1:2" x14ac:dyDescent="0.25">
      <c r="A27044">
        <v>58013200191</v>
      </c>
      <c r="B27044" t="s">
        <v>8572</v>
      </c>
    </row>
    <row r="27045" spans="1:2" x14ac:dyDescent="0.25">
      <c r="A27045">
        <v>58013200192</v>
      </c>
      <c r="B27045" t="s">
        <v>8568</v>
      </c>
    </row>
    <row r="27046" spans="1:2" x14ac:dyDescent="0.25">
      <c r="A27046">
        <v>58013200193</v>
      </c>
      <c r="B27046" t="s">
        <v>8573</v>
      </c>
    </row>
    <row r="27047" spans="1:2" x14ac:dyDescent="0.25">
      <c r="A27047">
        <v>58013200194</v>
      </c>
      <c r="B27047" t="s">
        <v>8574</v>
      </c>
    </row>
    <row r="27048" spans="1:2" x14ac:dyDescent="0.25">
      <c r="A27048">
        <v>58013200199</v>
      </c>
      <c r="B27048" t="s">
        <v>10</v>
      </c>
    </row>
    <row r="27049" spans="1:2" x14ac:dyDescent="0.25">
      <c r="A27049">
        <v>580132002</v>
      </c>
      <c r="B27049" t="s">
        <v>8809</v>
      </c>
    </row>
    <row r="27050" spans="1:2" x14ac:dyDescent="0.25">
      <c r="A27050">
        <v>58013200210</v>
      </c>
      <c r="B27050" t="s">
        <v>8572</v>
      </c>
    </row>
    <row r="27051" spans="1:2" x14ac:dyDescent="0.25">
      <c r="A27051">
        <v>58013200220</v>
      </c>
      <c r="B27051" t="s">
        <v>8568</v>
      </c>
    </row>
    <row r="27052" spans="1:2" x14ac:dyDescent="0.25">
      <c r="A27052">
        <v>58013200230</v>
      </c>
      <c r="B27052" t="s">
        <v>8573</v>
      </c>
    </row>
    <row r="27053" spans="1:2" x14ac:dyDescent="0.25">
      <c r="A27053">
        <v>58013200240</v>
      </c>
      <c r="B27053" t="s">
        <v>8574</v>
      </c>
    </row>
    <row r="27054" spans="1:2" x14ac:dyDescent="0.25">
      <c r="A27054">
        <v>58013200290</v>
      </c>
      <c r="B27054" t="s">
        <v>10</v>
      </c>
    </row>
    <row r="27055" spans="1:2" x14ac:dyDescent="0.25">
      <c r="A27055">
        <v>58013300</v>
      </c>
      <c r="B27055" t="e">
        <f>- - Los demas terciopelos y felpas por trama</f>
        <v>#NAME?</v>
      </c>
    </row>
    <row r="27056" spans="1:2" x14ac:dyDescent="0.25">
      <c r="A27056">
        <v>580133001</v>
      </c>
      <c r="B27056" t="s">
        <v>8808</v>
      </c>
    </row>
    <row r="27057" spans="1:2" x14ac:dyDescent="0.25">
      <c r="A27057">
        <v>5801330011</v>
      </c>
      <c r="B27057" t="s">
        <v>8577</v>
      </c>
    </row>
    <row r="27058" spans="1:2" x14ac:dyDescent="0.25">
      <c r="A27058">
        <v>58013300111</v>
      </c>
      <c r="B27058" t="s">
        <v>8572</v>
      </c>
    </row>
    <row r="27059" spans="1:2" x14ac:dyDescent="0.25">
      <c r="A27059">
        <v>58013300112</v>
      </c>
      <c r="B27059" t="s">
        <v>8568</v>
      </c>
    </row>
    <row r="27060" spans="1:2" x14ac:dyDescent="0.25">
      <c r="A27060">
        <v>58013300113</v>
      </c>
      <c r="B27060" t="s">
        <v>8573</v>
      </c>
    </row>
    <row r="27061" spans="1:2" x14ac:dyDescent="0.25">
      <c r="A27061">
        <v>58013300114</v>
      </c>
      <c r="B27061" t="s">
        <v>8574</v>
      </c>
    </row>
    <row r="27062" spans="1:2" x14ac:dyDescent="0.25">
      <c r="A27062">
        <v>58013300119</v>
      </c>
      <c r="B27062" t="s">
        <v>10</v>
      </c>
    </row>
    <row r="27063" spans="1:2" x14ac:dyDescent="0.25">
      <c r="A27063">
        <v>5801330012</v>
      </c>
      <c r="B27063" t="s">
        <v>6664</v>
      </c>
    </row>
    <row r="27064" spans="1:2" x14ac:dyDescent="0.25">
      <c r="A27064">
        <v>58013300121</v>
      </c>
      <c r="B27064" t="s">
        <v>8572</v>
      </c>
    </row>
    <row r="27065" spans="1:2" x14ac:dyDescent="0.25">
      <c r="A27065">
        <v>58013300122</v>
      </c>
      <c r="B27065" t="s">
        <v>8568</v>
      </c>
    </row>
    <row r="27066" spans="1:2" x14ac:dyDescent="0.25">
      <c r="A27066">
        <v>58013300123</v>
      </c>
      <c r="B27066" t="s">
        <v>8573</v>
      </c>
    </row>
    <row r="27067" spans="1:2" x14ac:dyDescent="0.25">
      <c r="A27067">
        <v>58013300124</v>
      </c>
      <c r="B27067" t="s">
        <v>8574</v>
      </c>
    </row>
    <row r="27068" spans="1:2" x14ac:dyDescent="0.25">
      <c r="A27068">
        <v>58013300129</v>
      </c>
      <c r="B27068" t="s">
        <v>10</v>
      </c>
    </row>
    <row r="27069" spans="1:2" x14ac:dyDescent="0.25">
      <c r="A27069">
        <v>5801330013</v>
      </c>
      <c r="B27069" t="s">
        <v>8806</v>
      </c>
    </row>
    <row r="27070" spans="1:2" x14ac:dyDescent="0.25">
      <c r="A27070">
        <v>58013300131</v>
      </c>
      <c r="B27070" t="s">
        <v>8572</v>
      </c>
    </row>
    <row r="27071" spans="1:2" x14ac:dyDescent="0.25">
      <c r="A27071">
        <v>58013300132</v>
      </c>
      <c r="B27071" t="s">
        <v>8568</v>
      </c>
    </row>
    <row r="27072" spans="1:2" x14ac:dyDescent="0.25">
      <c r="A27072">
        <v>58013300133</v>
      </c>
      <c r="B27072" t="s">
        <v>8573</v>
      </c>
    </row>
    <row r="27073" spans="1:2" x14ac:dyDescent="0.25">
      <c r="A27073">
        <v>58013300134</v>
      </c>
      <c r="B27073" t="s">
        <v>8574</v>
      </c>
    </row>
    <row r="27074" spans="1:2" x14ac:dyDescent="0.25">
      <c r="A27074">
        <v>58013300139</v>
      </c>
      <c r="B27074" t="s">
        <v>10</v>
      </c>
    </row>
    <row r="27075" spans="1:2" x14ac:dyDescent="0.25">
      <c r="A27075">
        <v>5801330019</v>
      </c>
      <c r="B27075" t="s">
        <v>10</v>
      </c>
    </row>
    <row r="27076" spans="1:2" x14ac:dyDescent="0.25">
      <c r="A27076">
        <v>58013300191</v>
      </c>
      <c r="B27076" t="s">
        <v>8572</v>
      </c>
    </row>
    <row r="27077" spans="1:2" x14ac:dyDescent="0.25">
      <c r="A27077">
        <v>58013300192</v>
      </c>
      <c r="B27077" t="s">
        <v>8568</v>
      </c>
    </row>
    <row r="27078" spans="1:2" x14ac:dyDescent="0.25">
      <c r="A27078">
        <v>58013300193</v>
      </c>
      <c r="B27078" t="s">
        <v>8573</v>
      </c>
    </row>
    <row r="27079" spans="1:2" x14ac:dyDescent="0.25">
      <c r="A27079">
        <v>58013300194</v>
      </c>
      <c r="B27079" t="s">
        <v>8574</v>
      </c>
    </row>
    <row r="27080" spans="1:2" x14ac:dyDescent="0.25">
      <c r="A27080">
        <v>58013300199</v>
      </c>
      <c r="B27080" t="s">
        <v>10</v>
      </c>
    </row>
    <row r="27081" spans="1:2" x14ac:dyDescent="0.25">
      <c r="A27081">
        <v>580133002</v>
      </c>
      <c r="B27081" t="s">
        <v>8809</v>
      </c>
    </row>
    <row r="27082" spans="1:2" x14ac:dyDescent="0.25">
      <c r="A27082">
        <v>58013300210</v>
      </c>
      <c r="B27082" t="s">
        <v>8572</v>
      </c>
    </row>
    <row r="27083" spans="1:2" x14ac:dyDescent="0.25">
      <c r="A27083">
        <v>58013300220</v>
      </c>
      <c r="B27083" t="s">
        <v>8568</v>
      </c>
    </row>
    <row r="27084" spans="1:2" x14ac:dyDescent="0.25">
      <c r="A27084">
        <v>58013300230</v>
      </c>
      <c r="B27084" t="s">
        <v>8573</v>
      </c>
    </row>
    <row r="27085" spans="1:2" x14ac:dyDescent="0.25">
      <c r="A27085">
        <v>58013300240</v>
      </c>
      <c r="B27085" t="s">
        <v>8574</v>
      </c>
    </row>
    <row r="27086" spans="1:2" x14ac:dyDescent="0.25">
      <c r="A27086">
        <v>58013300290</v>
      </c>
      <c r="B27086" t="s">
        <v>10</v>
      </c>
    </row>
    <row r="27087" spans="1:2" x14ac:dyDescent="0.25">
      <c r="A27087">
        <v>58013600</v>
      </c>
      <c r="B27087" t="e">
        <f>- - tejidos de chenilla</f>
        <v>#NAME?</v>
      </c>
    </row>
    <row r="27088" spans="1:2" x14ac:dyDescent="0.25">
      <c r="A27088">
        <v>580136001</v>
      </c>
      <c r="B27088" t="s">
        <v>8808</v>
      </c>
    </row>
    <row r="27089" spans="1:2" x14ac:dyDescent="0.25">
      <c r="A27089">
        <v>5801360011</v>
      </c>
      <c r="B27089" t="s">
        <v>8577</v>
      </c>
    </row>
    <row r="27090" spans="1:2" x14ac:dyDescent="0.25">
      <c r="A27090">
        <v>58013600111</v>
      </c>
      <c r="B27090" t="s">
        <v>8572</v>
      </c>
    </row>
    <row r="27091" spans="1:2" x14ac:dyDescent="0.25">
      <c r="A27091">
        <v>58013600112</v>
      </c>
      <c r="B27091" t="s">
        <v>8568</v>
      </c>
    </row>
    <row r="27092" spans="1:2" x14ac:dyDescent="0.25">
      <c r="A27092">
        <v>58013600113</v>
      </c>
      <c r="B27092" t="s">
        <v>8573</v>
      </c>
    </row>
    <row r="27093" spans="1:2" x14ac:dyDescent="0.25">
      <c r="A27093">
        <v>58013600114</v>
      </c>
      <c r="B27093" t="s">
        <v>8574</v>
      </c>
    </row>
    <row r="27094" spans="1:2" x14ac:dyDescent="0.25">
      <c r="A27094">
        <v>58013600119</v>
      </c>
      <c r="B27094" t="s">
        <v>10</v>
      </c>
    </row>
    <row r="27095" spans="1:2" x14ac:dyDescent="0.25">
      <c r="A27095">
        <v>5801360012</v>
      </c>
      <c r="B27095" t="s">
        <v>6664</v>
      </c>
    </row>
    <row r="27096" spans="1:2" x14ac:dyDescent="0.25">
      <c r="A27096">
        <v>58013600121</v>
      </c>
      <c r="B27096" t="s">
        <v>8572</v>
      </c>
    </row>
    <row r="27097" spans="1:2" x14ac:dyDescent="0.25">
      <c r="A27097">
        <v>58013600122</v>
      </c>
      <c r="B27097" t="s">
        <v>8568</v>
      </c>
    </row>
    <row r="27098" spans="1:2" x14ac:dyDescent="0.25">
      <c r="A27098">
        <v>58013600123</v>
      </c>
      <c r="B27098" t="s">
        <v>8573</v>
      </c>
    </row>
    <row r="27099" spans="1:2" x14ac:dyDescent="0.25">
      <c r="A27099">
        <v>58013600124</v>
      </c>
      <c r="B27099" t="s">
        <v>8574</v>
      </c>
    </row>
    <row r="27100" spans="1:2" x14ac:dyDescent="0.25">
      <c r="A27100">
        <v>58013600129</v>
      </c>
      <c r="B27100" t="s">
        <v>10</v>
      </c>
    </row>
    <row r="27101" spans="1:2" x14ac:dyDescent="0.25">
      <c r="A27101">
        <v>5801360013</v>
      </c>
      <c r="B27101" t="s">
        <v>8806</v>
      </c>
    </row>
    <row r="27102" spans="1:2" x14ac:dyDescent="0.25">
      <c r="A27102">
        <v>58013600131</v>
      </c>
      <c r="B27102" t="s">
        <v>8572</v>
      </c>
    </row>
    <row r="27103" spans="1:2" x14ac:dyDescent="0.25">
      <c r="A27103">
        <v>58013600132</v>
      </c>
      <c r="B27103" t="s">
        <v>8568</v>
      </c>
    </row>
    <row r="27104" spans="1:2" x14ac:dyDescent="0.25">
      <c r="A27104">
        <v>58013600133</v>
      </c>
      <c r="B27104" t="s">
        <v>8573</v>
      </c>
    </row>
    <row r="27105" spans="1:2" x14ac:dyDescent="0.25">
      <c r="A27105">
        <v>58013600134</v>
      </c>
      <c r="B27105" t="s">
        <v>8574</v>
      </c>
    </row>
    <row r="27106" spans="1:2" x14ac:dyDescent="0.25">
      <c r="A27106">
        <v>58013600139</v>
      </c>
      <c r="B27106" t="s">
        <v>10</v>
      </c>
    </row>
    <row r="27107" spans="1:2" x14ac:dyDescent="0.25">
      <c r="A27107">
        <v>5801360019</v>
      </c>
      <c r="B27107" t="s">
        <v>10</v>
      </c>
    </row>
    <row r="27108" spans="1:2" x14ac:dyDescent="0.25">
      <c r="A27108">
        <v>58013600191</v>
      </c>
      <c r="B27108" t="s">
        <v>8572</v>
      </c>
    </row>
    <row r="27109" spans="1:2" x14ac:dyDescent="0.25">
      <c r="A27109">
        <v>58013600192</v>
      </c>
      <c r="B27109" t="s">
        <v>8568</v>
      </c>
    </row>
    <row r="27110" spans="1:2" x14ac:dyDescent="0.25">
      <c r="A27110">
        <v>58013600193</v>
      </c>
      <c r="B27110" t="s">
        <v>8573</v>
      </c>
    </row>
    <row r="27111" spans="1:2" x14ac:dyDescent="0.25">
      <c r="A27111">
        <v>58013600194</v>
      </c>
      <c r="B27111" t="s">
        <v>8574</v>
      </c>
    </row>
    <row r="27112" spans="1:2" x14ac:dyDescent="0.25">
      <c r="A27112">
        <v>58013600199</v>
      </c>
      <c r="B27112" t="s">
        <v>10</v>
      </c>
    </row>
    <row r="27113" spans="1:2" x14ac:dyDescent="0.25">
      <c r="A27113">
        <v>580136002</v>
      </c>
      <c r="B27113" t="s">
        <v>8809</v>
      </c>
    </row>
    <row r="27114" spans="1:2" x14ac:dyDescent="0.25">
      <c r="A27114">
        <v>58013600210</v>
      </c>
      <c r="B27114" t="s">
        <v>8572</v>
      </c>
    </row>
    <row r="27115" spans="1:2" x14ac:dyDescent="0.25">
      <c r="A27115">
        <v>58013600220</v>
      </c>
      <c r="B27115" t="s">
        <v>8568</v>
      </c>
    </row>
    <row r="27116" spans="1:2" x14ac:dyDescent="0.25">
      <c r="A27116">
        <v>58013600230</v>
      </c>
      <c r="B27116" t="s">
        <v>8573</v>
      </c>
    </row>
    <row r="27117" spans="1:2" x14ac:dyDescent="0.25">
      <c r="A27117">
        <v>58013600240</v>
      </c>
      <c r="B27117" t="s">
        <v>8574</v>
      </c>
    </row>
    <row r="27118" spans="1:2" x14ac:dyDescent="0.25">
      <c r="A27118">
        <v>58013600290</v>
      </c>
      <c r="B27118" t="s">
        <v>10</v>
      </c>
    </row>
    <row r="27119" spans="1:2" x14ac:dyDescent="0.25">
      <c r="A27119">
        <v>58013700</v>
      </c>
      <c r="B27119" t="e">
        <f>- - Terciopelo y felpa por urdimbre</f>
        <v>#NAME?</v>
      </c>
    </row>
    <row r="27120" spans="1:2" x14ac:dyDescent="0.25">
      <c r="A27120">
        <v>580137001</v>
      </c>
      <c r="B27120" t="s">
        <v>8808</v>
      </c>
    </row>
    <row r="27121" spans="1:2" x14ac:dyDescent="0.25">
      <c r="A27121">
        <v>5801370011</v>
      </c>
      <c r="B27121" t="s">
        <v>8577</v>
      </c>
    </row>
    <row r="27122" spans="1:2" x14ac:dyDescent="0.25">
      <c r="A27122">
        <v>58013700111</v>
      </c>
      <c r="B27122" t="s">
        <v>8572</v>
      </c>
    </row>
    <row r="27123" spans="1:2" x14ac:dyDescent="0.25">
      <c r="A27123">
        <v>58013700112</v>
      </c>
      <c r="B27123" t="s">
        <v>8568</v>
      </c>
    </row>
    <row r="27124" spans="1:2" x14ac:dyDescent="0.25">
      <c r="A27124">
        <v>58013700113</v>
      </c>
      <c r="B27124" t="s">
        <v>8573</v>
      </c>
    </row>
    <row r="27125" spans="1:2" x14ac:dyDescent="0.25">
      <c r="A27125">
        <v>58013700114</v>
      </c>
      <c r="B27125" t="s">
        <v>8574</v>
      </c>
    </row>
    <row r="27126" spans="1:2" x14ac:dyDescent="0.25">
      <c r="A27126">
        <v>58013700119</v>
      </c>
      <c r="B27126" t="s">
        <v>10</v>
      </c>
    </row>
    <row r="27127" spans="1:2" x14ac:dyDescent="0.25">
      <c r="A27127">
        <v>5801370012</v>
      </c>
      <c r="B27127" t="s">
        <v>6664</v>
      </c>
    </row>
    <row r="27128" spans="1:2" x14ac:dyDescent="0.25">
      <c r="A27128">
        <v>58013700121</v>
      </c>
      <c r="B27128" t="s">
        <v>8572</v>
      </c>
    </row>
    <row r="27129" spans="1:2" x14ac:dyDescent="0.25">
      <c r="A27129">
        <v>58013700122</v>
      </c>
      <c r="B27129" t="s">
        <v>8568</v>
      </c>
    </row>
    <row r="27130" spans="1:2" x14ac:dyDescent="0.25">
      <c r="A27130">
        <v>58013700123</v>
      </c>
      <c r="B27130" t="s">
        <v>8573</v>
      </c>
    </row>
    <row r="27131" spans="1:2" x14ac:dyDescent="0.25">
      <c r="A27131">
        <v>58013700124</v>
      </c>
      <c r="B27131" t="s">
        <v>8574</v>
      </c>
    </row>
    <row r="27132" spans="1:2" x14ac:dyDescent="0.25">
      <c r="A27132">
        <v>58013700129</v>
      </c>
      <c r="B27132" t="s">
        <v>10</v>
      </c>
    </row>
    <row r="27133" spans="1:2" x14ac:dyDescent="0.25">
      <c r="A27133">
        <v>5801370013</v>
      </c>
      <c r="B27133" t="s">
        <v>8806</v>
      </c>
    </row>
    <row r="27134" spans="1:2" x14ac:dyDescent="0.25">
      <c r="A27134">
        <v>58013700131</v>
      </c>
      <c r="B27134" t="s">
        <v>8572</v>
      </c>
    </row>
    <row r="27135" spans="1:2" x14ac:dyDescent="0.25">
      <c r="A27135">
        <v>58013700132</v>
      </c>
      <c r="B27135" t="s">
        <v>8568</v>
      </c>
    </row>
    <row r="27136" spans="1:2" x14ac:dyDescent="0.25">
      <c r="A27136">
        <v>58013700133</v>
      </c>
      <c r="B27136" t="s">
        <v>8573</v>
      </c>
    </row>
    <row r="27137" spans="1:2" x14ac:dyDescent="0.25">
      <c r="A27137">
        <v>58013700134</v>
      </c>
      <c r="B27137" t="s">
        <v>8574</v>
      </c>
    </row>
    <row r="27138" spans="1:2" x14ac:dyDescent="0.25">
      <c r="A27138">
        <v>58013700139</v>
      </c>
      <c r="B27138" t="s">
        <v>10</v>
      </c>
    </row>
    <row r="27139" spans="1:2" x14ac:dyDescent="0.25">
      <c r="A27139">
        <v>5801370019</v>
      </c>
      <c r="B27139" t="s">
        <v>10</v>
      </c>
    </row>
    <row r="27140" spans="1:2" x14ac:dyDescent="0.25">
      <c r="A27140">
        <v>58013700191</v>
      </c>
      <c r="B27140" t="s">
        <v>8572</v>
      </c>
    </row>
    <row r="27141" spans="1:2" x14ac:dyDescent="0.25">
      <c r="A27141">
        <v>58013700192</v>
      </c>
      <c r="B27141" t="s">
        <v>8568</v>
      </c>
    </row>
    <row r="27142" spans="1:2" x14ac:dyDescent="0.25">
      <c r="A27142">
        <v>58013700193</v>
      </c>
      <c r="B27142" t="s">
        <v>8573</v>
      </c>
    </row>
    <row r="27143" spans="1:2" x14ac:dyDescent="0.25">
      <c r="A27143">
        <v>58013700194</v>
      </c>
      <c r="B27143" t="s">
        <v>8574</v>
      </c>
    </row>
    <row r="27144" spans="1:2" x14ac:dyDescent="0.25">
      <c r="A27144">
        <v>58013700199</v>
      </c>
      <c r="B27144" t="s">
        <v>10</v>
      </c>
    </row>
    <row r="27145" spans="1:2" x14ac:dyDescent="0.25">
      <c r="A27145">
        <v>580137002</v>
      </c>
      <c r="B27145" t="s">
        <v>8809</v>
      </c>
    </row>
    <row r="27146" spans="1:2" x14ac:dyDescent="0.25">
      <c r="A27146">
        <v>58013700210</v>
      </c>
      <c r="B27146" t="s">
        <v>8572</v>
      </c>
    </row>
    <row r="27147" spans="1:2" x14ac:dyDescent="0.25">
      <c r="A27147">
        <v>58013700220</v>
      </c>
      <c r="B27147" t="s">
        <v>8568</v>
      </c>
    </row>
    <row r="27148" spans="1:2" x14ac:dyDescent="0.25">
      <c r="A27148">
        <v>58013700230</v>
      </c>
      <c r="B27148" t="s">
        <v>8573</v>
      </c>
    </row>
    <row r="27149" spans="1:2" x14ac:dyDescent="0.25">
      <c r="A27149">
        <v>58013700240</v>
      </c>
      <c r="B27149" t="s">
        <v>8574</v>
      </c>
    </row>
    <row r="27150" spans="1:2" x14ac:dyDescent="0.25">
      <c r="A27150">
        <v>58013700290</v>
      </c>
      <c r="B27150" t="s">
        <v>10</v>
      </c>
    </row>
    <row r="27151" spans="1:2" x14ac:dyDescent="0.25">
      <c r="A27151">
        <v>58019000</v>
      </c>
      <c r="B27151" t="e">
        <f>- de las demas materias textiles</f>
        <v>#NAME?</v>
      </c>
    </row>
    <row r="27152" spans="1:2" x14ac:dyDescent="0.25">
      <c r="A27152">
        <v>580190001</v>
      </c>
      <c r="B27152" t="s">
        <v>8881</v>
      </c>
    </row>
    <row r="27153" spans="1:2" x14ac:dyDescent="0.25">
      <c r="A27153">
        <v>58019000110</v>
      </c>
      <c r="B27153" t="s">
        <v>8572</v>
      </c>
    </row>
    <row r="27154" spans="1:2" x14ac:dyDescent="0.25">
      <c r="A27154">
        <v>58019000120</v>
      </c>
      <c r="B27154" t="s">
        <v>8568</v>
      </c>
    </row>
    <row r="27155" spans="1:2" x14ac:dyDescent="0.25">
      <c r="A27155">
        <v>58019000130</v>
      </c>
      <c r="B27155" t="s">
        <v>8573</v>
      </c>
    </row>
    <row r="27156" spans="1:2" x14ac:dyDescent="0.25">
      <c r="A27156">
        <v>58019000140</v>
      </c>
      <c r="B27156" t="s">
        <v>8574</v>
      </c>
    </row>
    <row r="27157" spans="1:2" x14ac:dyDescent="0.25">
      <c r="A27157">
        <v>58019000190</v>
      </c>
      <c r="B27157" t="s">
        <v>10</v>
      </c>
    </row>
    <row r="27158" spans="1:2" x14ac:dyDescent="0.25">
      <c r="A27158">
        <v>580190009</v>
      </c>
      <c r="B27158" t="s">
        <v>57</v>
      </c>
    </row>
    <row r="27159" spans="1:2" x14ac:dyDescent="0.25">
      <c r="A27159">
        <v>58019000910</v>
      </c>
      <c r="B27159" t="s">
        <v>8572</v>
      </c>
    </row>
    <row r="27160" spans="1:2" x14ac:dyDescent="0.25">
      <c r="A27160">
        <v>58019000920</v>
      </c>
      <c r="B27160" t="s">
        <v>8568</v>
      </c>
    </row>
    <row r="27161" spans="1:2" x14ac:dyDescent="0.25">
      <c r="A27161">
        <v>58019000930</v>
      </c>
      <c r="B27161" t="s">
        <v>8573</v>
      </c>
    </row>
    <row r="27162" spans="1:2" x14ac:dyDescent="0.25">
      <c r="A27162">
        <v>58019000940</v>
      </c>
      <c r="B27162" t="s">
        <v>8574</v>
      </c>
    </row>
    <row r="27163" spans="1:2" x14ac:dyDescent="0.25">
      <c r="A27163">
        <v>58019000990</v>
      </c>
      <c r="B27163" t="s">
        <v>10</v>
      </c>
    </row>
    <row r="27164" spans="1:2" x14ac:dyDescent="0.25">
      <c r="A27164">
        <v>5802</v>
      </c>
      <c r="B27164" t="s">
        <v>8882</v>
      </c>
    </row>
    <row r="27165" spans="1:2" x14ac:dyDescent="0.25">
      <c r="A27165">
        <v>58021</v>
      </c>
      <c r="B27165" t="s">
        <v>8883</v>
      </c>
    </row>
    <row r="27166" spans="1:2" x14ac:dyDescent="0.25">
      <c r="A27166">
        <v>58021100</v>
      </c>
      <c r="B27166" t="e">
        <f>- - crudos</f>
        <v>#NAME?</v>
      </c>
    </row>
    <row r="27167" spans="1:2" x14ac:dyDescent="0.25">
      <c r="A27167">
        <v>58021100100</v>
      </c>
      <c r="B27167" t="s">
        <v>8760</v>
      </c>
    </row>
    <row r="27168" spans="1:2" x14ac:dyDescent="0.25">
      <c r="A27168">
        <v>58021100200</v>
      </c>
      <c r="B27168" t="s">
        <v>8558</v>
      </c>
    </row>
    <row r="27169" spans="1:2" x14ac:dyDescent="0.25">
      <c r="A27169">
        <v>58021100300</v>
      </c>
      <c r="B27169" t="s">
        <v>8884</v>
      </c>
    </row>
    <row r="27170" spans="1:2" x14ac:dyDescent="0.25">
      <c r="A27170">
        <v>58021100400</v>
      </c>
      <c r="B27170" t="s">
        <v>8885</v>
      </c>
    </row>
    <row r="27171" spans="1:2" x14ac:dyDescent="0.25">
      <c r="A27171">
        <v>58021100500</v>
      </c>
      <c r="B27171" t="s">
        <v>8573</v>
      </c>
    </row>
    <row r="27172" spans="1:2" x14ac:dyDescent="0.25">
      <c r="A27172">
        <v>58021100900</v>
      </c>
      <c r="B27172" t="s">
        <v>10</v>
      </c>
    </row>
    <row r="27173" spans="1:2" x14ac:dyDescent="0.25">
      <c r="A27173">
        <v>58021900</v>
      </c>
      <c r="B27173" t="e">
        <f>- - Los demas</f>
        <v>#NAME?</v>
      </c>
    </row>
    <row r="27174" spans="1:2" x14ac:dyDescent="0.25">
      <c r="A27174">
        <v>580219001</v>
      </c>
      <c r="B27174" t="s">
        <v>8886</v>
      </c>
    </row>
    <row r="27175" spans="1:2" x14ac:dyDescent="0.25">
      <c r="A27175">
        <v>58021900110</v>
      </c>
      <c r="B27175" t="s">
        <v>8760</v>
      </c>
    </row>
    <row r="27176" spans="1:2" x14ac:dyDescent="0.25">
      <c r="A27176">
        <v>58021900120</v>
      </c>
      <c r="B27176" t="s">
        <v>8558</v>
      </c>
    </row>
    <row r="27177" spans="1:2" x14ac:dyDescent="0.25">
      <c r="A27177">
        <v>58021900130</v>
      </c>
      <c r="B27177" t="s">
        <v>8884</v>
      </c>
    </row>
    <row r="27178" spans="1:2" x14ac:dyDescent="0.25">
      <c r="A27178">
        <v>58021900140</v>
      </c>
      <c r="B27178" t="s">
        <v>8885</v>
      </c>
    </row>
    <row r="27179" spans="1:2" x14ac:dyDescent="0.25">
      <c r="A27179">
        <v>58021900150</v>
      </c>
      <c r="B27179" t="s">
        <v>8573</v>
      </c>
    </row>
    <row r="27180" spans="1:2" x14ac:dyDescent="0.25">
      <c r="A27180">
        <v>58021900190</v>
      </c>
      <c r="B27180" t="s">
        <v>10</v>
      </c>
    </row>
    <row r="27181" spans="1:2" x14ac:dyDescent="0.25">
      <c r="A27181">
        <v>580219002</v>
      </c>
      <c r="B27181" t="s">
        <v>626</v>
      </c>
    </row>
    <row r="27182" spans="1:2" x14ac:dyDescent="0.25">
      <c r="A27182">
        <v>58021900210</v>
      </c>
      <c r="B27182" t="s">
        <v>8760</v>
      </c>
    </row>
    <row r="27183" spans="1:2" x14ac:dyDescent="0.25">
      <c r="A27183">
        <v>58021900220</v>
      </c>
      <c r="B27183" t="s">
        <v>8558</v>
      </c>
    </row>
    <row r="27184" spans="1:2" x14ac:dyDescent="0.25">
      <c r="A27184">
        <v>58021900230</v>
      </c>
      <c r="B27184" t="s">
        <v>8884</v>
      </c>
    </row>
    <row r="27185" spans="1:2" x14ac:dyDescent="0.25">
      <c r="A27185">
        <v>58021900240</v>
      </c>
      <c r="B27185" t="s">
        <v>8885</v>
      </c>
    </row>
    <row r="27186" spans="1:2" x14ac:dyDescent="0.25">
      <c r="A27186">
        <v>58021900250</v>
      </c>
      <c r="B27186" t="s">
        <v>8573</v>
      </c>
    </row>
    <row r="27187" spans="1:2" x14ac:dyDescent="0.25">
      <c r="A27187">
        <v>58021900290</v>
      </c>
      <c r="B27187" t="s">
        <v>10</v>
      </c>
    </row>
    <row r="27188" spans="1:2" x14ac:dyDescent="0.25">
      <c r="A27188">
        <v>580219003</v>
      </c>
      <c r="B27188" t="s">
        <v>8560</v>
      </c>
    </row>
    <row r="27189" spans="1:2" x14ac:dyDescent="0.25">
      <c r="A27189">
        <v>58021900310</v>
      </c>
      <c r="B27189" t="s">
        <v>8760</v>
      </c>
    </row>
    <row r="27190" spans="1:2" x14ac:dyDescent="0.25">
      <c r="A27190">
        <v>58021900320</v>
      </c>
      <c r="B27190" t="s">
        <v>8558</v>
      </c>
    </row>
    <row r="27191" spans="1:2" x14ac:dyDescent="0.25">
      <c r="A27191">
        <v>58021900330</v>
      </c>
      <c r="B27191" t="s">
        <v>8884</v>
      </c>
    </row>
    <row r="27192" spans="1:2" x14ac:dyDescent="0.25">
      <c r="A27192">
        <v>58021900340</v>
      </c>
      <c r="B27192" t="s">
        <v>8885</v>
      </c>
    </row>
    <row r="27193" spans="1:2" x14ac:dyDescent="0.25">
      <c r="A27193">
        <v>58021900350</v>
      </c>
      <c r="B27193" t="s">
        <v>8573</v>
      </c>
    </row>
    <row r="27194" spans="1:2" x14ac:dyDescent="0.25">
      <c r="A27194">
        <v>58021900390</v>
      </c>
      <c r="B27194" t="s">
        <v>10</v>
      </c>
    </row>
    <row r="27195" spans="1:2" x14ac:dyDescent="0.25">
      <c r="A27195">
        <v>580219004</v>
      </c>
      <c r="B27195" t="s">
        <v>8561</v>
      </c>
    </row>
    <row r="27196" spans="1:2" x14ac:dyDescent="0.25">
      <c r="A27196">
        <v>58021900410</v>
      </c>
      <c r="B27196" t="s">
        <v>8760</v>
      </c>
    </row>
    <row r="27197" spans="1:2" x14ac:dyDescent="0.25">
      <c r="A27197">
        <v>58021900420</v>
      </c>
      <c r="B27197" t="s">
        <v>8558</v>
      </c>
    </row>
    <row r="27198" spans="1:2" x14ac:dyDescent="0.25">
      <c r="A27198">
        <v>58021900430</v>
      </c>
      <c r="B27198" t="s">
        <v>8884</v>
      </c>
    </row>
    <row r="27199" spans="1:2" x14ac:dyDescent="0.25">
      <c r="A27199">
        <v>58021900440</v>
      </c>
      <c r="B27199" t="s">
        <v>8885</v>
      </c>
    </row>
    <row r="27200" spans="1:2" x14ac:dyDescent="0.25">
      <c r="A27200">
        <v>58021900450</v>
      </c>
      <c r="B27200" t="s">
        <v>8573</v>
      </c>
    </row>
    <row r="27201" spans="1:2" x14ac:dyDescent="0.25">
      <c r="A27201">
        <v>58021900490</v>
      </c>
      <c r="B27201" t="s">
        <v>10</v>
      </c>
    </row>
    <row r="27202" spans="1:2" x14ac:dyDescent="0.25">
      <c r="A27202">
        <v>58022000000</v>
      </c>
      <c r="B27202" t="e">
        <f>-tejidos Con bucles del tipo toalla. de las demas materias textiles</f>
        <v>#NAME?</v>
      </c>
    </row>
    <row r="27203" spans="1:2" x14ac:dyDescent="0.25">
      <c r="A27203">
        <v>58023000</v>
      </c>
      <c r="B27203" t="e">
        <f>- superficies textiles Con mechon insertado</f>
        <v>#NAME?</v>
      </c>
    </row>
    <row r="27204" spans="1:2" x14ac:dyDescent="0.25">
      <c r="A27204">
        <v>58023000100</v>
      </c>
      <c r="B27204" t="s">
        <v>8887</v>
      </c>
    </row>
    <row r="27205" spans="1:2" x14ac:dyDescent="0.25">
      <c r="A27205">
        <v>58023000900</v>
      </c>
      <c r="B27205" t="s">
        <v>57</v>
      </c>
    </row>
    <row r="27206" spans="1:2" x14ac:dyDescent="0.25">
      <c r="A27206">
        <v>580300</v>
      </c>
      <c r="B27206" t="s">
        <v>8888</v>
      </c>
    </row>
    <row r="27207" spans="1:2" x14ac:dyDescent="0.25">
      <c r="A27207">
        <v>58030010000</v>
      </c>
      <c r="B27207" t="s">
        <v>8805</v>
      </c>
    </row>
    <row r="27208" spans="1:2" x14ac:dyDescent="0.25">
      <c r="A27208">
        <v>58030090</v>
      </c>
      <c r="B27208" t="s">
        <v>8837</v>
      </c>
    </row>
    <row r="27209" spans="1:2" x14ac:dyDescent="0.25">
      <c r="A27209">
        <v>580300901</v>
      </c>
      <c r="B27209" t="s">
        <v>8889</v>
      </c>
    </row>
    <row r="27210" spans="1:2" x14ac:dyDescent="0.25">
      <c r="A27210">
        <v>58030090110</v>
      </c>
      <c r="B27210" t="s">
        <v>8890</v>
      </c>
    </row>
    <row r="27211" spans="1:2" x14ac:dyDescent="0.25">
      <c r="A27211">
        <v>58030090190</v>
      </c>
      <c r="B27211" t="s">
        <v>10</v>
      </c>
    </row>
    <row r="27212" spans="1:2" x14ac:dyDescent="0.25">
      <c r="A27212">
        <v>580300902</v>
      </c>
      <c r="B27212" t="s">
        <v>8891</v>
      </c>
    </row>
    <row r="27213" spans="1:2" x14ac:dyDescent="0.25">
      <c r="A27213">
        <v>58030090210</v>
      </c>
      <c r="B27213" t="s">
        <v>8892</v>
      </c>
    </row>
    <row r="27214" spans="1:2" x14ac:dyDescent="0.25">
      <c r="A27214">
        <v>58030090220</v>
      </c>
      <c r="B27214" t="s">
        <v>8893</v>
      </c>
    </row>
    <row r="27215" spans="1:2" x14ac:dyDescent="0.25">
      <c r="A27215">
        <v>58030090290</v>
      </c>
      <c r="B27215" t="s">
        <v>10</v>
      </c>
    </row>
    <row r="27216" spans="1:2" x14ac:dyDescent="0.25">
      <c r="A27216">
        <v>58030090900</v>
      </c>
      <c r="B27216" t="s">
        <v>10</v>
      </c>
    </row>
    <row r="27217" spans="1:2" x14ac:dyDescent="0.25">
      <c r="A27217">
        <v>5804</v>
      </c>
      <c r="B27217" t="s">
        <v>8894</v>
      </c>
    </row>
    <row r="27218" spans="1:2" x14ac:dyDescent="0.25">
      <c r="A27218">
        <v>580410</v>
      </c>
      <c r="B27218" t="e">
        <f>- Tul. tul-bobinot y tejidos de mallas anudadas</f>
        <v>#NAME?</v>
      </c>
    </row>
    <row r="27219" spans="1:2" x14ac:dyDescent="0.25">
      <c r="A27219">
        <v>58041010000</v>
      </c>
      <c r="B27219" t="s">
        <v>8805</v>
      </c>
    </row>
    <row r="27220" spans="1:2" x14ac:dyDescent="0.25">
      <c r="A27220">
        <v>58041090</v>
      </c>
      <c r="B27220" t="s">
        <v>10</v>
      </c>
    </row>
    <row r="27221" spans="1:2" x14ac:dyDescent="0.25">
      <c r="A27221">
        <v>58041090100</v>
      </c>
      <c r="B27221" t="s">
        <v>8577</v>
      </c>
    </row>
    <row r="27222" spans="1:2" x14ac:dyDescent="0.25">
      <c r="A27222">
        <v>58041090200</v>
      </c>
      <c r="B27222" t="s">
        <v>6664</v>
      </c>
    </row>
    <row r="27223" spans="1:2" x14ac:dyDescent="0.25">
      <c r="A27223">
        <v>58041090300</v>
      </c>
      <c r="B27223" t="s">
        <v>8581</v>
      </c>
    </row>
    <row r="27224" spans="1:2" x14ac:dyDescent="0.25">
      <c r="A27224">
        <v>58041090900</v>
      </c>
      <c r="B27224" t="s">
        <v>57</v>
      </c>
    </row>
    <row r="27225" spans="1:2" x14ac:dyDescent="0.25">
      <c r="A27225">
        <v>58042</v>
      </c>
      <c r="B27225" t="s">
        <v>8895</v>
      </c>
    </row>
    <row r="27226" spans="1:2" x14ac:dyDescent="0.25">
      <c r="A27226">
        <v>58042100</v>
      </c>
      <c r="B27226" t="e">
        <f>- - de fibras sinteticas o artificiales</f>
        <v>#NAME?</v>
      </c>
    </row>
    <row r="27227" spans="1:2" x14ac:dyDescent="0.25">
      <c r="A27227">
        <v>58042100100</v>
      </c>
      <c r="B27227" t="s">
        <v>8577</v>
      </c>
    </row>
    <row r="27228" spans="1:2" x14ac:dyDescent="0.25">
      <c r="A27228">
        <v>58042100200</v>
      </c>
      <c r="B27228" t="s">
        <v>6664</v>
      </c>
    </row>
    <row r="27229" spans="1:2" x14ac:dyDescent="0.25">
      <c r="A27229">
        <v>58042100300</v>
      </c>
      <c r="B27229" t="s">
        <v>8581</v>
      </c>
    </row>
    <row r="27230" spans="1:2" x14ac:dyDescent="0.25">
      <c r="A27230">
        <v>58042100900</v>
      </c>
      <c r="B27230" t="s">
        <v>57</v>
      </c>
    </row>
    <row r="27231" spans="1:2" x14ac:dyDescent="0.25">
      <c r="A27231">
        <v>580429</v>
      </c>
      <c r="B27231" t="e">
        <f>- - de las demas materias textiles</f>
        <v>#NAME?</v>
      </c>
    </row>
    <row r="27232" spans="1:2" x14ac:dyDescent="0.25">
      <c r="A27232">
        <v>58042910000</v>
      </c>
      <c r="B27232" t="s">
        <v>8805</v>
      </c>
    </row>
    <row r="27233" spans="1:2" x14ac:dyDescent="0.25">
      <c r="A27233">
        <v>58042990</v>
      </c>
      <c r="B27233" t="s">
        <v>10</v>
      </c>
    </row>
    <row r="27234" spans="1:2" x14ac:dyDescent="0.25">
      <c r="A27234">
        <v>58042990100</v>
      </c>
      <c r="B27234" t="s">
        <v>8881</v>
      </c>
    </row>
    <row r="27235" spans="1:2" x14ac:dyDescent="0.25">
      <c r="A27235">
        <v>58042990200</v>
      </c>
      <c r="B27235" t="s">
        <v>8896</v>
      </c>
    </row>
    <row r="27236" spans="1:2" x14ac:dyDescent="0.25">
      <c r="A27236">
        <v>58042990900</v>
      </c>
      <c r="B27236" t="s">
        <v>10</v>
      </c>
    </row>
    <row r="27237" spans="1:2" x14ac:dyDescent="0.25">
      <c r="A27237">
        <v>580430</v>
      </c>
      <c r="B27237" t="e">
        <f>- Encajes hechos a mano</f>
        <v>#NAME?</v>
      </c>
    </row>
    <row r="27238" spans="1:2" x14ac:dyDescent="0.25">
      <c r="A27238">
        <v>58043010000</v>
      </c>
      <c r="B27238" t="s">
        <v>8805</v>
      </c>
    </row>
    <row r="27239" spans="1:2" x14ac:dyDescent="0.25">
      <c r="A27239">
        <v>58043090</v>
      </c>
      <c r="B27239" t="s">
        <v>10</v>
      </c>
    </row>
    <row r="27240" spans="1:2" x14ac:dyDescent="0.25">
      <c r="A27240">
        <v>58043090100</v>
      </c>
      <c r="B27240" t="s">
        <v>8881</v>
      </c>
    </row>
    <row r="27241" spans="1:2" x14ac:dyDescent="0.25">
      <c r="A27241">
        <v>58043090200</v>
      </c>
      <c r="B27241" t="s">
        <v>8896</v>
      </c>
    </row>
    <row r="27242" spans="1:2" x14ac:dyDescent="0.25">
      <c r="A27242">
        <v>58043090300</v>
      </c>
      <c r="B27242" t="s">
        <v>8808</v>
      </c>
    </row>
    <row r="27243" spans="1:2" x14ac:dyDescent="0.25">
      <c r="A27243">
        <v>58043090400</v>
      </c>
      <c r="B27243" t="s">
        <v>8809</v>
      </c>
    </row>
    <row r="27244" spans="1:2" x14ac:dyDescent="0.25">
      <c r="A27244">
        <v>58043090900</v>
      </c>
      <c r="B27244" t="s">
        <v>10</v>
      </c>
    </row>
    <row r="27245" spans="1:2" x14ac:dyDescent="0.25">
      <c r="A27245">
        <v>580500</v>
      </c>
      <c r="B27245" t="s">
        <v>8897</v>
      </c>
    </row>
    <row r="27246" spans="1:2" x14ac:dyDescent="0.25">
      <c r="A27246">
        <v>58050010000</v>
      </c>
      <c r="B27246" t="s">
        <v>8805</v>
      </c>
    </row>
    <row r="27247" spans="1:2" x14ac:dyDescent="0.25">
      <c r="A27247">
        <v>58050020000</v>
      </c>
      <c r="B27247" t="s">
        <v>8898</v>
      </c>
    </row>
    <row r="27248" spans="1:2" x14ac:dyDescent="0.25">
      <c r="A27248">
        <v>58050090000</v>
      </c>
      <c r="B27248" t="s">
        <v>8837</v>
      </c>
    </row>
    <row r="27249" spans="1:2" x14ac:dyDescent="0.25">
      <c r="A27249">
        <v>5806</v>
      </c>
      <c r="B27249" t="s">
        <v>8899</v>
      </c>
    </row>
    <row r="27250" spans="1:2" x14ac:dyDescent="0.25">
      <c r="A27250">
        <v>58061000</v>
      </c>
      <c r="B27250" t="e">
        <f>- Cintas de terciopelo. de felpa. de tejidos de chenilla o de tejidos Con bucles del tipo toalla</f>
        <v>#NAME?</v>
      </c>
    </row>
    <row r="27251" spans="1:2" x14ac:dyDescent="0.25">
      <c r="A27251">
        <v>580610001</v>
      </c>
      <c r="B27251" t="s">
        <v>8900</v>
      </c>
    </row>
    <row r="27252" spans="1:2" x14ac:dyDescent="0.25">
      <c r="A27252">
        <v>58061000110</v>
      </c>
      <c r="B27252" t="s">
        <v>8805</v>
      </c>
    </row>
    <row r="27253" spans="1:2" x14ac:dyDescent="0.25">
      <c r="A27253">
        <v>58061000120</v>
      </c>
      <c r="B27253" t="s">
        <v>8808</v>
      </c>
    </row>
    <row r="27254" spans="1:2" x14ac:dyDescent="0.25">
      <c r="A27254">
        <v>58061000130</v>
      </c>
      <c r="B27254" t="s">
        <v>8809</v>
      </c>
    </row>
    <row r="27255" spans="1:2" x14ac:dyDescent="0.25">
      <c r="A27255">
        <v>58061000190</v>
      </c>
      <c r="B27255" t="s">
        <v>10</v>
      </c>
    </row>
    <row r="27256" spans="1:2" x14ac:dyDescent="0.25">
      <c r="A27256">
        <v>580610002</v>
      </c>
      <c r="B27256" t="s">
        <v>8901</v>
      </c>
    </row>
    <row r="27257" spans="1:2" x14ac:dyDescent="0.25">
      <c r="A27257">
        <v>58061000210</v>
      </c>
      <c r="B27257" t="s">
        <v>8805</v>
      </c>
    </row>
    <row r="27258" spans="1:2" x14ac:dyDescent="0.25">
      <c r="A27258">
        <v>58061000220</v>
      </c>
      <c r="B27258" t="s">
        <v>8808</v>
      </c>
    </row>
    <row r="27259" spans="1:2" x14ac:dyDescent="0.25">
      <c r="A27259">
        <v>58061000230</v>
      </c>
      <c r="B27259" t="s">
        <v>8809</v>
      </c>
    </row>
    <row r="27260" spans="1:2" x14ac:dyDescent="0.25">
      <c r="A27260">
        <v>58061000290</v>
      </c>
      <c r="B27260" t="s">
        <v>10</v>
      </c>
    </row>
    <row r="27261" spans="1:2" x14ac:dyDescent="0.25">
      <c r="A27261">
        <v>580610003</v>
      </c>
      <c r="B27261" t="s">
        <v>8902</v>
      </c>
    </row>
    <row r="27262" spans="1:2" x14ac:dyDescent="0.25">
      <c r="A27262">
        <v>58061000310</v>
      </c>
      <c r="B27262" t="s">
        <v>8805</v>
      </c>
    </row>
    <row r="27263" spans="1:2" x14ac:dyDescent="0.25">
      <c r="A27263">
        <v>5806100032</v>
      </c>
      <c r="B27263" t="s">
        <v>8808</v>
      </c>
    </row>
    <row r="27264" spans="1:2" x14ac:dyDescent="0.25">
      <c r="A27264">
        <v>58061000321</v>
      </c>
      <c r="B27264" t="s">
        <v>8903</v>
      </c>
    </row>
    <row r="27265" spans="1:2" x14ac:dyDescent="0.25">
      <c r="A27265">
        <v>58061000329</v>
      </c>
      <c r="B27265" t="s">
        <v>10</v>
      </c>
    </row>
    <row r="27266" spans="1:2" x14ac:dyDescent="0.25">
      <c r="A27266">
        <v>58061000330</v>
      </c>
      <c r="B27266" t="s">
        <v>8809</v>
      </c>
    </row>
    <row r="27267" spans="1:2" x14ac:dyDescent="0.25">
      <c r="A27267">
        <v>58061000390</v>
      </c>
      <c r="B27267" t="s">
        <v>10</v>
      </c>
    </row>
    <row r="27268" spans="1:2" x14ac:dyDescent="0.25">
      <c r="A27268">
        <v>58062000</v>
      </c>
      <c r="B27268" t="s">
        <v>8904</v>
      </c>
    </row>
    <row r="27269" spans="1:2" x14ac:dyDescent="0.25">
      <c r="A27269">
        <v>580620001</v>
      </c>
      <c r="B27269" t="s">
        <v>8905</v>
      </c>
    </row>
    <row r="27270" spans="1:2" x14ac:dyDescent="0.25">
      <c r="A27270">
        <v>5806200011</v>
      </c>
      <c r="B27270" t="s">
        <v>8567</v>
      </c>
    </row>
    <row r="27271" spans="1:2" x14ac:dyDescent="0.25">
      <c r="A27271">
        <v>58062000111</v>
      </c>
      <c r="B27271" t="s">
        <v>8805</v>
      </c>
    </row>
    <row r="27272" spans="1:2" x14ac:dyDescent="0.25">
      <c r="A27272">
        <v>58062000112</v>
      </c>
      <c r="B27272" t="s">
        <v>5932</v>
      </c>
    </row>
    <row r="27273" spans="1:2" x14ac:dyDescent="0.25">
      <c r="A27273">
        <v>58062000113</v>
      </c>
      <c r="B27273" t="s">
        <v>8577</v>
      </c>
    </row>
    <row r="27274" spans="1:2" x14ac:dyDescent="0.25">
      <c r="A27274">
        <v>58062000114</v>
      </c>
      <c r="B27274" t="s">
        <v>8581</v>
      </c>
    </row>
    <row r="27275" spans="1:2" x14ac:dyDescent="0.25">
      <c r="A27275">
        <v>58062000119</v>
      </c>
      <c r="B27275" t="s">
        <v>57</v>
      </c>
    </row>
    <row r="27276" spans="1:2" x14ac:dyDescent="0.25">
      <c r="A27276">
        <v>5806200012</v>
      </c>
      <c r="B27276" t="s">
        <v>626</v>
      </c>
    </row>
    <row r="27277" spans="1:2" x14ac:dyDescent="0.25">
      <c r="A27277">
        <v>58062000121</v>
      </c>
      <c r="B27277" t="s">
        <v>8805</v>
      </c>
    </row>
    <row r="27278" spans="1:2" x14ac:dyDescent="0.25">
      <c r="A27278">
        <v>58062000122</v>
      </c>
      <c r="B27278" t="s">
        <v>5932</v>
      </c>
    </row>
    <row r="27279" spans="1:2" x14ac:dyDescent="0.25">
      <c r="A27279">
        <v>58062000123</v>
      </c>
      <c r="B27279" t="s">
        <v>8577</v>
      </c>
    </row>
    <row r="27280" spans="1:2" x14ac:dyDescent="0.25">
      <c r="A27280">
        <v>58062000124</v>
      </c>
      <c r="B27280" t="s">
        <v>8581</v>
      </c>
    </row>
    <row r="27281" spans="1:2" x14ac:dyDescent="0.25">
      <c r="A27281">
        <v>58062000129</v>
      </c>
      <c r="B27281" t="s">
        <v>57</v>
      </c>
    </row>
    <row r="27282" spans="1:2" x14ac:dyDescent="0.25">
      <c r="A27282">
        <v>5806200013</v>
      </c>
      <c r="B27282" t="s">
        <v>8560</v>
      </c>
    </row>
    <row r="27283" spans="1:2" x14ac:dyDescent="0.25">
      <c r="A27283">
        <v>58062000131</v>
      </c>
      <c r="B27283" t="s">
        <v>8805</v>
      </c>
    </row>
    <row r="27284" spans="1:2" x14ac:dyDescent="0.25">
      <c r="A27284">
        <v>58062000132</v>
      </c>
      <c r="B27284" t="s">
        <v>5932</v>
      </c>
    </row>
    <row r="27285" spans="1:2" x14ac:dyDescent="0.25">
      <c r="A27285">
        <v>58062000133</v>
      </c>
      <c r="B27285" t="s">
        <v>8577</v>
      </c>
    </row>
    <row r="27286" spans="1:2" x14ac:dyDescent="0.25">
      <c r="A27286">
        <v>58062000134</v>
      </c>
      <c r="B27286" t="s">
        <v>8581</v>
      </c>
    </row>
    <row r="27287" spans="1:2" x14ac:dyDescent="0.25">
      <c r="A27287">
        <v>58062000139</v>
      </c>
      <c r="B27287" t="s">
        <v>57</v>
      </c>
    </row>
    <row r="27288" spans="1:2" x14ac:dyDescent="0.25">
      <c r="A27288">
        <v>5806200014</v>
      </c>
      <c r="B27288" t="s">
        <v>8561</v>
      </c>
    </row>
    <row r="27289" spans="1:2" x14ac:dyDescent="0.25">
      <c r="A27289">
        <v>58062000141</v>
      </c>
      <c r="B27289" t="s">
        <v>8805</v>
      </c>
    </row>
    <row r="27290" spans="1:2" x14ac:dyDescent="0.25">
      <c r="A27290">
        <v>58062000142</v>
      </c>
      <c r="B27290" t="s">
        <v>5932</v>
      </c>
    </row>
    <row r="27291" spans="1:2" x14ac:dyDescent="0.25">
      <c r="A27291">
        <v>58062000143</v>
      </c>
      <c r="B27291" t="s">
        <v>8577</v>
      </c>
    </row>
    <row r="27292" spans="1:2" x14ac:dyDescent="0.25">
      <c r="A27292">
        <v>58062000144</v>
      </c>
      <c r="B27292" t="s">
        <v>8581</v>
      </c>
    </row>
    <row r="27293" spans="1:2" x14ac:dyDescent="0.25">
      <c r="A27293">
        <v>58062000149</v>
      </c>
      <c r="B27293" t="s">
        <v>57</v>
      </c>
    </row>
    <row r="27294" spans="1:2" x14ac:dyDescent="0.25">
      <c r="A27294">
        <v>580620002</v>
      </c>
      <c r="B27294" t="s">
        <v>8634</v>
      </c>
    </row>
    <row r="27295" spans="1:2" x14ac:dyDescent="0.25">
      <c r="A27295">
        <v>5806200021</v>
      </c>
      <c r="B27295" t="s">
        <v>8567</v>
      </c>
    </row>
    <row r="27296" spans="1:2" x14ac:dyDescent="0.25">
      <c r="A27296">
        <v>58062000211</v>
      </c>
      <c r="B27296" t="s">
        <v>8805</v>
      </c>
    </row>
    <row r="27297" spans="1:2" x14ac:dyDescent="0.25">
      <c r="A27297">
        <v>58062000212</v>
      </c>
      <c r="B27297" t="s">
        <v>5932</v>
      </c>
    </row>
    <row r="27298" spans="1:2" x14ac:dyDescent="0.25">
      <c r="A27298">
        <v>58062000213</v>
      </c>
      <c r="B27298" t="s">
        <v>8577</v>
      </c>
    </row>
    <row r="27299" spans="1:2" x14ac:dyDescent="0.25">
      <c r="A27299">
        <v>58062000214</v>
      </c>
      <c r="B27299" t="s">
        <v>8581</v>
      </c>
    </row>
    <row r="27300" spans="1:2" x14ac:dyDescent="0.25">
      <c r="A27300">
        <v>58062000219</v>
      </c>
      <c r="B27300" t="s">
        <v>57</v>
      </c>
    </row>
    <row r="27301" spans="1:2" x14ac:dyDescent="0.25">
      <c r="A27301">
        <v>5806200022</v>
      </c>
      <c r="B27301" t="s">
        <v>626</v>
      </c>
    </row>
    <row r="27302" spans="1:2" x14ac:dyDescent="0.25">
      <c r="A27302">
        <v>58062000221</v>
      </c>
      <c r="B27302" t="s">
        <v>8805</v>
      </c>
    </row>
    <row r="27303" spans="1:2" x14ac:dyDescent="0.25">
      <c r="A27303">
        <v>58062000222</v>
      </c>
      <c r="B27303" t="s">
        <v>5932</v>
      </c>
    </row>
    <row r="27304" spans="1:2" x14ac:dyDescent="0.25">
      <c r="A27304">
        <v>58062000223</v>
      </c>
      <c r="B27304" t="s">
        <v>8577</v>
      </c>
    </row>
    <row r="27305" spans="1:2" x14ac:dyDescent="0.25">
      <c r="A27305">
        <v>58062000224</v>
      </c>
      <c r="B27305" t="s">
        <v>8581</v>
      </c>
    </row>
    <row r="27306" spans="1:2" x14ac:dyDescent="0.25">
      <c r="A27306">
        <v>58062000229</v>
      </c>
      <c r="B27306" t="s">
        <v>57</v>
      </c>
    </row>
    <row r="27307" spans="1:2" x14ac:dyDescent="0.25">
      <c r="A27307">
        <v>5806200023</v>
      </c>
      <c r="B27307" t="s">
        <v>8560</v>
      </c>
    </row>
    <row r="27308" spans="1:2" x14ac:dyDescent="0.25">
      <c r="A27308">
        <v>58062000231</v>
      </c>
      <c r="B27308" t="s">
        <v>8805</v>
      </c>
    </row>
    <row r="27309" spans="1:2" x14ac:dyDescent="0.25">
      <c r="A27309">
        <v>58062000232</v>
      </c>
      <c r="B27309" t="s">
        <v>5932</v>
      </c>
    </row>
    <row r="27310" spans="1:2" x14ac:dyDescent="0.25">
      <c r="A27310">
        <v>58062000233</v>
      </c>
      <c r="B27310" t="s">
        <v>8577</v>
      </c>
    </row>
    <row r="27311" spans="1:2" x14ac:dyDescent="0.25">
      <c r="A27311">
        <v>58062000234</v>
      </c>
      <c r="B27311" t="s">
        <v>8581</v>
      </c>
    </row>
    <row r="27312" spans="1:2" x14ac:dyDescent="0.25">
      <c r="A27312">
        <v>58062000239</v>
      </c>
      <c r="B27312" t="s">
        <v>57</v>
      </c>
    </row>
    <row r="27313" spans="1:2" x14ac:dyDescent="0.25">
      <c r="A27313">
        <v>5806200024</v>
      </c>
      <c r="B27313" t="s">
        <v>8561</v>
      </c>
    </row>
    <row r="27314" spans="1:2" x14ac:dyDescent="0.25">
      <c r="A27314">
        <v>58062000241</v>
      </c>
      <c r="B27314" t="s">
        <v>8805</v>
      </c>
    </row>
    <row r="27315" spans="1:2" x14ac:dyDescent="0.25">
      <c r="A27315">
        <v>58062000242</v>
      </c>
      <c r="B27315" t="s">
        <v>5932</v>
      </c>
    </row>
    <row r="27316" spans="1:2" x14ac:dyDescent="0.25">
      <c r="A27316">
        <v>58062000243</v>
      </c>
      <c r="B27316" t="s">
        <v>8577</v>
      </c>
    </row>
    <row r="27317" spans="1:2" x14ac:dyDescent="0.25">
      <c r="A27317">
        <v>58062000244</v>
      </c>
      <c r="B27317" t="s">
        <v>8906</v>
      </c>
    </row>
    <row r="27318" spans="1:2" x14ac:dyDescent="0.25">
      <c r="A27318">
        <v>58062000249</v>
      </c>
      <c r="B27318" t="s">
        <v>57</v>
      </c>
    </row>
    <row r="27319" spans="1:2" x14ac:dyDescent="0.25">
      <c r="A27319">
        <v>58062000900</v>
      </c>
      <c r="B27319" t="s">
        <v>10</v>
      </c>
    </row>
    <row r="27320" spans="1:2" x14ac:dyDescent="0.25">
      <c r="A27320">
        <v>58063</v>
      </c>
      <c r="B27320" t="s">
        <v>8907</v>
      </c>
    </row>
    <row r="27321" spans="1:2" x14ac:dyDescent="0.25">
      <c r="A27321">
        <v>58063100000</v>
      </c>
      <c r="B27321" t="e">
        <f>--de algodon</f>
        <v>#NAME?</v>
      </c>
    </row>
    <row r="27322" spans="1:2" x14ac:dyDescent="0.25">
      <c r="A27322">
        <v>58063200</v>
      </c>
      <c r="B27322" t="e">
        <f>- - de fibras sinteticas o artificiales</f>
        <v>#NAME?</v>
      </c>
    </row>
    <row r="27323" spans="1:2" x14ac:dyDescent="0.25">
      <c r="A27323">
        <v>58063200100</v>
      </c>
      <c r="B27323" t="s">
        <v>8908</v>
      </c>
    </row>
    <row r="27324" spans="1:2" x14ac:dyDescent="0.25">
      <c r="A27324">
        <v>580632009</v>
      </c>
      <c r="B27324" t="s">
        <v>57</v>
      </c>
    </row>
    <row r="27325" spans="1:2" x14ac:dyDescent="0.25">
      <c r="A27325">
        <v>58063200910</v>
      </c>
      <c r="B27325" t="s">
        <v>8577</v>
      </c>
    </row>
    <row r="27326" spans="1:2" x14ac:dyDescent="0.25">
      <c r="A27326">
        <v>58063200920</v>
      </c>
      <c r="B27326" t="s">
        <v>6664</v>
      </c>
    </row>
    <row r="27327" spans="1:2" x14ac:dyDescent="0.25">
      <c r="A27327">
        <v>58063200930</v>
      </c>
      <c r="B27327" t="s">
        <v>8806</v>
      </c>
    </row>
    <row r="27328" spans="1:2" x14ac:dyDescent="0.25">
      <c r="A27328">
        <v>58063200940</v>
      </c>
      <c r="B27328" t="s">
        <v>5414</v>
      </c>
    </row>
    <row r="27329" spans="1:2" x14ac:dyDescent="0.25">
      <c r="A27329">
        <v>58063200950</v>
      </c>
      <c r="B27329" t="s">
        <v>8581</v>
      </c>
    </row>
    <row r="27330" spans="1:2" x14ac:dyDescent="0.25">
      <c r="A27330">
        <v>58063200960</v>
      </c>
      <c r="B27330" t="s">
        <v>8909</v>
      </c>
    </row>
    <row r="27331" spans="1:2" x14ac:dyDescent="0.25">
      <c r="A27331">
        <v>58063200990</v>
      </c>
      <c r="B27331" t="s">
        <v>57</v>
      </c>
    </row>
    <row r="27332" spans="1:2" x14ac:dyDescent="0.25">
      <c r="A27332">
        <v>58063900</v>
      </c>
      <c r="B27332" t="e">
        <f>- - de las demas materias textiles</f>
        <v>#NAME?</v>
      </c>
    </row>
    <row r="27333" spans="1:2" x14ac:dyDescent="0.25">
      <c r="A27333">
        <v>58063900100</v>
      </c>
      <c r="B27333" t="s">
        <v>8881</v>
      </c>
    </row>
    <row r="27334" spans="1:2" x14ac:dyDescent="0.25">
      <c r="A27334">
        <v>58063900200</v>
      </c>
      <c r="B27334" t="s">
        <v>8344</v>
      </c>
    </row>
    <row r="27335" spans="1:2" x14ac:dyDescent="0.25">
      <c r="A27335">
        <v>58063900300</v>
      </c>
      <c r="B27335" t="s">
        <v>8896</v>
      </c>
    </row>
    <row r="27336" spans="1:2" x14ac:dyDescent="0.25">
      <c r="A27336">
        <v>58063900900</v>
      </c>
      <c r="B27336" t="s">
        <v>57</v>
      </c>
    </row>
    <row r="27337" spans="1:2" x14ac:dyDescent="0.25">
      <c r="A27337">
        <v>58064000000</v>
      </c>
      <c r="B27337" t="e">
        <f>-Cintas sin trama. de hilados o fibras paralelizados y aglutinados</f>
        <v>#NAME?</v>
      </c>
    </row>
    <row r="27338" spans="1:2" x14ac:dyDescent="0.25">
      <c r="A27338">
        <v>5807</v>
      </c>
      <c r="B27338" t="s">
        <v>8910</v>
      </c>
    </row>
    <row r="27339" spans="1:2" x14ac:dyDescent="0.25">
      <c r="A27339">
        <v>58071000</v>
      </c>
      <c r="B27339" t="e">
        <f>- tejidos</f>
        <v>#NAME?</v>
      </c>
    </row>
    <row r="27340" spans="1:2" x14ac:dyDescent="0.25">
      <c r="A27340">
        <v>58071000100</v>
      </c>
      <c r="B27340" t="s">
        <v>8911</v>
      </c>
    </row>
    <row r="27341" spans="1:2" x14ac:dyDescent="0.25">
      <c r="A27341">
        <v>58071000200</v>
      </c>
      <c r="B27341" t="s">
        <v>8912</v>
      </c>
    </row>
    <row r="27342" spans="1:2" x14ac:dyDescent="0.25">
      <c r="A27342">
        <v>58071000900</v>
      </c>
      <c r="B27342" t="s">
        <v>10</v>
      </c>
    </row>
    <row r="27343" spans="1:2" x14ac:dyDescent="0.25">
      <c r="A27343">
        <v>58079000</v>
      </c>
      <c r="B27343" t="e">
        <f>- Los demas</f>
        <v>#NAME?</v>
      </c>
    </row>
    <row r="27344" spans="1:2" x14ac:dyDescent="0.25">
      <c r="A27344">
        <v>58079000100</v>
      </c>
      <c r="B27344" t="s">
        <v>8911</v>
      </c>
    </row>
    <row r="27345" spans="1:2" x14ac:dyDescent="0.25">
      <c r="A27345">
        <v>58079000200</v>
      </c>
      <c r="B27345" t="s">
        <v>8912</v>
      </c>
    </row>
    <row r="27346" spans="1:2" x14ac:dyDescent="0.25">
      <c r="A27346">
        <v>58079000900</v>
      </c>
      <c r="B27346" t="s">
        <v>10</v>
      </c>
    </row>
    <row r="27347" spans="1:2" x14ac:dyDescent="0.25">
      <c r="A27347">
        <v>5808</v>
      </c>
      <c r="B27347" t="s">
        <v>8913</v>
      </c>
    </row>
    <row r="27348" spans="1:2" x14ac:dyDescent="0.25">
      <c r="A27348">
        <v>58081000</v>
      </c>
      <c r="B27348" t="e">
        <f>- Trenzas En pieza</f>
        <v>#NAME?</v>
      </c>
    </row>
    <row r="27349" spans="1:2" x14ac:dyDescent="0.25">
      <c r="A27349">
        <v>58081000100</v>
      </c>
      <c r="B27349" t="s">
        <v>8881</v>
      </c>
    </row>
    <row r="27350" spans="1:2" x14ac:dyDescent="0.25">
      <c r="A27350">
        <v>58081000200</v>
      </c>
      <c r="B27350" t="s">
        <v>8344</v>
      </c>
    </row>
    <row r="27351" spans="1:2" x14ac:dyDescent="0.25">
      <c r="A27351">
        <v>58081000300</v>
      </c>
      <c r="B27351" t="s">
        <v>8805</v>
      </c>
    </row>
    <row r="27352" spans="1:2" x14ac:dyDescent="0.25">
      <c r="A27352">
        <v>58081000400</v>
      </c>
      <c r="B27352" t="s">
        <v>8896</v>
      </c>
    </row>
    <row r="27353" spans="1:2" x14ac:dyDescent="0.25">
      <c r="A27353">
        <v>58081000500</v>
      </c>
      <c r="B27353" t="s">
        <v>8808</v>
      </c>
    </row>
    <row r="27354" spans="1:2" x14ac:dyDescent="0.25">
      <c r="A27354">
        <v>58081000600</v>
      </c>
      <c r="B27354" t="s">
        <v>8809</v>
      </c>
    </row>
    <row r="27355" spans="1:2" x14ac:dyDescent="0.25">
      <c r="A27355">
        <v>58081000900</v>
      </c>
      <c r="B27355" t="s">
        <v>10</v>
      </c>
    </row>
    <row r="27356" spans="1:2" x14ac:dyDescent="0.25">
      <c r="A27356">
        <v>58089000</v>
      </c>
      <c r="B27356" t="e">
        <f>- Los demas</f>
        <v>#NAME?</v>
      </c>
    </row>
    <row r="27357" spans="1:2" x14ac:dyDescent="0.25">
      <c r="A27357">
        <v>58089000100</v>
      </c>
      <c r="B27357" t="s">
        <v>8881</v>
      </c>
    </row>
    <row r="27358" spans="1:2" x14ac:dyDescent="0.25">
      <c r="A27358">
        <v>58089000200</v>
      </c>
      <c r="B27358" t="s">
        <v>8344</v>
      </c>
    </row>
    <row r="27359" spans="1:2" x14ac:dyDescent="0.25">
      <c r="A27359">
        <v>58089000300</v>
      </c>
      <c r="B27359" t="s">
        <v>8805</v>
      </c>
    </row>
    <row r="27360" spans="1:2" x14ac:dyDescent="0.25">
      <c r="A27360">
        <v>58089000400</v>
      </c>
      <c r="B27360" t="s">
        <v>8896</v>
      </c>
    </row>
    <row r="27361" spans="1:2" x14ac:dyDescent="0.25">
      <c r="A27361">
        <v>58089000500</v>
      </c>
      <c r="B27361" t="s">
        <v>8808</v>
      </c>
    </row>
    <row r="27362" spans="1:2" x14ac:dyDescent="0.25">
      <c r="A27362">
        <v>58089000600</v>
      </c>
      <c r="B27362" t="s">
        <v>8809</v>
      </c>
    </row>
    <row r="27363" spans="1:2" x14ac:dyDescent="0.25">
      <c r="A27363">
        <v>58089000900</v>
      </c>
      <c r="B27363" t="s">
        <v>10</v>
      </c>
    </row>
    <row r="27364" spans="1:2" x14ac:dyDescent="0.25">
      <c r="A27364">
        <v>58090000000</v>
      </c>
      <c r="B27364" t="s">
        <v>8914</v>
      </c>
    </row>
    <row r="27365" spans="1:2" x14ac:dyDescent="0.25">
      <c r="A27365">
        <v>5810</v>
      </c>
      <c r="B27365" t="s">
        <v>8915</v>
      </c>
    </row>
    <row r="27366" spans="1:2" x14ac:dyDescent="0.25">
      <c r="A27366">
        <v>58101000</v>
      </c>
      <c r="B27366" t="e">
        <f>- Bordados quimicos o aereos y Bordados Con fondo recortado</f>
        <v>#NAME?</v>
      </c>
    </row>
    <row r="27367" spans="1:2" x14ac:dyDescent="0.25">
      <c r="A27367">
        <v>58101000100</v>
      </c>
      <c r="B27367" t="s">
        <v>8881</v>
      </c>
    </row>
    <row r="27368" spans="1:2" x14ac:dyDescent="0.25">
      <c r="A27368">
        <v>58101000200</v>
      </c>
      <c r="B27368" t="s">
        <v>8805</v>
      </c>
    </row>
    <row r="27369" spans="1:2" x14ac:dyDescent="0.25">
      <c r="A27369">
        <v>58101000300</v>
      </c>
      <c r="B27369" t="s">
        <v>8577</v>
      </c>
    </row>
    <row r="27370" spans="1:2" x14ac:dyDescent="0.25">
      <c r="A27370">
        <v>58101000400</v>
      </c>
      <c r="B27370" t="s">
        <v>5932</v>
      </c>
    </row>
    <row r="27371" spans="1:2" x14ac:dyDescent="0.25">
      <c r="A27371">
        <v>58101000500</v>
      </c>
      <c r="B27371" t="s">
        <v>8581</v>
      </c>
    </row>
    <row r="27372" spans="1:2" x14ac:dyDescent="0.25">
      <c r="A27372">
        <v>58101000600</v>
      </c>
      <c r="B27372" t="s">
        <v>8909</v>
      </c>
    </row>
    <row r="27373" spans="1:2" x14ac:dyDescent="0.25">
      <c r="A27373">
        <v>58101000900</v>
      </c>
      <c r="B27373" t="s">
        <v>10</v>
      </c>
    </row>
    <row r="27374" spans="1:2" x14ac:dyDescent="0.25">
      <c r="A27374">
        <v>58109</v>
      </c>
      <c r="B27374" t="s">
        <v>8916</v>
      </c>
    </row>
    <row r="27375" spans="1:2" x14ac:dyDescent="0.25">
      <c r="A27375">
        <v>58109100000</v>
      </c>
      <c r="B27375" t="e">
        <f>--de algodon</f>
        <v>#NAME?</v>
      </c>
    </row>
    <row r="27376" spans="1:2" x14ac:dyDescent="0.25">
      <c r="A27376">
        <v>58109200</v>
      </c>
      <c r="B27376" t="e">
        <f>- - de fibras sinteticas o artificiales</f>
        <v>#NAME?</v>
      </c>
    </row>
    <row r="27377" spans="1:2" x14ac:dyDescent="0.25">
      <c r="A27377">
        <v>58109200100</v>
      </c>
      <c r="B27377" t="s">
        <v>8577</v>
      </c>
    </row>
    <row r="27378" spans="1:2" x14ac:dyDescent="0.25">
      <c r="A27378">
        <v>58109200200</v>
      </c>
      <c r="B27378" t="s">
        <v>5932</v>
      </c>
    </row>
    <row r="27379" spans="1:2" x14ac:dyDescent="0.25">
      <c r="A27379">
        <v>58109200300</v>
      </c>
      <c r="B27379" t="s">
        <v>8581</v>
      </c>
    </row>
    <row r="27380" spans="1:2" x14ac:dyDescent="0.25">
      <c r="A27380">
        <v>58109200400</v>
      </c>
      <c r="B27380" t="s">
        <v>8909</v>
      </c>
    </row>
    <row r="27381" spans="1:2" x14ac:dyDescent="0.25">
      <c r="A27381">
        <v>58109200900</v>
      </c>
      <c r="B27381" t="s">
        <v>10</v>
      </c>
    </row>
    <row r="27382" spans="1:2" x14ac:dyDescent="0.25">
      <c r="A27382">
        <v>58109900</v>
      </c>
      <c r="B27382" t="e">
        <f>- - de las demas materias textiles</f>
        <v>#NAME?</v>
      </c>
    </row>
    <row r="27383" spans="1:2" x14ac:dyDescent="0.25">
      <c r="A27383">
        <v>58109900100</v>
      </c>
      <c r="B27383" t="s">
        <v>8881</v>
      </c>
    </row>
    <row r="27384" spans="1:2" x14ac:dyDescent="0.25">
      <c r="A27384">
        <v>58109900900</v>
      </c>
      <c r="B27384" t="s">
        <v>10</v>
      </c>
    </row>
    <row r="27385" spans="1:2" x14ac:dyDescent="0.25">
      <c r="A27385">
        <v>58110000000</v>
      </c>
      <c r="B27385" t="s">
        <v>8917</v>
      </c>
    </row>
    <row r="27386" spans="1:2" x14ac:dyDescent="0.25">
      <c r="A27386">
        <v>5901</v>
      </c>
      <c r="B27386" t="s">
        <v>8918</v>
      </c>
    </row>
    <row r="27387" spans="1:2" x14ac:dyDescent="0.25">
      <c r="A27387">
        <v>59011000000</v>
      </c>
      <c r="B27387" t="e">
        <f>-Telas recubiertas de cola o materias amilaceas. de Los tipos utilizados para encuadernacion. cartonaje. estucheria o usos similares</f>
        <v>#NAME?</v>
      </c>
    </row>
    <row r="27388" spans="1:2" x14ac:dyDescent="0.25">
      <c r="A27388">
        <v>59019000000</v>
      </c>
      <c r="B27388" t="e">
        <f>-Los demas</f>
        <v>#NAME?</v>
      </c>
    </row>
    <row r="27389" spans="1:2" x14ac:dyDescent="0.25">
      <c r="A27389">
        <v>5902</v>
      </c>
      <c r="B27389" t="s">
        <v>8919</v>
      </c>
    </row>
    <row r="27390" spans="1:2" x14ac:dyDescent="0.25">
      <c r="A27390">
        <v>590210</v>
      </c>
      <c r="B27390" t="e">
        <f>- de nailon o demas Poliamidas</f>
        <v>#NAME?</v>
      </c>
    </row>
    <row r="27391" spans="1:2" x14ac:dyDescent="0.25">
      <c r="A27391">
        <v>59021010000</v>
      </c>
      <c r="B27391" t="s">
        <v>8920</v>
      </c>
    </row>
    <row r="27392" spans="1:2" x14ac:dyDescent="0.25">
      <c r="A27392">
        <v>59021090000</v>
      </c>
      <c r="B27392" t="s">
        <v>57</v>
      </c>
    </row>
    <row r="27393" spans="1:2" x14ac:dyDescent="0.25">
      <c r="A27393">
        <v>59022000000</v>
      </c>
      <c r="B27393" t="e">
        <f>-de poliesteres</f>
        <v>#NAME?</v>
      </c>
    </row>
    <row r="27394" spans="1:2" x14ac:dyDescent="0.25">
      <c r="A27394">
        <v>59029000000</v>
      </c>
      <c r="B27394" t="e">
        <f>-las demas</f>
        <v>#NAME?</v>
      </c>
    </row>
    <row r="27395" spans="1:2" x14ac:dyDescent="0.25">
      <c r="A27395">
        <v>5903</v>
      </c>
      <c r="B27395" t="s">
        <v>8921</v>
      </c>
    </row>
    <row r="27396" spans="1:2" x14ac:dyDescent="0.25">
      <c r="A27396">
        <v>59031000</v>
      </c>
      <c r="B27396" t="e">
        <f ca="1">- Con poli(Cloruro de vinilo)</f>
        <v>#NAME?</v>
      </c>
    </row>
    <row r="27397" spans="1:2" x14ac:dyDescent="0.25">
      <c r="A27397">
        <v>590310001</v>
      </c>
      <c r="B27397" t="s">
        <v>8783</v>
      </c>
    </row>
    <row r="27398" spans="1:2" x14ac:dyDescent="0.25">
      <c r="A27398">
        <v>59031000110</v>
      </c>
      <c r="B27398" t="s">
        <v>8922</v>
      </c>
    </row>
    <row r="27399" spans="1:2" x14ac:dyDescent="0.25">
      <c r="A27399">
        <v>59031000190</v>
      </c>
      <c r="B27399" t="s">
        <v>10</v>
      </c>
    </row>
    <row r="27400" spans="1:2" x14ac:dyDescent="0.25">
      <c r="A27400">
        <v>59031000200</v>
      </c>
      <c r="B27400" t="s">
        <v>8784</v>
      </c>
    </row>
    <row r="27401" spans="1:2" x14ac:dyDescent="0.25">
      <c r="A27401">
        <v>59031000300</v>
      </c>
      <c r="B27401" t="s">
        <v>8787</v>
      </c>
    </row>
    <row r="27402" spans="1:2" x14ac:dyDescent="0.25">
      <c r="A27402">
        <v>59031000400</v>
      </c>
      <c r="B27402" t="s">
        <v>8786</v>
      </c>
    </row>
    <row r="27403" spans="1:2" x14ac:dyDescent="0.25">
      <c r="A27403">
        <v>59031000900</v>
      </c>
      <c r="B27403" t="s">
        <v>10</v>
      </c>
    </row>
    <row r="27404" spans="1:2" x14ac:dyDescent="0.25">
      <c r="A27404">
        <v>59032000</v>
      </c>
      <c r="B27404" t="e">
        <f>- Con poliuretano</f>
        <v>#NAME?</v>
      </c>
    </row>
    <row r="27405" spans="1:2" x14ac:dyDescent="0.25">
      <c r="A27405">
        <v>590320001</v>
      </c>
      <c r="B27405" t="s">
        <v>8783</v>
      </c>
    </row>
    <row r="27406" spans="1:2" x14ac:dyDescent="0.25">
      <c r="A27406">
        <v>59032000110</v>
      </c>
      <c r="B27406" t="s">
        <v>8922</v>
      </c>
    </row>
    <row r="27407" spans="1:2" x14ac:dyDescent="0.25">
      <c r="A27407">
        <v>59032000190</v>
      </c>
      <c r="B27407" t="s">
        <v>10</v>
      </c>
    </row>
    <row r="27408" spans="1:2" x14ac:dyDescent="0.25">
      <c r="A27408">
        <v>59032000200</v>
      </c>
      <c r="B27408" t="s">
        <v>8784</v>
      </c>
    </row>
    <row r="27409" spans="1:2" x14ac:dyDescent="0.25">
      <c r="A27409">
        <v>59032000300</v>
      </c>
      <c r="B27409" t="s">
        <v>8787</v>
      </c>
    </row>
    <row r="27410" spans="1:2" x14ac:dyDescent="0.25">
      <c r="A27410">
        <v>59032000400</v>
      </c>
      <c r="B27410" t="s">
        <v>8786</v>
      </c>
    </row>
    <row r="27411" spans="1:2" x14ac:dyDescent="0.25">
      <c r="A27411">
        <v>59032000900</v>
      </c>
      <c r="B27411" t="s">
        <v>10</v>
      </c>
    </row>
    <row r="27412" spans="1:2" x14ac:dyDescent="0.25">
      <c r="A27412">
        <v>59039000</v>
      </c>
      <c r="B27412" t="e">
        <f>- las demas</f>
        <v>#NAME?</v>
      </c>
    </row>
    <row r="27413" spans="1:2" x14ac:dyDescent="0.25">
      <c r="A27413">
        <v>590390001</v>
      </c>
      <c r="B27413" t="s">
        <v>8923</v>
      </c>
    </row>
    <row r="27414" spans="1:2" x14ac:dyDescent="0.25">
      <c r="A27414">
        <v>59039000110</v>
      </c>
      <c r="B27414" t="s">
        <v>8783</v>
      </c>
    </row>
    <row r="27415" spans="1:2" x14ac:dyDescent="0.25">
      <c r="A27415">
        <v>59039000120</v>
      </c>
      <c r="B27415" t="s">
        <v>8784</v>
      </c>
    </row>
    <row r="27416" spans="1:2" x14ac:dyDescent="0.25">
      <c r="A27416">
        <v>59039000130</v>
      </c>
      <c r="B27416" t="s">
        <v>8787</v>
      </c>
    </row>
    <row r="27417" spans="1:2" x14ac:dyDescent="0.25">
      <c r="A27417">
        <v>59039000140</v>
      </c>
      <c r="B27417" t="s">
        <v>8786</v>
      </c>
    </row>
    <row r="27418" spans="1:2" x14ac:dyDescent="0.25">
      <c r="A27418">
        <v>59039000190</v>
      </c>
      <c r="B27418" t="s">
        <v>10</v>
      </c>
    </row>
    <row r="27419" spans="1:2" x14ac:dyDescent="0.25">
      <c r="A27419">
        <v>590390009</v>
      </c>
      <c r="B27419" t="s">
        <v>57</v>
      </c>
    </row>
    <row r="27420" spans="1:2" x14ac:dyDescent="0.25">
      <c r="A27420">
        <v>5903900091</v>
      </c>
      <c r="B27420" t="s">
        <v>8783</v>
      </c>
    </row>
    <row r="27421" spans="1:2" x14ac:dyDescent="0.25">
      <c r="A27421">
        <v>59039000911</v>
      </c>
      <c r="B27421" t="s">
        <v>8922</v>
      </c>
    </row>
    <row r="27422" spans="1:2" x14ac:dyDescent="0.25">
      <c r="A27422">
        <v>59039000919</v>
      </c>
      <c r="B27422" t="s">
        <v>10</v>
      </c>
    </row>
    <row r="27423" spans="1:2" x14ac:dyDescent="0.25">
      <c r="A27423">
        <v>59039000920</v>
      </c>
      <c r="B27423" t="s">
        <v>8784</v>
      </c>
    </row>
    <row r="27424" spans="1:2" x14ac:dyDescent="0.25">
      <c r="A27424">
        <v>59039000930</v>
      </c>
      <c r="B27424" t="s">
        <v>8787</v>
      </c>
    </row>
    <row r="27425" spans="1:2" x14ac:dyDescent="0.25">
      <c r="A27425">
        <v>59039000940</v>
      </c>
      <c r="B27425" t="s">
        <v>8786</v>
      </c>
    </row>
    <row r="27426" spans="1:2" x14ac:dyDescent="0.25">
      <c r="A27426">
        <v>59039000990</v>
      </c>
      <c r="B27426" t="s">
        <v>10</v>
      </c>
    </row>
    <row r="27427" spans="1:2" x14ac:dyDescent="0.25">
      <c r="A27427">
        <v>5904</v>
      </c>
      <c r="B27427" t="s">
        <v>8924</v>
      </c>
    </row>
    <row r="27428" spans="1:2" x14ac:dyDescent="0.25">
      <c r="A27428">
        <v>59041000000</v>
      </c>
      <c r="B27428" t="e">
        <f>-Linoleo</f>
        <v>#NAME?</v>
      </c>
    </row>
    <row r="27429" spans="1:2" x14ac:dyDescent="0.25">
      <c r="A27429">
        <v>59049000000</v>
      </c>
      <c r="B27429" t="e">
        <f>-Los demas</f>
        <v>#NAME?</v>
      </c>
    </row>
    <row r="27430" spans="1:2" x14ac:dyDescent="0.25">
      <c r="A27430">
        <v>59050000000</v>
      </c>
      <c r="B27430" t="s">
        <v>8925</v>
      </c>
    </row>
    <row r="27431" spans="1:2" x14ac:dyDescent="0.25">
      <c r="A27431">
        <v>5906</v>
      </c>
      <c r="B27431" t="s">
        <v>8926</v>
      </c>
    </row>
    <row r="27432" spans="1:2" x14ac:dyDescent="0.25">
      <c r="A27432">
        <v>59061000000</v>
      </c>
      <c r="B27432" t="s">
        <v>8927</v>
      </c>
    </row>
    <row r="27433" spans="1:2" x14ac:dyDescent="0.25">
      <c r="A27433">
        <v>59069</v>
      </c>
      <c r="B27433" t="s">
        <v>567</v>
      </c>
    </row>
    <row r="27434" spans="1:2" x14ac:dyDescent="0.25">
      <c r="A27434">
        <v>59069100</v>
      </c>
      <c r="B27434" t="e">
        <f>- - de punto</f>
        <v>#NAME?</v>
      </c>
    </row>
    <row r="27435" spans="1:2" x14ac:dyDescent="0.25">
      <c r="A27435">
        <v>590691001</v>
      </c>
      <c r="B27435" t="s">
        <v>8805</v>
      </c>
    </row>
    <row r="27436" spans="1:2" x14ac:dyDescent="0.25">
      <c r="A27436">
        <v>59069100110</v>
      </c>
      <c r="B27436" t="s">
        <v>8572</v>
      </c>
    </row>
    <row r="27437" spans="1:2" x14ac:dyDescent="0.25">
      <c r="A27437">
        <v>59069100120</v>
      </c>
      <c r="B27437" t="s">
        <v>8568</v>
      </c>
    </row>
    <row r="27438" spans="1:2" x14ac:dyDescent="0.25">
      <c r="A27438">
        <v>59069100130</v>
      </c>
      <c r="B27438" t="s">
        <v>8573</v>
      </c>
    </row>
    <row r="27439" spans="1:2" x14ac:dyDescent="0.25">
      <c r="A27439">
        <v>59069100140</v>
      </c>
      <c r="B27439" t="s">
        <v>8928</v>
      </c>
    </row>
    <row r="27440" spans="1:2" x14ac:dyDescent="0.25">
      <c r="A27440">
        <v>59069100150</v>
      </c>
      <c r="B27440" t="s">
        <v>8929</v>
      </c>
    </row>
    <row r="27441" spans="1:2" x14ac:dyDescent="0.25">
      <c r="A27441">
        <v>59069100160</v>
      </c>
      <c r="B27441" t="s">
        <v>8930</v>
      </c>
    </row>
    <row r="27442" spans="1:2" x14ac:dyDescent="0.25">
      <c r="A27442">
        <v>59069100190</v>
      </c>
      <c r="B27442" t="s">
        <v>10</v>
      </c>
    </row>
    <row r="27443" spans="1:2" x14ac:dyDescent="0.25">
      <c r="A27443">
        <v>590691002</v>
      </c>
      <c r="B27443" t="s">
        <v>8898</v>
      </c>
    </row>
    <row r="27444" spans="1:2" x14ac:dyDescent="0.25">
      <c r="A27444">
        <v>59069100210</v>
      </c>
      <c r="B27444" t="s">
        <v>8572</v>
      </c>
    </row>
    <row r="27445" spans="1:2" x14ac:dyDescent="0.25">
      <c r="A27445">
        <v>59069100220</v>
      </c>
      <c r="B27445" t="s">
        <v>8568</v>
      </c>
    </row>
    <row r="27446" spans="1:2" x14ac:dyDescent="0.25">
      <c r="A27446">
        <v>59069100230</v>
      </c>
      <c r="B27446" t="s">
        <v>8573</v>
      </c>
    </row>
    <row r="27447" spans="1:2" x14ac:dyDescent="0.25">
      <c r="A27447">
        <v>59069100240</v>
      </c>
      <c r="B27447" t="s">
        <v>8928</v>
      </c>
    </row>
    <row r="27448" spans="1:2" x14ac:dyDescent="0.25">
      <c r="A27448">
        <v>59069100250</v>
      </c>
      <c r="B27448" t="s">
        <v>8929</v>
      </c>
    </row>
    <row r="27449" spans="1:2" x14ac:dyDescent="0.25">
      <c r="A27449">
        <v>59069100260</v>
      </c>
      <c r="B27449" t="s">
        <v>8930</v>
      </c>
    </row>
    <row r="27450" spans="1:2" x14ac:dyDescent="0.25">
      <c r="A27450">
        <v>59069100290</v>
      </c>
      <c r="B27450" t="s">
        <v>10</v>
      </c>
    </row>
    <row r="27451" spans="1:2" x14ac:dyDescent="0.25">
      <c r="A27451">
        <v>590691009</v>
      </c>
      <c r="B27451" t="s">
        <v>8837</v>
      </c>
    </row>
    <row r="27452" spans="1:2" x14ac:dyDescent="0.25">
      <c r="A27452">
        <v>59069100910</v>
      </c>
      <c r="B27452" t="s">
        <v>8572</v>
      </c>
    </row>
    <row r="27453" spans="1:2" x14ac:dyDescent="0.25">
      <c r="A27453">
        <v>59069100920</v>
      </c>
      <c r="B27453" t="s">
        <v>8568</v>
      </c>
    </row>
    <row r="27454" spans="1:2" x14ac:dyDescent="0.25">
      <c r="A27454">
        <v>59069100930</v>
      </c>
      <c r="B27454" t="s">
        <v>8573</v>
      </c>
    </row>
    <row r="27455" spans="1:2" x14ac:dyDescent="0.25">
      <c r="A27455">
        <v>59069100940</v>
      </c>
      <c r="B27455" t="s">
        <v>8928</v>
      </c>
    </row>
    <row r="27456" spans="1:2" x14ac:dyDescent="0.25">
      <c r="A27456">
        <v>59069100950</v>
      </c>
      <c r="B27456" t="s">
        <v>8929</v>
      </c>
    </row>
    <row r="27457" spans="1:2" x14ac:dyDescent="0.25">
      <c r="A27457">
        <v>59069100960</v>
      </c>
      <c r="B27457" t="s">
        <v>8930</v>
      </c>
    </row>
    <row r="27458" spans="1:2" x14ac:dyDescent="0.25">
      <c r="A27458">
        <v>59069100990</v>
      </c>
      <c r="B27458" t="s">
        <v>10</v>
      </c>
    </row>
    <row r="27459" spans="1:2" x14ac:dyDescent="0.25">
      <c r="A27459">
        <v>59069900</v>
      </c>
      <c r="B27459" t="e">
        <f>- - las demas</f>
        <v>#NAME?</v>
      </c>
    </row>
    <row r="27460" spans="1:2" x14ac:dyDescent="0.25">
      <c r="A27460">
        <v>590699001</v>
      </c>
      <c r="B27460" t="s">
        <v>8931</v>
      </c>
    </row>
    <row r="27461" spans="1:2" x14ac:dyDescent="0.25">
      <c r="A27461">
        <v>59069900110</v>
      </c>
      <c r="B27461" t="s">
        <v>8932</v>
      </c>
    </row>
    <row r="27462" spans="1:2" x14ac:dyDescent="0.25">
      <c r="A27462">
        <v>59069900190</v>
      </c>
      <c r="B27462" t="s">
        <v>10</v>
      </c>
    </row>
    <row r="27463" spans="1:2" x14ac:dyDescent="0.25">
      <c r="A27463">
        <v>590699009</v>
      </c>
      <c r="B27463" t="s">
        <v>10</v>
      </c>
    </row>
    <row r="27464" spans="1:2" x14ac:dyDescent="0.25">
      <c r="A27464">
        <v>5906990091</v>
      </c>
      <c r="B27464" t="s">
        <v>8805</v>
      </c>
    </row>
    <row r="27465" spans="1:2" x14ac:dyDescent="0.25">
      <c r="A27465">
        <v>59069900911</v>
      </c>
      <c r="B27465" t="s">
        <v>8572</v>
      </c>
    </row>
    <row r="27466" spans="1:2" x14ac:dyDescent="0.25">
      <c r="A27466">
        <v>59069900912</v>
      </c>
      <c r="B27466" t="s">
        <v>8568</v>
      </c>
    </row>
    <row r="27467" spans="1:2" x14ac:dyDescent="0.25">
      <c r="A27467">
        <v>59069900913</v>
      </c>
      <c r="B27467" t="s">
        <v>8573</v>
      </c>
    </row>
    <row r="27468" spans="1:2" x14ac:dyDescent="0.25">
      <c r="A27468">
        <v>59069900914</v>
      </c>
      <c r="B27468" t="s">
        <v>8928</v>
      </c>
    </row>
    <row r="27469" spans="1:2" x14ac:dyDescent="0.25">
      <c r="A27469">
        <v>59069900915</v>
      </c>
      <c r="B27469" t="s">
        <v>8929</v>
      </c>
    </row>
    <row r="27470" spans="1:2" x14ac:dyDescent="0.25">
      <c r="A27470">
        <v>59069900916</v>
      </c>
      <c r="B27470" t="s">
        <v>8930</v>
      </c>
    </row>
    <row r="27471" spans="1:2" x14ac:dyDescent="0.25">
      <c r="A27471">
        <v>59069900919</v>
      </c>
      <c r="B27471" t="s">
        <v>10</v>
      </c>
    </row>
    <row r="27472" spans="1:2" x14ac:dyDescent="0.25">
      <c r="A27472">
        <v>5906990092</v>
      </c>
      <c r="B27472" t="s">
        <v>8898</v>
      </c>
    </row>
    <row r="27473" spans="1:2" x14ac:dyDescent="0.25">
      <c r="A27473">
        <v>59069900921</v>
      </c>
      <c r="B27473" t="s">
        <v>8572</v>
      </c>
    </row>
    <row r="27474" spans="1:2" x14ac:dyDescent="0.25">
      <c r="A27474">
        <v>59069900922</v>
      </c>
      <c r="B27474" t="s">
        <v>8568</v>
      </c>
    </row>
    <row r="27475" spans="1:2" x14ac:dyDescent="0.25">
      <c r="A27475">
        <v>59069900923</v>
      </c>
      <c r="B27475" t="s">
        <v>8573</v>
      </c>
    </row>
    <row r="27476" spans="1:2" x14ac:dyDescent="0.25">
      <c r="A27476">
        <v>59069900924</v>
      </c>
      <c r="B27476" t="s">
        <v>8928</v>
      </c>
    </row>
    <row r="27477" spans="1:2" x14ac:dyDescent="0.25">
      <c r="A27477">
        <v>59069900925</v>
      </c>
      <c r="B27477" t="s">
        <v>8929</v>
      </c>
    </row>
    <row r="27478" spans="1:2" x14ac:dyDescent="0.25">
      <c r="A27478">
        <v>59069900926</v>
      </c>
      <c r="B27478" t="s">
        <v>8930</v>
      </c>
    </row>
    <row r="27479" spans="1:2" x14ac:dyDescent="0.25">
      <c r="A27479">
        <v>59069900929</v>
      </c>
      <c r="B27479" t="s">
        <v>10</v>
      </c>
    </row>
    <row r="27480" spans="1:2" x14ac:dyDescent="0.25">
      <c r="A27480">
        <v>5906990099</v>
      </c>
      <c r="B27480" t="s">
        <v>8837</v>
      </c>
    </row>
    <row r="27481" spans="1:2" x14ac:dyDescent="0.25">
      <c r="A27481">
        <v>59069900991</v>
      </c>
      <c r="B27481" t="s">
        <v>8572</v>
      </c>
    </row>
    <row r="27482" spans="1:2" x14ac:dyDescent="0.25">
      <c r="A27482">
        <v>59069900992</v>
      </c>
      <c r="B27482" t="s">
        <v>8568</v>
      </c>
    </row>
    <row r="27483" spans="1:2" x14ac:dyDescent="0.25">
      <c r="A27483">
        <v>59069900993</v>
      </c>
      <c r="B27483" t="s">
        <v>8573</v>
      </c>
    </row>
    <row r="27484" spans="1:2" x14ac:dyDescent="0.25">
      <c r="A27484">
        <v>59069900994</v>
      </c>
      <c r="B27484" t="s">
        <v>8928</v>
      </c>
    </row>
    <row r="27485" spans="1:2" x14ac:dyDescent="0.25">
      <c r="A27485">
        <v>59069900995</v>
      </c>
      <c r="B27485" t="s">
        <v>8929</v>
      </c>
    </row>
    <row r="27486" spans="1:2" x14ac:dyDescent="0.25">
      <c r="A27486">
        <v>59069900996</v>
      </c>
      <c r="B27486" t="s">
        <v>8930</v>
      </c>
    </row>
    <row r="27487" spans="1:2" x14ac:dyDescent="0.25">
      <c r="A27487">
        <v>59069900999</v>
      </c>
      <c r="B27487" t="s">
        <v>10</v>
      </c>
    </row>
    <row r="27488" spans="1:2" x14ac:dyDescent="0.25">
      <c r="A27488">
        <v>59070000</v>
      </c>
      <c r="B27488" t="s">
        <v>8933</v>
      </c>
    </row>
    <row r="27489" spans="1:2" x14ac:dyDescent="0.25">
      <c r="A27489">
        <v>590700001</v>
      </c>
      <c r="B27489" t="s">
        <v>8934</v>
      </c>
    </row>
    <row r="27490" spans="1:2" x14ac:dyDescent="0.25">
      <c r="A27490">
        <v>59070000110</v>
      </c>
      <c r="B27490" t="s">
        <v>8572</v>
      </c>
    </row>
    <row r="27491" spans="1:2" x14ac:dyDescent="0.25">
      <c r="A27491">
        <v>59070000120</v>
      </c>
      <c r="B27491" t="s">
        <v>8568</v>
      </c>
    </row>
    <row r="27492" spans="1:2" x14ac:dyDescent="0.25">
      <c r="A27492">
        <v>59070000130</v>
      </c>
      <c r="B27492" t="s">
        <v>8573</v>
      </c>
    </row>
    <row r="27493" spans="1:2" x14ac:dyDescent="0.25">
      <c r="A27493">
        <v>59070000140</v>
      </c>
      <c r="B27493" t="s">
        <v>8928</v>
      </c>
    </row>
    <row r="27494" spans="1:2" x14ac:dyDescent="0.25">
      <c r="A27494">
        <v>59070000150</v>
      </c>
      <c r="B27494" t="s">
        <v>8929</v>
      </c>
    </row>
    <row r="27495" spans="1:2" x14ac:dyDescent="0.25">
      <c r="A27495">
        <v>59070000160</v>
      </c>
      <c r="B27495" t="s">
        <v>8930</v>
      </c>
    </row>
    <row r="27496" spans="1:2" x14ac:dyDescent="0.25">
      <c r="A27496">
        <v>59070000190</v>
      </c>
      <c r="B27496" t="s">
        <v>10</v>
      </c>
    </row>
    <row r="27497" spans="1:2" x14ac:dyDescent="0.25">
      <c r="A27497">
        <v>590700002</v>
      </c>
      <c r="B27497" t="s">
        <v>8935</v>
      </c>
    </row>
    <row r="27498" spans="1:2" x14ac:dyDescent="0.25">
      <c r="A27498">
        <v>59070000210</v>
      </c>
      <c r="B27498" t="s">
        <v>8572</v>
      </c>
    </row>
    <row r="27499" spans="1:2" x14ac:dyDescent="0.25">
      <c r="A27499">
        <v>59070000220</v>
      </c>
      <c r="B27499" t="s">
        <v>8568</v>
      </c>
    </row>
    <row r="27500" spans="1:2" x14ac:dyDescent="0.25">
      <c r="A27500">
        <v>59070000230</v>
      </c>
      <c r="B27500" t="s">
        <v>8573</v>
      </c>
    </row>
    <row r="27501" spans="1:2" x14ac:dyDescent="0.25">
      <c r="A27501">
        <v>59070000240</v>
      </c>
      <c r="B27501" t="s">
        <v>8928</v>
      </c>
    </row>
    <row r="27502" spans="1:2" x14ac:dyDescent="0.25">
      <c r="A27502">
        <v>59070000250</v>
      </c>
      <c r="B27502" t="s">
        <v>8929</v>
      </c>
    </row>
    <row r="27503" spans="1:2" x14ac:dyDescent="0.25">
      <c r="A27503">
        <v>59070000260</v>
      </c>
      <c r="B27503" t="s">
        <v>8930</v>
      </c>
    </row>
    <row r="27504" spans="1:2" x14ac:dyDescent="0.25">
      <c r="A27504">
        <v>59070000290</v>
      </c>
      <c r="B27504" t="s">
        <v>10</v>
      </c>
    </row>
    <row r="27505" spans="1:2" x14ac:dyDescent="0.25">
      <c r="A27505">
        <v>590700003</v>
      </c>
      <c r="B27505" t="s">
        <v>8936</v>
      </c>
    </row>
    <row r="27506" spans="1:2" x14ac:dyDescent="0.25">
      <c r="A27506">
        <v>59070000310</v>
      </c>
      <c r="B27506" t="s">
        <v>8572</v>
      </c>
    </row>
    <row r="27507" spans="1:2" x14ac:dyDescent="0.25">
      <c r="A27507">
        <v>59070000320</v>
      </c>
      <c r="B27507" t="s">
        <v>8568</v>
      </c>
    </row>
    <row r="27508" spans="1:2" x14ac:dyDescent="0.25">
      <c r="A27508">
        <v>59070000330</v>
      </c>
      <c r="B27508" t="s">
        <v>8573</v>
      </c>
    </row>
    <row r="27509" spans="1:2" x14ac:dyDescent="0.25">
      <c r="A27509">
        <v>59070000340</v>
      </c>
      <c r="B27509" t="s">
        <v>8928</v>
      </c>
    </row>
    <row r="27510" spans="1:2" x14ac:dyDescent="0.25">
      <c r="A27510">
        <v>59070000350</v>
      </c>
      <c r="B27510" t="s">
        <v>8929</v>
      </c>
    </row>
    <row r="27511" spans="1:2" x14ac:dyDescent="0.25">
      <c r="A27511">
        <v>59070000360</v>
      </c>
      <c r="B27511" t="s">
        <v>8930</v>
      </c>
    </row>
    <row r="27512" spans="1:2" x14ac:dyDescent="0.25">
      <c r="A27512">
        <v>59070000390</v>
      </c>
      <c r="B27512" t="s">
        <v>10</v>
      </c>
    </row>
    <row r="27513" spans="1:2" x14ac:dyDescent="0.25">
      <c r="A27513">
        <v>590700004</v>
      </c>
      <c r="B27513" t="s">
        <v>8937</v>
      </c>
    </row>
    <row r="27514" spans="1:2" x14ac:dyDescent="0.25">
      <c r="A27514">
        <v>5907000041</v>
      </c>
      <c r="B27514" t="s">
        <v>8805</v>
      </c>
    </row>
    <row r="27515" spans="1:2" x14ac:dyDescent="0.25">
      <c r="A27515">
        <v>59070000411</v>
      </c>
      <c r="B27515" t="s">
        <v>8572</v>
      </c>
    </row>
    <row r="27516" spans="1:2" x14ac:dyDescent="0.25">
      <c r="A27516">
        <v>59070000412</v>
      </c>
      <c r="B27516" t="s">
        <v>8568</v>
      </c>
    </row>
    <row r="27517" spans="1:2" x14ac:dyDescent="0.25">
      <c r="A27517">
        <v>59070000413</v>
      </c>
      <c r="B27517" t="s">
        <v>8573</v>
      </c>
    </row>
    <row r="27518" spans="1:2" x14ac:dyDescent="0.25">
      <c r="A27518">
        <v>59070000414</v>
      </c>
      <c r="B27518" t="s">
        <v>8928</v>
      </c>
    </row>
    <row r="27519" spans="1:2" x14ac:dyDescent="0.25">
      <c r="A27519">
        <v>59070000415</v>
      </c>
      <c r="B27519" t="s">
        <v>8929</v>
      </c>
    </row>
    <row r="27520" spans="1:2" x14ac:dyDescent="0.25">
      <c r="A27520">
        <v>59070000416</v>
      </c>
      <c r="B27520" t="s">
        <v>8930</v>
      </c>
    </row>
    <row r="27521" spans="1:2" x14ac:dyDescent="0.25">
      <c r="A27521">
        <v>59070000419</v>
      </c>
      <c r="B27521" t="s">
        <v>10</v>
      </c>
    </row>
    <row r="27522" spans="1:2" x14ac:dyDescent="0.25">
      <c r="A27522">
        <v>5907000042</v>
      </c>
      <c r="B27522" t="s">
        <v>8898</v>
      </c>
    </row>
    <row r="27523" spans="1:2" x14ac:dyDescent="0.25">
      <c r="A27523">
        <v>59070000421</v>
      </c>
      <c r="B27523" t="s">
        <v>8572</v>
      </c>
    </row>
    <row r="27524" spans="1:2" x14ac:dyDescent="0.25">
      <c r="A27524">
        <v>59070000422</v>
      </c>
      <c r="B27524" t="s">
        <v>8568</v>
      </c>
    </row>
    <row r="27525" spans="1:2" x14ac:dyDescent="0.25">
      <c r="A27525">
        <v>59070000423</v>
      </c>
      <c r="B27525" t="s">
        <v>8573</v>
      </c>
    </row>
    <row r="27526" spans="1:2" x14ac:dyDescent="0.25">
      <c r="A27526">
        <v>59070000424</v>
      </c>
      <c r="B27526" t="s">
        <v>8928</v>
      </c>
    </row>
    <row r="27527" spans="1:2" x14ac:dyDescent="0.25">
      <c r="A27527">
        <v>59070000425</v>
      </c>
      <c r="B27527" t="s">
        <v>8929</v>
      </c>
    </row>
    <row r="27528" spans="1:2" x14ac:dyDescent="0.25">
      <c r="A27528">
        <v>59070000426</v>
      </c>
      <c r="B27528" t="s">
        <v>8930</v>
      </c>
    </row>
    <row r="27529" spans="1:2" x14ac:dyDescent="0.25">
      <c r="A27529">
        <v>59070000429</v>
      </c>
      <c r="B27529" t="s">
        <v>10</v>
      </c>
    </row>
    <row r="27530" spans="1:2" x14ac:dyDescent="0.25">
      <c r="A27530">
        <v>5907000049</v>
      </c>
      <c r="B27530" t="s">
        <v>8837</v>
      </c>
    </row>
    <row r="27531" spans="1:2" x14ac:dyDescent="0.25">
      <c r="A27531">
        <v>59070000491</v>
      </c>
      <c r="B27531" t="s">
        <v>8572</v>
      </c>
    </row>
    <row r="27532" spans="1:2" x14ac:dyDescent="0.25">
      <c r="A27532">
        <v>59070000492</v>
      </c>
      <c r="B27532" t="s">
        <v>8568</v>
      </c>
    </row>
    <row r="27533" spans="1:2" x14ac:dyDescent="0.25">
      <c r="A27533">
        <v>59070000493</v>
      </c>
      <c r="B27533" t="s">
        <v>8573</v>
      </c>
    </row>
    <row r="27534" spans="1:2" x14ac:dyDescent="0.25">
      <c r="A27534">
        <v>59070000494</v>
      </c>
      <c r="B27534" t="s">
        <v>8928</v>
      </c>
    </row>
    <row r="27535" spans="1:2" x14ac:dyDescent="0.25">
      <c r="A27535">
        <v>59070000495</v>
      </c>
      <c r="B27535" t="s">
        <v>8929</v>
      </c>
    </row>
    <row r="27536" spans="1:2" x14ac:dyDescent="0.25">
      <c r="A27536">
        <v>59070000496</v>
      </c>
      <c r="B27536" t="s">
        <v>8930</v>
      </c>
    </row>
    <row r="27537" spans="1:2" x14ac:dyDescent="0.25">
      <c r="A27537">
        <v>59070000499</v>
      </c>
      <c r="B27537" t="s">
        <v>10</v>
      </c>
    </row>
    <row r="27538" spans="1:2" x14ac:dyDescent="0.25">
      <c r="A27538">
        <v>590700005</v>
      </c>
      <c r="B27538" t="s">
        <v>8938</v>
      </c>
    </row>
    <row r="27539" spans="1:2" x14ac:dyDescent="0.25">
      <c r="A27539">
        <v>5907000051</v>
      </c>
      <c r="B27539" t="s">
        <v>8939</v>
      </c>
    </row>
    <row r="27540" spans="1:2" x14ac:dyDescent="0.25">
      <c r="A27540">
        <v>59070000511</v>
      </c>
      <c r="B27540" t="s">
        <v>8572</v>
      </c>
    </row>
    <row r="27541" spans="1:2" x14ac:dyDescent="0.25">
      <c r="A27541">
        <v>59070000512</v>
      </c>
      <c r="B27541" t="s">
        <v>8568</v>
      </c>
    </row>
    <row r="27542" spans="1:2" x14ac:dyDescent="0.25">
      <c r="A27542">
        <v>59070000513</v>
      </c>
      <c r="B27542" t="s">
        <v>8573</v>
      </c>
    </row>
    <row r="27543" spans="1:2" x14ac:dyDescent="0.25">
      <c r="A27543">
        <v>59070000514</v>
      </c>
      <c r="B27543" t="s">
        <v>8928</v>
      </c>
    </row>
    <row r="27544" spans="1:2" x14ac:dyDescent="0.25">
      <c r="A27544">
        <v>59070000515</v>
      </c>
      <c r="B27544" t="s">
        <v>8929</v>
      </c>
    </row>
    <row r="27545" spans="1:2" x14ac:dyDescent="0.25">
      <c r="A27545">
        <v>59070000516</v>
      </c>
      <c r="B27545" t="s">
        <v>8930</v>
      </c>
    </row>
    <row r="27546" spans="1:2" x14ac:dyDescent="0.25">
      <c r="A27546">
        <v>59070000519</v>
      </c>
      <c r="B27546" t="s">
        <v>10</v>
      </c>
    </row>
    <row r="27547" spans="1:2" x14ac:dyDescent="0.25">
      <c r="A27547">
        <v>5907000052</v>
      </c>
      <c r="B27547" t="s">
        <v>8898</v>
      </c>
    </row>
    <row r="27548" spans="1:2" x14ac:dyDescent="0.25">
      <c r="A27548">
        <v>59070000521</v>
      </c>
      <c r="B27548" t="s">
        <v>8572</v>
      </c>
    </row>
    <row r="27549" spans="1:2" x14ac:dyDescent="0.25">
      <c r="A27549">
        <v>59070000522</v>
      </c>
      <c r="B27549" t="s">
        <v>8568</v>
      </c>
    </row>
    <row r="27550" spans="1:2" x14ac:dyDescent="0.25">
      <c r="A27550">
        <v>59070000523</v>
      </c>
      <c r="B27550" t="s">
        <v>8573</v>
      </c>
    </row>
    <row r="27551" spans="1:2" x14ac:dyDescent="0.25">
      <c r="A27551">
        <v>59070000524</v>
      </c>
      <c r="B27551" t="s">
        <v>8928</v>
      </c>
    </row>
    <row r="27552" spans="1:2" x14ac:dyDescent="0.25">
      <c r="A27552">
        <v>59070000525</v>
      </c>
      <c r="B27552" t="s">
        <v>8929</v>
      </c>
    </row>
    <row r="27553" spans="1:2" x14ac:dyDescent="0.25">
      <c r="A27553">
        <v>59070000526</v>
      </c>
      <c r="B27553" t="s">
        <v>8930</v>
      </c>
    </row>
    <row r="27554" spans="1:2" x14ac:dyDescent="0.25">
      <c r="A27554">
        <v>59070000529</v>
      </c>
      <c r="B27554" t="s">
        <v>10</v>
      </c>
    </row>
    <row r="27555" spans="1:2" x14ac:dyDescent="0.25">
      <c r="A27555">
        <v>5907000059</v>
      </c>
      <c r="B27555" t="s">
        <v>8940</v>
      </c>
    </row>
    <row r="27556" spans="1:2" x14ac:dyDescent="0.25">
      <c r="A27556">
        <v>59070000591</v>
      </c>
      <c r="B27556" t="s">
        <v>8572</v>
      </c>
    </row>
    <row r="27557" spans="1:2" x14ac:dyDescent="0.25">
      <c r="A27557">
        <v>59070000592</v>
      </c>
      <c r="B27557" t="s">
        <v>8568</v>
      </c>
    </row>
    <row r="27558" spans="1:2" x14ac:dyDescent="0.25">
      <c r="A27558">
        <v>59070000593</v>
      </c>
      <c r="B27558" t="s">
        <v>8573</v>
      </c>
    </row>
    <row r="27559" spans="1:2" x14ac:dyDescent="0.25">
      <c r="A27559">
        <v>59070000594</v>
      </c>
      <c r="B27559" t="s">
        <v>8928</v>
      </c>
    </row>
    <row r="27560" spans="1:2" x14ac:dyDescent="0.25">
      <c r="A27560">
        <v>59070000595</v>
      </c>
      <c r="B27560" t="s">
        <v>8929</v>
      </c>
    </row>
    <row r="27561" spans="1:2" x14ac:dyDescent="0.25">
      <c r="A27561">
        <v>59070000596</v>
      </c>
      <c r="B27561" t="s">
        <v>8930</v>
      </c>
    </row>
    <row r="27562" spans="1:2" x14ac:dyDescent="0.25">
      <c r="A27562">
        <v>59070000599</v>
      </c>
      <c r="B27562" t="s">
        <v>10</v>
      </c>
    </row>
    <row r="27563" spans="1:2" x14ac:dyDescent="0.25">
      <c r="A27563">
        <v>590700009</v>
      </c>
      <c r="B27563" t="s">
        <v>10</v>
      </c>
    </row>
    <row r="27564" spans="1:2" x14ac:dyDescent="0.25">
      <c r="A27564">
        <v>5907000091</v>
      </c>
      <c r="B27564" t="s">
        <v>8805</v>
      </c>
    </row>
    <row r="27565" spans="1:2" x14ac:dyDescent="0.25">
      <c r="A27565">
        <v>59070000911</v>
      </c>
      <c r="B27565" t="s">
        <v>8572</v>
      </c>
    </row>
    <row r="27566" spans="1:2" x14ac:dyDescent="0.25">
      <c r="A27566">
        <v>59070000912</v>
      </c>
      <c r="B27566" t="s">
        <v>8568</v>
      </c>
    </row>
    <row r="27567" spans="1:2" x14ac:dyDescent="0.25">
      <c r="A27567">
        <v>59070000913</v>
      </c>
      <c r="B27567" t="s">
        <v>8573</v>
      </c>
    </row>
    <row r="27568" spans="1:2" x14ac:dyDescent="0.25">
      <c r="A27568">
        <v>59070000914</v>
      </c>
      <c r="B27568" t="s">
        <v>8928</v>
      </c>
    </row>
    <row r="27569" spans="1:2" x14ac:dyDescent="0.25">
      <c r="A27569">
        <v>59070000915</v>
      </c>
      <c r="B27569" t="s">
        <v>8929</v>
      </c>
    </row>
    <row r="27570" spans="1:2" x14ac:dyDescent="0.25">
      <c r="A27570">
        <v>59070000916</v>
      </c>
      <c r="B27570" t="s">
        <v>8930</v>
      </c>
    </row>
    <row r="27571" spans="1:2" x14ac:dyDescent="0.25">
      <c r="A27571">
        <v>59070000919</v>
      </c>
      <c r="B27571" t="s">
        <v>10</v>
      </c>
    </row>
    <row r="27572" spans="1:2" x14ac:dyDescent="0.25">
      <c r="A27572">
        <v>5907000092</v>
      </c>
      <c r="B27572" t="s">
        <v>8898</v>
      </c>
    </row>
    <row r="27573" spans="1:2" x14ac:dyDescent="0.25">
      <c r="A27573">
        <v>59070000921</v>
      </c>
      <c r="B27573" t="s">
        <v>8572</v>
      </c>
    </row>
    <row r="27574" spans="1:2" x14ac:dyDescent="0.25">
      <c r="A27574">
        <v>59070000922</v>
      </c>
      <c r="B27574" t="s">
        <v>8568</v>
      </c>
    </row>
    <row r="27575" spans="1:2" x14ac:dyDescent="0.25">
      <c r="A27575">
        <v>59070000923</v>
      </c>
      <c r="B27575" t="s">
        <v>8573</v>
      </c>
    </row>
    <row r="27576" spans="1:2" x14ac:dyDescent="0.25">
      <c r="A27576">
        <v>59070000924</v>
      </c>
      <c r="B27576" t="s">
        <v>8928</v>
      </c>
    </row>
    <row r="27577" spans="1:2" x14ac:dyDescent="0.25">
      <c r="A27577">
        <v>59070000925</v>
      </c>
      <c r="B27577" t="s">
        <v>8929</v>
      </c>
    </row>
    <row r="27578" spans="1:2" x14ac:dyDescent="0.25">
      <c r="A27578">
        <v>59070000926</v>
      </c>
      <c r="B27578" t="s">
        <v>8930</v>
      </c>
    </row>
    <row r="27579" spans="1:2" x14ac:dyDescent="0.25">
      <c r="A27579">
        <v>59070000929</v>
      </c>
      <c r="B27579" t="s">
        <v>10</v>
      </c>
    </row>
    <row r="27580" spans="1:2" x14ac:dyDescent="0.25">
      <c r="A27580">
        <v>5907000099</v>
      </c>
      <c r="B27580" t="s">
        <v>8837</v>
      </c>
    </row>
    <row r="27581" spans="1:2" x14ac:dyDescent="0.25">
      <c r="A27581">
        <v>59070000991</v>
      </c>
      <c r="B27581" t="s">
        <v>8572</v>
      </c>
    </row>
    <row r="27582" spans="1:2" x14ac:dyDescent="0.25">
      <c r="A27582">
        <v>59070000992</v>
      </c>
      <c r="B27582" t="s">
        <v>8568</v>
      </c>
    </row>
    <row r="27583" spans="1:2" x14ac:dyDescent="0.25">
      <c r="A27583">
        <v>59070000993</v>
      </c>
      <c r="B27583" t="s">
        <v>8573</v>
      </c>
    </row>
    <row r="27584" spans="1:2" x14ac:dyDescent="0.25">
      <c r="A27584">
        <v>59070000994</v>
      </c>
      <c r="B27584" t="s">
        <v>8928</v>
      </c>
    </row>
    <row r="27585" spans="1:2" x14ac:dyDescent="0.25">
      <c r="A27585">
        <v>59070000995</v>
      </c>
      <c r="B27585" t="s">
        <v>8929</v>
      </c>
    </row>
    <row r="27586" spans="1:2" x14ac:dyDescent="0.25">
      <c r="A27586">
        <v>59070000996</v>
      </c>
      <c r="B27586" t="s">
        <v>8930</v>
      </c>
    </row>
    <row r="27587" spans="1:2" x14ac:dyDescent="0.25">
      <c r="A27587">
        <v>59070000999</v>
      </c>
      <c r="B27587" t="s">
        <v>10</v>
      </c>
    </row>
    <row r="27588" spans="1:2" x14ac:dyDescent="0.25">
      <c r="A27588">
        <v>59080000000</v>
      </c>
      <c r="B27588" t="s">
        <v>8941</v>
      </c>
    </row>
    <row r="27589" spans="1:2" x14ac:dyDescent="0.25">
      <c r="A27589">
        <v>59090000000</v>
      </c>
      <c r="B27589" t="s">
        <v>8942</v>
      </c>
    </row>
    <row r="27590" spans="1:2" x14ac:dyDescent="0.25">
      <c r="A27590">
        <v>59100000</v>
      </c>
      <c r="B27590" t="s">
        <v>8943</v>
      </c>
    </row>
    <row r="27591" spans="1:2" x14ac:dyDescent="0.25">
      <c r="A27591">
        <v>591000001</v>
      </c>
      <c r="B27591" t="s">
        <v>8944</v>
      </c>
    </row>
    <row r="27592" spans="1:2" x14ac:dyDescent="0.25">
      <c r="A27592">
        <v>5910000011</v>
      </c>
      <c r="B27592" t="s">
        <v>8805</v>
      </c>
    </row>
    <row r="27593" spans="1:2" x14ac:dyDescent="0.25">
      <c r="A27593">
        <v>59100000111</v>
      </c>
      <c r="B27593" t="s">
        <v>8945</v>
      </c>
    </row>
    <row r="27594" spans="1:2" x14ac:dyDescent="0.25">
      <c r="A27594">
        <v>59100000112</v>
      </c>
      <c r="B27594" t="s">
        <v>8946</v>
      </c>
    </row>
    <row r="27595" spans="1:2" x14ac:dyDescent="0.25">
      <c r="A27595">
        <v>59100000113</v>
      </c>
      <c r="B27595" t="s">
        <v>8947</v>
      </c>
    </row>
    <row r="27596" spans="1:2" x14ac:dyDescent="0.25">
      <c r="A27596">
        <v>59100000114</v>
      </c>
      <c r="B27596" t="s">
        <v>8948</v>
      </c>
    </row>
    <row r="27597" spans="1:2" x14ac:dyDescent="0.25">
      <c r="A27597">
        <v>59100000115</v>
      </c>
      <c r="B27597" t="s">
        <v>8949</v>
      </c>
    </row>
    <row r="27598" spans="1:2" x14ac:dyDescent="0.25">
      <c r="A27598">
        <v>59100000119</v>
      </c>
      <c r="B27598" t="s">
        <v>10</v>
      </c>
    </row>
    <row r="27599" spans="1:2" x14ac:dyDescent="0.25">
      <c r="A27599">
        <v>5910000012</v>
      </c>
      <c r="B27599" t="s">
        <v>8898</v>
      </c>
    </row>
    <row r="27600" spans="1:2" x14ac:dyDescent="0.25">
      <c r="A27600">
        <v>59100000121</v>
      </c>
      <c r="B27600" t="s">
        <v>8945</v>
      </c>
    </row>
    <row r="27601" spans="1:2" x14ac:dyDescent="0.25">
      <c r="A27601">
        <v>59100000122</v>
      </c>
      <c r="B27601" t="s">
        <v>8946</v>
      </c>
    </row>
    <row r="27602" spans="1:2" x14ac:dyDescent="0.25">
      <c r="A27602">
        <v>59100000123</v>
      </c>
      <c r="B27602" t="s">
        <v>8947</v>
      </c>
    </row>
    <row r="27603" spans="1:2" x14ac:dyDescent="0.25">
      <c r="A27603">
        <v>59100000124</v>
      </c>
      <c r="B27603" t="s">
        <v>8948</v>
      </c>
    </row>
    <row r="27604" spans="1:2" x14ac:dyDescent="0.25">
      <c r="A27604">
        <v>59100000125</v>
      </c>
      <c r="B27604" t="s">
        <v>8949</v>
      </c>
    </row>
    <row r="27605" spans="1:2" x14ac:dyDescent="0.25">
      <c r="A27605">
        <v>59100000129</v>
      </c>
      <c r="B27605" t="s">
        <v>10</v>
      </c>
    </row>
    <row r="27606" spans="1:2" x14ac:dyDescent="0.25">
      <c r="A27606">
        <v>5910000019</v>
      </c>
      <c r="B27606" t="s">
        <v>8837</v>
      </c>
    </row>
    <row r="27607" spans="1:2" x14ac:dyDescent="0.25">
      <c r="A27607">
        <v>59100000191</v>
      </c>
      <c r="B27607" t="s">
        <v>8945</v>
      </c>
    </row>
    <row r="27608" spans="1:2" x14ac:dyDescent="0.25">
      <c r="A27608">
        <v>59100000192</v>
      </c>
      <c r="B27608" t="s">
        <v>8946</v>
      </c>
    </row>
    <row r="27609" spans="1:2" x14ac:dyDescent="0.25">
      <c r="A27609">
        <v>59100000193</v>
      </c>
      <c r="B27609" t="s">
        <v>8947</v>
      </c>
    </row>
    <row r="27610" spans="1:2" x14ac:dyDescent="0.25">
      <c r="A27610">
        <v>59100000194</v>
      </c>
      <c r="B27610" t="s">
        <v>8948</v>
      </c>
    </row>
    <row r="27611" spans="1:2" x14ac:dyDescent="0.25">
      <c r="A27611">
        <v>59100000195</v>
      </c>
      <c r="B27611" t="s">
        <v>8949</v>
      </c>
    </row>
    <row r="27612" spans="1:2" x14ac:dyDescent="0.25">
      <c r="A27612">
        <v>59100000199</v>
      </c>
      <c r="B27612" t="s">
        <v>10</v>
      </c>
    </row>
    <row r="27613" spans="1:2" x14ac:dyDescent="0.25">
      <c r="A27613">
        <v>591000009</v>
      </c>
      <c r="B27613" t="s">
        <v>57</v>
      </c>
    </row>
    <row r="27614" spans="1:2" x14ac:dyDescent="0.25">
      <c r="A27614">
        <v>5910000091</v>
      </c>
      <c r="B27614" t="s">
        <v>8805</v>
      </c>
    </row>
    <row r="27615" spans="1:2" x14ac:dyDescent="0.25">
      <c r="A27615">
        <v>59100000911</v>
      </c>
      <c r="B27615" t="s">
        <v>8945</v>
      </c>
    </row>
    <row r="27616" spans="1:2" x14ac:dyDescent="0.25">
      <c r="A27616">
        <v>59100000912</v>
      </c>
      <c r="B27616" t="s">
        <v>8946</v>
      </c>
    </row>
    <row r="27617" spans="1:2" x14ac:dyDescent="0.25">
      <c r="A27617">
        <v>59100000913</v>
      </c>
      <c r="B27617" t="s">
        <v>8947</v>
      </c>
    </row>
    <row r="27618" spans="1:2" x14ac:dyDescent="0.25">
      <c r="A27618">
        <v>59100000914</v>
      </c>
      <c r="B27618" t="s">
        <v>8948</v>
      </c>
    </row>
    <row r="27619" spans="1:2" x14ac:dyDescent="0.25">
      <c r="A27619">
        <v>59100000915</v>
      </c>
      <c r="B27619" t="s">
        <v>8949</v>
      </c>
    </row>
    <row r="27620" spans="1:2" x14ac:dyDescent="0.25">
      <c r="A27620">
        <v>59100000919</v>
      </c>
      <c r="B27620" t="s">
        <v>10</v>
      </c>
    </row>
    <row r="27621" spans="1:2" x14ac:dyDescent="0.25">
      <c r="A27621">
        <v>5910000092</v>
      </c>
      <c r="B27621" t="s">
        <v>8898</v>
      </c>
    </row>
    <row r="27622" spans="1:2" x14ac:dyDescent="0.25">
      <c r="A27622">
        <v>59100000921</v>
      </c>
      <c r="B27622" t="s">
        <v>8945</v>
      </c>
    </row>
    <row r="27623" spans="1:2" x14ac:dyDescent="0.25">
      <c r="A27623">
        <v>59100000922</v>
      </c>
      <c r="B27623" t="s">
        <v>8946</v>
      </c>
    </row>
    <row r="27624" spans="1:2" x14ac:dyDescent="0.25">
      <c r="A27624">
        <v>59100000923</v>
      </c>
      <c r="B27624" t="s">
        <v>8947</v>
      </c>
    </row>
    <row r="27625" spans="1:2" x14ac:dyDescent="0.25">
      <c r="A27625">
        <v>59100000924</v>
      </c>
      <c r="B27625" t="s">
        <v>8948</v>
      </c>
    </row>
    <row r="27626" spans="1:2" x14ac:dyDescent="0.25">
      <c r="A27626">
        <v>59100000925</v>
      </c>
      <c r="B27626" t="s">
        <v>8949</v>
      </c>
    </row>
    <row r="27627" spans="1:2" x14ac:dyDescent="0.25">
      <c r="A27627">
        <v>59100000929</v>
      </c>
      <c r="B27627" t="s">
        <v>10</v>
      </c>
    </row>
    <row r="27628" spans="1:2" x14ac:dyDescent="0.25">
      <c r="A27628">
        <v>5910000099</v>
      </c>
      <c r="B27628" t="s">
        <v>8950</v>
      </c>
    </row>
    <row r="27629" spans="1:2" x14ac:dyDescent="0.25">
      <c r="A27629">
        <v>59100000991</v>
      </c>
      <c r="B27629" t="s">
        <v>8945</v>
      </c>
    </row>
    <row r="27630" spans="1:2" x14ac:dyDescent="0.25">
      <c r="A27630">
        <v>59100000992</v>
      </c>
      <c r="B27630" t="s">
        <v>8946</v>
      </c>
    </row>
    <row r="27631" spans="1:2" x14ac:dyDescent="0.25">
      <c r="A27631">
        <v>59100000993</v>
      </c>
      <c r="B27631" t="s">
        <v>8947</v>
      </c>
    </row>
    <row r="27632" spans="1:2" x14ac:dyDescent="0.25">
      <c r="A27632">
        <v>59100000994</v>
      </c>
      <c r="B27632" t="s">
        <v>8948</v>
      </c>
    </row>
    <row r="27633" spans="1:2" x14ac:dyDescent="0.25">
      <c r="A27633">
        <v>59100000995</v>
      </c>
      <c r="B27633" t="s">
        <v>8949</v>
      </c>
    </row>
    <row r="27634" spans="1:2" x14ac:dyDescent="0.25">
      <c r="A27634">
        <v>59100000999</v>
      </c>
      <c r="B27634" t="s">
        <v>10</v>
      </c>
    </row>
    <row r="27635" spans="1:2" x14ac:dyDescent="0.25">
      <c r="A27635">
        <v>5911</v>
      </c>
      <c r="B27635" t="s">
        <v>8951</v>
      </c>
    </row>
    <row r="27636" spans="1:2" x14ac:dyDescent="0.25">
      <c r="A27636">
        <v>59111000000</v>
      </c>
      <c r="B27636" t="e">
        <f>-Telas. fieltro y tejidos forrados de fieltro. combinados Con una o varias capas de caucho. cuero u otra materia. de Los tipos utilizados para la fabricacion de Guarniciones de cardas y Productos analogos para otros usos tecnicos. incluidas las Cintas de Terciopelo impregnadas de caucho para forrar enjulios</f>
        <v>#NAME?</v>
      </c>
    </row>
    <row r="27637" spans="1:2" x14ac:dyDescent="0.25">
      <c r="A27637">
        <v>591120</v>
      </c>
      <c r="B27637" t="e">
        <f>- Gasas y Telas para cerner. incluso confeccionadas</f>
        <v>#NAME?</v>
      </c>
    </row>
    <row r="27638" spans="1:2" x14ac:dyDescent="0.25">
      <c r="A27638">
        <v>59112010000</v>
      </c>
      <c r="B27638" t="s">
        <v>8952</v>
      </c>
    </row>
    <row r="27639" spans="1:2" x14ac:dyDescent="0.25">
      <c r="A27639">
        <v>59112090</v>
      </c>
      <c r="B27639" t="s">
        <v>57</v>
      </c>
    </row>
    <row r="27640" spans="1:2" x14ac:dyDescent="0.25">
      <c r="A27640">
        <v>59112090100</v>
      </c>
      <c r="B27640" t="s">
        <v>8823</v>
      </c>
    </row>
    <row r="27641" spans="1:2" x14ac:dyDescent="0.25">
      <c r="A27641">
        <v>59112090200</v>
      </c>
      <c r="B27641" t="s">
        <v>8953</v>
      </c>
    </row>
    <row r="27642" spans="1:2" x14ac:dyDescent="0.25">
      <c r="A27642">
        <v>59113</v>
      </c>
      <c r="B27642" t="s">
        <v>8954</v>
      </c>
    </row>
    <row r="27643" spans="1:2" x14ac:dyDescent="0.25">
      <c r="A27643">
        <v>59113100000</v>
      </c>
      <c r="B27643" t="s">
        <v>8955</v>
      </c>
    </row>
    <row r="27644" spans="1:2" x14ac:dyDescent="0.25">
      <c r="A27644">
        <v>59113200000</v>
      </c>
      <c r="B27644" t="s">
        <v>8956</v>
      </c>
    </row>
    <row r="27645" spans="1:2" x14ac:dyDescent="0.25">
      <c r="A27645">
        <v>59114000000</v>
      </c>
      <c r="B27645" t="e">
        <f>-Capachos y Telas gruesas de Los tipos utilizados En las prensas de Aceite o para usos tecnicos analogos. incluidos Los de cabello</f>
        <v>#NAME?</v>
      </c>
    </row>
    <row r="27646" spans="1:2" x14ac:dyDescent="0.25">
      <c r="A27646">
        <v>59119000</v>
      </c>
      <c r="B27646" t="e">
        <f>- Los demas</f>
        <v>#NAME?</v>
      </c>
    </row>
    <row r="27647" spans="1:2" x14ac:dyDescent="0.25">
      <c r="A27647">
        <v>59119000100</v>
      </c>
      <c r="B27647" t="s">
        <v>8957</v>
      </c>
    </row>
    <row r="27648" spans="1:2" x14ac:dyDescent="0.25">
      <c r="A27648">
        <v>59119000900</v>
      </c>
      <c r="B27648" t="s">
        <v>10</v>
      </c>
    </row>
    <row r="27649" spans="1:2" x14ac:dyDescent="0.25">
      <c r="A27649">
        <v>6001</v>
      </c>
      <c r="B27649" t="s">
        <v>8958</v>
      </c>
    </row>
    <row r="27650" spans="1:2" x14ac:dyDescent="0.25">
      <c r="A27650">
        <v>600110</v>
      </c>
      <c r="B27650" t="s">
        <v>8959</v>
      </c>
    </row>
    <row r="27651" spans="1:2" x14ac:dyDescent="0.25">
      <c r="A27651">
        <v>60011010</v>
      </c>
      <c r="B27651" t="s">
        <v>8805</v>
      </c>
    </row>
    <row r="27652" spans="1:2" x14ac:dyDescent="0.25">
      <c r="A27652">
        <v>60011010100</v>
      </c>
      <c r="B27652" t="s">
        <v>8960</v>
      </c>
    </row>
    <row r="27653" spans="1:2" x14ac:dyDescent="0.25">
      <c r="A27653">
        <v>60011010900</v>
      </c>
      <c r="B27653" t="s">
        <v>10</v>
      </c>
    </row>
    <row r="27654" spans="1:2" x14ac:dyDescent="0.25">
      <c r="A27654">
        <v>60011020000</v>
      </c>
      <c r="B27654" t="s">
        <v>8898</v>
      </c>
    </row>
    <row r="27655" spans="1:2" x14ac:dyDescent="0.25">
      <c r="A27655">
        <v>60011090000</v>
      </c>
      <c r="B27655" t="s">
        <v>8837</v>
      </c>
    </row>
    <row r="27656" spans="1:2" x14ac:dyDescent="0.25">
      <c r="A27656">
        <v>60012</v>
      </c>
      <c r="B27656" t="s">
        <v>8961</v>
      </c>
    </row>
    <row r="27657" spans="1:2" x14ac:dyDescent="0.25">
      <c r="A27657">
        <v>60012100000</v>
      </c>
      <c r="B27657" t="e">
        <f>--de algodon</f>
        <v>#NAME?</v>
      </c>
    </row>
    <row r="27658" spans="1:2" x14ac:dyDescent="0.25">
      <c r="A27658">
        <v>60012200000</v>
      </c>
      <c r="B27658" t="e">
        <f>--de fibras sinteticas o artificiales</f>
        <v>#NAME?</v>
      </c>
    </row>
    <row r="27659" spans="1:2" x14ac:dyDescent="0.25">
      <c r="A27659">
        <v>60012900000</v>
      </c>
      <c r="B27659" t="e">
        <f>--de las demas materias textiles</f>
        <v>#NAME?</v>
      </c>
    </row>
    <row r="27660" spans="1:2" x14ac:dyDescent="0.25">
      <c r="A27660">
        <v>60019</v>
      </c>
      <c r="B27660" t="s">
        <v>28</v>
      </c>
    </row>
    <row r="27661" spans="1:2" x14ac:dyDescent="0.25">
      <c r="A27661">
        <v>60019100000</v>
      </c>
      <c r="B27661" t="e">
        <f>--de algodon</f>
        <v>#NAME?</v>
      </c>
    </row>
    <row r="27662" spans="1:2" x14ac:dyDescent="0.25">
      <c r="A27662">
        <v>60019200000</v>
      </c>
      <c r="B27662" t="e">
        <f>--de fibras sinteticas o artificiales</f>
        <v>#NAME?</v>
      </c>
    </row>
    <row r="27663" spans="1:2" x14ac:dyDescent="0.25">
      <c r="A27663">
        <v>60019900000</v>
      </c>
      <c r="B27663" t="e">
        <f>--de las demas materias textiles</f>
        <v>#NAME?</v>
      </c>
    </row>
    <row r="27664" spans="1:2" x14ac:dyDescent="0.25">
      <c r="A27664">
        <v>6002</v>
      </c>
      <c r="B27664" t="s">
        <v>8962</v>
      </c>
    </row>
    <row r="27665" spans="1:2" x14ac:dyDescent="0.25">
      <c r="A27665">
        <v>600240</v>
      </c>
      <c r="B27665" t="s">
        <v>8963</v>
      </c>
    </row>
    <row r="27666" spans="1:2" x14ac:dyDescent="0.25">
      <c r="A27666">
        <v>60024010</v>
      </c>
      <c r="B27666" t="s">
        <v>8805</v>
      </c>
    </row>
    <row r="27667" spans="1:2" x14ac:dyDescent="0.25">
      <c r="A27667">
        <v>60024010100</v>
      </c>
      <c r="B27667" t="s">
        <v>8567</v>
      </c>
    </row>
    <row r="27668" spans="1:2" x14ac:dyDescent="0.25">
      <c r="A27668">
        <v>60024010200</v>
      </c>
      <c r="B27668" t="s">
        <v>626</v>
      </c>
    </row>
    <row r="27669" spans="1:2" x14ac:dyDescent="0.25">
      <c r="A27669">
        <v>60024010300</v>
      </c>
      <c r="B27669" t="s">
        <v>8560</v>
      </c>
    </row>
    <row r="27670" spans="1:2" x14ac:dyDescent="0.25">
      <c r="A27670">
        <v>60024010400</v>
      </c>
      <c r="B27670" t="s">
        <v>8561</v>
      </c>
    </row>
    <row r="27671" spans="1:2" x14ac:dyDescent="0.25">
      <c r="A27671">
        <v>60024020</v>
      </c>
      <c r="B27671" t="s">
        <v>8898</v>
      </c>
    </row>
    <row r="27672" spans="1:2" x14ac:dyDescent="0.25">
      <c r="A27672">
        <v>600240201</v>
      </c>
      <c r="B27672" t="s">
        <v>8567</v>
      </c>
    </row>
    <row r="27673" spans="1:2" x14ac:dyDescent="0.25">
      <c r="A27673">
        <v>60024020110</v>
      </c>
      <c r="B27673" t="s">
        <v>8964</v>
      </c>
    </row>
    <row r="27674" spans="1:2" x14ac:dyDescent="0.25">
      <c r="A27674">
        <v>60024020120</v>
      </c>
      <c r="B27674" t="s">
        <v>8577</v>
      </c>
    </row>
    <row r="27675" spans="1:2" x14ac:dyDescent="0.25">
      <c r="A27675">
        <v>60024020130</v>
      </c>
      <c r="B27675" t="s">
        <v>5932</v>
      </c>
    </row>
    <row r="27676" spans="1:2" x14ac:dyDescent="0.25">
      <c r="A27676">
        <v>60024020140</v>
      </c>
      <c r="B27676" t="s">
        <v>8581</v>
      </c>
    </row>
    <row r="27677" spans="1:2" x14ac:dyDescent="0.25">
      <c r="A27677">
        <v>60024020190</v>
      </c>
      <c r="B27677" t="s">
        <v>57</v>
      </c>
    </row>
    <row r="27678" spans="1:2" x14ac:dyDescent="0.25">
      <c r="A27678">
        <v>600240202</v>
      </c>
      <c r="B27678" t="s">
        <v>626</v>
      </c>
    </row>
    <row r="27679" spans="1:2" x14ac:dyDescent="0.25">
      <c r="A27679">
        <v>60024020210</v>
      </c>
      <c r="B27679" t="s">
        <v>8964</v>
      </c>
    </row>
    <row r="27680" spans="1:2" x14ac:dyDescent="0.25">
      <c r="A27680">
        <v>60024020220</v>
      </c>
      <c r="B27680" t="s">
        <v>8577</v>
      </c>
    </row>
    <row r="27681" spans="1:2" x14ac:dyDescent="0.25">
      <c r="A27681">
        <v>60024020230</v>
      </c>
      <c r="B27681" t="s">
        <v>5932</v>
      </c>
    </row>
    <row r="27682" spans="1:2" x14ac:dyDescent="0.25">
      <c r="A27682">
        <v>60024020240</v>
      </c>
      <c r="B27682" t="s">
        <v>8581</v>
      </c>
    </row>
    <row r="27683" spans="1:2" x14ac:dyDescent="0.25">
      <c r="A27683">
        <v>60024020290</v>
      </c>
      <c r="B27683" t="s">
        <v>57</v>
      </c>
    </row>
    <row r="27684" spans="1:2" x14ac:dyDescent="0.25">
      <c r="A27684">
        <v>600240203</v>
      </c>
      <c r="B27684" t="s">
        <v>8560</v>
      </c>
    </row>
    <row r="27685" spans="1:2" x14ac:dyDescent="0.25">
      <c r="A27685">
        <v>60024020310</v>
      </c>
      <c r="B27685" t="s">
        <v>8964</v>
      </c>
    </row>
    <row r="27686" spans="1:2" x14ac:dyDescent="0.25">
      <c r="A27686">
        <v>60024020320</v>
      </c>
      <c r="B27686" t="s">
        <v>8577</v>
      </c>
    </row>
    <row r="27687" spans="1:2" x14ac:dyDescent="0.25">
      <c r="A27687">
        <v>60024020330</v>
      </c>
      <c r="B27687" t="s">
        <v>5932</v>
      </c>
    </row>
    <row r="27688" spans="1:2" x14ac:dyDescent="0.25">
      <c r="A27688">
        <v>60024020340</v>
      </c>
      <c r="B27688" t="s">
        <v>8581</v>
      </c>
    </row>
    <row r="27689" spans="1:2" x14ac:dyDescent="0.25">
      <c r="A27689">
        <v>60024020390</v>
      </c>
      <c r="B27689" t="s">
        <v>57</v>
      </c>
    </row>
    <row r="27690" spans="1:2" x14ac:dyDescent="0.25">
      <c r="A27690">
        <v>600240204</v>
      </c>
      <c r="B27690" t="s">
        <v>8561</v>
      </c>
    </row>
    <row r="27691" spans="1:2" x14ac:dyDescent="0.25">
      <c r="A27691">
        <v>60024020410</v>
      </c>
      <c r="B27691" t="s">
        <v>8964</v>
      </c>
    </row>
    <row r="27692" spans="1:2" x14ac:dyDescent="0.25">
      <c r="A27692">
        <v>60024020420</v>
      </c>
      <c r="B27692" t="s">
        <v>8577</v>
      </c>
    </row>
    <row r="27693" spans="1:2" x14ac:dyDescent="0.25">
      <c r="A27693">
        <v>60024020430</v>
      </c>
      <c r="B27693" t="s">
        <v>5932</v>
      </c>
    </row>
    <row r="27694" spans="1:2" x14ac:dyDescent="0.25">
      <c r="A27694">
        <v>60024020440</v>
      </c>
      <c r="B27694" t="s">
        <v>8581</v>
      </c>
    </row>
    <row r="27695" spans="1:2" x14ac:dyDescent="0.25">
      <c r="A27695">
        <v>60024020490</v>
      </c>
      <c r="B27695" t="s">
        <v>57</v>
      </c>
    </row>
    <row r="27696" spans="1:2" x14ac:dyDescent="0.25">
      <c r="A27696">
        <v>60024090</v>
      </c>
      <c r="B27696" t="s">
        <v>8837</v>
      </c>
    </row>
    <row r="27697" spans="1:2" x14ac:dyDescent="0.25">
      <c r="A27697">
        <v>60024090100</v>
      </c>
      <c r="B27697" t="s">
        <v>8567</v>
      </c>
    </row>
    <row r="27698" spans="1:2" x14ac:dyDescent="0.25">
      <c r="A27698">
        <v>60024090200</v>
      </c>
      <c r="B27698" t="s">
        <v>626</v>
      </c>
    </row>
    <row r="27699" spans="1:2" x14ac:dyDescent="0.25">
      <c r="A27699">
        <v>60024090300</v>
      </c>
      <c r="B27699" t="s">
        <v>8560</v>
      </c>
    </row>
    <row r="27700" spans="1:2" x14ac:dyDescent="0.25">
      <c r="A27700">
        <v>60024090400</v>
      </c>
      <c r="B27700" t="s">
        <v>8561</v>
      </c>
    </row>
    <row r="27701" spans="1:2" x14ac:dyDescent="0.25">
      <c r="A27701">
        <v>600290</v>
      </c>
      <c r="B27701" t="e">
        <f>- Los demas</f>
        <v>#NAME?</v>
      </c>
    </row>
    <row r="27702" spans="1:2" x14ac:dyDescent="0.25">
      <c r="A27702">
        <v>60029010000</v>
      </c>
      <c r="B27702" t="s">
        <v>8805</v>
      </c>
    </row>
    <row r="27703" spans="1:2" x14ac:dyDescent="0.25">
      <c r="A27703">
        <v>60029020000</v>
      </c>
      <c r="B27703" t="s">
        <v>8898</v>
      </c>
    </row>
    <row r="27704" spans="1:2" x14ac:dyDescent="0.25">
      <c r="A27704">
        <v>60029090000</v>
      </c>
      <c r="B27704" t="s">
        <v>8837</v>
      </c>
    </row>
    <row r="27705" spans="1:2" x14ac:dyDescent="0.25">
      <c r="A27705">
        <v>6003</v>
      </c>
      <c r="B27705" t="s">
        <v>8965</v>
      </c>
    </row>
    <row r="27706" spans="1:2" x14ac:dyDescent="0.25">
      <c r="A27706">
        <v>60031000000</v>
      </c>
      <c r="B27706" t="e">
        <f>-de lana o Pelo fino</f>
        <v>#NAME?</v>
      </c>
    </row>
    <row r="27707" spans="1:2" x14ac:dyDescent="0.25">
      <c r="A27707">
        <v>60032000000</v>
      </c>
      <c r="B27707" t="e">
        <f>-de algodon</f>
        <v>#NAME?</v>
      </c>
    </row>
    <row r="27708" spans="1:2" x14ac:dyDescent="0.25">
      <c r="A27708">
        <v>60033000000</v>
      </c>
      <c r="B27708" t="e">
        <f>-de fibras sinteticas</f>
        <v>#NAME?</v>
      </c>
    </row>
    <row r="27709" spans="1:2" x14ac:dyDescent="0.25">
      <c r="A27709">
        <v>60034000000</v>
      </c>
      <c r="B27709" t="e">
        <f>-de fibras artificiales</f>
        <v>#NAME?</v>
      </c>
    </row>
    <row r="27710" spans="1:2" x14ac:dyDescent="0.25">
      <c r="A27710">
        <v>60039000000</v>
      </c>
      <c r="B27710" t="e">
        <f>-Los demas</f>
        <v>#NAME?</v>
      </c>
    </row>
    <row r="27711" spans="1:2" x14ac:dyDescent="0.25">
      <c r="A27711">
        <v>6004</v>
      </c>
      <c r="B27711" t="s">
        <v>8966</v>
      </c>
    </row>
    <row r="27712" spans="1:2" x14ac:dyDescent="0.25">
      <c r="A27712">
        <v>600410</v>
      </c>
      <c r="B27712" t="s">
        <v>8963</v>
      </c>
    </row>
    <row r="27713" spans="1:2" x14ac:dyDescent="0.25">
      <c r="A27713">
        <v>6004101</v>
      </c>
      <c r="B27713" t="s">
        <v>8805</v>
      </c>
    </row>
    <row r="27714" spans="1:2" x14ac:dyDescent="0.25">
      <c r="A27714">
        <v>60041011000</v>
      </c>
      <c r="B27714" t="s">
        <v>8567</v>
      </c>
    </row>
    <row r="27715" spans="1:2" x14ac:dyDescent="0.25">
      <c r="A27715">
        <v>60041012000</v>
      </c>
      <c r="B27715" t="s">
        <v>626</v>
      </c>
    </row>
    <row r="27716" spans="1:2" x14ac:dyDescent="0.25">
      <c r="A27716">
        <v>60041013000</v>
      </c>
      <c r="B27716" t="s">
        <v>8560</v>
      </c>
    </row>
    <row r="27717" spans="1:2" x14ac:dyDescent="0.25">
      <c r="A27717">
        <v>60041014000</v>
      </c>
      <c r="B27717" t="s">
        <v>8561</v>
      </c>
    </row>
    <row r="27718" spans="1:2" x14ac:dyDescent="0.25">
      <c r="A27718">
        <v>6004103</v>
      </c>
      <c r="B27718" t="s">
        <v>8808</v>
      </c>
    </row>
    <row r="27719" spans="1:2" x14ac:dyDescent="0.25">
      <c r="A27719">
        <v>60041031000</v>
      </c>
      <c r="B27719" t="s">
        <v>8567</v>
      </c>
    </row>
    <row r="27720" spans="1:2" x14ac:dyDescent="0.25">
      <c r="A27720">
        <v>60041032000</v>
      </c>
      <c r="B27720" t="s">
        <v>626</v>
      </c>
    </row>
    <row r="27721" spans="1:2" x14ac:dyDescent="0.25">
      <c r="A27721">
        <v>60041033000</v>
      </c>
      <c r="B27721" t="s">
        <v>8560</v>
      </c>
    </row>
    <row r="27722" spans="1:2" x14ac:dyDescent="0.25">
      <c r="A27722">
        <v>60041034000</v>
      </c>
      <c r="B27722" t="s">
        <v>8561</v>
      </c>
    </row>
    <row r="27723" spans="1:2" x14ac:dyDescent="0.25">
      <c r="A27723">
        <v>6004104</v>
      </c>
      <c r="B27723" t="s">
        <v>8809</v>
      </c>
    </row>
    <row r="27724" spans="1:2" x14ac:dyDescent="0.25">
      <c r="A27724">
        <v>60041041000</v>
      </c>
      <c r="B27724" t="s">
        <v>8567</v>
      </c>
    </row>
    <row r="27725" spans="1:2" x14ac:dyDescent="0.25">
      <c r="A27725">
        <v>60041042000</v>
      </c>
      <c r="B27725" t="s">
        <v>626</v>
      </c>
    </row>
    <row r="27726" spans="1:2" x14ac:dyDescent="0.25">
      <c r="A27726">
        <v>60041043000</v>
      </c>
      <c r="B27726" t="s">
        <v>8560</v>
      </c>
    </row>
    <row r="27727" spans="1:2" x14ac:dyDescent="0.25">
      <c r="A27727">
        <v>60041044000</v>
      </c>
      <c r="B27727" t="s">
        <v>8561</v>
      </c>
    </row>
    <row r="27728" spans="1:2" x14ac:dyDescent="0.25">
      <c r="A27728">
        <v>6004109</v>
      </c>
      <c r="B27728" t="s">
        <v>8837</v>
      </c>
    </row>
    <row r="27729" spans="1:2" x14ac:dyDescent="0.25">
      <c r="A27729">
        <v>60041091000</v>
      </c>
      <c r="B27729" t="s">
        <v>8567</v>
      </c>
    </row>
    <row r="27730" spans="1:2" x14ac:dyDescent="0.25">
      <c r="A27730">
        <v>60041092000</v>
      </c>
      <c r="B27730" t="s">
        <v>626</v>
      </c>
    </row>
    <row r="27731" spans="1:2" x14ac:dyDescent="0.25">
      <c r="A27731">
        <v>60041093000</v>
      </c>
      <c r="B27731" t="s">
        <v>8560</v>
      </c>
    </row>
    <row r="27732" spans="1:2" x14ac:dyDescent="0.25">
      <c r="A27732">
        <v>60041094000</v>
      </c>
      <c r="B27732" t="s">
        <v>8561</v>
      </c>
    </row>
    <row r="27733" spans="1:2" x14ac:dyDescent="0.25">
      <c r="A27733">
        <v>600490</v>
      </c>
      <c r="B27733" t="e">
        <f>- Los demas</f>
        <v>#NAME?</v>
      </c>
    </row>
    <row r="27734" spans="1:2" x14ac:dyDescent="0.25">
      <c r="A27734">
        <v>60049010000</v>
      </c>
      <c r="B27734" t="s">
        <v>8805</v>
      </c>
    </row>
    <row r="27735" spans="1:2" x14ac:dyDescent="0.25">
      <c r="A27735">
        <v>60049030000</v>
      </c>
      <c r="B27735" t="s">
        <v>8808</v>
      </c>
    </row>
    <row r="27736" spans="1:2" x14ac:dyDescent="0.25">
      <c r="A27736">
        <v>60049040000</v>
      </c>
      <c r="B27736" t="s">
        <v>8809</v>
      </c>
    </row>
    <row r="27737" spans="1:2" x14ac:dyDescent="0.25">
      <c r="A27737">
        <v>60049090000</v>
      </c>
      <c r="B27737" t="s">
        <v>8837</v>
      </c>
    </row>
    <row r="27738" spans="1:2" x14ac:dyDescent="0.25">
      <c r="A27738">
        <v>6005</v>
      </c>
      <c r="B27738" t="s">
        <v>8967</v>
      </c>
    </row>
    <row r="27739" spans="1:2" x14ac:dyDescent="0.25">
      <c r="A27739">
        <v>60052</v>
      </c>
      <c r="B27739" t="s">
        <v>8878</v>
      </c>
    </row>
    <row r="27740" spans="1:2" x14ac:dyDescent="0.25">
      <c r="A27740">
        <v>60052100</v>
      </c>
      <c r="B27740" t="e">
        <f>- - crudos o Blanqueados</f>
        <v>#NAME?</v>
      </c>
    </row>
    <row r="27741" spans="1:2" x14ac:dyDescent="0.25">
      <c r="A27741">
        <v>60052100100</v>
      </c>
      <c r="B27741" t="s">
        <v>8960</v>
      </c>
    </row>
    <row r="27742" spans="1:2" x14ac:dyDescent="0.25">
      <c r="A27742">
        <v>60052100900</v>
      </c>
      <c r="B27742" t="s">
        <v>10</v>
      </c>
    </row>
    <row r="27743" spans="1:2" x14ac:dyDescent="0.25">
      <c r="A27743">
        <v>60052200</v>
      </c>
      <c r="B27743" t="e">
        <f>- - Teñidos</f>
        <v>#NAME?</v>
      </c>
    </row>
    <row r="27744" spans="1:2" x14ac:dyDescent="0.25">
      <c r="A27744">
        <v>60052200100</v>
      </c>
      <c r="B27744" t="s">
        <v>8960</v>
      </c>
    </row>
    <row r="27745" spans="1:2" x14ac:dyDescent="0.25">
      <c r="A27745">
        <v>60052200900</v>
      </c>
      <c r="B27745" t="s">
        <v>10</v>
      </c>
    </row>
    <row r="27746" spans="1:2" x14ac:dyDescent="0.25">
      <c r="A27746">
        <v>60052300</v>
      </c>
      <c r="B27746" t="e">
        <f>- - Con hilados de distintos colores</f>
        <v>#NAME?</v>
      </c>
    </row>
    <row r="27747" spans="1:2" x14ac:dyDescent="0.25">
      <c r="A27747">
        <v>60052300100</v>
      </c>
      <c r="B27747" t="s">
        <v>8960</v>
      </c>
    </row>
    <row r="27748" spans="1:2" x14ac:dyDescent="0.25">
      <c r="A27748">
        <v>60052300900</v>
      </c>
      <c r="B27748" t="s">
        <v>10</v>
      </c>
    </row>
    <row r="27749" spans="1:2" x14ac:dyDescent="0.25">
      <c r="A27749">
        <v>60052400</v>
      </c>
      <c r="B27749" t="e">
        <f>- - Estampados</f>
        <v>#NAME?</v>
      </c>
    </row>
    <row r="27750" spans="1:2" x14ac:dyDescent="0.25">
      <c r="A27750">
        <v>60052400100</v>
      </c>
      <c r="B27750" t="s">
        <v>8960</v>
      </c>
    </row>
    <row r="27751" spans="1:2" x14ac:dyDescent="0.25">
      <c r="A27751">
        <v>60052400900</v>
      </c>
      <c r="B27751" t="s">
        <v>10</v>
      </c>
    </row>
    <row r="27752" spans="1:2" x14ac:dyDescent="0.25">
      <c r="A27752">
        <v>60053</v>
      </c>
      <c r="B27752" t="s">
        <v>8968</v>
      </c>
    </row>
    <row r="27753" spans="1:2" x14ac:dyDescent="0.25">
      <c r="A27753">
        <v>60053500000</v>
      </c>
      <c r="B27753" t="s">
        <v>8969</v>
      </c>
    </row>
    <row r="27754" spans="1:2" x14ac:dyDescent="0.25">
      <c r="A27754">
        <v>60053600000</v>
      </c>
      <c r="B27754" t="e">
        <f>--Los demas. crudos o Blanqueados</f>
        <v>#NAME?</v>
      </c>
    </row>
    <row r="27755" spans="1:2" x14ac:dyDescent="0.25">
      <c r="A27755">
        <v>60053700</v>
      </c>
      <c r="B27755" t="e">
        <f>- - Los demas. Teñidos</f>
        <v>#NAME?</v>
      </c>
    </row>
    <row r="27756" spans="1:2" x14ac:dyDescent="0.25">
      <c r="A27756">
        <v>60053700100</v>
      </c>
      <c r="B27756" t="s">
        <v>8890</v>
      </c>
    </row>
    <row r="27757" spans="1:2" x14ac:dyDescent="0.25">
      <c r="A27757">
        <v>60053700900</v>
      </c>
      <c r="B27757" t="s">
        <v>10</v>
      </c>
    </row>
    <row r="27758" spans="1:2" x14ac:dyDescent="0.25">
      <c r="A27758">
        <v>60053800000</v>
      </c>
      <c r="B27758" t="e">
        <f>--Los demas. Con hilados de distintos colores</f>
        <v>#NAME?</v>
      </c>
    </row>
    <row r="27759" spans="1:2" x14ac:dyDescent="0.25">
      <c r="A27759">
        <v>60053900000</v>
      </c>
      <c r="B27759" t="e">
        <f>--Los demas. Estampados</f>
        <v>#NAME?</v>
      </c>
    </row>
    <row r="27760" spans="1:2" x14ac:dyDescent="0.25">
      <c r="A27760">
        <v>60054</v>
      </c>
      <c r="B27760" t="s">
        <v>8970</v>
      </c>
    </row>
    <row r="27761" spans="1:2" x14ac:dyDescent="0.25">
      <c r="A27761">
        <v>60054100000</v>
      </c>
      <c r="B27761" t="e">
        <f>--crudos o Blanqueados</f>
        <v>#NAME?</v>
      </c>
    </row>
    <row r="27762" spans="1:2" x14ac:dyDescent="0.25">
      <c r="A27762">
        <v>60054200000</v>
      </c>
      <c r="B27762" t="e">
        <f>--Teñidos</f>
        <v>#NAME?</v>
      </c>
    </row>
    <row r="27763" spans="1:2" x14ac:dyDescent="0.25">
      <c r="A27763">
        <v>60054300000</v>
      </c>
      <c r="B27763" t="e">
        <f>--Con hilados de distintos colores</f>
        <v>#NAME?</v>
      </c>
    </row>
    <row r="27764" spans="1:2" x14ac:dyDescent="0.25">
      <c r="A27764">
        <v>60054400000</v>
      </c>
      <c r="B27764" t="e">
        <f>--Estampados</f>
        <v>#NAME?</v>
      </c>
    </row>
    <row r="27765" spans="1:2" x14ac:dyDescent="0.25">
      <c r="A27765">
        <v>600590</v>
      </c>
      <c r="B27765" t="e">
        <f>- Los demas</f>
        <v>#NAME?</v>
      </c>
    </row>
    <row r="27766" spans="1:2" x14ac:dyDescent="0.25">
      <c r="A27766">
        <v>60059010000</v>
      </c>
      <c r="B27766" t="s">
        <v>8835</v>
      </c>
    </row>
    <row r="27767" spans="1:2" x14ac:dyDescent="0.25">
      <c r="A27767">
        <v>60059090</v>
      </c>
      <c r="B27767" t="s">
        <v>10</v>
      </c>
    </row>
    <row r="27768" spans="1:2" x14ac:dyDescent="0.25">
      <c r="A27768">
        <v>600590901</v>
      </c>
      <c r="B27768" t="s">
        <v>8567</v>
      </c>
    </row>
    <row r="27769" spans="1:2" x14ac:dyDescent="0.25">
      <c r="A27769">
        <v>6005909011</v>
      </c>
      <c r="B27769" t="s">
        <v>8971</v>
      </c>
    </row>
    <row r="27770" spans="1:2" x14ac:dyDescent="0.25">
      <c r="A27770">
        <v>60059090111</v>
      </c>
      <c r="B27770" t="s">
        <v>8572</v>
      </c>
    </row>
    <row r="27771" spans="1:2" x14ac:dyDescent="0.25">
      <c r="A27771">
        <v>60059090112</v>
      </c>
      <c r="B27771" t="s">
        <v>8568</v>
      </c>
    </row>
    <row r="27772" spans="1:2" x14ac:dyDescent="0.25">
      <c r="A27772">
        <v>60059090113</v>
      </c>
      <c r="B27772" t="s">
        <v>8573</v>
      </c>
    </row>
    <row r="27773" spans="1:2" x14ac:dyDescent="0.25">
      <c r="A27773">
        <v>60059090114</v>
      </c>
      <c r="B27773" t="s">
        <v>8928</v>
      </c>
    </row>
    <row r="27774" spans="1:2" x14ac:dyDescent="0.25">
      <c r="A27774">
        <v>60059090115</v>
      </c>
      <c r="B27774" t="s">
        <v>8929</v>
      </c>
    </row>
    <row r="27775" spans="1:2" x14ac:dyDescent="0.25">
      <c r="A27775">
        <v>60059090116</v>
      </c>
      <c r="B27775" t="s">
        <v>8930</v>
      </c>
    </row>
    <row r="27776" spans="1:2" x14ac:dyDescent="0.25">
      <c r="A27776">
        <v>60059090117</v>
      </c>
      <c r="B27776" t="s">
        <v>8972</v>
      </c>
    </row>
    <row r="27777" spans="1:2" x14ac:dyDescent="0.25">
      <c r="A27777">
        <v>60059090119</v>
      </c>
      <c r="B27777" t="s">
        <v>10</v>
      </c>
    </row>
    <row r="27778" spans="1:2" x14ac:dyDescent="0.25">
      <c r="A27778">
        <v>6005909019</v>
      </c>
      <c r="B27778" t="s">
        <v>10</v>
      </c>
    </row>
    <row r="27779" spans="1:2" x14ac:dyDescent="0.25">
      <c r="A27779">
        <v>60059090191</v>
      </c>
      <c r="B27779" t="s">
        <v>8572</v>
      </c>
    </row>
    <row r="27780" spans="1:2" x14ac:dyDescent="0.25">
      <c r="A27780">
        <v>60059090192</v>
      </c>
      <c r="B27780" t="s">
        <v>8568</v>
      </c>
    </row>
    <row r="27781" spans="1:2" x14ac:dyDescent="0.25">
      <c r="A27781">
        <v>60059090193</v>
      </c>
      <c r="B27781" t="s">
        <v>8573</v>
      </c>
    </row>
    <row r="27782" spans="1:2" x14ac:dyDescent="0.25">
      <c r="A27782">
        <v>60059090194</v>
      </c>
      <c r="B27782" t="s">
        <v>8928</v>
      </c>
    </row>
    <row r="27783" spans="1:2" x14ac:dyDescent="0.25">
      <c r="A27783">
        <v>60059090195</v>
      </c>
      <c r="B27783" t="s">
        <v>8929</v>
      </c>
    </row>
    <row r="27784" spans="1:2" x14ac:dyDescent="0.25">
      <c r="A27784">
        <v>60059090196</v>
      </c>
      <c r="B27784" t="s">
        <v>8930</v>
      </c>
    </row>
    <row r="27785" spans="1:2" x14ac:dyDescent="0.25">
      <c r="A27785">
        <v>60059090197</v>
      </c>
      <c r="B27785" t="s">
        <v>8972</v>
      </c>
    </row>
    <row r="27786" spans="1:2" x14ac:dyDescent="0.25">
      <c r="A27786">
        <v>60059090199</v>
      </c>
      <c r="B27786" t="s">
        <v>10</v>
      </c>
    </row>
    <row r="27787" spans="1:2" x14ac:dyDescent="0.25">
      <c r="A27787">
        <v>600590902</v>
      </c>
      <c r="B27787" t="s">
        <v>626</v>
      </c>
    </row>
    <row r="27788" spans="1:2" x14ac:dyDescent="0.25">
      <c r="A27788">
        <v>6005909021</v>
      </c>
      <c r="B27788" t="s">
        <v>8971</v>
      </c>
    </row>
    <row r="27789" spans="1:2" x14ac:dyDescent="0.25">
      <c r="A27789">
        <v>60059090211</v>
      </c>
      <c r="B27789" t="s">
        <v>8572</v>
      </c>
    </row>
    <row r="27790" spans="1:2" x14ac:dyDescent="0.25">
      <c r="A27790">
        <v>60059090212</v>
      </c>
      <c r="B27790" t="s">
        <v>8568</v>
      </c>
    </row>
    <row r="27791" spans="1:2" x14ac:dyDescent="0.25">
      <c r="A27791">
        <v>60059090213</v>
      </c>
      <c r="B27791" t="s">
        <v>8573</v>
      </c>
    </row>
    <row r="27792" spans="1:2" x14ac:dyDescent="0.25">
      <c r="A27792">
        <v>60059090214</v>
      </c>
      <c r="B27792" t="s">
        <v>8928</v>
      </c>
    </row>
    <row r="27793" spans="1:2" x14ac:dyDescent="0.25">
      <c r="A27793">
        <v>60059090215</v>
      </c>
      <c r="B27793" t="s">
        <v>8929</v>
      </c>
    </row>
    <row r="27794" spans="1:2" x14ac:dyDescent="0.25">
      <c r="A27794">
        <v>60059090216</v>
      </c>
      <c r="B27794" t="s">
        <v>8930</v>
      </c>
    </row>
    <row r="27795" spans="1:2" x14ac:dyDescent="0.25">
      <c r="A27795">
        <v>60059090217</v>
      </c>
      <c r="B27795" t="s">
        <v>8972</v>
      </c>
    </row>
    <row r="27796" spans="1:2" x14ac:dyDescent="0.25">
      <c r="A27796">
        <v>60059090219</v>
      </c>
      <c r="B27796" t="s">
        <v>10</v>
      </c>
    </row>
    <row r="27797" spans="1:2" x14ac:dyDescent="0.25">
      <c r="A27797">
        <v>6005909029</v>
      </c>
      <c r="B27797" t="s">
        <v>10</v>
      </c>
    </row>
    <row r="27798" spans="1:2" x14ac:dyDescent="0.25">
      <c r="A27798">
        <v>60059090291</v>
      </c>
      <c r="B27798" t="s">
        <v>8572</v>
      </c>
    </row>
    <row r="27799" spans="1:2" x14ac:dyDescent="0.25">
      <c r="A27799">
        <v>60059090292</v>
      </c>
      <c r="B27799" t="s">
        <v>8568</v>
      </c>
    </row>
    <row r="27800" spans="1:2" x14ac:dyDescent="0.25">
      <c r="A27800">
        <v>60059090293</v>
      </c>
      <c r="B27800" t="s">
        <v>8573</v>
      </c>
    </row>
    <row r="27801" spans="1:2" x14ac:dyDescent="0.25">
      <c r="A27801">
        <v>60059090294</v>
      </c>
      <c r="B27801" t="s">
        <v>8928</v>
      </c>
    </row>
    <row r="27802" spans="1:2" x14ac:dyDescent="0.25">
      <c r="A27802">
        <v>60059090295</v>
      </c>
      <c r="B27802" t="s">
        <v>8929</v>
      </c>
    </row>
    <row r="27803" spans="1:2" x14ac:dyDescent="0.25">
      <c r="A27803">
        <v>60059090296</v>
      </c>
      <c r="B27803" t="s">
        <v>8930</v>
      </c>
    </row>
    <row r="27804" spans="1:2" x14ac:dyDescent="0.25">
      <c r="A27804">
        <v>60059090297</v>
      </c>
      <c r="B27804" t="s">
        <v>8972</v>
      </c>
    </row>
    <row r="27805" spans="1:2" x14ac:dyDescent="0.25">
      <c r="A27805">
        <v>60059090299</v>
      </c>
      <c r="B27805" t="s">
        <v>10</v>
      </c>
    </row>
    <row r="27806" spans="1:2" x14ac:dyDescent="0.25">
      <c r="A27806">
        <v>600590903</v>
      </c>
      <c r="B27806" t="s">
        <v>8973</v>
      </c>
    </row>
    <row r="27807" spans="1:2" x14ac:dyDescent="0.25">
      <c r="A27807">
        <v>6005909031</v>
      </c>
      <c r="B27807" t="s">
        <v>8971</v>
      </c>
    </row>
    <row r="27808" spans="1:2" x14ac:dyDescent="0.25">
      <c r="A27808">
        <v>60059090311</v>
      </c>
      <c r="B27808" t="s">
        <v>8572</v>
      </c>
    </row>
    <row r="27809" spans="1:2" x14ac:dyDescent="0.25">
      <c r="A27809">
        <v>60059090312</v>
      </c>
      <c r="B27809" t="s">
        <v>8568</v>
      </c>
    </row>
    <row r="27810" spans="1:2" x14ac:dyDescent="0.25">
      <c r="A27810">
        <v>60059090313</v>
      </c>
      <c r="B27810" t="s">
        <v>8573</v>
      </c>
    </row>
    <row r="27811" spans="1:2" x14ac:dyDescent="0.25">
      <c r="A27811">
        <v>60059090314</v>
      </c>
      <c r="B27811" t="s">
        <v>8928</v>
      </c>
    </row>
    <row r="27812" spans="1:2" x14ac:dyDescent="0.25">
      <c r="A27812">
        <v>60059090315</v>
      </c>
      <c r="B27812" t="s">
        <v>8929</v>
      </c>
    </row>
    <row r="27813" spans="1:2" x14ac:dyDescent="0.25">
      <c r="A27813">
        <v>60059090316</v>
      </c>
      <c r="B27813" t="s">
        <v>8930</v>
      </c>
    </row>
    <row r="27814" spans="1:2" x14ac:dyDescent="0.25">
      <c r="A27814">
        <v>60059090317</v>
      </c>
      <c r="B27814" t="s">
        <v>8972</v>
      </c>
    </row>
    <row r="27815" spans="1:2" x14ac:dyDescent="0.25">
      <c r="A27815">
        <v>60059090319</v>
      </c>
      <c r="B27815" t="s">
        <v>10</v>
      </c>
    </row>
    <row r="27816" spans="1:2" x14ac:dyDescent="0.25">
      <c r="A27816">
        <v>6005909039</v>
      </c>
      <c r="B27816" t="s">
        <v>10</v>
      </c>
    </row>
    <row r="27817" spans="1:2" x14ac:dyDescent="0.25">
      <c r="A27817">
        <v>60059090391</v>
      </c>
      <c r="B27817" t="s">
        <v>8572</v>
      </c>
    </row>
    <row r="27818" spans="1:2" x14ac:dyDescent="0.25">
      <c r="A27818">
        <v>60059090392</v>
      </c>
      <c r="B27818" t="s">
        <v>8568</v>
      </c>
    </row>
    <row r="27819" spans="1:2" x14ac:dyDescent="0.25">
      <c r="A27819">
        <v>60059090393</v>
      </c>
      <c r="B27819" t="s">
        <v>8573</v>
      </c>
    </row>
    <row r="27820" spans="1:2" x14ac:dyDescent="0.25">
      <c r="A27820">
        <v>60059090394</v>
      </c>
      <c r="B27820" t="s">
        <v>8928</v>
      </c>
    </row>
    <row r="27821" spans="1:2" x14ac:dyDescent="0.25">
      <c r="A27821">
        <v>60059090395</v>
      </c>
      <c r="B27821" t="s">
        <v>8929</v>
      </c>
    </row>
    <row r="27822" spans="1:2" x14ac:dyDescent="0.25">
      <c r="A27822">
        <v>60059090396</v>
      </c>
      <c r="B27822" t="s">
        <v>8930</v>
      </c>
    </row>
    <row r="27823" spans="1:2" x14ac:dyDescent="0.25">
      <c r="A27823">
        <v>60059090397</v>
      </c>
      <c r="B27823" t="s">
        <v>8972</v>
      </c>
    </row>
    <row r="27824" spans="1:2" x14ac:dyDescent="0.25">
      <c r="A27824">
        <v>60059090399</v>
      </c>
      <c r="B27824" t="s">
        <v>10</v>
      </c>
    </row>
    <row r="27825" spans="1:2" x14ac:dyDescent="0.25">
      <c r="A27825">
        <v>600590904</v>
      </c>
      <c r="B27825" t="s">
        <v>8561</v>
      </c>
    </row>
    <row r="27826" spans="1:2" x14ac:dyDescent="0.25">
      <c r="A27826">
        <v>6005909041</v>
      </c>
      <c r="B27826" t="s">
        <v>8974</v>
      </c>
    </row>
    <row r="27827" spans="1:2" x14ac:dyDescent="0.25">
      <c r="A27827">
        <v>60059090411</v>
      </c>
      <c r="B27827" t="s">
        <v>8572</v>
      </c>
    </row>
    <row r="27828" spans="1:2" x14ac:dyDescent="0.25">
      <c r="A27828">
        <v>60059090412</v>
      </c>
      <c r="B27828" t="s">
        <v>8568</v>
      </c>
    </row>
    <row r="27829" spans="1:2" x14ac:dyDescent="0.25">
      <c r="A27829">
        <v>60059090413</v>
      </c>
      <c r="B27829" t="s">
        <v>8573</v>
      </c>
    </row>
    <row r="27830" spans="1:2" x14ac:dyDescent="0.25">
      <c r="A27830">
        <v>60059090414</v>
      </c>
      <c r="B27830" t="s">
        <v>8928</v>
      </c>
    </row>
    <row r="27831" spans="1:2" x14ac:dyDescent="0.25">
      <c r="A27831">
        <v>60059090415</v>
      </c>
      <c r="B27831" t="s">
        <v>8929</v>
      </c>
    </row>
    <row r="27832" spans="1:2" x14ac:dyDescent="0.25">
      <c r="A27832">
        <v>60059090416</v>
      </c>
      <c r="B27832" t="s">
        <v>8930</v>
      </c>
    </row>
    <row r="27833" spans="1:2" x14ac:dyDescent="0.25">
      <c r="A27833">
        <v>60059090417</v>
      </c>
      <c r="B27833" t="s">
        <v>8972</v>
      </c>
    </row>
    <row r="27834" spans="1:2" x14ac:dyDescent="0.25">
      <c r="A27834">
        <v>60059090419</v>
      </c>
      <c r="B27834" t="s">
        <v>10</v>
      </c>
    </row>
    <row r="27835" spans="1:2" x14ac:dyDescent="0.25">
      <c r="A27835">
        <v>6005909049</v>
      </c>
      <c r="B27835" t="s">
        <v>10</v>
      </c>
    </row>
    <row r="27836" spans="1:2" x14ac:dyDescent="0.25">
      <c r="A27836">
        <v>60059090491</v>
      </c>
      <c r="B27836" t="s">
        <v>8572</v>
      </c>
    </row>
    <row r="27837" spans="1:2" x14ac:dyDescent="0.25">
      <c r="A27837">
        <v>60059090492</v>
      </c>
      <c r="B27837" t="s">
        <v>8568</v>
      </c>
    </row>
    <row r="27838" spans="1:2" x14ac:dyDescent="0.25">
      <c r="A27838">
        <v>60059090493</v>
      </c>
      <c r="B27838" t="s">
        <v>8573</v>
      </c>
    </row>
    <row r="27839" spans="1:2" x14ac:dyDescent="0.25">
      <c r="A27839">
        <v>60059090494</v>
      </c>
      <c r="B27839" t="s">
        <v>8928</v>
      </c>
    </row>
    <row r="27840" spans="1:2" x14ac:dyDescent="0.25">
      <c r="A27840">
        <v>60059090495</v>
      </c>
      <c r="B27840" t="s">
        <v>8929</v>
      </c>
    </row>
    <row r="27841" spans="1:2" x14ac:dyDescent="0.25">
      <c r="A27841">
        <v>60059090496</v>
      </c>
      <c r="B27841" t="s">
        <v>8930</v>
      </c>
    </row>
    <row r="27842" spans="1:2" x14ac:dyDescent="0.25">
      <c r="A27842">
        <v>60059090497</v>
      </c>
      <c r="B27842" t="s">
        <v>8972</v>
      </c>
    </row>
    <row r="27843" spans="1:2" x14ac:dyDescent="0.25">
      <c r="A27843">
        <v>60059090499</v>
      </c>
      <c r="B27843" t="s">
        <v>10</v>
      </c>
    </row>
    <row r="27844" spans="1:2" x14ac:dyDescent="0.25">
      <c r="A27844">
        <v>6006</v>
      </c>
      <c r="B27844" t="s">
        <v>8975</v>
      </c>
    </row>
    <row r="27845" spans="1:2" x14ac:dyDescent="0.25">
      <c r="A27845">
        <v>60061000000</v>
      </c>
      <c r="B27845" t="e">
        <f>-de lana o Pelo fino</f>
        <v>#NAME?</v>
      </c>
    </row>
    <row r="27846" spans="1:2" x14ac:dyDescent="0.25">
      <c r="A27846">
        <v>60062</v>
      </c>
      <c r="B27846" t="s">
        <v>8878</v>
      </c>
    </row>
    <row r="27847" spans="1:2" x14ac:dyDescent="0.25">
      <c r="A27847">
        <v>60062100</v>
      </c>
      <c r="B27847" t="e">
        <f>- - crudos o Blanqueados</f>
        <v>#NAME?</v>
      </c>
    </row>
    <row r="27848" spans="1:2" x14ac:dyDescent="0.25">
      <c r="A27848">
        <v>60062100100</v>
      </c>
      <c r="B27848" t="s">
        <v>8960</v>
      </c>
    </row>
    <row r="27849" spans="1:2" x14ac:dyDescent="0.25">
      <c r="A27849">
        <v>60062100900</v>
      </c>
      <c r="B27849" t="s">
        <v>10</v>
      </c>
    </row>
    <row r="27850" spans="1:2" x14ac:dyDescent="0.25">
      <c r="A27850">
        <v>60062200</v>
      </c>
      <c r="B27850" t="e">
        <f>- - Teñidos</f>
        <v>#NAME?</v>
      </c>
    </row>
    <row r="27851" spans="1:2" x14ac:dyDescent="0.25">
      <c r="A27851">
        <v>60062200100</v>
      </c>
      <c r="B27851" t="s">
        <v>8960</v>
      </c>
    </row>
    <row r="27852" spans="1:2" x14ac:dyDescent="0.25">
      <c r="A27852">
        <v>60062200900</v>
      </c>
      <c r="B27852" t="s">
        <v>10</v>
      </c>
    </row>
    <row r="27853" spans="1:2" x14ac:dyDescent="0.25">
      <c r="A27853">
        <v>60062300</v>
      </c>
      <c r="B27853" t="e">
        <f>- - Con hilados de distintos colores</f>
        <v>#NAME?</v>
      </c>
    </row>
    <row r="27854" spans="1:2" x14ac:dyDescent="0.25">
      <c r="A27854">
        <v>60062300100</v>
      </c>
      <c r="B27854" t="s">
        <v>8960</v>
      </c>
    </row>
    <row r="27855" spans="1:2" x14ac:dyDescent="0.25">
      <c r="A27855">
        <v>60062300900</v>
      </c>
      <c r="B27855" t="s">
        <v>10</v>
      </c>
    </row>
    <row r="27856" spans="1:2" x14ac:dyDescent="0.25">
      <c r="A27856">
        <v>60062400</v>
      </c>
      <c r="B27856" t="e">
        <f>- - Estampados</f>
        <v>#NAME?</v>
      </c>
    </row>
    <row r="27857" spans="1:2" x14ac:dyDescent="0.25">
      <c r="A27857">
        <v>60062400100</v>
      </c>
      <c r="B27857" t="s">
        <v>8960</v>
      </c>
    </row>
    <row r="27858" spans="1:2" x14ac:dyDescent="0.25">
      <c r="A27858">
        <v>60062400900</v>
      </c>
      <c r="B27858" t="s">
        <v>10</v>
      </c>
    </row>
    <row r="27859" spans="1:2" x14ac:dyDescent="0.25">
      <c r="A27859">
        <v>60063</v>
      </c>
      <c r="B27859" t="s">
        <v>8968</v>
      </c>
    </row>
    <row r="27860" spans="1:2" x14ac:dyDescent="0.25">
      <c r="A27860">
        <v>600631</v>
      </c>
      <c r="B27860" t="e">
        <f>- - crudos o Blanqueados</f>
        <v>#NAME?</v>
      </c>
    </row>
    <row r="27861" spans="1:2" x14ac:dyDescent="0.25">
      <c r="A27861">
        <v>60063110000</v>
      </c>
      <c r="B27861" t="s">
        <v>8577</v>
      </c>
    </row>
    <row r="27862" spans="1:2" x14ac:dyDescent="0.25">
      <c r="A27862">
        <v>60063120000</v>
      </c>
      <c r="B27862" t="s">
        <v>6664</v>
      </c>
    </row>
    <row r="27863" spans="1:2" x14ac:dyDescent="0.25">
      <c r="A27863">
        <v>60063130000</v>
      </c>
      <c r="B27863" t="s">
        <v>8976</v>
      </c>
    </row>
    <row r="27864" spans="1:2" x14ac:dyDescent="0.25">
      <c r="A27864">
        <v>60063190000</v>
      </c>
      <c r="B27864" t="s">
        <v>10</v>
      </c>
    </row>
    <row r="27865" spans="1:2" x14ac:dyDescent="0.25">
      <c r="A27865">
        <v>600632</v>
      </c>
      <c r="B27865" t="e">
        <f>- - Teñidos</f>
        <v>#NAME?</v>
      </c>
    </row>
    <row r="27866" spans="1:2" x14ac:dyDescent="0.25">
      <c r="A27866">
        <v>60063210000</v>
      </c>
      <c r="B27866" t="s">
        <v>8577</v>
      </c>
    </row>
    <row r="27867" spans="1:2" x14ac:dyDescent="0.25">
      <c r="A27867">
        <v>60063220000</v>
      </c>
      <c r="B27867" t="s">
        <v>6664</v>
      </c>
    </row>
    <row r="27868" spans="1:2" x14ac:dyDescent="0.25">
      <c r="A27868">
        <v>60063230000</v>
      </c>
      <c r="B27868" t="s">
        <v>8976</v>
      </c>
    </row>
    <row r="27869" spans="1:2" x14ac:dyDescent="0.25">
      <c r="A27869">
        <v>60063290000</v>
      </c>
      <c r="B27869" t="s">
        <v>10</v>
      </c>
    </row>
    <row r="27870" spans="1:2" x14ac:dyDescent="0.25">
      <c r="A27870">
        <v>600633</v>
      </c>
      <c r="B27870" t="e">
        <f>- - Con hilados de distintos colores</f>
        <v>#NAME?</v>
      </c>
    </row>
    <row r="27871" spans="1:2" x14ac:dyDescent="0.25">
      <c r="A27871">
        <v>60063310000</v>
      </c>
      <c r="B27871" t="s">
        <v>8577</v>
      </c>
    </row>
    <row r="27872" spans="1:2" x14ac:dyDescent="0.25">
      <c r="A27872">
        <v>60063320000</v>
      </c>
      <c r="B27872" t="s">
        <v>6664</v>
      </c>
    </row>
    <row r="27873" spans="1:2" x14ac:dyDescent="0.25">
      <c r="A27873">
        <v>60063330000</v>
      </c>
      <c r="B27873" t="s">
        <v>8976</v>
      </c>
    </row>
    <row r="27874" spans="1:2" x14ac:dyDescent="0.25">
      <c r="A27874">
        <v>60063390000</v>
      </c>
      <c r="B27874" t="s">
        <v>10</v>
      </c>
    </row>
    <row r="27875" spans="1:2" x14ac:dyDescent="0.25">
      <c r="A27875">
        <v>600634</v>
      </c>
      <c r="B27875" t="e">
        <f>- - Estampados</f>
        <v>#NAME?</v>
      </c>
    </row>
    <row r="27876" spans="1:2" x14ac:dyDescent="0.25">
      <c r="A27876">
        <v>60063410000</v>
      </c>
      <c r="B27876" t="s">
        <v>8577</v>
      </c>
    </row>
    <row r="27877" spans="1:2" x14ac:dyDescent="0.25">
      <c r="A27877">
        <v>60063420000</v>
      </c>
      <c r="B27877" t="s">
        <v>6664</v>
      </c>
    </row>
    <row r="27878" spans="1:2" x14ac:dyDescent="0.25">
      <c r="A27878">
        <v>60063430000</v>
      </c>
      <c r="B27878" t="s">
        <v>8976</v>
      </c>
    </row>
    <row r="27879" spans="1:2" x14ac:dyDescent="0.25">
      <c r="A27879">
        <v>60063490000</v>
      </c>
      <c r="B27879" t="s">
        <v>10</v>
      </c>
    </row>
    <row r="27880" spans="1:2" x14ac:dyDescent="0.25">
      <c r="A27880">
        <v>60064</v>
      </c>
      <c r="B27880" t="s">
        <v>8970</v>
      </c>
    </row>
    <row r="27881" spans="1:2" x14ac:dyDescent="0.25">
      <c r="A27881">
        <v>60064100000</v>
      </c>
      <c r="B27881" t="e">
        <f>--crudos o Blanqueados</f>
        <v>#NAME?</v>
      </c>
    </row>
    <row r="27882" spans="1:2" x14ac:dyDescent="0.25">
      <c r="A27882">
        <v>60064200000</v>
      </c>
      <c r="B27882" t="e">
        <f>--Teñidos</f>
        <v>#NAME?</v>
      </c>
    </row>
    <row r="27883" spans="1:2" x14ac:dyDescent="0.25">
      <c r="A27883">
        <v>60064300000</v>
      </c>
      <c r="B27883" t="e">
        <f>--Con hilados de distintos colores</f>
        <v>#NAME?</v>
      </c>
    </row>
    <row r="27884" spans="1:2" x14ac:dyDescent="0.25">
      <c r="A27884">
        <v>60064400000</v>
      </c>
      <c r="B27884" t="e">
        <f>--Estampados</f>
        <v>#NAME?</v>
      </c>
    </row>
    <row r="27885" spans="1:2" x14ac:dyDescent="0.25">
      <c r="A27885">
        <v>60069000000</v>
      </c>
      <c r="B27885" t="e">
        <f>-Los demas</f>
        <v>#NAME?</v>
      </c>
    </row>
    <row r="27886" spans="1:2" x14ac:dyDescent="0.25">
      <c r="A27886">
        <v>6101</v>
      </c>
      <c r="B27886" t="s">
        <v>8977</v>
      </c>
    </row>
    <row r="27887" spans="1:2" x14ac:dyDescent="0.25">
      <c r="A27887">
        <v>61012000</v>
      </c>
      <c r="B27887" t="e">
        <f>- de algodon</f>
        <v>#NAME?</v>
      </c>
    </row>
    <row r="27888" spans="1:2" x14ac:dyDescent="0.25">
      <c r="A27888">
        <v>610120001</v>
      </c>
      <c r="B27888" t="s">
        <v>8978</v>
      </c>
    </row>
    <row r="27889" spans="1:2" x14ac:dyDescent="0.25">
      <c r="A27889">
        <v>6101200011</v>
      </c>
      <c r="B27889" t="s">
        <v>8979</v>
      </c>
    </row>
    <row r="27890" spans="1:2" x14ac:dyDescent="0.25">
      <c r="A27890">
        <v>61012000111</v>
      </c>
      <c r="B27890" t="s">
        <v>8980</v>
      </c>
    </row>
    <row r="27891" spans="1:2" x14ac:dyDescent="0.25">
      <c r="A27891">
        <v>61012000112</v>
      </c>
      <c r="B27891" t="s">
        <v>8981</v>
      </c>
    </row>
    <row r="27892" spans="1:2" x14ac:dyDescent="0.25">
      <c r="A27892">
        <v>61012000113</v>
      </c>
      <c r="B27892" t="s">
        <v>8982</v>
      </c>
    </row>
    <row r="27893" spans="1:2" x14ac:dyDescent="0.25">
      <c r="A27893">
        <v>61012000114</v>
      </c>
      <c r="B27893" t="s">
        <v>8983</v>
      </c>
    </row>
    <row r="27894" spans="1:2" x14ac:dyDescent="0.25">
      <c r="A27894">
        <v>61012000190</v>
      </c>
      <c r="B27894" t="s">
        <v>10</v>
      </c>
    </row>
    <row r="27895" spans="1:2" x14ac:dyDescent="0.25">
      <c r="A27895">
        <v>610120002</v>
      </c>
      <c r="B27895" t="s">
        <v>8984</v>
      </c>
    </row>
    <row r="27896" spans="1:2" x14ac:dyDescent="0.25">
      <c r="A27896">
        <v>6101200021</v>
      </c>
      <c r="B27896" t="s">
        <v>8979</v>
      </c>
    </row>
    <row r="27897" spans="1:2" x14ac:dyDescent="0.25">
      <c r="A27897">
        <v>61012000211</v>
      </c>
      <c r="B27897" t="s">
        <v>8980</v>
      </c>
    </row>
    <row r="27898" spans="1:2" x14ac:dyDescent="0.25">
      <c r="A27898">
        <v>61012000212</v>
      </c>
      <c r="B27898" t="s">
        <v>8981</v>
      </c>
    </row>
    <row r="27899" spans="1:2" x14ac:dyDescent="0.25">
      <c r="A27899">
        <v>61012000213</v>
      </c>
      <c r="B27899" t="s">
        <v>8982</v>
      </c>
    </row>
    <row r="27900" spans="1:2" x14ac:dyDescent="0.25">
      <c r="A27900">
        <v>61012000214</v>
      </c>
      <c r="B27900" t="s">
        <v>8983</v>
      </c>
    </row>
    <row r="27901" spans="1:2" x14ac:dyDescent="0.25">
      <c r="A27901">
        <v>61012000290</v>
      </c>
      <c r="B27901" t="s">
        <v>10</v>
      </c>
    </row>
    <row r="27902" spans="1:2" x14ac:dyDescent="0.25">
      <c r="A27902">
        <v>61013000</v>
      </c>
      <c r="B27902" t="e">
        <f>- de fibras sinteticas o artificiales</f>
        <v>#NAME?</v>
      </c>
    </row>
    <row r="27903" spans="1:2" x14ac:dyDescent="0.25">
      <c r="A27903">
        <v>610130001</v>
      </c>
      <c r="B27903" t="s">
        <v>8978</v>
      </c>
    </row>
    <row r="27904" spans="1:2" x14ac:dyDescent="0.25">
      <c r="A27904">
        <v>6101300011</v>
      </c>
      <c r="B27904" t="s">
        <v>8979</v>
      </c>
    </row>
    <row r="27905" spans="1:2" x14ac:dyDescent="0.25">
      <c r="A27905">
        <v>61013000111</v>
      </c>
      <c r="B27905" t="s">
        <v>8980</v>
      </c>
    </row>
    <row r="27906" spans="1:2" x14ac:dyDescent="0.25">
      <c r="A27906">
        <v>61013000112</v>
      </c>
      <c r="B27906" t="s">
        <v>8981</v>
      </c>
    </row>
    <row r="27907" spans="1:2" x14ac:dyDescent="0.25">
      <c r="A27907">
        <v>61013000113</v>
      </c>
      <c r="B27907" t="s">
        <v>8982</v>
      </c>
    </row>
    <row r="27908" spans="1:2" x14ac:dyDescent="0.25">
      <c r="A27908">
        <v>61013000114</v>
      </c>
      <c r="B27908" t="s">
        <v>8983</v>
      </c>
    </row>
    <row r="27909" spans="1:2" x14ac:dyDescent="0.25">
      <c r="A27909">
        <v>61013000190</v>
      </c>
      <c r="B27909" t="s">
        <v>10</v>
      </c>
    </row>
    <row r="27910" spans="1:2" x14ac:dyDescent="0.25">
      <c r="A27910">
        <v>610130002</v>
      </c>
      <c r="B27910" t="s">
        <v>8984</v>
      </c>
    </row>
    <row r="27911" spans="1:2" x14ac:dyDescent="0.25">
      <c r="A27911">
        <v>6101300021</v>
      </c>
      <c r="B27911" t="s">
        <v>8979</v>
      </c>
    </row>
    <row r="27912" spans="1:2" x14ac:dyDescent="0.25">
      <c r="A27912">
        <v>61013000211</v>
      </c>
      <c r="B27912" t="s">
        <v>8980</v>
      </c>
    </row>
    <row r="27913" spans="1:2" x14ac:dyDescent="0.25">
      <c r="A27913">
        <v>61013000212</v>
      </c>
      <c r="B27913" t="s">
        <v>8981</v>
      </c>
    </row>
    <row r="27914" spans="1:2" x14ac:dyDescent="0.25">
      <c r="A27914">
        <v>61013000213</v>
      </c>
      <c r="B27914" t="s">
        <v>8982</v>
      </c>
    </row>
    <row r="27915" spans="1:2" x14ac:dyDescent="0.25">
      <c r="A27915">
        <v>61013000214</v>
      </c>
      <c r="B27915" t="s">
        <v>8983</v>
      </c>
    </row>
    <row r="27916" spans="1:2" x14ac:dyDescent="0.25">
      <c r="A27916">
        <v>61013000290</v>
      </c>
      <c r="B27916" t="s">
        <v>10</v>
      </c>
    </row>
    <row r="27917" spans="1:2" x14ac:dyDescent="0.25">
      <c r="A27917">
        <v>610190</v>
      </c>
      <c r="B27917" t="e">
        <f>- de las demas materias textiles</f>
        <v>#NAME?</v>
      </c>
    </row>
    <row r="27918" spans="1:2" x14ac:dyDescent="0.25">
      <c r="A27918">
        <v>61019010</v>
      </c>
      <c r="B27918" t="s">
        <v>8835</v>
      </c>
    </row>
    <row r="27919" spans="1:2" x14ac:dyDescent="0.25">
      <c r="A27919">
        <v>610190101</v>
      </c>
      <c r="B27919" t="s">
        <v>1390</v>
      </c>
    </row>
    <row r="27920" spans="1:2" x14ac:dyDescent="0.25">
      <c r="A27920">
        <v>6101901011</v>
      </c>
      <c r="B27920" t="s">
        <v>8979</v>
      </c>
    </row>
    <row r="27921" spans="1:2" x14ac:dyDescent="0.25">
      <c r="A27921">
        <v>61019010111</v>
      </c>
      <c r="B27921" t="s">
        <v>8980</v>
      </c>
    </row>
    <row r="27922" spans="1:2" x14ac:dyDescent="0.25">
      <c r="A27922">
        <v>61019010112</v>
      </c>
      <c r="B27922" t="s">
        <v>8981</v>
      </c>
    </row>
    <row r="27923" spans="1:2" x14ac:dyDescent="0.25">
      <c r="A27923">
        <v>61019010113</v>
      </c>
      <c r="B27923" t="s">
        <v>8982</v>
      </c>
    </row>
    <row r="27924" spans="1:2" x14ac:dyDescent="0.25">
      <c r="A27924">
        <v>61019010114</v>
      </c>
      <c r="B27924" t="s">
        <v>8983</v>
      </c>
    </row>
    <row r="27925" spans="1:2" x14ac:dyDescent="0.25">
      <c r="A27925">
        <v>61019010190</v>
      </c>
      <c r="B27925" t="s">
        <v>10</v>
      </c>
    </row>
    <row r="27926" spans="1:2" x14ac:dyDescent="0.25">
      <c r="A27926">
        <v>610190102</v>
      </c>
      <c r="B27926" t="s">
        <v>8984</v>
      </c>
    </row>
    <row r="27927" spans="1:2" x14ac:dyDescent="0.25">
      <c r="A27927">
        <v>6101901021</v>
      </c>
      <c r="B27927" t="s">
        <v>8979</v>
      </c>
    </row>
    <row r="27928" spans="1:2" x14ac:dyDescent="0.25">
      <c r="A27928">
        <v>61019010211</v>
      </c>
      <c r="B27928" t="s">
        <v>8980</v>
      </c>
    </row>
    <row r="27929" spans="1:2" x14ac:dyDescent="0.25">
      <c r="A27929">
        <v>61019010212</v>
      </c>
      <c r="B27929" t="s">
        <v>8981</v>
      </c>
    </row>
    <row r="27930" spans="1:2" x14ac:dyDescent="0.25">
      <c r="A27930">
        <v>61019010213</v>
      </c>
      <c r="B27930" t="s">
        <v>8982</v>
      </c>
    </row>
    <row r="27931" spans="1:2" x14ac:dyDescent="0.25">
      <c r="A27931">
        <v>61019010214</v>
      </c>
      <c r="B27931" t="s">
        <v>8983</v>
      </c>
    </row>
    <row r="27932" spans="1:2" x14ac:dyDescent="0.25">
      <c r="A27932">
        <v>61019010290</v>
      </c>
      <c r="B27932" t="s">
        <v>10</v>
      </c>
    </row>
    <row r="27933" spans="1:2" x14ac:dyDescent="0.25">
      <c r="A27933">
        <v>61019090</v>
      </c>
      <c r="B27933" t="s">
        <v>10</v>
      </c>
    </row>
    <row r="27934" spans="1:2" x14ac:dyDescent="0.25">
      <c r="A27934">
        <v>610190901</v>
      </c>
      <c r="B27934" t="s">
        <v>8978</v>
      </c>
    </row>
    <row r="27935" spans="1:2" x14ac:dyDescent="0.25">
      <c r="A27935">
        <v>6101909011</v>
      </c>
      <c r="B27935" t="s">
        <v>8979</v>
      </c>
    </row>
    <row r="27936" spans="1:2" x14ac:dyDescent="0.25">
      <c r="A27936">
        <v>61019090111</v>
      </c>
      <c r="B27936" t="s">
        <v>8980</v>
      </c>
    </row>
    <row r="27937" spans="1:2" x14ac:dyDescent="0.25">
      <c r="A27937">
        <v>61019090112</v>
      </c>
      <c r="B27937" t="s">
        <v>8981</v>
      </c>
    </row>
    <row r="27938" spans="1:2" x14ac:dyDescent="0.25">
      <c r="A27938">
        <v>61019090113</v>
      </c>
      <c r="B27938" t="s">
        <v>8982</v>
      </c>
    </row>
    <row r="27939" spans="1:2" x14ac:dyDescent="0.25">
      <c r="A27939">
        <v>61019090114</v>
      </c>
      <c r="B27939" t="s">
        <v>8983</v>
      </c>
    </row>
    <row r="27940" spans="1:2" x14ac:dyDescent="0.25">
      <c r="A27940">
        <v>61019090190</v>
      </c>
      <c r="B27940" t="s">
        <v>10</v>
      </c>
    </row>
    <row r="27941" spans="1:2" x14ac:dyDescent="0.25">
      <c r="A27941">
        <v>610190902</v>
      </c>
      <c r="B27941" t="s">
        <v>8984</v>
      </c>
    </row>
    <row r="27942" spans="1:2" x14ac:dyDescent="0.25">
      <c r="A27942">
        <v>6101909021</v>
      </c>
      <c r="B27942" t="s">
        <v>8979</v>
      </c>
    </row>
    <row r="27943" spans="1:2" x14ac:dyDescent="0.25">
      <c r="A27943">
        <v>61019090211</v>
      </c>
      <c r="B27943" t="s">
        <v>8980</v>
      </c>
    </row>
    <row r="27944" spans="1:2" x14ac:dyDescent="0.25">
      <c r="A27944">
        <v>61019090212</v>
      </c>
      <c r="B27944" t="s">
        <v>8981</v>
      </c>
    </row>
    <row r="27945" spans="1:2" x14ac:dyDescent="0.25">
      <c r="A27945">
        <v>61019090213</v>
      </c>
      <c r="B27945" t="s">
        <v>8982</v>
      </c>
    </row>
    <row r="27946" spans="1:2" x14ac:dyDescent="0.25">
      <c r="A27946">
        <v>61019090214</v>
      </c>
      <c r="B27946" t="s">
        <v>8983</v>
      </c>
    </row>
    <row r="27947" spans="1:2" x14ac:dyDescent="0.25">
      <c r="A27947">
        <v>61019090290</v>
      </c>
      <c r="B27947" t="s">
        <v>10</v>
      </c>
    </row>
    <row r="27948" spans="1:2" x14ac:dyDescent="0.25">
      <c r="A27948">
        <v>6102</v>
      </c>
      <c r="B27948" t="s">
        <v>8985</v>
      </c>
    </row>
    <row r="27949" spans="1:2" x14ac:dyDescent="0.25">
      <c r="A27949">
        <v>61021000</v>
      </c>
      <c r="B27949" t="e">
        <f>- de lana o Pelo fino</f>
        <v>#NAME?</v>
      </c>
    </row>
    <row r="27950" spans="1:2" x14ac:dyDescent="0.25">
      <c r="A27950">
        <v>610210001</v>
      </c>
      <c r="B27950" t="s">
        <v>8978</v>
      </c>
    </row>
    <row r="27951" spans="1:2" x14ac:dyDescent="0.25">
      <c r="A27951">
        <v>6102100011</v>
      </c>
      <c r="B27951" t="s">
        <v>8979</v>
      </c>
    </row>
    <row r="27952" spans="1:2" x14ac:dyDescent="0.25">
      <c r="A27952">
        <v>61021000111</v>
      </c>
      <c r="B27952" t="s">
        <v>8986</v>
      </c>
    </row>
    <row r="27953" spans="1:2" x14ac:dyDescent="0.25">
      <c r="A27953">
        <v>61021000112</v>
      </c>
      <c r="B27953" t="s">
        <v>8981</v>
      </c>
    </row>
    <row r="27954" spans="1:2" x14ac:dyDescent="0.25">
      <c r="A27954">
        <v>61021000113</v>
      </c>
      <c r="B27954" t="s">
        <v>8982</v>
      </c>
    </row>
    <row r="27955" spans="1:2" x14ac:dyDescent="0.25">
      <c r="A27955">
        <v>61021000114</v>
      </c>
      <c r="B27955" t="s">
        <v>8983</v>
      </c>
    </row>
    <row r="27956" spans="1:2" x14ac:dyDescent="0.25">
      <c r="A27956">
        <v>61021000190</v>
      </c>
      <c r="B27956" t="s">
        <v>10</v>
      </c>
    </row>
    <row r="27957" spans="1:2" x14ac:dyDescent="0.25">
      <c r="A27957">
        <v>610210002</v>
      </c>
      <c r="B27957" t="s">
        <v>8984</v>
      </c>
    </row>
    <row r="27958" spans="1:2" x14ac:dyDescent="0.25">
      <c r="A27958">
        <v>6102100021</v>
      </c>
      <c r="B27958" t="s">
        <v>8979</v>
      </c>
    </row>
    <row r="27959" spans="1:2" x14ac:dyDescent="0.25">
      <c r="A27959">
        <v>61021000211</v>
      </c>
      <c r="B27959" t="s">
        <v>8986</v>
      </c>
    </row>
    <row r="27960" spans="1:2" x14ac:dyDescent="0.25">
      <c r="A27960">
        <v>61021000212</v>
      </c>
      <c r="B27960" t="s">
        <v>8981</v>
      </c>
    </row>
    <row r="27961" spans="1:2" x14ac:dyDescent="0.25">
      <c r="A27961">
        <v>61021000213</v>
      </c>
      <c r="B27961" t="s">
        <v>8982</v>
      </c>
    </row>
    <row r="27962" spans="1:2" x14ac:dyDescent="0.25">
      <c r="A27962">
        <v>61021000214</v>
      </c>
      <c r="B27962" t="s">
        <v>8983</v>
      </c>
    </row>
    <row r="27963" spans="1:2" x14ac:dyDescent="0.25">
      <c r="A27963">
        <v>61021000290</v>
      </c>
      <c r="B27963" t="s">
        <v>10</v>
      </c>
    </row>
    <row r="27964" spans="1:2" x14ac:dyDescent="0.25">
      <c r="A27964">
        <v>61022000</v>
      </c>
      <c r="B27964" t="e">
        <f>- de algodon</f>
        <v>#NAME?</v>
      </c>
    </row>
    <row r="27965" spans="1:2" x14ac:dyDescent="0.25">
      <c r="A27965">
        <v>610220001</v>
      </c>
      <c r="B27965" t="s">
        <v>8978</v>
      </c>
    </row>
    <row r="27966" spans="1:2" x14ac:dyDescent="0.25">
      <c r="A27966">
        <v>6102200011</v>
      </c>
      <c r="B27966" t="s">
        <v>8979</v>
      </c>
    </row>
    <row r="27967" spans="1:2" x14ac:dyDescent="0.25">
      <c r="A27967">
        <v>61022000111</v>
      </c>
      <c r="B27967" t="s">
        <v>8986</v>
      </c>
    </row>
    <row r="27968" spans="1:2" x14ac:dyDescent="0.25">
      <c r="A27968">
        <v>61022000112</v>
      </c>
      <c r="B27968" t="s">
        <v>8981</v>
      </c>
    </row>
    <row r="27969" spans="1:2" x14ac:dyDescent="0.25">
      <c r="A27969">
        <v>61022000113</v>
      </c>
      <c r="B27969" t="s">
        <v>8982</v>
      </c>
    </row>
    <row r="27970" spans="1:2" x14ac:dyDescent="0.25">
      <c r="A27970">
        <v>61022000114</v>
      </c>
      <c r="B27970" t="s">
        <v>8983</v>
      </c>
    </row>
    <row r="27971" spans="1:2" x14ac:dyDescent="0.25">
      <c r="A27971">
        <v>61022000190</v>
      </c>
      <c r="B27971" t="s">
        <v>10</v>
      </c>
    </row>
    <row r="27972" spans="1:2" x14ac:dyDescent="0.25">
      <c r="A27972">
        <v>610220002</v>
      </c>
      <c r="B27972" t="s">
        <v>8984</v>
      </c>
    </row>
    <row r="27973" spans="1:2" x14ac:dyDescent="0.25">
      <c r="A27973">
        <v>6102200021</v>
      </c>
      <c r="B27973" t="s">
        <v>8979</v>
      </c>
    </row>
    <row r="27974" spans="1:2" x14ac:dyDescent="0.25">
      <c r="A27974">
        <v>61022000211</v>
      </c>
      <c r="B27974" t="s">
        <v>8986</v>
      </c>
    </row>
    <row r="27975" spans="1:2" x14ac:dyDescent="0.25">
      <c r="A27975">
        <v>61022000212</v>
      </c>
      <c r="B27975" t="s">
        <v>8981</v>
      </c>
    </row>
    <row r="27976" spans="1:2" x14ac:dyDescent="0.25">
      <c r="A27976">
        <v>61022000213</v>
      </c>
      <c r="B27976" t="s">
        <v>8982</v>
      </c>
    </row>
    <row r="27977" spans="1:2" x14ac:dyDescent="0.25">
      <c r="A27977">
        <v>61022000214</v>
      </c>
      <c r="B27977" t="s">
        <v>8983</v>
      </c>
    </row>
    <row r="27978" spans="1:2" x14ac:dyDescent="0.25">
      <c r="A27978">
        <v>61022000290</v>
      </c>
      <c r="B27978" t="s">
        <v>10</v>
      </c>
    </row>
    <row r="27979" spans="1:2" x14ac:dyDescent="0.25">
      <c r="A27979">
        <v>61023000</v>
      </c>
      <c r="B27979" t="e">
        <f>- de fibras sinteticas o artificiales</f>
        <v>#NAME?</v>
      </c>
    </row>
    <row r="27980" spans="1:2" x14ac:dyDescent="0.25">
      <c r="A27980">
        <v>610230001</v>
      </c>
      <c r="B27980" t="s">
        <v>8978</v>
      </c>
    </row>
    <row r="27981" spans="1:2" x14ac:dyDescent="0.25">
      <c r="A27981">
        <v>6102300011</v>
      </c>
      <c r="B27981" t="s">
        <v>8979</v>
      </c>
    </row>
    <row r="27982" spans="1:2" x14ac:dyDescent="0.25">
      <c r="A27982">
        <v>61023000111</v>
      </c>
      <c r="B27982" t="s">
        <v>8986</v>
      </c>
    </row>
    <row r="27983" spans="1:2" x14ac:dyDescent="0.25">
      <c r="A27983">
        <v>61023000112</v>
      </c>
      <c r="B27983" t="s">
        <v>8981</v>
      </c>
    </row>
    <row r="27984" spans="1:2" x14ac:dyDescent="0.25">
      <c r="A27984">
        <v>61023000113</v>
      </c>
      <c r="B27984" t="s">
        <v>8982</v>
      </c>
    </row>
    <row r="27985" spans="1:2" x14ac:dyDescent="0.25">
      <c r="A27985">
        <v>61023000114</v>
      </c>
      <c r="B27985" t="s">
        <v>8983</v>
      </c>
    </row>
    <row r="27986" spans="1:2" x14ac:dyDescent="0.25">
      <c r="A27986">
        <v>61023000190</v>
      </c>
      <c r="B27986" t="s">
        <v>10</v>
      </c>
    </row>
    <row r="27987" spans="1:2" x14ac:dyDescent="0.25">
      <c r="A27987">
        <v>610230002</v>
      </c>
      <c r="B27987" t="s">
        <v>8984</v>
      </c>
    </row>
    <row r="27988" spans="1:2" x14ac:dyDescent="0.25">
      <c r="A27988">
        <v>6102300021</v>
      </c>
      <c r="B27988" t="s">
        <v>8979</v>
      </c>
    </row>
    <row r="27989" spans="1:2" x14ac:dyDescent="0.25">
      <c r="A27989">
        <v>61023000211</v>
      </c>
      <c r="B27989" t="s">
        <v>8986</v>
      </c>
    </row>
    <row r="27990" spans="1:2" x14ac:dyDescent="0.25">
      <c r="A27990">
        <v>61023000212</v>
      </c>
      <c r="B27990" t="s">
        <v>8981</v>
      </c>
    </row>
    <row r="27991" spans="1:2" x14ac:dyDescent="0.25">
      <c r="A27991">
        <v>61023000213</v>
      </c>
      <c r="B27991" t="s">
        <v>8982</v>
      </c>
    </row>
    <row r="27992" spans="1:2" x14ac:dyDescent="0.25">
      <c r="A27992">
        <v>61023000214</v>
      </c>
      <c r="B27992" t="s">
        <v>8983</v>
      </c>
    </row>
    <row r="27993" spans="1:2" x14ac:dyDescent="0.25">
      <c r="A27993">
        <v>61023000290</v>
      </c>
      <c r="B27993" t="s">
        <v>10</v>
      </c>
    </row>
    <row r="27994" spans="1:2" x14ac:dyDescent="0.25">
      <c r="A27994">
        <v>61029000</v>
      </c>
      <c r="B27994" t="e">
        <f>- de las demas materias textiles</f>
        <v>#NAME?</v>
      </c>
    </row>
    <row r="27995" spans="1:2" x14ac:dyDescent="0.25">
      <c r="A27995">
        <v>610290001</v>
      </c>
      <c r="B27995" t="s">
        <v>8978</v>
      </c>
    </row>
    <row r="27996" spans="1:2" x14ac:dyDescent="0.25">
      <c r="A27996">
        <v>6102900011</v>
      </c>
      <c r="B27996" t="s">
        <v>8979</v>
      </c>
    </row>
    <row r="27997" spans="1:2" x14ac:dyDescent="0.25">
      <c r="A27997">
        <v>61029000111</v>
      </c>
      <c r="B27997" t="s">
        <v>8986</v>
      </c>
    </row>
    <row r="27998" spans="1:2" x14ac:dyDescent="0.25">
      <c r="A27998">
        <v>61029000112</v>
      </c>
      <c r="B27998" t="s">
        <v>8981</v>
      </c>
    </row>
    <row r="27999" spans="1:2" x14ac:dyDescent="0.25">
      <c r="A27999">
        <v>61029000113</v>
      </c>
      <c r="B27999" t="s">
        <v>8982</v>
      </c>
    </row>
    <row r="28000" spans="1:2" x14ac:dyDescent="0.25">
      <c r="A28000">
        <v>61029000114</v>
      </c>
      <c r="B28000" t="s">
        <v>8983</v>
      </c>
    </row>
    <row r="28001" spans="1:2" x14ac:dyDescent="0.25">
      <c r="A28001">
        <v>61029000190</v>
      </c>
      <c r="B28001" t="s">
        <v>10</v>
      </c>
    </row>
    <row r="28002" spans="1:2" x14ac:dyDescent="0.25">
      <c r="A28002">
        <v>610290002</v>
      </c>
      <c r="B28002" t="s">
        <v>8984</v>
      </c>
    </row>
    <row r="28003" spans="1:2" x14ac:dyDescent="0.25">
      <c r="A28003">
        <v>6102900021</v>
      </c>
      <c r="B28003" t="s">
        <v>8979</v>
      </c>
    </row>
    <row r="28004" spans="1:2" x14ac:dyDescent="0.25">
      <c r="A28004">
        <v>61029000211</v>
      </c>
      <c r="B28004" t="s">
        <v>8986</v>
      </c>
    </row>
    <row r="28005" spans="1:2" x14ac:dyDescent="0.25">
      <c r="A28005">
        <v>61029000212</v>
      </c>
      <c r="B28005" t="s">
        <v>8981</v>
      </c>
    </row>
    <row r="28006" spans="1:2" x14ac:dyDescent="0.25">
      <c r="A28006">
        <v>61029000213</v>
      </c>
      <c r="B28006" t="s">
        <v>8982</v>
      </c>
    </row>
    <row r="28007" spans="1:2" x14ac:dyDescent="0.25">
      <c r="A28007">
        <v>61029000214</v>
      </c>
      <c r="B28007" t="s">
        <v>8983</v>
      </c>
    </row>
    <row r="28008" spans="1:2" x14ac:dyDescent="0.25">
      <c r="A28008">
        <v>61029000290</v>
      </c>
      <c r="B28008" t="s">
        <v>10</v>
      </c>
    </row>
    <row r="28009" spans="1:2" x14ac:dyDescent="0.25">
      <c r="A28009">
        <v>6103</v>
      </c>
      <c r="B28009" t="s">
        <v>8987</v>
      </c>
    </row>
    <row r="28010" spans="1:2" x14ac:dyDescent="0.25">
      <c r="A28010">
        <v>610310</v>
      </c>
      <c r="B28010" t="e">
        <f>- Trajes (ambos o ternos)</f>
        <v>#NAME?</v>
      </c>
    </row>
    <row r="28011" spans="1:2" x14ac:dyDescent="0.25">
      <c r="A28011">
        <v>61031010</v>
      </c>
      <c r="B28011" t="s">
        <v>8835</v>
      </c>
    </row>
    <row r="28012" spans="1:2" x14ac:dyDescent="0.25">
      <c r="A28012">
        <v>610310101</v>
      </c>
      <c r="B28012" t="s">
        <v>8988</v>
      </c>
    </row>
    <row r="28013" spans="1:2" x14ac:dyDescent="0.25">
      <c r="A28013">
        <v>6103101011</v>
      </c>
      <c r="B28013" t="s">
        <v>8979</v>
      </c>
    </row>
    <row r="28014" spans="1:2" x14ac:dyDescent="0.25">
      <c r="A28014">
        <v>61031010111</v>
      </c>
      <c r="B28014" t="s">
        <v>8989</v>
      </c>
    </row>
    <row r="28015" spans="1:2" x14ac:dyDescent="0.25">
      <c r="A28015">
        <v>61031010119</v>
      </c>
      <c r="B28015" t="s">
        <v>10</v>
      </c>
    </row>
    <row r="28016" spans="1:2" x14ac:dyDescent="0.25">
      <c r="A28016">
        <v>61031010190</v>
      </c>
      <c r="B28016" t="s">
        <v>10</v>
      </c>
    </row>
    <row r="28017" spans="1:2" x14ac:dyDescent="0.25">
      <c r="A28017">
        <v>610310102</v>
      </c>
      <c r="B28017" t="s">
        <v>8990</v>
      </c>
    </row>
    <row r="28018" spans="1:2" x14ac:dyDescent="0.25">
      <c r="A28018">
        <v>6103101021</v>
      </c>
      <c r="B28018" t="s">
        <v>8979</v>
      </c>
    </row>
    <row r="28019" spans="1:2" x14ac:dyDescent="0.25">
      <c r="A28019">
        <v>61031010211</v>
      </c>
      <c r="B28019" t="s">
        <v>8989</v>
      </c>
    </row>
    <row r="28020" spans="1:2" x14ac:dyDescent="0.25">
      <c r="A28020">
        <v>61031010219</v>
      </c>
      <c r="B28020" t="s">
        <v>10</v>
      </c>
    </row>
    <row r="28021" spans="1:2" x14ac:dyDescent="0.25">
      <c r="A28021">
        <v>61031010290</v>
      </c>
      <c r="B28021" t="s">
        <v>10</v>
      </c>
    </row>
    <row r="28022" spans="1:2" x14ac:dyDescent="0.25">
      <c r="A28022">
        <v>61031020</v>
      </c>
      <c r="B28022" t="s">
        <v>8808</v>
      </c>
    </row>
    <row r="28023" spans="1:2" x14ac:dyDescent="0.25">
      <c r="A28023">
        <v>610310201</v>
      </c>
      <c r="B28023" t="s">
        <v>8988</v>
      </c>
    </row>
    <row r="28024" spans="1:2" x14ac:dyDescent="0.25">
      <c r="A28024">
        <v>61031020110</v>
      </c>
      <c r="B28024" t="s">
        <v>8979</v>
      </c>
    </row>
    <row r="28025" spans="1:2" x14ac:dyDescent="0.25">
      <c r="A28025">
        <v>61031020190</v>
      </c>
      <c r="B28025" t="s">
        <v>10</v>
      </c>
    </row>
    <row r="28026" spans="1:2" x14ac:dyDescent="0.25">
      <c r="A28026">
        <v>610310202</v>
      </c>
      <c r="B28026" t="s">
        <v>8990</v>
      </c>
    </row>
    <row r="28027" spans="1:2" x14ac:dyDescent="0.25">
      <c r="A28027">
        <v>61031020210</v>
      </c>
      <c r="B28027" t="s">
        <v>8979</v>
      </c>
    </row>
    <row r="28028" spans="1:2" x14ac:dyDescent="0.25">
      <c r="A28028">
        <v>61031020290</v>
      </c>
      <c r="B28028" t="s">
        <v>10</v>
      </c>
    </row>
    <row r="28029" spans="1:2" x14ac:dyDescent="0.25">
      <c r="A28029">
        <v>61031090</v>
      </c>
      <c r="B28029" t="s">
        <v>8837</v>
      </c>
    </row>
    <row r="28030" spans="1:2" x14ac:dyDescent="0.25">
      <c r="A28030">
        <v>610310901</v>
      </c>
      <c r="B28030" t="s">
        <v>8988</v>
      </c>
    </row>
    <row r="28031" spans="1:2" x14ac:dyDescent="0.25">
      <c r="A28031">
        <v>61031090110</v>
      </c>
      <c r="B28031" t="s">
        <v>8979</v>
      </c>
    </row>
    <row r="28032" spans="1:2" x14ac:dyDescent="0.25">
      <c r="A28032">
        <v>61031090190</v>
      </c>
      <c r="B28032" t="s">
        <v>10</v>
      </c>
    </row>
    <row r="28033" spans="1:2" x14ac:dyDescent="0.25">
      <c r="A28033">
        <v>610310902</v>
      </c>
      <c r="B28033" t="s">
        <v>8990</v>
      </c>
    </row>
    <row r="28034" spans="1:2" x14ac:dyDescent="0.25">
      <c r="A28034">
        <v>61031090210</v>
      </c>
      <c r="B28034" t="s">
        <v>8979</v>
      </c>
    </row>
    <row r="28035" spans="1:2" x14ac:dyDescent="0.25">
      <c r="A28035">
        <v>61031090290</v>
      </c>
      <c r="B28035" t="s">
        <v>10</v>
      </c>
    </row>
    <row r="28036" spans="1:2" x14ac:dyDescent="0.25">
      <c r="A28036">
        <v>61032</v>
      </c>
      <c r="B28036" t="s">
        <v>8991</v>
      </c>
    </row>
    <row r="28037" spans="1:2" x14ac:dyDescent="0.25">
      <c r="A28037">
        <v>61032200</v>
      </c>
      <c r="B28037" t="e">
        <f>- - de algodon</f>
        <v>#NAME?</v>
      </c>
    </row>
    <row r="28038" spans="1:2" x14ac:dyDescent="0.25">
      <c r="A28038">
        <v>610322001</v>
      </c>
      <c r="B28038" t="s">
        <v>8988</v>
      </c>
    </row>
    <row r="28039" spans="1:2" x14ac:dyDescent="0.25">
      <c r="A28039">
        <v>61032200110</v>
      </c>
      <c r="B28039" t="s">
        <v>8979</v>
      </c>
    </row>
    <row r="28040" spans="1:2" x14ac:dyDescent="0.25">
      <c r="A28040">
        <v>61032200190</v>
      </c>
      <c r="B28040" t="s">
        <v>10</v>
      </c>
    </row>
    <row r="28041" spans="1:2" x14ac:dyDescent="0.25">
      <c r="A28041">
        <v>610322009</v>
      </c>
      <c r="B28041" t="s">
        <v>10</v>
      </c>
    </row>
    <row r="28042" spans="1:2" x14ac:dyDescent="0.25">
      <c r="A28042">
        <v>61032200910</v>
      </c>
      <c r="B28042" t="s">
        <v>8979</v>
      </c>
    </row>
    <row r="28043" spans="1:2" x14ac:dyDescent="0.25">
      <c r="A28043">
        <v>61032200990</v>
      </c>
      <c r="B28043" t="s">
        <v>10</v>
      </c>
    </row>
    <row r="28044" spans="1:2" x14ac:dyDescent="0.25">
      <c r="A28044">
        <v>61032300</v>
      </c>
      <c r="B28044" t="e">
        <f>- - de fibras sinteticas</f>
        <v>#NAME?</v>
      </c>
    </row>
    <row r="28045" spans="1:2" x14ac:dyDescent="0.25">
      <c r="A28045">
        <v>610323001</v>
      </c>
      <c r="B28045" t="s">
        <v>8988</v>
      </c>
    </row>
    <row r="28046" spans="1:2" x14ac:dyDescent="0.25">
      <c r="A28046">
        <v>61032300110</v>
      </c>
      <c r="B28046" t="s">
        <v>8979</v>
      </c>
    </row>
    <row r="28047" spans="1:2" x14ac:dyDescent="0.25">
      <c r="A28047">
        <v>61032300190</v>
      </c>
      <c r="B28047" t="s">
        <v>10</v>
      </c>
    </row>
    <row r="28048" spans="1:2" x14ac:dyDescent="0.25">
      <c r="A28048">
        <v>610323009</v>
      </c>
      <c r="B28048" t="s">
        <v>10</v>
      </c>
    </row>
    <row r="28049" spans="1:2" x14ac:dyDescent="0.25">
      <c r="A28049">
        <v>61032300910</v>
      </c>
      <c r="B28049" t="s">
        <v>8979</v>
      </c>
    </row>
    <row r="28050" spans="1:2" x14ac:dyDescent="0.25">
      <c r="A28050">
        <v>61032300990</v>
      </c>
      <c r="B28050" t="s">
        <v>10</v>
      </c>
    </row>
    <row r="28051" spans="1:2" x14ac:dyDescent="0.25">
      <c r="A28051">
        <v>610329</v>
      </c>
      <c r="B28051" t="e">
        <f>- - de las demas materias textiles</f>
        <v>#NAME?</v>
      </c>
    </row>
    <row r="28052" spans="1:2" x14ac:dyDescent="0.25">
      <c r="A28052">
        <v>61032910</v>
      </c>
      <c r="B28052" t="s">
        <v>8835</v>
      </c>
    </row>
    <row r="28053" spans="1:2" x14ac:dyDescent="0.25">
      <c r="A28053">
        <v>610329101</v>
      </c>
      <c r="B28053" t="s">
        <v>8988</v>
      </c>
    </row>
    <row r="28054" spans="1:2" x14ac:dyDescent="0.25">
      <c r="A28054">
        <v>6103291011</v>
      </c>
      <c r="B28054" t="s">
        <v>8979</v>
      </c>
    </row>
    <row r="28055" spans="1:2" x14ac:dyDescent="0.25">
      <c r="A28055">
        <v>61032910111</v>
      </c>
      <c r="B28055" t="s">
        <v>8992</v>
      </c>
    </row>
    <row r="28056" spans="1:2" x14ac:dyDescent="0.25">
      <c r="A28056">
        <v>61032910119</v>
      </c>
      <c r="B28056" t="s">
        <v>10</v>
      </c>
    </row>
    <row r="28057" spans="1:2" x14ac:dyDescent="0.25">
      <c r="A28057">
        <v>61032910190</v>
      </c>
      <c r="B28057" t="s">
        <v>10</v>
      </c>
    </row>
    <row r="28058" spans="1:2" x14ac:dyDescent="0.25">
      <c r="A28058">
        <v>610329109</v>
      </c>
      <c r="B28058" t="s">
        <v>10</v>
      </c>
    </row>
    <row r="28059" spans="1:2" x14ac:dyDescent="0.25">
      <c r="A28059">
        <v>6103291091</v>
      </c>
      <c r="B28059" t="s">
        <v>8979</v>
      </c>
    </row>
    <row r="28060" spans="1:2" x14ac:dyDescent="0.25">
      <c r="A28060">
        <v>61032910911</v>
      </c>
      <c r="B28060" t="s">
        <v>8992</v>
      </c>
    </row>
    <row r="28061" spans="1:2" x14ac:dyDescent="0.25">
      <c r="A28061">
        <v>61032910919</v>
      </c>
      <c r="B28061" t="s">
        <v>10</v>
      </c>
    </row>
    <row r="28062" spans="1:2" x14ac:dyDescent="0.25">
      <c r="A28062">
        <v>61032910990</v>
      </c>
      <c r="B28062" t="s">
        <v>10</v>
      </c>
    </row>
    <row r="28063" spans="1:2" x14ac:dyDescent="0.25">
      <c r="A28063">
        <v>61032990</v>
      </c>
      <c r="B28063" t="s">
        <v>10</v>
      </c>
    </row>
    <row r="28064" spans="1:2" x14ac:dyDescent="0.25">
      <c r="A28064">
        <v>610329901</v>
      </c>
      <c r="B28064" t="s">
        <v>8988</v>
      </c>
    </row>
    <row r="28065" spans="1:2" x14ac:dyDescent="0.25">
      <c r="A28065">
        <v>61032990110</v>
      </c>
      <c r="B28065" t="s">
        <v>8979</v>
      </c>
    </row>
    <row r="28066" spans="1:2" x14ac:dyDescent="0.25">
      <c r="A28066">
        <v>61032990190</v>
      </c>
      <c r="B28066" t="s">
        <v>10</v>
      </c>
    </row>
    <row r="28067" spans="1:2" x14ac:dyDescent="0.25">
      <c r="A28067">
        <v>610329909</v>
      </c>
      <c r="B28067" t="s">
        <v>10</v>
      </c>
    </row>
    <row r="28068" spans="1:2" x14ac:dyDescent="0.25">
      <c r="A28068">
        <v>61032990910</v>
      </c>
      <c r="B28068" t="s">
        <v>8979</v>
      </c>
    </row>
    <row r="28069" spans="1:2" x14ac:dyDescent="0.25">
      <c r="A28069">
        <v>61032990990</v>
      </c>
      <c r="B28069" t="s">
        <v>10</v>
      </c>
    </row>
    <row r="28070" spans="1:2" x14ac:dyDescent="0.25">
      <c r="A28070">
        <v>61033</v>
      </c>
      <c r="B28070" t="s">
        <v>8993</v>
      </c>
    </row>
    <row r="28071" spans="1:2" x14ac:dyDescent="0.25">
      <c r="A28071">
        <v>61033100</v>
      </c>
      <c r="B28071" t="e">
        <f>- - de lana o Pelo fino</f>
        <v>#NAME?</v>
      </c>
    </row>
    <row r="28072" spans="1:2" x14ac:dyDescent="0.25">
      <c r="A28072">
        <v>610331001</v>
      </c>
      <c r="B28072" t="s">
        <v>8979</v>
      </c>
    </row>
    <row r="28073" spans="1:2" x14ac:dyDescent="0.25">
      <c r="A28073">
        <v>61033100110</v>
      </c>
      <c r="B28073" t="s">
        <v>8992</v>
      </c>
    </row>
    <row r="28074" spans="1:2" x14ac:dyDescent="0.25">
      <c r="A28074">
        <v>61033100190</v>
      </c>
      <c r="B28074" t="s">
        <v>10</v>
      </c>
    </row>
    <row r="28075" spans="1:2" x14ac:dyDescent="0.25">
      <c r="A28075">
        <v>61033100900</v>
      </c>
      <c r="B28075" t="s">
        <v>10</v>
      </c>
    </row>
    <row r="28076" spans="1:2" x14ac:dyDescent="0.25">
      <c r="A28076">
        <v>61033200</v>
      </c>
      <c r="B28076" t="e">
        <f>- - de algodon</f>
        <v>#NAME?</v>
      </c>
    </row>
    <row r="28077" spans="1:2" x14ac:dyDescent="0.25">
      <c r="A28077">
        <v>61033200100</v>
      </c>
      <c r="B28077" t="s">
        <v>8979</v>
      </c>
    </row>
    <row r="28078" spans="1:2" x14ac:dyDescent="0.25">
      <c r="A28078">
        <v>61033200900</v>
      </c>
      <c r="B28078" t="s">
        <v>10</v>
      </c>
    </row>
    <row r="28079" spans="1:2" x14ac:dyDescent="0.25">
      <c r="A28079">
        <v>61033300</v>
      </c>
      <c r="B28079" t="e">
        <f>- - de fibras sinteticas</f>
        <v>#NAME?</v>
      </c>
    </row>
    <row r="28080" spans="1:2" x14ac:dyDescent="0.25">
      <c r="A28080">
        <v>61033300100</v>
      </c>
      <c r="B28080" t="s">
        <v>8979</v>
      </c>
    </row>
    <row r="28081" spans="1:2" x14ac:dyDescent="0.25">
      <c r="A28081">
        <v>61033300900</v>
      </c>
      <c r="B28081" t="s">
        <v>10</v>
      </c>
    </row>
    <row r="28082" spans="1:2" x14ac:dyDescent="0.25">
      <c r="A28082">
        <v>61033900</v>
      </c>
      <c r="B28082" t="e">
        <f>- - de las demas materias textiles</f>
        <v>#NAME?</v>
      </c>
    </row>
    <row r="28083" spans="1:2" x14ac:dyDescent="0.25">
      <c r="A28083">
        <v>61033900100</v>
      </c>
      <c r="B28083" t="s">
        <v>8979</v>
      </c>
    </row>
    <row r="28084" spans="1:2" x14ac:dyDescent="0.25">
      <c r="A28084">
        <v>61033900900</v>
      </c>
      <c r="B28084" t="s">
        <v>10</v>
      </c>
    </row>
    <row r="28085" spans="1:2" x14ac:dyDescent="0.25">
      <c r="A28085">
        <v>61034</v>
      </c>
      <c r="B28085" t="s">
        <v>8994</v>
      </c>
    </row>
    <row r="28086" spans="1:2" x14ac:dyDescent="0.25">
      <c r="A28086">
        <v>61034100</v>
      </c>
      <c r="B28086" t="e">
        <f>- - de lana o Pelo fino</f>
        <v>#NAME?</v>
      </c>
    </row>
    <row r="28087" spans="1:2" x14ac:dyDescent="0.25">
      <c r="A28087">
        <v>610341001</v>
      </c>
      <c r="B28087" t="s">
        <v>8995</v>
      </c>
    </row>
    <row r="28088" spans="1:2" x14ac:dyDescent="0.25">
      <c r="A28088">
        <v>61034100110</v>
      </c>
      <c r="B28088" t="s">
        <v>8979</v>
      </c>
    </row>
    <row r="28089" spans="1:2" x14ac:dyDescent="0.25">
      <c r="A28089">
        <v>61034100190</v>
      </c>
      <c r="B28089" t="s">
        <v>10</v>
      </c>
    </row>
    <row r="28090" spans="1:2" x14ac:dyDescent="0.25">
      <c r="A28090">
        <v>610341002</v>
      </c>
      <c r="B28090" t="s">
        <v>8996</v>
      </c>
    </row>
    <row r="28091" spans="1:2" x14ac:dyDescent="0.25">
      <c r="A28091">
        <v>61034100210</v>
      </c>
      <c r="B28091" t="s">
        <v>8979</v>
      </c>
    </row>
    <row r="28092" spans="1:2" x14ac:dyDescent="0.25">
      <c r="A28092">
        <v>61034100290</v>
      </c>
      <c r="B28092" t="s">
        <v>10</v>
      </c>
    </row>
    <row r="28093" spans="1:2" x14ac:dyDescent="0.25">
      <c r="A28093">
        <v>610341003</v>
      </c>
      <c r="B28093" t="s">
        <v>8997</v>
      </c>
    </row>
    <row r="28094" spans="1:2" x14ac:dyDescent="0.25">
      <c r="A28094">
        <v>61034100310</v>
      </c>
      <c r="B28094" t="s">
        <v>8979</v>
      </c>
    </row>
    <row r="28095" spans="1:2" x14ac:dyDescent="0.25">
      <c r="A28095">
        <v>61034100390</v>
      </c>
      <c r="B28095" t="s">
        <v>10</v>
      </c>
    </row>
    <row r="28096" spans="1:2" x14ac:dyDescent="0.25">
      <c r="A28096">
        <v>61034200</v>
      </c>
      <c r="B28096" t="e">
        <f>- - de algodon</f>
        <v>#NAME?</v>
      </c>
    </row>
    <row r="28097" spans="1:2" x14ac:dyDescent="0.25">
      <c r="A28097">
        <v>610342001</v>
      </c>
      <c r="B28097" t="s">
        <v>8995</v>
      </c>
    </row>
    <row r="28098" spans="1:2" x14ac:dyDescent="0.25">
      <c r="A28098">
        <v>61034200110</v>
      </c>
      <c r="B28098" t="s">
        <v>8979</v>
      </c>
    </row>
    <row r="28099" spans="1:2" x14ac:dyDescent="0.25">
      <c r="A28099">
        <v>61034200190</v>
      </c>
      <c r="B28099" t="s">
        <v>10</v>
      </c>
    </row>
    <row r="28100" spans="1:2" x14ac:dyDescent="0.25">
      <c r="A28100">
        <v>610342002</v>
      </c>
      <c r="B28100" t="s">
        <v>8996</v>
      </c>
    </row>
    <row r="28101" spans="1:2" x14ac:dyDescent="0.25">
      <c r="A28101">
        <v>61034200210</v>
      </c>
      <c r="B28101" t="s">
        <v>8979</v>
      </c>
    </row>
    <row r="28102" spans="1:2" x14ac:dyDescent="0.25">
      <c r="A28102">
        <v>61034200290</v>
      </c>
      <c r="B28102" t="s">
        <v>10</v>
      </c>
    </row>
    <row r="28103" spans="1:2" x14ac:dyDescent="0.25">
      <c r="A28103">
        <v>610342003</v>
      </c>
      <c r="B28103" t="s">
        <v>8997</v>
      </c>
    </row>
    <row r="28104" spans="1:2" x14ac:dyDescent="0.25">
      <c r="A28104">
        <v>61034200310</v>
      </c>
      <c r="B28104" t="s">
        <v>8979</v>
      </c>
    </row>
    <row r="28105" spans="1:2" x14ac:dyDescent="0.25">
      <c r="A28105">
        <v>61034200390</v>
      </c>
      <c r="B28105" t="s">
        <v>10</v>
      </c>
    </row>
    <row r="28106" spans="1:2" x14ac:dyDescent="0.25">
      <c r="A28106">
        <v>61034300</v>
      </c>
      <c r="B28106" t="e">
        <f>- - de fibras sinteticas</f>
        <v>#NAME?</v>
      </c>
    </row>
    <row r="28107" spans="1:2" x14ac:dyDescent="0.25">
      <c r="A28107">
        <v>610343001</v>
      </c>
      <c r="B28107" t="s">
        <v>8995</v>
      </c>
    </row>
    <row r="28108" spans="1:2" x14ac:dyDescent="0.25">
      <c r="A28108">
        <v>61034300110</v>
      </c>
      <c r="B28108" t="s">
        <v>8979</v>
      </c>
    </row>
    <row r="28109" spans="1:2" x14ac:dyDescent="0.25">
      <c r="A28109">
        <v>61034300190</v>
      </c>
      <c r="B28109" t="s">
        <v>10</v>
      </c>
    </row>
    <row r="28110" spans="1:2" x14ac:dyDescent="0.25">
      <c r="A28110">
        <v>610343002</v>
      </c>
      <c r="B28110" t="s">
        <v>8996</v>
      </c>
    </row>
    <row r="28111" spans="1:2" x14ac:dyDescent="0.25">
      <c r="A28111">
        <v>61034300210</v>
      </c>
      <c r="B28111" t="s">
        <v>8979</v>
      </c>
    </row>
    <row r="28112" spans="1:2" x14ac:dyDescent="0.25">
      <c r="A28112">
        <v>61034300290</v>
      </c>
      <c r="B28112" t="s">
        <v>10</v>
      </c>
    </row>
    <row r="28113" spans="1:2" x14ac:dyDescent="0.25">
      <c r="A28113">
        <v>610343003</v>
      </c>
      <c r="B28113" t="s">
        <v>8997</v>
      </c>
    </row>
    <row r="28114" spans="1:2" x14ac:dyDescent="0.25">
      <c r="A28114">
        <v>61034300310</v>
      </c>
      <c r="B28114" t="s">
        <v>8979</v>
      </c>
    </row>
    <row r="28115" spans="1:2" x14ac:dyDescent="0.25">
      <c r="A28115">
        <v>61034300390</v>
      </c>
      <c r="B28115" t="s">
        <v>10</v>
      </c>
    </row>
    <row r="28116" spans="1:2" x14ac:dyDescent="0.25">
      <c r="A28116">
        <v>61034900</v>
      </c>
      <c r="B28116" t="e">
        <f>- - de las demas materias textiles</f>
        <v>#NAME?</v>
      </c>
    </row>
    <row r="28117" spans="1:2" x14ac:dyDescent="0.25">
      <c r="A28117">
        <v>610349001</v>
      </c>
      <c r="B28117" t="s">
        <v>8995</v>
      </c>
    </row>
    <row r="28118" spans="1:2" x14ac:dyDescent="0.25">
      <c r="A28118">
        <v>61034900110</v>
      </c>
      <c r="B28118" t="s">
        <v>8979</v>
      </c>
    </row>
    <row r="28119" spans="1:2" x14ac:dyDescent="0.25">
      <c r="A28119">
        <v>61034900190</v>
      </c>
      <c r="B28119" t="s">
        <v>10</v>
      </c>
    </row>
    <row r="28120" spans="1:2" x14ac:dyDescent="0.25">
      <c r="A28120">
        <v>610349002</v>
      </c>
      <c r="B28120" t="s">
        <v>8996</v>
      </c>
    </row>
    <row r="28121" spans="1:2" x14ac:dyDescent="0.25">
      <c r="A28121">
        <v>61034900210</v>
      </c>
      <c r="B28121" t="s">
        <v>8979</v>
      </c>
    </row>
    <row r="28122" spans="1:2" x14ac:dyDescent="0.25">
      <c r="A28122">
        <v>61034900290</v>
      </c>
      <c r="B28122" t="s">
        <v>10</v>
      </c>
    </row>
    <row r="28123" spans="1:2" x14ac:dyDescent="0.25">
      <c r="A28123">
        <v>610349003</v>
      </c>
      <c r="B28123" t="s">
        <v>8997</v>
      </c>
    </row>
    <row r="28124" spans="1:2" x14ac:dyDescent="0.25">
      <c r="A28124">
        <v>61034900310</v>
      </c>
      <c r="B28124" t="s">
        <v>8979</v>
      </c>
    </row>
    <row r="28125" spans="1:2" x14ac:dyDescent="0.25">
      <c r="A28125">
        <v>61034900390</v>
      </c>
      <c r="B28125" t="s">
        <v>10</v>
      </c>
    </row>
    <row r="28126" spans="1:2" x14ac:dyDescent="0.25">
      <c r="A28126">
        <v>6104</v>
      </c>
      <c r="B28126" t="s">
        <v>8998</v>
      </c>
    </row>
    <row r="28127" spans="1:2" x14ac:dyDescent="0.25">
      <c r="A28127">
        <v>61041</v>
      </c>
      <c r="B28127" t="s">
        <v>8999</v>
      </c>
    </row>
    <row r="28128" spans="1:2" x14ac:dyDescent="0.25">
      <c r="A28128">
        <v>61041300</v>
      </c>
      <c r="B28128" t="e">
        <f>- - de fibras sinteticas</f>
        <v>#NAME?</v>
      </c>
    </row>
    <row r="28129" spans="1:2" x14ac:dyDescent="0.25">
      <c r="A28129">
        <v>61041300100</v>
      </c>
      <c r="B28129" t="s">
        <v>8979</v>
      </c>
    </row>
    <row r="28130" spans="1:2" x14ac:dyDescent="0.25">
      <c r="A28130">
        <v>61041300900</v>
      </c>
      <c r="B28130" t="s">
        <v>10</v>
      </c>
    </row>
    <row r="28131" spans="1:2" x14ac:dyDescent="0.25">
      <c r="A28131">
        <v>610419</v>
      </c>
      <c r="B28131" t="e">
        <f>- - de las demas materias textiles</f>
        <v>#NAME?</v>
      </c>
    </row>
    <row r="28132" spans="1:2" x14ac:dyDescent="0.25">
      <c r="A28132">
        <v>61041910</v>
      </c>
      <c r="B28132" t="s">
        <v>8835</v>
      </c>
    </row>
    <row r="28133" spans="1:2" x14ac:dyDescent="0.25">
      <c r="A28133">
        <v>610419101</v>
      </c>
      <c r="B28133" t="s">
        <v>8979</v>
      </c>
    </row>
    <row r="28134" spans="1:2" x14ac:dyDescent="0.25">
      <c r="A28134">
        <v>61041910110</v>
      </c>
      <c r="B28134" t="s">
        <v>8992</v>
      </c>
    </row>
    <row r="28135" spans="1:2" x14ac:dyDescent="0.25">
      <c r="A28135">
        <v>61041910190</v>
      </c>
      <c r="B28135" t="s">
        <v>10</v>
      </c>
    </row>
    <row r="28136" spans="1:2" x14ac:dyDescent="0.25">
      <c r="A28136">
        <v>61041910900</v>
      </c>
      <c r="B28136" t="s">
        <v>10</v>
      </c>
    </row>
    <row r="28137" spans="1:2" x14ac:dyDescent="0.25">
      <c r="A28137">
        <v>61041920</v>
      </c>
      <c r="B28137" t="s">
        <v>8805</v>
      </c>
    </row>
    <row r="28138" spans="1:2" x14ac:dyDescent="0.25">
      <c r="A28138">
        <v>61041920100</v>
      </c>
      <c r="B28138" t="s">
        <v>8979</v>
      </c>
    </row>
    <row r="28139" spans="1:2" x14ac:dyDescent="0.25">
      <c r="A28139">
        <v>61041920900</v>
      </c>
      <c r="B28139" t="s">
        <v>10</v>
      </c>
    </row>
    <row r="28140" spans="1:2" x14ac:dyDescent="0.25">
      <c r="A28140">
        <v>61041990</v>
      </c>
      <c r="B28140" t="s">
        <v>10</v>
      </c>
    </row>
    <row r="28141" spans="1:2" x14ac:dyDescent="0.25">
      <c r="A28141">
        <v>61041990100</v>
      </c>
      <c r="B28141" t="s">
        <v>8979</v>
      </c>
    </row>
    <row r="28142" spans="1:2" x14ac:dyDescent="0.25">
      <c r="A28142">
        <v>61041990900</v>
      </c>
      <c r="B28142" t="s">
        <v>10</v>
      </c>
    </row>
    <row r="28143" spans="1:2" x14ac:dyDescent="0.25">
      <c r="A28143">
        <v>61042</v>
      </c>
      <c r="B28143" t="s">
        <v>8991</v>
      </c>
    </row>
    <row r="28144" spans="1:2" x14ac:dyDescent="0.25">
      <c r="A28144">
        <v>61042200</v>
      </c>
      <c r="B28144" t="e">
        <f>- - de algodon</f>
        <v>#NAME?</v>
      </c>
    </row>
    <row r="28145" spans="1:2" x14ac:dyDescent="0.25">
      <c r="A28145">
        <v>61042200100</v>
      </c>
      <c r="B28145" t="s">
        <v>8979</v>
      </c>
    </row>
    <row r="28146" spans="1:2" x14ac:dyDescent="0.25">
      <c r="A28146">
        <v>61042200900</v>
      </c>
      <c r="B28146" t="s">
        <v>10</v>
      </c>
    </row>
    <row r="28147" spans="1:2" x14ac:dyDescent="0.25">
      <c r="A28147">
        <v>61042300</v>
      </c>
      <c r="B28147" t="e">
        <f>- - de fibras sinteticas</f>
        <v>#NAME?</v>
      </c>
    </row>
    <row r="28148" spans="1:2" x14ac:dyDescent="0.25">
      <c r="A28148">
        <v>61042300100</v>
      </c>
      <c r="B28148" t="s">
        <v>8979</v>
      </c>
    </row>
    <row r="28149" spans="1:2" x14ac:dyDescent="0.25">
      <c r="A28149">
        <v>61042300900</v>
      </c>
      <c r="B28149" t="s">
        <v>10</v>
      </c>
    </row>
    <row r="28150" spans="1:2" x14ac:dyDescent="0.25">
      <c r="A28150">
        <v>610429</v>
      </c>
      <c r="B28150" t="e">
        <f>- - de las demas materias textiles</f>
        <v>#NAME?</v>
      </c>
    </row>
    <row r="28151" spans="1:2" x14ac:dyDescent="0.25">
      <c r="A28151">
        <v>61042910</v>
      </c>
      <c r="B28151" t="s">
        <v>8835</v>
      </c>
    </row>
    <row r="28152" spans="1:2" x14ac:dyDescent="0.25">
      <c r="A28152">
        <v>610429101</v>
      </c>
      <c r="B28152" t="s">
        <v>8979</v>
      </c>
    </row>
    <row r="28153" spans="1:2" x14ac:dyDescent="0.25">
      <c r="A28153">
        <v>61042910110</v>
      </c>
      <c r="B28153" t="s">
        <v>8992</v>
      </c>
    </row>
    <row r="28154" spans="1:2" x14ac:dyDescent="0.25">
      <c r="A28154">
        <v>61042910190</v>
      </c>
      <c r="B28154" t="s">
        <v>10</v>
      </c>
    </row>
    <row r="28155" spans="1:2" x14ac:dyDescent="0.25">
      <c r="A28155">
        <v>61042910900</v>
      </c>
      <c r="B28155" t="s">
        <v>10</v>
      </c>
    </row>
    <row r="28156" spans="1:2" x14ac:dyDescent="0.25">
      <c r="A28156">
        <v>61042990</v>
      </c>
      <c r="B28156" t="s">
        <v>10</v>
      </c>
    </row>
    <row r="28157" spans="1:2" x14ac:dyDescent="0.25">
      <c r="A28157">
        <v>61042990100</v>
      </c>
      <c r="B28157" t="s">
        <v>8979</v>
      </c>
    </row>
    <row r="28158" spans="1:2" x14ac:dyDescent="0.25">
      <c r="A28158">
        <v>61042990900</v>
      </c>
      <c r="B28158" t="s">
        <v>10</v>
      </c>
    </row>
    <row r="28159" spans="1:2" x14ac:dyDescent="0.25">
      <c r="A28159">
        <v>61043</v>
      </c>
      <c r="B28159" t="s">
        <v>8993</v>
      </c>
    </row>
    <row r="28160" spans="1:2" x14ac:dyDescent="0.25">
      <c r="A28160">
        <v>61043100</v>
      </c>
      <c r="B28160" t="e">
        <f>- - de lana o Pelo fino</f>
        <v>#NAME?</v>
      </c>
    </row>
    <row r="28161" spans="1:2" x14ac:dyDescent="0.25">
      <c r="A28161">
        <v>610431001</v>
      </c>
      <c r="B28161" t="s">
        <v>8979</v>
      </c>
    </row>
    <row r="28162" spans="1:2" x14ac:dyDescent="0.25">
      <c r="A28162">
        <v>61043100110</v>
      </c>
      <c r="B28162" t="s">
        <v>8992</v>
      </c>
    </row>
    <row r="28163" spans="1:2" x14ac:dyDescent="0.25">
      <c r="A28163">
        <v>61043100190</v>
      </c>
      <c r="B28163" t="s">
        <v>10</v>
      </c>
    </row>
    <row r="28164" spans="1:2" x14ac:dyDescent="0.25">
      <c r="A28164">
        <v>61043100900</v>
      </c>
      <c r="B28164" t="s">
        <v>10</v>
      </c>
    </row>
    <row r="28165" spans="1:2" x14ac:dyDescent="0.25">
      <c r="A28165">
        <v>61043200</v>
      </c>
      <c r="B28165" t="e">
        <f>- - de algodon</f>
        <v>#NAME?</v>
      </c>
    </row>
    <row r="28166" spans="1:2" x14ac:dyDescent="0.25">
      <c r="A28166">
        <v>61043200100</v>
      </c>
      <c r="B28166" t="s">
        <v>8979</v>
      </c>
    </row>
    <row r="28167" spans="1:2" x14ac:dyDescent="0.25">
      <c r="A28167">
        <v>61043200900</v>
      </c>
      <c r="B28167" t="s">
        <v>10</v>
      </c>
    </row>
    <row r="28168" spans="1:2" x14ac:dyDescent="0.25">
      <c r="A28168">
        <v>61043300</v>
      </c>
      <c r="B28168" t="e">
        <f>- - de fibras sinteticas</f>
        <v>#NAME?</v>
      </c>
    </row>
    <row r="28169" spans="1:2" x14ac:dyDescent="0.25">
      <c r="A28169">
        <v>61043300100</v>
      </c>
      <c r="B28169" t="s">
        <v>8979</v>
      </c>
    </row>
    <row r="28170" spans="1:2" x14ac:dyDescent="0.25">
      <c r="A28170">
        <v>61043300900</v>
      </c>
      <c r="B28170" t="s">
        <v>10</v>
      </c>
    </row>
    <row r="28171" spans="1:2" x14ac:dyDescent="0.25">
      <c r="A28171">
        <v>61043900</v>
      </c>
      <c r="B28171" t="e">
        <f>- - de las demas materias textiles</f>
        <v>#NAME?</v>
      </c>
    </row>
    <row r="28172" spans="1:2" x14ac:dyDescent="0.25">
      <c r="A28172">
        <v>61043900100</v>
      </c>
      <c r="B28172" t="s">
        <v>8979</v>
      </c>
    </row>
    <row r="28173" spans="1:2" x14ac:dyDescent="0.25">
      <c r="A28173">
        <v>61043900900</v>
      </c>
      <c r="B28173" t="s">
        <v>10</v>
      </c>
    </row>
    <row r="28174" spans="1:2" x14ac:dyDescent="0.25">
      <c r="A28174">
        <v>61044</v>
      </c>
      <c r="B28174" t="s">
        <v>9000</v>
      </c>
    </row>
    <row r="28175" spans="1:2" x14ac:dyDescent="0.25">
      <c r="A28175">
        <v>61044100</v>
      </c>
      <c r="B28175" t="e">
        <f>- - de lana o Pelo fino</f>
        <v>#NAME?</v>
      </c>
    </row>
    <row r="28176" spans="1:2" x14ac:dyDescent="0.25">
      <c r="A28176">
        <v>610441001</v>
      </c>
      <c r="B28176" t="s">
        <v>9001</v>
      </c>
    </row>
    <row r="28177" spans="1:2" x14ac:dyDescent="0.25">
      <c r="A28177">
        <v>6104410011</v>
      </c>
      <c r="B28177" t="s">
        <v>9002</v>
      </c>
    </row>
    <row r="28178" spans="1:2" x14ac:dyDescent="0.25">
      <c r="A28178">
        <v>61044100111</v>
      </c>
      <c r="B28178" t="s">
        <v>8979</v>
      </c>
    </row>
    <row r="28179" spans="1:2" x14ac:dyDescent="0.25">
      <c r="A28179">
        <v>61044100119</v>
      </c>
      <c r="B28179" t="s">
        <v>10</v>
      </c>
    </row>
    <row r="28180" spans="1:2" x14ac:dyDescent="0.25">
      <c r="A28180">
        <v>6104410019</v>
      </c>
      <c r="B28180" t="s">
        <v>10</v>
      </c>
    </row>
    <row r="28181" spans="1:2" x14ac:dyDescent="0.25">
      <c r="A28181">
        <v>61044100191</v>
      </c>
      <c r="B28181" t="s">
        <v>8979</v>
      </c>
    </row>
    <row r="28182" spans="1:2" x14ac:dyDescent="0.25">
      <c r="A28182">
        <v>61044100199</v>
      </c>
      <c r="B28182" t="s">
        <v>10</v>
      </c>
    </row>
    <row r="28183" spans="1:2" x14ac:dyDescent="0.25">
      <c r="A28183">
        <v>610441002</v>
      </c>
      <c r="B28183" t="s">
        <v>9003</v>
      </c>
    </row>
    <row r="28184" spans="1:2" x14ac:dyDescent="0.25">
      <c r="A28184">
        <v>6104410021</v>
      </c>
      <c r="B28184" t="s">
        <v>9002</v>
      </c>
    </row>
    <row r="28185" spans="1:2" x14ac:dyDescent="0.25">
      <c r="A28185">
        <v>61044100211</v>
      </c>
      <c r="B28185" t="s">
        <v>8979</v>
      </c>
    </row>
    <row r="28186" spans="1:2" x14ac:dyDescent="0.25">
      <c r="A28186">
        <v>61044100219</v>
      </c>
      <c r="B28186" t="s">
        <v>10</v>
      </c>
    </row>
    <row r="28187" spans="1:2" x14ac:dyDescent="0.25">
      <c r="A28187">
        <v>6104410029</v>
      </c>
      <c r="B28187" t="s">
        <v>10</v>
      </c>
    </row>
    <row r="28188" spans="1:2" x14ac:dyDescent="0.25">
      <c r="A28188">
        <v>61044100291</v>
      </c>
      <c r="B28188" t="s">
        <v>8979</v>
      </c>
    </row>
    <row r="28189" spans="1:2" x14ac:dyDescent="0.25">
      <c r="A28189">
        <v>61044100299</v>
      </c>
      <c r="B28189" t="s">
        <v>10</v>
      </c>
    </row>
    <row r="28190" spans="1:2" x14ac:dyDescent="0.25">
      <c r="A28190">
        <v>61044200</v>
      </c>
      <c r="B28190" t="e">
        <f>- - de algodon</f>
        <v>#NAME?</v>
      </c>
    </row>
    <row r="28191" spans="1:2" x14ac:dyDescent="0.25">
      <c r="A28191">
        <v>610442001</v>
      </c>
      <c r="B28191" t="s">
        <v>9001</v>
      </c>
    </row>
    <row r="28192" spans="1:2" x14ac:dyDescent="0.25">
      <c r="A28192">
        <v>6104420011</v>
      </c>
      <c r="B28192" t="s">
        <v>9002</v>
      </c>
    </row>
    <row r="28193" spans="1:2" x14ac:dyDescent="0.25">
      <c r="A28193">
        <v>61044200111</v>
      </c>
      <c r="B28193" t="s">
        <v>8979</v>
      </c>
    </row>
    <row r="28194" spans="1:2" x14ac:dyDescent="0.25">
      <c r="A28194">
        <v>61044200119</v>
      </c>
      <c r="B28194" t="s">
        <v>10</v>
      </c>
    </row>
    <row r="28195" spans="1:2" x14ac:dyDescent="0.25">
      <c r="A28195">
        <v>6104420019</v>
      </c>
      <c r="B28195" t="s">
        <v>10</v>
      </c>
    </row>
    <row r="28196" spans="1:2" x14ac:dyDescent="0.25">
      <c r="A28196">
        <v>61044200191</v>
      </c>
      <c r="B28196" t="s">
        <v>8979</v>
      </c>
    </row>
    <row r="28197" spans="1:2" x14ac:dyDescent="0.25">
      <c r="A28197">
        <v>61044200199</v>
      </c>
      <c r="B28197" t="s">
        <v>10</v>
      </c>
    </row>
    <row r="28198" spans="1:2" x14ac:dyDescent="0.25">
      <c r="A28198">
        <v>610442002</v>
      </c>
      <c r="B28198" t="s">
        <v>9003</v>
      </c>
    </row>
    <row r="28199" spans="1:2" x14ac:dyDescent="0.25">
      <c r="A28199">
        <v>6104420021</v>
      </c>
      <c r="B28199" t="s">
        <v>9002</v>
      </c>
    </row>
    <row r="28200" spans="1:2" x14ac:dyDescent="0.25">
      <c r="A28200">
        <v>61044200211</v>
      </c>
      <c r="B28200" t="s">
        <v>8979</v>
      </c>
    </row>
    <row r="28201" spans="1:2" x14ac:dyDescent="0.25">
      <c r="A28201">
        <v>61044200219</v>
      </c>
      <c r="B28201" t="s">
        <v>10</v>
      </c>
    </row>
    <row r="28202" spans="1:2" x14ac:dyDescent="0.25">
      <c r="A28202">
        <v>6104420029</v>
      </c>
      <c r="B28202" t="s">
        <v>10</v>
      </c>
    </row>
    <row r="28203" spans="1:2" x14ac:dyDescent="0.25">
      <c r="A28203">
        <v>61044200291</v>
      </c>
      <c r="B28203" t="s">
        <v>8979</v>
      </c>
    </row>
    <row r="28204" spans="1:2" x14ac:dyDescent="0.25">
      <c r="A28204">
        <v>61044200299</v>
      </c>
      <c r="B28204" t="s">
        <v>10</v>
      </c>
    </row>
    <row r="28205" spans="1:2" x14ac:dyDescent="0.25">
      <c r="A28205">
        <v>61044300</v>
      </c>
      <c r="B28205" t="e">
        <f>- - de fibras sinteticas</f>
        <v>#NAME?</v>
      </c>
    </row>
    <row r="28206" spans="1:2" x14ac:dyDescent="0.25">
      <c r="A28206">
        <v>610443001</v>
      </c>
      <c r="B28206" t="s">
        <v>9001</v>
      </c>
    </row>
    <row r="28207" spans="1:2" x14ac:dyDescent="0.25">
      <c r="A28207">
        <v>6104430011</v>
      </c>
      <c r="B28207" t="s">
        <v>9002</v>
      </c>
    </row>
    <row r="28208" spans="1:2" x14ac:dyDescent="0.25">
      <c r="A28208">
        <v>61044300111</v>
      </c>
      <c r="B28208" t="s">
        <v>8979</v>
      </c>
    </row>
    <row r="28209" spans="1:2" x14ac:dyDescent="0.25">
      <c r="A28209">
        <v>61044300119</v>
      </c>
      <c r="B28209" t="s">
        <v>10</v>
      </c>
    </row>
    <row r="28210" spans="1:2" x14ac:dyDescent="0.25">
      <c r="A28210">
        <v>6104430019</v>
      </c>
      <c r="B28210" t="s">
        <v>10</v>
      </c>
    </row>
    <row r="28211" spans="1:2" x14ac:dyDescent="0.25">
      <c r="A28211">
        <v>61044300191</v>
      </c>
      <c r="B28211" t="s">
        <v>8979</v>
      </c>
    </row>
    <row r="28212" spans="1:2" x14ac:dyDescent="0.25">
      <c r="A28212">
        <v>61044300199</v>
      </c>
      <c r="B28212" t="s">
        <v>10</v>
      </c>
    </row>
    <row r="28213" spans="1:2" x14ac:dyDescent="0.25">
      <c r="A28213">
        <v>610443002</v>
      </c>
      <c r="B28213" t="s">
        <v>9003</v>
      </c>
    </row>
    <row r="28214" spans="1:2" x14ac:dyDescent="0.25">
      <c r="A28214">
        <v>6104430021</v>
      </c>
      <c r="B28214" t="s">
        <v>9002</v>
      </c>
    </row>
    <row r="28215" spans="1:2" x14ac:dyDescent="0.25">
      <c r="A28215">
        <v>61044300211</v>
      </c>
      <c r="B28215" t="s">
        <v>8979</v>
      </c>
    </row>
    <row r="28216" spans="1:2" x14ac:dyDescent="0.25">
      <c r="A28216">
        <v>61044300219</v>
      </c>
      <c r="B28216" t="s">
        <v>10</v>
      </c>
    </row>
    <row r="28217" spans="1:2" x14ac:dyDescent="0.25">
      <c r="A28217">
        <v>6104430029</v>
      </c>
      <c r="B28217" t="s">
        <v>10</v>
      </c>
    </row>
    <row r="28218" spans="1:2" x14ac:dyDescent="0.25">
      <c r="A28218">
        <v>61044300291</v>
      </c>
      <c r="B28218" t="s">
        <v>8979</v>
      </c>
    </row>
    <row r="28219" spans="1:2" x14ac:dyDescent="0.25">
      <c r="A28219">
        <v>61044300299</v>
      </c>
      <c r="B28219" t="s">
        <v>10</v>
      </c>
    </row>
    <row r="28220" spans="1:2" x14ac:dyDescent="0.25">
      <c r="A28220">
        <v>61044400</v>
      </c>
      <c r="B28220" t="e">
        <f>- - de fibras artificiales</f>
        <v>#NAME?</v>
      </c>
    </row>
    <row r="28221" spans="1:2" x14ac:dyDescent="0.25">
      <c r="A28221">
        <v>610444001</v>
      </c>
      <c r="B28221" t="s">
        <v>9001</v>
      </c>
    </row>
    <row r="28222" spans="1:2" x14ac:dyDescent="0.25">
      <c r="A28222">
        <v>6104440011</v>
      </c>
      <c r="B28222" t="s">
        <v>9002</v>
      </c>
    </row>
    <row r="28223" spans="1:2" x14ac:dyDescent="0.25">
      <c r="A28223">
        <v>61044400111</v>
      </c>
      <c r="B28223" t="s">
        <v>8979</v>
      </c>
    </row>
    <row r="28224" spans="1:2" x14ac:dyDescent="0.25">
      <c r="A28224">
        <v>61044400119</v>
      </c>
      <c r="B28224" t="s">
        <v>10</v>
      </c>
    </row>
    <row r="28225" spans="1:2" x14ac:dyDescent="0.25">
      <c r="A28225">
        <v>6104440019</v>
      </c>
      <c r="B28225" t="s">
        <v>10</v>
      </c>
    </row>
    <row r="28226" spans="1:2" x14ac:dyDescent="0.25">
      <c r="A28226">
        <v>61044400191</v>
      </c>
      <c r="B28226" t="s">
        <v>8979</v>
      </c>
    </row>
    <row r="28227" spans="1:2" x14ac:dyDescent="0.25">
      <c r="A28227">
        <v>61044400199</v>
      </c>
      <c r="B28227" t="s">
        <v>10</v>
      </c>
    </row>
    <row r="28228" spans="1:2" x14ac:dyDescent="0.25">
      <c r="A28228">
        <v>610444002</v>
      </c>
      <c r="B28228" t="s">
        <v>9003</v>
      </c>
    </row>
    <row r="28229" spans="1:2" x14ac:dyDescent="0.25">
      <c r="A28229">
        <v>6104440021</v>
      </c>
      <c r="B28229" t="s">
        <v>9002</v>
      </c>
    </row>
    <row r="28230" spans="1:2" x14ac:dyDescent="0.25">
      <c r="A28230">
        <v>61044400211</v>
      </c>
      <c r="B28230" t="s">
        <v>8979</v>
      </c>
    </row>
    <row r="28231" spans="1:2" x14ac:dyDescent="0.25">
      <c r="A28231">
        <v>61044400219</v>
      </c>
      <c r="B28231" t="s">
        <v>10</v>
      </c>
    </row>
    <row r="28232" spans="1:2" x14ac:dyDescent="0.25">
      <c r="A28232">
        <v>6104440029</v>
      </c>
      <c r="B28232" t="s">
        <v>10</v>
      </c>
    </row>
    <row r="28233" spans="1:2" x14ac:dyDescent="0.25">
      <c r="A28233">
        <v>61044400291</v>
      </c>
      <c r="B28233" t="s">
        <v>8979</v>
      </c>
    </row>
    <row r="28234" spans="1:2" x14ac:dyDescent="0.25">
      <c r="A28234">
        <v>61044400299</v>
      </c>
      <c r="B28234" t="s">
        <v>10</v>
      </c>
    </row>
    <row r="28235" spans="1:2" x14ac:dyDescent="0.25">
      <c r="A28235">
        <v>61044900</v>
      </c>
      <c r="B28235" t="e">
        <f>- - de las demas materias textiles</f>
        <v>#NAME?</v>
      </c>
    </row>
    <row r="28236" spans="1:2" x14ac:dyDescent="0.25">
      <c r="A28236">
        <v>610449001</v>
      </c>
      <c r="B28236" t="s">
        <v>9001</v>
      </c>
    </row>
    <row r="28237" spans="1:2" x14ac:dyDescent="0.25">
      <c r="A28237">
        <v>6104490011</v>
      </c>
      <c r="B28237" t="s">
        <v>9002</v>
      </c>
    </row>
    <row r="28238" spans="1:2" x14ac:dyDescent="0.25">
      <c r="A28238">
        <v>61044900111</v>
      </c>
      <c r="B28238" t="s">
        <v>8979</v>
      </c>
    </row>
    <row r="28239" spans="1:2" x14ac:dyDescent="0.25">
      <c r="A28239">
        <v>61044900119</v>
      </c>
      <c r="B28239" t="s">
        <v>10</v>
      </c>
    </row>
    <row r="28240" spans="1:2" x14ac:dyDescent="0.25">
      <c r="A28240">
        <v>6104490019</v>
      </c>
      <c r="B28240" t="s">
        <v>10</v>
      </c>
    </row>
    <row r="28241" spans="1:2" x14ac:dyDescent="0.25">
      <c r="A28241">
        <v>61044900191</v>
      </c>
      <c r="B28241" t="s">
        <v>8979</v>
      </c>
    </row>
    <row r="28242" spans="1:2" x14ac:dyDescent="0.25">
      <c r="A28242">
        <v>61044900199</v>
      </c>
      <c r="B28242" t="s">
        <v>10</v>
      </c>
    </row>
    <row r="28243" spans="1:2" x14ac:dyDescent="0.25">
      <c r="A28243">
        <v>610449002</v>
      </c>
      <c r="B28243" t="s">
        <v>9003</v>
      </c>
    </row>
    <row r="28244" spans="1:2" x14ac:dyDescent="0.25">
      <c r="A28244">
        <v>6104490021</v>
      </c>
      <c r="B28244" t="s">
        <v>9002</v>
      </c>
    </row>
    <row r="28245" spans="1:2" x14ac:dyDescent="0.25">
      <c r="A28245">
        <v>61044900211</v>
      </c>
      <c r="B28245" t="s">
        <v>8979</v>
      </c>
    </row>
    <row r="28246" spans="1:2" x14ac:dyDescent="0.25">
      <c r="A28246">
        <v>61044900219</v>
      </c>
      <c r="B28246" t="s">
        <v>10</v>
      </c>
    </row>
    <row r="28247" spans="1:2" x14ac:dyDescent="0.25">
      <c r="A28247">
        <v>6104490029</v>
      </c>
      <c r="B28247" t="s">
        <v>10</v>
      </c>
    </row>
    <row r="28248" spans="1:2" x14ac:dyDescent="0.25">
      <c r="A28248">
        <v>61044900291</v>
      </c>
      <c r="B28248" t="s">
        <v>8979</v>
      </c>
    </row>
    <row r="28249" spans="1:2" x14ac:dyDescent="0.25">
      <c r="A28249">
        <v>61044900299</v>
      </c>
      <c r="B28249" t="s">
        <v>10</v>
      </c>
    </row>
    <row r="28250" spans="1:2" x14ac:dyDescent="0.25">
      <c r="A28250">
        <v>61045</v>
      </c>
      <c r="B28250" t="s">
        <v>9004</v>
      </c>
    </row>
    <row r="28251" spans="1:2" x14ac:dyDescent="0.25">
      <c r="A28251">
        <v>61045100</v>
      </c>
      <c r="B28251" t="e">
        <f>- - de lana o Pelo fino</f>
        <v>#NAME?</v>
      </c>
    </row>
    <row r="28252" spans="1:2" x14ac:dyDescent="0.25">
      <c r="A28252">
        <v>610451001</v>
      </c>
      <c r="B28252" t="s">
        <v>9005</v>
      </c>
    </row>
    <row r="28253" spans="1:2" x14ac:dyDescent="0.25">
      <c r="A28253">
        <v>6104510011</v>
      </c>
      <c r="B28253" t="s">
        <v>9002</v>
      </c>
    </row>
    <row r="28254" spans="1:2" x14ac:dyDescent="0.25">
      <c r="A28254">
        <v>61045100111</v>
      </c>
      <c r="B28254" t="s">
        <v>8979</v>
      </c>
    </row>
    <row r="28255" spans="1:2" x14ac:dyDescent="0.25">
      <c r="A28255">
        <v>61045100119</v>
      </c>
      <c r="B28255" t="s">
        <v>10</v>
      </c>
    </row>
    <row r="28256" spans="1:2" x14ac:dyDescent="0.25">
      <c r="A28256">
        <v>6104510019</v>
      </c>
      <c r="B28256" t="s">
        <v>57</v>
      </c>
    </row>
    <row r="28257" spans="1:2" x14ac:dyDescent="0.25">
      <c r="A28257">
        <v>61045100191</v>
      </c>
      <c r="B28257" t="s">
        <v>8979</v>
      </c>
    </row>
    <row r="28258" spans="1:2" x14ac:dyDescent="0.25">
      <c r="A28258">
        <v>61045100199</v>
      </c>
      <c r="B28258" t="s">
        <v>10</v>
      </c>
    </row>
    <row r="28259" spans="1:2" x14ac:dyDescent="0.25">
      <c r="A28259">
        <v>610451002</v>
      </c>
      <c r="B28259" t="s">
        <v>9003</v>
      </c>
    </row>
    <row r="28260" spans="1:2" x14ac:dyDescent="0.25">
      <c r="A28260">
        <v>6104510021</v>
      </c>
      <c r="B28260" t="s">
        <v>9002</v>
      </c>
    </row>
    <row r="28261" spans="1:2" x14ac:dyDescent="0.25">
      <c r="A28261">
        <v>61045100211</v>
      </c>
      <c r="B28261" t="s">
        <v>8979</v>
      </c>
    </row>
    <row r="28262" spans="1:2" x14ac:dyDescent="0.25">
      <c r="A28262">
        <v>61045100219</v>
      </c>
      <c r="B28262" t="s">
        <v>10</v>
      </c>
    </row>
    <row r="28263" spans="1:2" x14ac:dyDescent="0.25">
      <c r="A28263">
        <v>6104510029</v>
      </c>
      <c r="B28263" t="s">
        <v>57</v>
      </c>
    </row>
    <row r="28264" spans="1:2" x14ac:dyDescent="0.25">
      <c r="A28264">
        <v>61045100291</v>
      </c>
      <c r="B28264" t="s">
        <v>8979</v>
      </c>
    </row>
    <row r="28265" spans="1:2" x14ac:dyDescent="0.25">
      <c r="A28265">
        <v>61045100299</v>
      </c>
      <c r="B28265" t="s">
        <v>10</v>
      </c>
    </row>
    <row r="28266" spans="1:2" x14ac:dyDescent="0.25">
      <c r="A28266">
        <v>61045200</v>
      </c>
      <c r="B28266" t="e">
        <f>- - de algodon</f>
        <v>#NAME?</v>
      </c>
    </row>
    <row r="28267" spans="1:2" x14ac:dyDescent="0.25">
      <c r="A28267">
        <v>610452001</v>
      </c>
      <c r="B28267" t="s">
        <v>9005</v>
      </c>
    </row>
    <row r="28268" spans="1:2" x14ac:dyDescent="0.25">
      <c r="A28268">
        <v>6104520011</v>
      </c>
      <c r="B28268" t="s">
        <v>9002</v>
      </c>
    </row>
    <row r="28269" spans="1:2" x14ac:dyDescent="0.25">
      <c r="A28269">
        <v>61045200111</v>
      </c>
      <c r="B28269" t="s">
        <v>8979</v>
      </c>
    </row>
    <row r="28270" spans="1:2" x14ac:dyDescent="0.25">
      <c r="A28270">
        <v>61045200119</v>
      </c>
      <c r="B28270" t="s">
        <v>10</v>
      </c>
    </row>
    <row r="28271" spans="1:2" x14ac:dyDescent="0.25">
      <c r="A28271">
        <v>6104520019</v>
      </c>
      <c r="B28271" t="s">
        <v>57</v>
      </c>
    </row>
    <row r="28272" spans="1:2" x14ac:dyDescent="0.25">
      <c r="A28272">
        <v>61045200191</v>
      </c>
      <c r="B28272" t="s">
        <v>8979</v>
      </c>
    </row>
    <row r="28273" spans="1:2" x14ac:dyDescent="0.25">
      <c r="A28273">
        <v>61045200199</v>
      </c>
      <c r="B28273" t="s">
        <v>10</v>
      </c>
    </row>
    <row r="28274" spans="1:2" x14ac:dyDescent="0.25">
      <c r="A28274">
        <v>610452002</v>
      </c>
      <c r="B28274" t="s">
        <v>9003</v>
      </c>
    </row>
    <row r="28275" spans="1:2" x14ac:dyDescent="0.25">
      <c r="A28275">
        <v>6104520021</v>
      </c>
      <c r="B28275" t="s">
        <v>9002</v>
      </c>
    </row>
    <row r="28276" spans="1:2" x14ac:dyDescent="0.25">
      <c r="A28276">
        <v>61045200211</v>
      </c>
      <c r="B28276" t="s">
        <v>8979</v>
      </c>
    </row>
    <row r="28277" spans="1:2" x14ac:dyDescent="0.25">
      <c r="A28277">
        <v>61045200219</v>
      </c>
      <c r="B28277" t="s">
        <v>377</v>
      </c>
    </row>
    <row r="28278" spans="1:2" x14ac:dyDescent="0.25">
      <c r="A28278">
        <v>6104520029</v>
      </c>
      <c r="B28278" t="s">
        <v>57</v>
      </c>
    </row>
    <row r="28279" spans="1:2" x14ac:dyDescent="0.25">
      <c r="A28279">
        <v>61045200291</v>
      </c>
      <c r="B28279" t="s">
        <v>8979</v>
      </c>
    </row>
    <row r="28280" spans="1:2" x14ac:dyDescent="0.25">
      <c r="A28280">
        <v>61045200299</v>
      </c>
      <c r="B28280" t="s">
        <v>10</v>
      </c>
    </row>
    <row r="28281" spans="1:2" x14ac:dyDescent="0.25">
      <c r="A28281">
        <v>61045300</v>
      </c>
      <c r="B28281" t="e">
        <f>- - de fibras sinteticas</f>
        <v>#NAME?</v>
      </c>
    </row>
    <row r="28282" spans="1:2" x14ac:dyDescent="0.25">
      <c r="A28282">
        <v>610453001</v>
      </c>
      <c r="B28282" t="s">
        <v>9005</v>
      </c>
    </row>
    <row r="28283" spans="1:2" x14ac:dyDescent="0.25">
      <c r="A28283">
        <v>6104530011</v>
      </c>
      <c r="B28283" t="s">
        <v>9002</v>
      </c>
    </row>
    <row r="28284" spans="1:2" x14ac:dyDescent="0.25">
      <c r="A28284">
        <v>61045300111</v>
      </c>
      <c r="B28284" t="s">
        <v>8979</v>
      </c>
    </row>
    <row r="28285" spans="1:2" x14ac:dyDescent="0.25">
      <c r="A28285">
        <v>61045300119</v>
      </c>
      <c r="B28285" t="s">
        <v>10</v>
      </c>
    </row>
    <row r="28286" spans="1:2" x14ac:dyDescent="0.25">
      <c r="A28286">
        <v>6104530019</v>
      </c>
      <c r="B28286" t="s">
        <v>57</v>
      </c>
    </row>
    <row r="28287" spans="1:2" x14ac:dyDescent="0.25">
      <c r="A28287">
        <v>61045300191</v>
      </c>
      <c r="B28287" t="s">
        <v>8979</v>
      </c>
    </row>
    <row r="28288" spans="1:2" x14ac:dyDescent="0.25">
      <c r="A28288">
        <v>61045300199</v>
      </c>
      <c r="B28288" t="s">
        <v>10</v>
      </c>
    </row>
    <row r="28289" spans="1:2" x14ac:dyDescent="0.25">
      <c r="A28289">
        <v>610453002</v>
      </c>
      <c r="B28289" t="s">
        <v>9003</v>
      </c>
    </row>
    <row r="28290" spans="1:2" x14ac:dyDescent="0.25">
      <c r="A28290">
        <v>6104530021</v>
      </c>
      <c r="B28290" t="s">
        <v>9002</v>
      </c>
    </row>
    <row r="28291" spans="1:2" x14ac:dyDescent="0.25">
      <c r="A28291">
        <v>61045300211</v>
      </c>
      <c r="B28291" t="s">
        <v>8979</v>
      </c>
    </row>
    <row r="28292" spans="1:2" x14ac:dyDescent="0.25">
      <c r="A28292">
        <v>61045300219</v>
      </c>
      <c r="B28292" t="s">
        <v>10</v>
      </c>
    </row>
    <row r="28293" spans="1:2" x14ac:dyDescent="0.25">
      <c r="A28293">
        <v>6104530029</v>
      </c>
      <c r="B28293" t="s">
        <v>57</v>
      </c>
    </row>
    <row r="28294" spans="1:2" x14ac:dyDescent="0.25">
      <c r="A28294">
        <v>61045300291</v>
      </c>
      <c r="B28294" t="s">
        <v>8979</v>
      </c>
    </row>
    <row r="28295" spans="1:2" x14ac:dyDescent="0.25">
      <c r="A28295">
        <v>61045300299</v>
      </c>
      <c r="B28295" t="s">
        <v>10</v>
      </c>
    </row>
    <row r="28296" spans="1:2" x14ac:dyDescent="0.25">
      <c r="A28296">
        <v>61045900</v>
      </c>
      <c r="B28296" t="e">
        <f>- - de las demas materias textiles</f>
        <v>#NAME?</v>
      </c>
    </row>
    <row r="28297" spans="1:2" x14ac:dyDescent="0.25">
      <c r="A28297">
        <v>610459001</v>
      </c>
      <c r="B28297" t="s">
        <v>9005</v>
      </c>
    </row>
    <row r="28298" spans="1:2" x14ac:dyDescent="0.25">
      <c r="A28298">
        <v>6104590011</v>
      </c>
      <c r="B28298" t="s">
        <v>9002</v>
      </c>
    </row>
    <row r="28299" spans="1:2" x14ac:dyDescent="0.25">
      <c r="A28299">
        <v>61045900111</v>
      </c>
      <c r="B28299" t="s">
        <v>8979</v>
      </c>
    </row>
    <row r="28300" spans="1:2" x14ac:dyDescent="0.25">
      <c r="A28300">
        <v>61045900119</v>
      </c>
      <c r="B28300" t="s">
        <v>10</v>
      </c>
    </row>
    <row r="28301" spans="1:2" x14ac:dyDescent="0.25">
      <c r="A28301">
        <v>6104590019</v>
      </c>
      <c r="B28301" t="s">
        <v>57</v>
      </c>
    </row>
    <row r="28302" spans="1:2" x14ac:dyDescent="0.25">
      <c r="A28302">
        <v>61045900191</v>
      </c>
      <c r="B28302" t="s">
        <v>8979</v>
      </c>
    </row>
    <row r="28303" spans="1:2" x14ac:dyDescent="0.25">
      <c r="A28303">
        <v>61045900199</v>
      </c>
      <c r="B28303" t="s">
        <v>10</v>
      </c>
    </row>
    <row r="28304" spans="1:2" x14ac:dyDescent="0.25">
      <c r="A28304">
        <v>610459002</v>
      </c>
      <c r="B28304" t="s">
        <v>9003</v>
      </c>
    </row>
    <row r="28305" spans="1:2" x14ac:dyDescent="0.25">
      <c r="A28305">
        <v>6104590021</v>
      </c>
      <c r="B28305" t="s">
        <v>9002</v>
      </c>
    </row>
    <row r="28306" spans="1:2" x14ac:dyDescent="0.25">
      <c r="A28306">
        <v>61045900211</v>
      </c>
      <c r="B28306" t="s">
        <v>8979</v>
      </c>
    </row>
    <row r="28307" spans="1:2" x14ac:dyDescent="0.25">
      <c r="A28307">
        <v>61045900219</v>
      </c>
      <c r="B28307" t="s">
        <v>10</v>
      </c>
    </row>
    <row r="28308" spans="1:2" x14ac:dyDescent="0.25">
      <c r="A28308">
        <v>6104590029</v>
      </c>
      <c r="B28308" t="s">
        <v>57</v>
      </c>
    </row>
    <row r="28309" spans="1:2" x14ac:dyDescent="0.25">
      <c r="A28309">
        <v>61045900291</v>
      </c>
      <c r="B28309" t="s">
        <v>8979</v>
      </c>
    </row>
    <row r="28310" spans="1:2" x14ac:dyDescent="0.25">
      <c r="A28310">
        <v>61045900299</v>
      </c>
      <c r="B28310" t="s">
        <v>10</v>
      </c>
    </row>
    <row r="28311" spans="1:2" x14ac:dyDescent="0.25">
      <c r="A28311">
        <v>61046</v>
      </c>
      <c r="B28311" t="s">
        <v>8994</v>
      </c>
    </row>
    <row r="28312" spans="1:2" x14ac:dyDescent="0.25">
      <c r="A28312">
        <v>61046100</v>
      </c>
      <c r="B28312" t="e">
        <f>- - de lana o Pelo fino</f>
        <v>#NAME?</v>
      </c>
    </row>
    <row r="28313" spans="1:2" x14ac:dyDescent="0.25">
      <c r="A28313">
        <v>610461001</v>
      </c>
      <c r="B28313" t="s">
        <v>8995</v>
      </c>
    </row>
    <row r="28314" spans="1:2" x14ac:dyDescent="0.25">
      <c r="A28314">
        <v>61046100110</v>
      </c>
      <c r="B28314" t="s">
        <v>8979</v>
      </c>
    </row>
    <row r="28315" spans="1:2" x14ac:dyDescent="0.25">
      <c r="A28315">
        <v>61046100190</v>
      </c>
      <c r="B28315" t="s">
        <v>10</v>
      </c>
    </row>
    <row r="28316" spans="1:2" x14ac:dyDescent="0.25">
      <c r="A28316">
        <v>610461002</v>
      </c>
      <c r="B28316" t="s">
        <v>8996</v>
      </c>
    </row>
    <row r="28317" spans="1:2" x14ac:dyDescent="0.25">
      <c r="A28317">
        <v>61046100210</v>
      </c>
      <c r="B28317" t="s">
        <v>8979</v>
      </c>
    </row>
    <row r="28318" spans="1:2" x14ac:dyDescent="0.25">
      <c r="A28318">
        <v>61046100290</v>
      </c>
      <c r="B28318" t="s">
        <v>10</v>
      </c>
    </row>
    <row r="28319" spans="1:2" x14ac:dyDescent="0.25">
      <c r="A28319">
        <v>610461003</v>
      </c>
      <c r="B28319" t="s">
        <v>8997</v>
      </c>
    </row>
    <row r="28320" spans="1:2" x14ac:dyDescent="0.25">
      <c r="A28320">
        <v>61046100310</v>
      </c>
      <c r="B28320" t="s">
        <v>8979</v>
      </c>
    </row>
    <row r="28321" spans="1:2" x14ac:dyDescent="0.25">
      <c r="A28321">
        <v>61046100390</v>
      </c>
      <c r="B28321" t="s">
        <v>10</v>
      </c>
    </row>
    <row r="28322" spans="1:2" x14ac:dyDescent="0.25">
      <c r="A28322">
        <v>61046200</v>
      </c>
      <c r="B28322" t="e">
        <f>- - de algodon</f>
        <v>#NAME?</v>
      </c>
    </row>
    <row r="28323" spans="1:2" x14ac:dyDescent="0.25">
      <c r="A28323">
        <v>610462001</v>
      </c>
      <c r="B28323" t="s">
        <v>8995</v>
      </c>
    </row>
    <row r="28324" spans="1:2" x14ac:dyDescent="0.25">
      <c r="A28324">
        <v>61046200110</v>
      </c>
      <c r="B28324" t="s">
        <v>8979</v>
      </c>
    </row>
    <row r="28325" spans="1:2" x14ac:dyDescent="0.25">
      <c r="A28325">
        <v>61046200190</v>
      </c>
      <c r="B28325" t="s">
        <v>10</v>
      </c>
    </row>
    <row r="28326" spans="1:2" x14ac:dyDescent="0.25">
      <c r="A28326">
        <v>610462002</v>
      </c>
      <c r="B28326" t="s">
        <v>8996</v>
      </c>
    </row>
    <row r="28327" spans="1:2" x14ac:dyDescent="0.25">
      <c r="A28327">
        <v>61046200210</v>
      </c>
      <c r="B28327" t="s">
        <v>8979</v>
      </c>
    </row>
    <row r="28328" spans="1:2" x14ac:dyDescent="0.25">
      <c r="A28328">
        <v>61046200290</v>
      </c>
      <c r="B28328" t="s">
        <v>10</v>
      </c>
    </row>
    <row r="28329" spans="1:2" x14ac:dyDescent="0.25">
      <c r="A28329">
        <v>610462003</v>
      </c>
      <c r="B28329" t="s">
        <v>8997</v>
      </c>
    </row>
    <row r="28330" spans="1:2" x14ac:dyDescent="0.25">
      <c r="A28330">
        <v>61046200310</v>
      </c>
      <c r="B28330" t="s">
        <v>8979</v>
      </c>
    </row>
    <row r="28331" spans="1:2" x14ac:dyDescent="0.25">
      <c r="A28331">
        <v>61046200390</v>
      </c>
      <c r="B28331" t="s">
        <v>10</v>
      </c>
    </row>
    <row r="28332" spans="1:2" x14ac:dyDescent="0.25">
      <c r="A28332">
        <v>61046300</v>
      </c>
      <c r="B28332" t="e">
        <f>- - de fibras sinteticas</f>
        <v>#NAME?</v>
      </c>
    </row>
    <row r="28333" spans="1:2" x14ac:dyDescent="0.25">
      <c r="A28333">
        <v>610463001</v>
      </c>
      <c r="B28333" t="s">
        <v>8995</v>
      </c>
    </row>
    <row r="28334" spans="1:2" x14ac:dyDescent="0.25">
      <c r="A28334">
        <v>61046300110</v>
      </c>
      <c r="B28334" t="s">
        <v>8979</v>
      </c>
    </row>
    <row r="28335" spans="1:2" x14ac:dyDescent="0.25">
      <c r="A28335">
        <v>61046300190</v>
      </c>
      <c r="B28335" t="s">
        <v>10</v>
      </c>
    </row>
    <row r="28336" spans="1:2" x14ac:dyDescent="0.25">
      <c r="A28336">
        <v>610463002</v>
      </c>
      <c r="B28336" t="s">
        <v>8996</v>
      </c>
    </row>
    <row r="28337" spans="1:2" x14ac:dyDescent="0.25">
      <c r="A28337">
        <v>61046300210</v>
      </c>
      <c r="B28337" t="s">
        <v>8979</v>
      </c>
    </row>
    <row r="28338" spans="1:2" x14ac:dyDescent="0.25">
      <c r="A28338">
        <v>61046300290</v>
      </c>
      <c r="B28338" t="s">
        <v>10</v>
      </c>
    </row>
    <row r="28339" spans="1:2" x14ac:dyDescent="0.25">
      <c r="A28339">
        <v>610463003</v>
      </c>
      <c r="B28339" t="s">
        <v>8997</v>
      </c>
    </row>
    <row r="28340" spans="1:2" x14ac:dyDescent="0.25">
      <c r="A28340">
        <v>61046300310</v>
      </c>
      <c r="B28340" t="s">
        <v>8979</v>
      </c>
    </row>
    <row r="28341" spans="1:2" x14ac:dyDescent="0.25">
      <c r="A28341">
        <v>61046300390</v>
      </c>
      <c r="B28341" t="s">
        <v>10</v>
      </c>
    </row>
    <row r="28342" spans="1:2" x14ac:dyDescent="0.25">
      <c r="A28342">
        <v>61046900</v>
      </c>
      <c r="B28342" t="e">
        <f>- - de las demas materias textiles</f>
        <v>#NAME?</v>
      </c>
    </row>
    <row r="28343" spans="1:2" x14ac:dyDescent="0.25">
      <c r="A28343">
        <v>610469001</v>
      </c>
      <c r="B28343" t="s">
        <v>8995</v>
      </c>
    </row>
    <row r="28344" spans="1:2" x14ac:dyDescent="0.25">
      <c r="A28344">
        <v>61046900110</v>
      </c>
      <c r="B28344" t="s">
        <v>8979</v>
      </c>
    </row>
    <row r="28345" spans="1:2" x14ac:dyDescent="0.25">
      <c r="A28345">
        <v>61046900190</v>
      </c>
      <c r="B28345" t="s">
        <v>10</v>
      </c>
    </row>
    <row r="28346" spans="1:2" x14ac:dyDescent="0.25">
      <c r="A28346">
        <v>610469002</v>
      </c>
      <c r="B28346" t="s">
        <v>8996</v>
      </c>
    </row>
    <row r="28347" spans="1:2" x14ac:dyDescent="0.25">
      <c r="A28347">
        <v>61046900210</v>
      </c>
      <c r="B28347" t="s">
        <v>8979</v>
      </c>
    </row>
    <row r="28348" spans="1:2" x14ac:dyDescent="0.25">
      <c r="A28348">
        <v>61046900290</v>
      </c>
      <c r="B28348" t="s">
        <v>10</v>
      </c>
    </row>
    <row r="28349" spans="1:2" x14ac:dyDescent="0.25">
      <c r="A28349">
        <v>610469003</v>
      </c>
      <c r="B28349" t="s">
        <v>8997</v>
      </c>
    </row>
    <row r="28350" spans="1:2" x14ac:dyDescent="0.25">
      <c r="A28350">
        <v>61046900310</v>
      </c>
      <c r="B28350" t="s">
        <v>8979</v>
      </c>
    </row>
    <row r="28351" spans="1:2" x14ac:dyDescent="0.25">
      <c r="A28351">
        <v>61046900390</v>
      </c>
      <c r="B28351" t="s">
        <v>10</v>
      </c>
    </row>
    <row r="28352" spans="1:2" x14ac:dyDescent="0.25">
      <c r="A28352">
        <v>6105</v>
      </c>
      <c r="B28352" t="s">
        <v>9006</v>
      </c>
    </row>
    <row r="28353" spans="1:2" x14ac:dyDescent="0.25">
      <c r="A28353">
        <v>61051000</v>
      </c>
      <c r="B28353" t="e">
        <f>- de algodon</f>
        <v>#NAME?</v>
      </c>
    </row>
    <row r="28354" spans="1:2" x14ac:dyDescent="0.25">
      <c r="A28354">
        <v>610510001</v>
      </c>
      <c r="B28354" t="s">
        <v>9007</v>
      </c>
    </row>
    <row r="28355" spans="1:2" x14ac:dyDescent="0.25">
      <c r="A28355">
        <v>61051000110</v>
      </c>
      <c r="B28355" t="s">
        <v>8979</v>
      </c>
    </row>
    <row r="28356" spans="1:2" x14ac:dyDescent="0.25">
      <c r="A28356">
        <v>61051000190</v>
      </c>
      <c r="B28356" t="s">
        <v>10</v>
      </c>
    </row>
    <row r="28357" spans="1:2" x14ac:dyDescent="0.25">
      <c r="A28357">
        <v>610510002</v>
      </c>
      <c r="B28357" t="s">
        <v>9008</v>
      </c>
    </row>
    <row r="28358" spans="1:2" x14ac:dyDescent="0.25">
      <c r="A28358">
        <v>61051000210</v>
      </c>
      <c r="B28358" t="s">
        <v>8979</v>
      </c>
    </row>
    <row r="28359" spans="1:2" x14ac:dyDescent="0.25">
      <c r="A28359">
        <v>61051000290</v>
      </c>
      <c r="B28359" t="s">
        <v>10</v>
      </c>
    </row>
    <row r="28360" spans="1:2" x14ac:dyDescent="0.25">
      <c r="A28360">
        <v>61052000</v>
      </c>
      <c r="B28360" t="e">
        <f>- de fibras sinteticas o artificiales</f>
        <v>#NAME?</v>
      </c>
    </row>
    <row r="28361" spans="1:2" x14ac:dyDescent="0.25">
      <c r="A28361">
        <v>610520001</v>
      </c>
      <c r="B28361" t="s">
        <v>9007</v>
      </c>
    </row>
    <row r="28362" spans="1:2" x14ac:dyDescent="0.25">
      <c r="A28362">
        <v>61052000110</v>
      </c>
      <c r="B28362" t="s">
        <v>8979</v>
      </c>
    </row>
    <row r="28363" spans="1:2" x14ac:dyDescent="0.25">
      <c r="A28363">
        <v>61052000190</v>
      </c>
      <c r="B28363" t="s">
        <v>10</v>
      </c>
    </row>
    <row r="28364" spans="1:2" x14ac:dyDescent="0.25">
      <c r="A28364">
        <v>610520002</v>
      </c>
      <c r="B28364" t="s">
        <v>9008</v>
      </c>
    </row>
    <row r="28365" spans="1:2" x14ac:dyDescent="0.25">
      <c r="A28365">
        <v>61052000210</v>
      </c>
      <c r="B28365" t="s">
        <v>8979</v>
      </c>
    </row>
    <row r="28366" spans="1:2" x14ac:dyDescent="0.25">
      <c r="A28366">
        <v>61052000290</v>
      </c>
      <c r="B28366" t="s">
        <v>10</v>
      </c>
    </row>
    <row r="28367" spans="1:2" x14ac:dyDescent="0.25">
      <c r="A28367">
        <v>61059000</v>
      </c>
      <c r="B28367" t="e">
        <f>- de las demas materias textiles</f>
        <v>#NAME?</v>
      </c>
    </row>
    <row r="28368" spans="1:2" x14ac:dyDescent="0.25">
      <c r="A28368">
        <v>610590001</v>
      </c>
      <c r="B28368" t="s">
        <v>9009</v>
      </c>
    </row>
    <row r="28369" spans="1:2" x14ac:dyDescent="0.25">
      <c r="A28369">
        <v>61059000110</v>
      </c>
      <c r="B28369" t="s">
        <v>8979</v>
      </c>
    </row>
    <row r="28370" spans="1:2" x14ac:dyDescent="0.25">
      <c r="A28370">
        <v>61059000190</v>
      </c>
      <c r="B28370" t="s">
        <v>10</v>
      </c>
    </row>
    <row r="28371" spans="1:2" x14ac:dyDescent="0.25">
      <c r="A28371">
        <v>610590002</v>
      </c>
      <c r="B28371" t="s">
        <v>9008</v>
      </c>
    </row>
    <row r="28372" spans="1:2" x14ac:dyDescent="0.25">
      <c r="A28372">
        <v>61059000210</v>
      </c>
      <c r="B28372" t="s">
        <v>8979</v>
      </c>
    </row>
    <row r="28373" spans="1:2" x14ac:dyDescent="0.25">
      <c r="A28373">
        <v>61059000290</v>
      </c>
      <c r="B28373" t="s">
        <v>10</v>
      </c>
    </row>
    <row r="28374" spans="1:2" x14ac:dyDescent="0.25">
      <c r="A28374">
        <v>6106</v>
      </c>
      <c r="B28374" t="s">
        <v>9010</v>
      </c>
    </row>
    <row r="28375" spans="1:2" x14ac:dyDescent="0.25">
      <c r="A28375">
        <v>61061000</v>
      </c>
      <c r="B28375" t="e">
        <f>- de algodon</f>
        <v>#NAME?</v>
      </c>
    </row>
    <row r="28376" spans="1:2" x14ac:dyDescent="0.25">
      <c r="A28376">
        <v>610610001</v>
      </c>
      <c r="B28376" t="s">
        <v>9011</v>
      </c>
    </row>
    <row r="28377" spans="1:2" x14ac:dyDescent="0.25">
      <c r="A28377">
        <v>61061000110</v>
      </c>
      <c r="B28377" t="s">
        <v>8979</v>
      </c>
    </row>
    <row r="28378" spans="1:2" x14ac:dyDescent="0.25">
      <c r="A28378">
        <v>61061000190</v>
      </c>
      <c r="B28378" t="s">
        <v>10</v>
      </c>
    </row>
    <row r="28379" spans="1:2" x14ac:dyDescent="0.25">
      <c r="A28379">
        <v>610610002</v>
      </c>
      <c r="B28379" t="s">
        <v>9008</v>
      </c>
    </row>
    <row r="28380" spans="1:2" x14ac:dyDescent="0.25">
      <c r="A28380">
        <v>61061000210</v>
      </c>
      <c r="B28380" t="s">
        <v>8979</v>
      </c>
    </row>
    <row r="28381" spans="1:2" x14ac:dyDescent="0.25">
      <c r="A28381">
        <v>61061000290</v>
      </c>
      <c r="B28381" t="s">
        <v>10</v>
      </c>
    </row>
    <row r="28382" spans="1:2" x14ac:dyDescent="0.25">
      <c r="A28382">
        <v>61062000</v>
      </c>
      <c r="B28382" t="e">
        <f>- de fibras sinteticas o artificiales</f>
        <v>#NAME?</v>
      </c>
    </row>
    <row r="28383" spans="1:2" x14ac:dyDescent="0.25">
      <c r="A28383">
        <v>610620001</v>
      </c>
      <c r="B28383" t="s">
        <v>9011</v>
      </c>
    </row>
    <row r="28384" spans="1:2" x14ac:dyDescent="0.25">
      <c r="A28384">
        <v>61062000110</v>
      </c>
      <c r="B28384" t="s">
        <v>8979</v>
      </c>
    </row>
    <row r="28385" spans="1:2" x14ac:dyDescent="0.25">
      <c r="A28385">
        <v>61062000190</v>
      </c>
      <c r="B28385" t="s">
        <v>10</v>
      </c>
    </row>
    <row r="28386" spans="1:2" x14ac:dyDescent="0.25">
      <c r="A28386">
        <v>610620002</v>
      </c>
      <c r="B28386" t="s">
        <v>9008</v>
      </c>
    </row>
    <row r="28387" spans="1:2" x14ac:dyDescent="0.25">
      <c r="A28387">
        <v>61062000210</v>
      </c>
      <c r="B28387" t="s">
        <v>8979</v>
      </c>
    </row>
    <row r="28388" spans="1:2" x14ac:dyDescent="0.25">
      <c r="A28388">
        <v>61062000290</v>
      </c>
      <c r="B28388" t="s">
        <v>10</v>
      </c>
    </row>
    <row r="28389" spans="1:2" x14ac:dyDescent="0.25">
      <c r="A28389">
        <v>61069000</v>
      </c>
      <c r="B28389" t="e">
        <f>- de las demas materias textiles</f>
        <v>#NAME?</v>
      </c>
    </row>
    <row r="28390" spans="1:2" x14ac:dyDescent="0.25">
      <c r="A28390">
        <v>610690001</v>
      </c>
      <c r="B28390" t="s">
        <v>9011</v>
      </c>
    </row>
    <row r="28391" spans="1:2" x14ac:dyDescent="0.25">
      <c r="A28391">
        <v>61069000110</v>
      </c>
      <c r="B28391" t="s">
        <v>8979</v>
      </c>
    </row>
    <row r="28392" spans="1:2" x14ac:dyDescent="0.25">
      <c r="A28392">
        <v>61069000190</v>
      </c>
      <c r="B28392" t="s">
        <v>10</v>
      </c>
    </row>
    <row r="28393" spans="1:2" x14ac:dyDescent="0.25">
      <c r="A28393">
        <v>610690002</v>
      </c>
      <c r="B28393" t="s">
        <v>9008</v>
      </c>
    </row>
    <row r="28394" spans="1:2" x14ac:dyDescent="0.25">
      <c r="A28394">
        <v>61069000210</v>
      </c>
      <c r="B28394" t="s">
        <v>8979</v>
      </c>
    </row>
    <row r="28395" spans="1:2" x14ac:dyDescent="0.25">
      <c r="A28395">
        <v>61069000290</v>
      </c>
      <c r="B28395" t="s">
        <v>10</v>
      </c>
    </row>
    <row r="28396" spans="1:2" x14ac:dyDescent="0.25">
      <c r="A28396">
        <v>6107</v>
      </c>
      <c r="B28396" t="s">
        <v>9012</v>
      </c>
    </row>
    <row r="28397" spans="1:2" x14ac:dyDescent="0.25">
      <c r="A28397">
        <v>61071</v>
      </c>
      <c r="B28397" t="s">
        <v>9013</v>
      </c>
    </row>
    <row r="28398" spans="1:2" x14ac:dyDescent="0.25">
      <c r="A28398">
        <v>61071100</v>
      </c>
      <c r="B28398" t="e">
        <f>- - de algodon</f>
        <v>#NAME?</v>
      </c>
    </row>
    <row r="28399" spans="1:2" x14ac:dyDescent="0.25">
      <c r="A28399">
        <v>61071100100</v>
      </c>
      <c r="B28399" t="s">
        <v>9014</v>
      </c>
    </row>
    <row r="28400" spans="1:2" x14ac:dyDescent="0.25">
      <c r="A28400">
        <v>61071100200</v>
      </c>
      <c r="B28400" t="s">
        <v>9015</v>
      </c>
    </row>
    <row r="28401" spans="1:2" x14ac:dyDescent="0.25">
      <c r="A28401">
        <v>61071200</v>
      </c>
      <c r="B28401" t="e">
        <f>- - de fibras sinteticas o artificiales</f>
        <v>#NAME?</v>
      </c>
    </row>
    <row r="28402" spans="1:2" x14ac:dyDescent="0.25">
      <c r="A28402">
        <v>61071200100</v>
      </c>
      <c r="B28402" t="s">
        <v>9014</v>
      </c>
    </row>
    <row r="28403" spans="1:2" x14ac:dyDescent="0.25">
      <c r="A28403">
        <v>61071200200</v>
      </c>
      <c r="B28403" t="s">
        <v>9015</v>
      </c>
    </row>
    <row r="28404" spans="1:2" x14ac:dyDescent="0.25">
      <c r="A28404">
        <v>61071900</v>
      </c>
      <c r="B28404" t="e">
        <f>- - de las demas materias textiles</f>
        <v>#NAME?</v>
      </c>
    </row>
    <row r="28405" spans="1:2" x14ac:dyDescent="0.25">
      <c r="A28405">
        <v>61071900100</v>
      </c>
      <c r="B28405" t="s">
        <v>9014</v>
      </c>
    </row>
    <row r="28406" spans="1:2" x14ac:dyDescent="0.25">
      <c r="A28406">
        <v>61071900200</v>
      </c>
      <c r="B28406" t="s">
        <v>9015</v>
      </c>
    </row>
    <row r="28407" spans="1:2" x14ac:dyDescent="0.25">
      <c r="A28407">
        <v>61072</v>
      </c>
      <c r="B28407" t="s">
        <v>9016</v>
      </c>
    </row>
    <row r="28408" spans="1:2" x14ac:dyDescent="0.25">
      <c r="A28408">
        <v>61072100</v>
      </c>
      <c r="B28408" t="e">
        <f>- - de algodon</f>
        <v>#NAME?</v>
      </c>
    </row>
    <row r="28409" spans="1:2" x14ac:dyDescent="0.25">
      <c r="A28409">
        <v>610721001</v>
      </c>
      <c r="B28409" t="s">
        <v>9017</v>
      </c>
    </row>
    <row r="28410" spans="1:2" x14ac:dyDescent="0.25">
      <c r="A28410">
        <v>61072100110</v>
      </c>
      <c r="B28410" t="s">
        <v>8979</v>
      </c>
    </row>
    <row r="28411" spans="1:2" x14ac:dyDescent="0.25">
      <c r="A28411">
        <v>61072100190</v>
      </c>
      <c r="B28411" t="s">
        <v>10</v>
      </c>
    </row>
    <row r="28412" spans="1:2" x14ac:dyDescent="0.25">
      <c r="A28412">
        <v>610721002</v>
      </c>
      <c r="B28412" t="s">
        <v>9018</v>
      </c>
    </row>
    <row r="28413" spans="1:2" x14ac:dyDescent="0.25">
      <c r="A28413">
        <v>61072100210</v>
      </c>
      <c r="B28413" t="s">
        <v>8979</v>
      </c>
    </row>
    <row r="28414" spans="1:2" x14ac:dyDescent="0.25">
      <c r="A28414">
        <v>61072100290</v>
      </c>
      <c r="B28414" t="s">
        <v>10</v>
      </c>
    </row>
    <row r="28415" spans="1:2" x14ac:dyDescent="0.25">
      <c r="A28415">
        <v>61072200</v>
      </c>
      <c r="B28415" t="e">
        <f>- - de fibras sinteticas o artificiales</f>
        <v>#NAME?</v>
      </c>
    </row>
    <row r="28416" spans="1:2" x14ac:dyDescent="0.25">
      <c r="A28416">
        <v>610722001</v>
      </c>
      <c r="B28416" t="s">
        <v>9017</v>
      </c>
    </row>
    <row r="28417" spans="1:2" x14ac:dyDescent="0.25">
      <c r="A28417">
        <v>61072200110</v>
      </c>
      <c r="B28417" t="s">
        <v>8979</v>
      </c>
    </row>
    <row r="28418" spans="1:2" x14ac:dyDescent="0.25">
      <c r="A28418">
        <v>61072200190</v>
      </c>
      <c r="B28418" t="s">
        <v>10</v>
      </c>
    </row>
    <row r="28419" spans="1:2" x14ac:dyDescent="0.25">
      <c r="A28419">
        <v>610722002</v>
      </c>
      <c r="B28419" t="s">
        <v>9018</v>
      </c>
    </row>
    <row r="28420" spans="1:2" x14ac:dyDescent="0.25">
      <c r="A28420">
        <v>61072200210</v>
      </c>
      <c r="B28420" t="s">
        <v>8979</v>
      </c>
    </row>
    <row r="28421" spans="1:2" x14ac:dyDescent="0.25">
      <c r="A28421">
        <v>61072200290</v>
      </c>
      <c r="B28421" t="s">
        <v>10</v>
      </c>
    </row>
    <row r="28422" spans="1:2" x14ac:dyDescent="0.25">
      <c r="A28422">
        <v>61072900</v>
      </c>
      <c r="B28422" t="e">
        <f>- - de las demas materias textiles</f>
        <v>#NAME?</v>
      </c>
    </row>
    <row r="28423" spans="1:2" x14ac:dyDescent="0.25">
      <c r="A28423">
        <v>610729001</v>
      </c>
      <c r="B28423" t="s">
        <v>9017</v>
      </c>
    </row>
    <row r="28424" spans="1:2" x14ac:dyDescent="0.25">
      <c r="A28424">
        <v>61072900110</v>
      </c>
      <c r="B28424" t="s">
        <v>8979</v>
      </c>
    </row>
    <row r="28425" spans="1:2" x14ac:dyDescent="0.25">
      <c r="A28425">
        <v>61072900190</v>
      </c>
      <c r="B28425" t="s">
        <v>10</v>
      </c>
    </row>
    <row r="28426" spans="1:2" x14ac:dyDescent="0.25">
      <c r="A28426">
        <v>610729002</v>
      </c>
      <c r="B28426" t="s">
        <v>9018</v>
      </c>
    </row>
    <row r="28427" spans="1:2" x14ac:dyDescent="0.25">
      <c r="A28427">
        <v>61072900210</v>
      </c>
      <c r="B28427" t="s">
        <v>8979</v>
      </c>
    </row>
    <row r="28428" spans="1:2" x14ac:dyDescent="0.25">
      <c r="A28428">
        <v>61072900290</v>
      </c>
      <c r="B28428" t="s">
        <v>10</v>
      </c>
    </row>
    <row r="28429" spans="1:2" x14ac:dyDescent="0.25">
      <c r="A28429">
        <v>61079</v>
      </c>
      <c r="B28429" t="s">
        <v>28</v>
      </c>
    </row>
    <row r="28430" spans="1:2" x14ac:dyDescent="0.25">
      <c r="A28430">
        <v>61079100</v>
      </c>
      <c r="B28430" t="e">
        <f>- - de algodon</f>
        <v>#NAME?</v>
      </c>
    </row>
    <row r="28431" spans="1:2" x14ac:dyDescent="0.25">
      <c r="A28431">
        <v>61079100100</v>
      </c>
      <c r="B28431" t="s">
        <v>8979</v>
      </c>
    </row>
    <row r="28432" spans="1:2" x14ac:dyDescent="0.25">
      <c r="A28432">
        <v>61079100900</v>
      </c>
      <c r="B28432" t="s">
        <v>10</v>
      </c>
    </row>
    <row r="28433" spans="1:2" x14ac:dyDescent="0.25">
      <c r="A28433">
        <v>610799</v>
      </c>
      <c r="B28433" t="e">
        <f>- - de las demas materias textiles</f>
        <v>#NAME?</v>
      </c>
    </row>
    <row r="28434" spans="1:2" x14ac:dyDescent="0.25">
      <c r="A28434">
        <v>61079910</v>
      </c>
      <c r="B28434" t="s">
        <v>8898</v>
      </c>
    </row>
    <row r="28435" spans="1:2" x14ac:dyDescent="0.25">
      <c r="A28435">
        <v>61079910100</v>
      </c>
      <c r="B28435" t="s">
        <v>8979</v>
      </c>
    </row>
    <row r="28436" spans="1:2" x14ac:dyDescent="0.25">
      <c r="A28436">
        <v>61079910900</v>
      </c>
      <c r="B28436" t="s">
        <v>10</v>
      </c>
    </row>
    <row r="28437" spans="1:2" x14ac:dyDescent="0.25">
      <c r="A28437">
        <v>61079990</v>
      </c>
      <c r="B28437" t="s">
        <v>10</v>
      </c>
    </row>
    <row r="28438" spans="1:2" x14ac:dyDescent="0.25">
      <c r="A28438">
        <v>61079990100</v>
      </c>
      <c r="B28438" t="s">
        <v>8979</v>
      </c>
    </row>
    <row r="28439" spans="1:2" x14ac:dyDescent="0.25">
      <c r="A28439">
        <v>61079990900</v>
      </c>
      <c r="B28439" t="s">
        <v>10</v>
      </c>
    </row>
    <row r="28440" spans="1:2" x14ac:dyDescent="0.25">
      <c r="A28440">
        <v>6108</v>
      </c>
      <c r="B28440" t="s">
        <v>9019</v>
      </c>
    </row>
    <row r="28441" spans="1:2" x14ac:dyDescent="0.25">
      <c r="A28441">
        <v>61081</v>
      </c>
      <c r="B28441" t="s">
        <v>9020</v>
      </c>
    </row>
    <row r="28442" spans="1:2" x14ac:dyDescent="0.25">
      <c r="A28442">
        <v>61081100000</v>
      </c>
      <c r="B28442" t="e">
        <f>--de fibras sinteticas o artificiales</f>
        <v>#NAME?</v>
      </c>
    </row>
    <row r="28443" spans="1:2" x14ac:dyDescent="0.25">
      <c r="A28443">
        <v>61081900000</v>
      </c>
      <c r="B28443" t="e">
        <f>--de las demas materias textiles</f>
        <v>#NAME?</v>
      </c>
    </row>
    <row r="28444" spans="1:2" x14ac:dyDescent="0.25">
      <c r="A28444">
        <v>61082</v>
      </c>
      <c r="B28444" t="s">
        <v>9021</v>
      </c>
    </row>
    <row r="28445" spans="1:2" x14ac:dyDescent="0.25">
      <c r="A28445">
        <v>61082100000</v>
      </c>
      <c r="B28445" t="e">
        <f>--de algodon</f>
        <v>#NAME?</v>
      </c>
    </row>
    <row r="28446" spans="1:2" x14ac:dyDescent="0.25">
      <c r="A28446">
        <v>61082200000</v>
      </c>
      <c r="B28446" t="e">
        <f>--de fibras sinteticas o artificiales</f>
        <v>#NAME?</v>
      </c>
    </row>
    <row r="28447" spans="1:2" x14ac:dyDescent="0.25">
      <c r="A28447">
        <v>61082900000</v>
      </c>
      <c r="B28447" t="e">
        <f>--de las demas materias textiles</f>
        <v>#NAME?</v>
      </c>
    </row>
    <row r="28448" spans="1:2" x14ac:dyDescent="0.25">
      <c r="A28448">
        <v>61083</v>
      </c>
      <c r="B28448" t="s">
        <v>9016</v>
      </c>
    </row>
    <row r="28449" spans="1:2" x14ac:dyDescent="0.25">
      <c r="A28449">
        <v>61083100</v>
      </c>
      <c r="B28449" t="e">
        <f>- - de algodon</f>
        <v>#NAME?</v>
      </c>
    </row>
    <row r="28450" spans="1:2" x14ac:dyDescent="0.25">
      <c r="A28450">
        <v>610831001</v>
      </c>
      <c r="B28450" t="s">
        <v>9017</v>
      </c>
    </row>
    <row r="28451" spans="1:2" x14ac:dyDescent="0.25">
      <c r="A28451">
        <v>61083100110</v>
      </c>
      <c r="B28451" t="s">
        <v>8979</v>
      </c>
    </row>
    <row r="28452" spans="1:2" x14ac:dyDescent="0.25">
      <c r="A28452">
        <v>61083100190</v>
      </c>
      <c r="B28452" t="s">
        <v>10</v>
      </c>
    </row>
    <row r="28453" spans="1:2" x14ac:dyDescent="0.25">
      <c r="A28453">
        <v>610831002</v>
      </c>
      <c r="B28453" t="s">
        <v>9018</v>
      </c>
    </row>
    <row r="28454" spans="1:2" x14ac:dyDescent="0.25">
      <c r="A28454">
        <v>61083100210</v>
      </c>
      <c r="B28454" t="s">
        <v>8979</v>
      </c>
    </row>
    <row r="28455" spans="1:2" x14ac:dyDescent="0.25">
      <c r="A28455">
        <v>61083100290</v>
      </c>
      <c r="B28455" t="s">
        <v>10</v>
      </c>
    </row>
    <row r="28456" spans="1:2" x14ac:dyDescent="0.25">
      <c r="A28456">
        <v>61083200</v>
      </c>
      <c r="B28456" t="e">
        <f>- - de fibras sinteticas o artificiales</f>
        <v>#NAME?</v>
      </c>
    </row>
    <row r="28457" spans="1:2" x14ac:dyDescent="0.25">
      <c r="A28457">
        <v>610832001</v>
      </c>
      <c r="B28457" t="s">
        <v>9017</v>
      </c>
    </row>
    <row r="28458" spans="1:2" x14ac:dyDescent="0.25">
      <c r="A28458">
        <v>61083200110</v>
      </c>
      <c r="B28458" t="s">
        <v>8979</v>
      </c>
    </row>
    <row r="28459" spans="1:2" x14ac:dyDescent="0.25">
      <c r="A28459">
        <v>61083200190</v>
      </c>
      <c r="B28459" t="s">
        <v>10</v>
      </c>
    </row>
    <row r="28460" spans="1:2" x14ac:dyDescent="0.25">
      <c r="A28460">
        <v>610832002</v>
      </c>
      <c r="B28460" t="s">
        <v>9018</v>
      </c>
    </row>
    <row r="28461" spans="1:2" x14ac:dyDescent="0.25">
      <c r="A28461">
        <v>61083200210</v>
      </c>
      <c r="B28461" t="s">
        <v>8979</v>
      </c>
    </row>
    <row r="28462" spans="1:2" x14ac:dyDescent="0.25">
      <c r="A28462">
        <v>61083200290</v>
      </c>
      <c r="B28462" t="s">
        <v>10</v>
      </c>
    </row>
    <row r="28463" spans="1:2" x14ac:dyDescent="0.25">
      <c r="A28463">
        <v>61083900</v>
      </c>
      <c r="B28463" t="e">
        <f>- - de las demas materias textiles</f>
        <v>#NAME?</v>
      </c>
    </row>
    <row r="28464" spans="1:2" x14ac:dyDescent="0.25">
      <c r="A28464">
        <v>610839001</v>
      </c>
      <c r="B28464" t="s">
        <v>9017</v>
      </c>
    </row>
    <row r="28465" spans="1:2" x14ac:dyDescent="0.25">
      <c r="A28465">
        <v>61083900110</v>
      </c>
      <c r="B28465" t="s">
        <v>8979</v>
      </c>
    </row>
    <row r="28466" spans="1:2" x14ac:dyDescent="0.25">
      <c r="A28466">
        <v>61083900190</v>
      </c>
      <c r="B28466" t="s">
        <v>10</v>
      </c>
    </row>
    <row r="28467" spans="1:2" x14ac:dyDescent="0.25">
      <c r="A28467">
        <v>610839002</v>
      </c>
      <c r="B28467" t="s">
        <v>9018</v>
      </c>
    </row>
    <row r="28468" spans="1:2" x14ac:dyDescent="0.25">
      <c r="A28468">
        <v>61083900210</v>
      </c>
      <c r="B28468" t="s">
        <v>8979</v>
      </c>
    </row>
    <row r="28469" spans="1:2" x14ac:dyDescent="0.25">
      <c r="A28469">
        <v>61083900290</v>
      </c>
      <c r="B28469" t="s">
        <v>10</v>
      </c>
    </row>
    <row r="28470" spans="1:2" x14ac:dyDescent="0.25">
      <c r="A28470">
        <v>61089</v>
      </c>
      <c r="B28470" t="s">
        <v>28</v>
      </c>
    </row>
    <row r="28471" spans="1:2" x14ac:dyDescent="0.25">
      <c r="A28471">
        <v>61089100</v>
      </c>
      <c r="B28471" t="e">
        <f>- - de algodon</f>
        <v>#NAME?</v>
      </c>
    </row>
    <row r="28472" spans="1:2" x14ac:dyDescent="0.25">
      <c r="A28472">
        <v>61089100100</v>
      </c>
      <c r="B28472" t="s">
        <v>8979</v>
      </c>
    </row>
    <row r="28473" spans="1:2" x14ac:dyDescent="0.25">
      <c r="A28473">
        <v>61089100900</v>
      </c>
      <c r="B28473" t="s">
        <v>10</v>
      </c>
    </row>
    <row r="28474" spans="1:2" x14ac:dyDescent="0.25">
      <c r="A28474">
        <v>61089200</v>
      </c>
      <c r="B28474" t="e">
        <f>- - de fibras sinteticas o artificiales</f>
        <v>#NAME?</v>
      </c>
    </row>
    <row r="28475" spans="1:2" x14ac:dyDescent="0.25">
      <c r="A28475">
        <v>61089200100</v>
      </c>
      <c r="B28475" t="s">
        <v>8979</v>
      </c>
    </row>
    <row r="28476" spans="1:2" x14ac:dyDescent="0.25">
      <c r="A28476">
        <v>61089200900</v>
      </c>
      <c r="B28476" t="s">
        <v>10</v>
      </c>
    </row>
    <row r="28477" spans="1:2" x14ac:dyDescent="0.25">
      <c r="A28477">
        <v>61089900</v>
      </c>
      <c r="B28477" t="e">
        <f>- - de las demas materias textiles</f>
        <v>#NAME?</v>
      </c>
    </row>
    <row r="28478" spans="1:2" x14ac:dyDescent="0.25">
      <c r="A28478">
        <v>61089900100</v>
      </c>
      <c r="B28478" t="s">
        <v>8979</v>
      </c>
    </row>
    <row r="28479" spans="1:2" x14ac:dyDescent="0.25">
      <c r="A28479">
        <v>61089900900</v>
      </c>
      <c r="B28479" t="s">
        <v>10</v>
      </c>
    </row>
    <row r="28480" spans="1:2" x14ac:dyDescent="0.25">
      <c r="A28480">
        <v>6109</v>
      </c>
      <c r="B28480" t="s">
        <v>9022</v>
      </c>
    </row>
    <row r="28481" spans="1:2" x14ac:dyDescent="0.25">
      <c r="A28481">
        <v>61091000</v>
      </c>
      <c r="B28481" t="e">
        <f>- de algodon</f>
        <v>#NAME?</v>
      </c>
    </row>
    <row r="28482" spans="1:2" x14ac:dyDescent="0.25">
      <c r="A28482">
        <v>610910001</v>
      </c>
      <c r="B28482" t="s">
        <v>9023</v>
      </c>
    </row>
    <row r="28483" spans="1:2" x14ac:dyDescent="0.25">
      <c r="A28483">
        <v>61091000110</v>
      </c>
      <c r="B28483" t="s">
        <v>8979</v>
      </c>
    </row>
    <row r="28484" spans="1:2" x14ac:dyDescent="0.25">
      <c r="A28484">
        <v>61091000190</v>
      </c>
      <c r="B28484" t="s">
        <v>57</v>
      </c>
    </row>
    <row r="28485" spans="1:2" x14ac:dyDescent="0.25">
      <c r="A28485">
        <v>610910002</v>
      </c>
      <c r="B28485" t="s">
        <v>9024</v>
      </c>
    </row>
    <row r="28486" spans="1:2" x14ac:dyDescent="0.25">
      <c r="A28486">
        <v>61091000210</v>
      </c>
      <c r="B28486" t="s">
        <v>8979</v>
      </c>
    </row>
    <row r="28487" spans="1:2" x14ac:dyDescent="0.25">
      <c r="A28487">
        <v>61091000290</v>
      </c>
      <c r="B28487" t="s">
        <v>57</v>
      </c>
    </row>
    <row r="28488" spans="1:2" x14ac:dyDescent="0.25">
      <c r="A28488">
        <v>61099000</v>
      </c>
      <c r="B28488" t="e">
        <f>- de las demas materias textiles</f>
        <v>#NAME?</v>
      </c>
    </row>
    <row r="28489" spans="1:2" x14ac:dyDescent="0.25">
      <c r="A28489">
        <v>610990001</v>
      </c>
      <c r="B28489" t="s">
        <v>9023</v>
      </c>
    </row>
    <row r="28490" spans="1:2" x14ac:dyDescent="0.25">
      <c r="A28490">
        <v>6109900011</v>
      </c>
      <c r="B28490" t="s">
        <v>8898</v>
      </c>
    </row>
    <row r="28491" spans="1:2" x14ac:dyDescent="0.25">
      <c r="A28491">
        <v>61099000111</v>
      </c>
      <c r="B28491" t="s">
        <v>8979</v>
      </c>
    </row>
    <row r="28492" spans="1:2" x14ac:dyDescent="0.25">
      <c r="A28492">
        <v>61099000119</v>
      </c>
      <c r="B28492" t="s">
        <v>57</v>
      </c>
    </row>
    <row r="28493" spans="1:2" x14ac:dyDescent="0.25">
      <c r="A28493">
        <v>6109900019</v>
      </c>
      <c r="B28493" t="s">
        <v>8837</v>
      </c>
    </row>
    <row r="28494" spans="1:2" x14ac:dyDescent="0.25">
      <c r="A28494">
        <v>61099000191</v>
      </c>
      <c r="B28494" t="s">
        <v>8979</v>
      </c>
    </row>
    <row r="28495" spans="1:2" x14ac:dyDescent="0.25">
      <c r="A28495">
        <v>61099000199</v>
      </c>
      <c r="B28495" t="s">
        <v>57</v>
      </c>
    </row>
    <row r="28496" spans="1:2" x14ac:dyDescent="0.25">
      <c r="A28496">
        <v>610990002</v>
      </c>
      <c r="B28496" t="s">
        <v>9024</v>
      </c>
    </row>
    <row r="28497" spans="1:2" x14ac:dyDescent="0.25">
      <c r="A28497">
        <v>61099000210</v>
      </c>
      <c r="B28497" t="s">
        <v>8979</v>
      </c>
    </row>
    <row r="28498" spans="1:2" x14ac:dyDescent="0.25">
      <c r="A28498">
        <v>61099000290</v>
      </c>
      <c r="B28498" t="s">
        <v>57</v>
      </c>
    </row>
    <row r="28499" spans="1:2" x14ac:dyDescent="0.25">
      <c r="A28499">
        <v>6110</v>
      </c>
      <c r="B28499" t="s">
        <v>9025</v>
      </c>
    </row>
    <row r="28500" spans="1:2" x14ac:dyDescent="0.25">
      <c r="A28500">
        <v>61101</v>
      </c>
      <c r="B28500" t="s">
        <v>9026</v>
      </c>
    </row>
    <row r="28501" spans="1:2" x14ac:dyDescent="0.25">
      <c r="A28501">
        <v>61101100</v>
      </c>
      <c r="B28501" t="e">
        <f>- - de lana</f>
        <v>#NAME?</v>
      </c>
    </row>
    <row r="28502" spans="1:2" x14ac:dyDescent="0.25">
      <c r="A28502">
        <v>611011001</v>
      </c>
      <c r="B28502" t="s">
        <v>9027</v>
      </c>
    </row>
    <row r="28503" spans="1:2" x14ac:dyDescent="0.25">
      <c r="A28503">
        <v>6110110011</v>
      </c>
      <c r="B28503" t="s">
        <v>8979</v>
      </c>
    </row>
    <row r="28504" spans="1:2" x14ac:dyDescent="0.25">
      <c r="A28504">
        <v>61101100111</v>
      </c>
      <c r="B28504" t="s">
        <v>9028</v>
      </c>
    </row>
    <row r="28505" spans="1:2" x14ac:dyDescent="0.25">
      <c r="A28505">
        <v>61101100112</v>
      </c>
      <c r="B28505" t="s">
        <v>9029</v>
      </c>
    </row>
    <row r="28506" spans="1:2" x14ac:dyDescent="0.25">
      <c r="A28506">
        <v>61101100113</v>
      </c>
      <c r="B28506" t="s">
        <v>9030</v>
      </c>
    </row>
    <row r="28507" spans="1:2" x14ac:dyDescent="0.25">
      <c r="A28507">
        <v>6110110019</v>
      </c>
      <c r="B28507" t="s">
        <v>10</v>
      </c>
    </row>
    <row r="28508" spans="1:2" x14ac:dyDescent="0.25">
      <c r="A28508">
        <v>61101100191</v>
      </c>
      <c r="B28508" t="s">
        <v>9028</v>
      </c>
    </row>
    <row r="28509" spans="1:2" x14ac:dyDescent="0.25">
      <c r="A28509">
        <v>61101100192</v>
      </c>
      <c r="B28509" t="s">
        <v>9029</v>
      </c>
    </row>
    <row r="28510" spans="1:2" x14ac:dyDescent="0.25">
      <c r="A28510">
        <v>61101100193</v>
      </c>
      <c r="B28510" t="s">
        <v>9030</v>
      </c>
    </row>
    <row r="28511" spans="1:2" x14ac:dyDescent="0.25">
      <c r="A28511">
        <v>611011002</v>
      </c>
      <c r="B28511" t="s">
        <v>9031</v>
      </c>
    </row>
    <row r="28512" spans="1:2" x14ac:dyDescent="0.25">
      <c r="A28512">
        <v>6110110021</v>
      </c>
      <c r="B28512" t="s">
        <v>8979</v>
      </c>
    </row>
    <row r="28513" spans="1:2" x14ac:dyDescent="0.25">
      <c r="A28513">
        <v>61101100211</v>
      </c>
      <c r="B28513" t="s">
        <v>9028</v>
      </c>
    </row>
    <row r="28514" spans="1:2" x14ac:dyDescent="0.25">
      <c r="A28514">
        <v>61101100212</v>
      </c>
      <c r="B28514" t="s">
        <v>9029</v>
      </c>
    </row>
    <row r="28515" spans="1:2" x14ac:dyDescent="0.25">
      <c r="A28515">
        <v>61101100213</v>
      </c>
      <c r="B28515" t="s">
        <v>9030</v>
      </c>
    </row>
    <row r="28516" spans="1:2" x14ac:dyDescent="0.25">
      <c r="A28516">
        <v>6110110029</v>
      </c>
      <c r="B28516" t="s">
        <v>10</v>
      </c>
    </row>
    <row r="28517" spans="1:2" x14ac:dyDescent="0.25">
      <c r="A28517">
        <v>61101100291</v>
      </c>
      <c r="B28517" t="s">
        <v>9028</v>
      </c>
    </row>
    <row r="28518" spans="1:2" x14ac:dyDescent="0.25">
      <c r="A28518">
        <v>61101100292</v>
      </c>
      <c r="B28518" t="s">
        <v>9029</v>
      </c>
    </row>
    <row r="28519" spans="1:2" x14ac:dyDescent="0.25">
      <c r="A28519">
        <v>61101100293</v>
      </c>
      <c r="B28519" t="s">
        <v>9030</v>
      </c>
    </row>
    <row r="28520" spans="1:2" x14ac:dyDescent="0.25">
      <c r="A28520">
        <v>611011009</v>
      </c>
      <c r="B28520" t="s">
        <v>57</v>
      </c>
    </row>
    <row r="28521" spans="1:2" x14ac:dyDescent="0.25">
      <c r="A28521">
        <v>6110110091</v>
      </c>
      <c r="B28521" t="s">
        <v>8979</v>
      </c>
    </row>
    <row r="28522" spans="1:2" x14ac:dyDescent="0.25">
      <c r="A28522">
        <v>61101100911</v>
      </c>
      <c r="B28522" t="s">
        <v>9028</v>
      </c>
    </row>
    <row r="28523" spans="1:2" x14ac:dyDescent="0.25">
      <c r="A28523">
        <v>61101100912</v>
      </c>
      <c r="B28523" t="s">
        <v>9029</v>
      </c>
    </row>
    <row r="28524" spans="1:2" x14ac:dyDescent="0.25">
      <c r="A28524">
        <v>61101100913</v>
      </c>
      <c r="B28524" t="s">
        <v>9030</v>
      </c>
    </row>
    <row r="28525" spans="1:2" x14ac:dyDescent="0.25">
      <c r="A28525">
        <v>6110110099</v>
      </c>
      <c r="B28525" t="s">
        <v>10</v>
      </c>
    </row>
    <row r="28526" spans="1:2" x14ac:dyDescent="0.25">
      <c r="A28526">
        <v>61101100991</v>
      </c>
      <c r="B28526" t="s">
        <v>9028</v>
      </c>
    </row>
    <row r="28527" spans="1:2" x14ac:dyDescent="0.25">
      <c r="A28527">
        <v>61101100992</v>
      </c>
      <c r="B28527" t="s">
        <v>9029</v>
      </c>
    </row>
    <row r="28528" spans="1:2" x14ac:dyDescent="0.25">
      <c r="A28528">
        <v>61101100993</v>
      </c>
      <c r="B28528" t="s">
        <v>9030</v>
      </c>
    </row>
    <row r="28529" spans="1:2" x14ac:dyDescent="0.25">
      <c r="A28529">
        <v>61101200</v>
      </c>
      <c r="B28529" t="e">
        <f>- - de cabra de Cachemira</f>
        <v>#NAME?</v>
      </c>
    </row>
    <row r="28530" spans="1:2" x14ac:dyDescent="0.25">
      <c r="A28530">
        <v>611012001</v>
      </c>
      <c r="B28530" t="s">
        <v>9032</v>
      </c>
    </row>
    <row r="28531" spans="1:2" x14ac:dyDescent="0.25">
      <c r="A28531">
        <v>6110120011</v>
      </c>
      <c r="B28531" t="s">
        <v>8979</v>
      </c>
    </row>
    <row r="28532" spans="1:2" x14ac:dyDescent="0.25">
      <c r="A28532">
        <v>61101200111</v>
      </c>
      <c r="B28532" t="s">
        <v>9028</v>
      </c>
    </row>
    <row r="28533" spans="1:2" x14ac:dyDescent="0.25">
      <c r="A28533">
        <v>61101200112</v>
      </c>
      <c r="B28533" t="s">
        <v>9029</v>
      </c>
    </row>
    <row r="28534" spans="1:2" x14ac:dyDescent="0.25">
      <c r="A28534">
        <v>61101200113</v>
      </c>
      <c r="B28534" t="s">
        <v>9030</v>
      </c>
    </row>
    <row r="28535" spans="1:2" x14ac:dyDescent="0.25">
      <c r="A28535">
        <v>6110120019</v>
      </c>
      <c r="B28535" t="s">
        <v>10</v>
      </c>
    </row>
    <row r="28536" spans="1:2" x14ac:dyDescent="0.25">
      <c r="A28536">
        <v>61101200191</v>
      </c>
      <c r="B28536" t="s">
        <v>9028</v>
      </c>
    </row>
    <row r="28537" spans="1:2" x14ac:dyDescent="0.25">
      <c r="A28537">
        <v>61101200192</v>
      </c>
      <c r="B28537" t="s">
        <v>9029</v>
      </c>
    </row>
    <row r="28538" spans="1:2" x14ac:dyDescent="0.25">
      <c r="A28538">
        <v>61101200193</v>
      </c>
      <c r="B28538" t="s">
        <v>9030</v>
      </c>
    </row>
    <row r="28539" spans="1:2" x14ac:dyDescent="0.25">
      <c r="A28539">
        <v>611012002</v>
      </c>
      <c r="B28539" t="s">
        <v>9033</v>
      </c>
    </row>
    <row r="28540" spans="1:2" x14ac:dyDescent="0.25">
      <c r="A28540">
        <v>6110120021</v>
      </c>
      <c r="B28540" t="s">
        <v>8979</v>
      </c>
    </row>
    <row r="28541" spans="1:2" x14ac:dyDescent="0.25">
      <c r="A28541">
        <v>61101200211</v>
      </c>
      <c r="B28541" t="s">
        <v>9028</v>
      </c>
    </row>
    <row r="28542" spans="1:2" x14ac:dyDescent="0.25">
      <c r="A28542">
        <v>61101200212</v>
      </c>
      <c r="B28542" t="s">
        <v>9029</v>
      </c>
    </row>
    <row r="28543" spans="1:2" x14ac:dyDescent="0.25">
      <c r="A28543">
        <v>61101200213</v>
      </c>
      <c r="B28543" t="s">
        <v>9030</v>
      </c>
    </row>
    <row r="28544" spans="1:2" x14ac:dyDescent="0.25">
      <c r="A28544">
        <v>6110120029</v>
      </c>
      <c r="B28544" t="s">
        <v>10</v>
      </c>
    </row>
    <row r="28545" spans="1:2" x14ac:dyDescent="0.25">
      <c r="A28545">
        <v>61101200291</v>
      </c>
      <c r="B28545" t="s">
        <v>9028</v>
      </c>
    </row>
    <row r="28546" spans="1:2" x14ac:dyDescent="0.25">
      <c r="A28546">
        <v>61101200292</v>
      </c>
      <c r="B28546" t="s">
        <v>9029</v>
      </c>
    </row>
    <row r="28547" spans="1:2" x14ac:dyDescent="0.25">
      <c r="A28547">
        <v>61101200293</v>
      </c>
      <c r="B28547" t="s">
        <v>9030</v>
      </c>
    </row>
    <row r="28548" spans="1:2" x14ac:dyDescent="0.25">
      <c r="A28548">
        <v>611012009</v>
      </c>
      <c r="B28548" t="s">
        <v>57</v>
      </c>
    </row>
    <row r="28549" spans="1:2" x14ac:dyDescent="0.25">
      <c r="A28549">
        <v>6110120091</v>
      </c>
      <c r="B28549" t="s">
        <v>8979</v>
      </c>
    </row>
    <row r="28550" spans="1:2" x14ac:dyDescent="0.25">
      <c r="A28550">
        <v>61101200911</v>
      </c>
      <c r="B28550" t="s">
        <v>9028</v>
      </c>
    </row>
    <row r="28551" spans="1:2" x14ac:dyDescent="0.25">
      <c r="A28551">
        <v>61101200912</v>
      </c>
      <c r="B28551" t="s">
        <v>9029</v>
      </c>
    </row>
    <row r="28552" spans="1:2" x14ac:dyDescent="0.25">
      <c r="A28552">
        <v>61101200913</v>
      </c>
      <c r="B28552" t="s">
        <v>9030</v>
      </c>
    </row>
    <row r="28553" spans="1:2" x14ac:dyDescent="0.25">
      <c r="A28553">
        <v>6110120099</v>
      </c>
      <c r="B28553" t="s">
        <v>10</v>
      </c>
    </row>
    <row r="28554" spans="1:2" x14ac:dyDescent="0.25">
      <c r="A28554">
        <v>61101200991</v>
      </c>
      <c r="B28554" t="s">
        <v>9028</v>
      </c>
    </row>
    <row r="28555" spans="1:2" x14ac:dyDescent="0.25">
      <c r="A28555">
        <v>61101200992</v>
      </c>
      <c r="B28555" t="s">
        <v>9029</v>
      </c>
    </row>
    <row r="28556" spans="1:2" x14ac:dyDescent="0.25">
      <c r="A28556">
        <v>61101200993</v>
      </c>
      <c r="B28556" t="s">
        <v>9030</v>
      </c>
    </row>
    <row r="28557" spans="1:2" x14ac:dyDescent="0.25">
      <c r="A28557">
        <v>61101900</v>
      </c>
      <c r="B28557" t="e">
        <f>- - Los demas</f>
        <v>#NAME?</v>
      </c>
    </row>
    <row r="28558" spans="1:2" x14ac:dyDescent="0.25">
      <c r="A28558">
        <v>611019001</v>
      </c>
      <c r="B28558" t="s">
        <v>9032</v>
      </c>
    </row>
    <row r="28559" spans="1:2" x14ac:dyDescent="0.25">
      <c r="A28559">
        <v>6110190011</v>
      </c>
      <c r="B28559" t="s">
        <v>8979</v>
      </c>
    </row>
    <row r="28560" spans="1:2" x14ac:dyDescent="0.25">
      <c r="A28560">
        <v>61101900111</v>
      </c>
      <c r="B28560" t="s">
        <v>9028</v>
      </c>
    </row>
    <row r="28561" spans="1:2" x14ac:dyDescent="0.25">
      <c r="A28561">
        <v>61101900112</v>
      </c>
      <c r="B28561" t="s">
        <v>9029</v>
      </c>
    </row>
    <row r="28562" spans="1:2" x14ac:dyDescent="0.25">
      <c r="A28562">
        <v>61101900113</v>
      </c>
      <c r="B28562" t="s">
        <v>9030</v>
      </c>
    </row>
    <row r="28563" spans="1:2" x14ac:dyDescent="0.25">
      <c r="A28563">
        <v>6110190019</v>
      </c>
      <c r="B28563" t="s">
        <v>10</v>
      </c>
    </row>
    <row r="28564" spans="1:2" x14ac:dyDescent="0.25">
      <c r="A28564">
        <v>61101900191</v>
      </c>
      <c r="B28564" t="s">
        <v>9028</v>
      </c>
    </row>
    <row r="28565" spans="1:2" x14ac:dyDescent="0.25">
      <c r="A28565">
        <v>61101900192</v>
      </c>
      <c r="B28565" t="s">
        <v>9029</v>
      </c>
    </row>
    <row r="28566" spans="1:2" x14ac:dyDescent="0.25">
      <c r="A28566">
        <v>61101900193</v>
      </c>
      <c r="B28566" t="s">
        <v>9030</v>
      </c>
    </row>
    <row r="28567" spans="1:2" x14ac:dyDescent="0.25">
      <c r="A28567">
        <v>611019002</v>
      </c>
      <c r="B28567" t="s">
        <v>9033</v>
      </c>
    </row>
    <row r="28568" spans="1:2" x14ac:dyDescent="0.25">
      <c r="A28568">
        <v>6110190021</v>
      </c>
      <c r="B28568" t="s">
        <v>8979</v>
      </c>
    </row>
    <row r="28569" spans="1:2" x14ac:dyDescent="0.25">
      <c r="A28569">
        <v>61101900211</v>
      </c>
      <c r="B28569" t="s">
        <v>9028</v>
      </c>
    </row>
    <row r="28570" spans="1:2" x14ac:dyDescent="0.25">
      <c r="A28570">
        <v>61101900212</v>
      </c>
      <c r="B28570" t="s">
        <v>9029</v>
      </c>
    </row>
    <row r="28571" spans="1:2" x14ac:dyDescent="0.25">
      <c r="A28571">
        <v>61101900213</v>
      </c>
      <c r="B28571" t="s">
        <v>9030</v>
      </c>
    </row>
    <row r="28572" spans="1:2" x14ac:dyDescent="0.25">
      <c r="A28572">
        <v>6110190029</v>
      </c>
      <c r="B28572" t="s">
        <v>10</v>
      </c>
    </row>
    <row r="28573" spans="1:2" x14ac:dyDescent="0.25">
      <c r="A28573">
        <v>61101900291</v>
      </c>
      <c r="B28573" t="s">
        <v>9028</v>
      </c>
    </row>
    <row r="28574" spans="1:2" x14ac:dyDescent="0.25">
      <c r="A28574">
        <v>61101900292</v>
      </c>
      <c r="B28574" t="s">
        <v>9029</v>
      </c>
    </row>
    <row r="28575" spans="1:2" x14ac:dyDescent="0.25">
      <c r="A28575">
        <v>61101900293</v>
      </c>
      <c r="B28575" t="s">
        <v>9030</v>
      </c>
    </row>
    <row r="28576" spans="1:2" x14ac:dyDescent="0.25">
      <c r="A28576">
        <v>611019009</v>
      </c>
      <c r="B28576" t="s">
        <v>57</v>
      </c>
    </row>
    <row r="28577" spans="1:2" x14ac:dyDescent="0.25">
      <c r="A28577">
        <v>6110190091</v>
      </c>
      <c r="B28577" t="s">
        <v>8979</v>
      </c>
    </row>
    <row r="28578" spans="1:2" x14ac:dyDescent="0.25">
      <c r="A28578">
        <v>61101900911</v>
      </c>
      <c r="B28578" t="s">
        <v>9028</v>
      </c>
    </row>
    <row r="28579" spans="1:2" x14ac:dyDescent="0.25">
      <c r="A28579">
        <v>61101900912</v>
      </c>
      <c r="B28579" t="s">
        <v>9029</v>
      </c>
    </row>
    <row r="28580" spans="1:2" x14ac:dyDescent="0.25">
      <c r="A28580">
        <v>61101900913</v>
      </c>
      <c r="B28580" t="s">
        <v>9030</v>
      </c>
    </row>
    <row r="28581" spans="1:2" x14ac:dyDescent="0.25">
      <c r="A28581">
        <v>6110190099</v>
      </c>
      <c r="B28581" t="s">
        <v>10</v>
      </c>
    </row>
    <row r="28582" spans="1:2" x14ac:dyDescent="0.25">
      <c r="A28582">
        <v>61101900991</v>
      </c>
      <c r="B28582" t="s">
        <v>9028</v>
      </c>
    </row>
    <row r="28583" spans="1:2" x14ac:dyDescent="0.25">
      <c r="A28583">
        <v>61101900992</v>
      </c>
      <c r="B28583" t="s">
        <v>9029</v>
      </c>
    </row>
    <row r="28584" spans="1:2" x14ac:dyDescent="0.25">
      <c r="A28584">
        <v>61101900993</v>
      </c>
      <c r="B28584" t="s">
        <v>9030</v>
      </c>
    </row>
    <row r="28585" spans="1:2" x14ac:dyDescent="0.25">
      <c r="A28585">
        <v>61102000</v>
      </c>
      <c r="B28585" t="e">
        <f>- de algodon</f>
        <v>#NAME?</v>
      </c>
    </row>
    <row r="28586" spans="1:2" x14ac:dyDescent="0.25">
      <c r="A28586">
        <v>611020001</v>
      </c>
      <c r="B28586" t="s">
        <v>8979</v>
      </c>
    </row>
    <row r="28587" spans="1:2" x14ac:dyDescent="0.25">
      <c r="A28587">
        <v>61102000110</v>
      </c>
      <c r="B28587" t="s">
        <v>9028</v>
      </c>
    </row>
    <row r="28588" spans="1:2" x14ac:dyDescent="0.25">
      <c r="A28588">
        <v>61102000120</v>
      </c>
      <c r="B28588" t="s">
        <v>9029</v>
      </c>
    </row>
    <row r="28589" spans="1:2" x14ac:dyDescent="0.25">
      <c r="A28589">
        <v>61102000130</v>
      </c>
      <c r="B28589" t="s">
        <v>9030</v>
      </c>
    </row>
    <row r="28590" spans="1:2" x14ac:dyDescent="0.25">
      <c r="A28590">
        <v>611020009</v>
      </c>
      <c r="B28590" t="s">
        <v>10</v>
      </c>
    </row>
    <row r="28591" spans="1:2" x14ac:dyDescent="0.25">
      <c r="A28591">
        <v>61102000910</v>
      </c>
      <c r="B28591" t="s">
        <v>9028</v>
      </c>
    </row>
    <row r="28592" spans="1:2" x14ac:dyDescent="0.25">
      <c r="A28592">
        <v>61102000920</v>
      </c>
      <c r="B28592" t="s">
        <v>9029</v>
      </c>
    </row>
    <row r="28593" spans="1:2" x14ac:dyDescent="0.25">
      <c r="A28593">
        <v>61102000930</v>
      </c>
      <c r="B28593" t="s">
        <v>9030</v>
      </c>
    </row>
    <row r="28594" spans="1:2" x14ac:dyDescent="0.25">
      <c r="A28594">
        <v>61103000</v>
      </c>
      <c r="B28594" t="e">
        <f>- de fibras sinteticas o artificiales</f>
        <v>#NAME?</v>
      </c>
    </row>
    <row r="28595" spans="1:2" x14ac:dyDescent="0.25">
      <c r="A28595">
        <v>611030001</v>
      </c>
      <c r="B28595" t="s">
        <v>9034</v>
      </c>
    </row>
    <row r="28596" spans="1:2" x14ac:dyDescent="0.25">
      <c r="A28596">
        <v>6110300011</v>
      </c>
      <c r="B28596" t="s">
        <v>8979</v>
      </c>
    </row>
    <row r="28597" spans="1:2" x14ac:dyDescent="0.25">
      <c r="A28597">
        <v>61103000111</v>
      </c>
      <c r="B28597" t="s">
        <v>9028</v>
      </c>
    </row>
    <row r="28598" spans="1:2" x14ac:dyDescent="0.25">
      <c r="A28598">
        <v>61103000112</v>
      </c>
      <c r="B28598" t="s">
        <v>9029</v>
      </c>
    </row>
    <row r="28599" spans="1:2" x14ac:dyDescent="0.25">
      <c r="A28599">
        <v>61103000113</v>
      </c>
      <c r="B28599" t="s">
        <v>9030</v>
      </c>
    </row>
    <row r="28600" spans="1:2" x14ac:dyDescent="0.25">
      <c r="A28600">
        <v>6110300019</v>
      </c>
      <c r="B28600" t="s">
        <v>10</v>
      </c>
    </row>
    <row r="28601" spans="1:2" x14ac:dyDescent="0.25">
      <c r="A28601">
        <v>61103000191</v>
      </c>
      <c r="B28601" t="s">
        <v>9028</v>
      </c>
    </row>
    <row r="28602" spans="1:2" x14ac:dyDescent="0.25">
      <c r="A28602">
        <v>61103000192</v>
      </c>
      <c r="B28602" t="s">
        <v>9029</v>
      </c>
    </row>
    <row r="28603" spans="1:2" x14ac:dyDescent="0.25">
      <c r="A28603">
        <v>61103000193</v>
      </c>
      <c r="B28603" t="s">
        <v>9030</v>
      </c>
    </row>
    <row r="28604" spans="1:2" x14ac:dyDescent="0.25">
      <c r="A28604">
        <v>611030002</v>
      </c>
      <c r="B28604" t="s">
        <v>9035</v>
      </c>
    </row>
    <row r="28605" spans="1:2" x14ac:dyDescent="0.25">
      <c r="A28605">
        <v>6110300021</v>
      </c>
      <c r="B28605" t="s">
        <v>8979</v>
      </c>
    </row>
    <row r="28606" spans="1:2" x14ac:dyDescent="0.25">
      <c r="A28606">
        <v>61103000211</v>
      </c>
      <c r="B28606" t="s">
        <v>9028</v>
      </c>
    </row>
    <row r="28607" spans="1:2" x14ac:dyDescent="0.25">
      <c r="A28607">
        <v>61103000212</v>
      </c>
      <c r="B28607" t="s">
        <v>9029</v>
      </c>
    </row>
    <row r="28608" spans="1:2" x14ac:dyDescent="0.25">
      <c r="A28608">
        <v>61103000213</v>
      </c>
      <c r="B28608" t="s">
        <v>9030</v>
      </c>
    </row>
    <row r="28609" spans="1:2" x14ac:dyDescent="0.25">
      <c r="A28609">
        <v>6110300029</v>
      </c>
      <c r="B28609" t="s">
        <v>10</v>
      </c>
    </row>
    <row r="28610" spans="1:2" x14ac:dyDescent="0.25">
      <c r="A28610">
        <v>61103000291</v>
      </c>
      <c r="B28610" t="s">
        <v>9028</v>
      </c>
    </row>
    <row r="28611" spans="1:2" x14ac:dyDescent="0.25">
      <c r="A28611">
        <v>61103000292</v>
      </c>
      <c r="B28611" t="s">
        <v>9029</v>
      </c>
    </row>
    <row r="28612" spans="1:2" x14ac:dyDescent="0.25">
      <c r="A28612">
        <v>61103000293</v>
      </c>
      <c r="B28612" t="s">
        <v>9030</v>
      </c>
    </row>
    <row r="28613" spans="1:2" x14ac:dyDescent="0.25">
      <c r="A28613">
        <v>611030009</v>
      </c>
      <c r="B28613" t="s">
        <v>57</v>
      </c>
    </row>
    <row r="28614" spans="1:2" x14ac:dyDescent="0.25">
      <c r="A28614">
        <v>6110300091</v>
      </c>
      <c r="B28614" t="s">
        <v>8979</v>
      </c>
    </row>
    <row r="28615" spans="1:2" x14ac:dyDescent="0.25">
      <c r="A28615">
        <v>61103000911</v>
      </c>
      <c r="B28615" t="s">
        <v>9028</v>
      </c>
    </row>
    <row r="28616" spans="1:2" x14ac:dyDescent="0.25">
      <c r="A28616">
        <v>61103000912</v>
      </c>
      <c r="B28616" t="s">
        <v>9029</v>
      </c>
    </row>
    <row r="28617" spans="1:2" x14ac:dyDescent="0.25">
      <c r="A28617">
        <v>61103000913</v>
      </c>
      <c r="B28617" t="s">
        <v>9030</v>
      </c>
    </row>
    <row r="28618" spans="1:2" x14ac:dyDescent="0.25">
      <c r="A28618">
        <v>6110300099</v>
      </c>
      <c r="B28618" t="s">
        <v>10</v>
      </c>
    </row>
    <row r="28619" spans="1:2" x14ac:dyDescent="0.25">
      <c r="A28619">
        <v>61103000991</v>
      </c>
      <c r="B28619" t="s">
        <v>9028</v>
      </c>
    </row>
    <row r="28620" spans="1:2" x14ac:dyDescent="0.25">
      <c r="A28620">
        <v>61103000992</v>
      </c>
      <c r="B28620" t="s">
        <v>9029</v>
      </c>
    </row>
    <row r="28621" spans="1:2" x14ac:dyDescent="0.25">
      <c r="A28621">
        <v>61103000993</v>
      </c>
      <c r="B28621" t="s">
        <v>9030</v>
      </c>
    </row>
    <row r="28622" spans="1:2" x14ac:dyDescent="0.25">
      <c r="A28622">
        <v>61109000</v>
      </c>
      <c r="B28622" t="e">
        <f>- de las demas materias textiles</f>
        <v>#NAME?</v>
      </c>
    </row>
    <row r="28623" spans="1:2" x14ac:dyDescent="0.25">
      <c r="A28623">
        <v>611090001</v>
      </c>
      <c r="B28623" t="s">
        <v>8979</v>
      </c>
    </row>
    <row r="28624" spans="1:2" x14ac:dyDescent="0.25">
      <c r="A28624">
        <v>61109000110</v>
      </c>
      <c r="B28624" t="s">
        <v>9028</v>
      </c>
    </row>
    <row r="28625" spans="1:2" x14ac:dyDescent="0.25">
      <c r="A28625">
        <v>61109000120</v>
      </c>
      <c r="B28625" t="s">
        <v>9029</v>
      </c>
    </row>
    <row r="28626" spans="1:2" x14ac:dyDescent="0.25">
      <c r="A28626">
        <v>61109000130</v>
      </c>
      <c r="B28626" t="s">
        <v>9030</v>
      </c>
    </row>
    <row r="28627" spans="1:2" x14ac:dyDescent="0.25">
      <c r="A28627">
        <v>611090009</v>
      </c>
      <c r="B28627" t="s">
        <v>10</v>
      </c>
    </row>
    <row r="28628" spans="1:2" x14ac:dyDescent="0.25">
      <c r="A28628">
        <v>61109000910</v>
      </c>
      <c r="B28628" t="s">
        <v>9028</v>
      </c>
    </row>
    <row r="28629" spans="1:2" x14ac:dyDescent="0.25">
      <c r="A28629">
        <v>61109000920</v>
      </c>
      <c r="B28629" t="s">
        <v>9029</v>
      </c>
    </row>
    <row r="28630" spans="1:2" x14ac:dyDescent="0.25">
      <c r="A28630">
        <v>61109000930</v>
      </c>
      <c r="B28630" t="s">
        <v>9030</v>
      </c>
    </row>
    <row r="28631" spans="1:2" x14ac:dyDescent="0.25">
      <c r="A28631">
        <v>6111</v>
      </c>
      <c r="B28631" t="s">
        <v>9036</v>
      </c>
    </row>
    <row r="28632" spans="1:2" x14ac:dyDescent="0.25">
      <c r="A28632">
        <v>61112000</v>
      </c>
      <c r="B28632" t="e">
        <f>- de algodon</f>
        <v>#NAME?</v>
      </c>
    </row>
    <row r="28633" spans="1:2" x14ac:dyDescent="0.25">
      <c r="A28633">
        <v>61112000100</v>
      </c>
      <c r="B28633" t="s">
        <v>9037</v>
      </c>
    </row>
    <row r="28634" spans="1:2" x14ac:dyDescent="0.25">
      <c r="A28634">
        <v>61112000200</v>
      </c>
      <c r="B28634" t="s">
        <v>9038</v>
      </c>
    </row>
    <row r="28635" spans="1:2" x14ac:dyDescent="0.25">
      <c r="A28635">
        <v>61112000300</v>
      </c>
      <c r="B28635" t="s">
        <v>9039</v>
      </c>
    </row>
    <row r="28636" spans="1:2" x14ac:dyDescent="0.25">
      <c r="A28636">
        <v>61112000400</v>
      </c>
      <c r="B28636" t="s">
        <v>9040</v>
      </c>
    </row>
    <row r="28637" spans="1:2" x14ac:dyDescent="0.25">
      <c r="A28637">
        <v>61112000500</v>
      </c>
      <c r="B28637" t="s">
        <v>9041</v>
      </c>
    </row>
    <row r="28638" spans="1:2" x14ac:dyDescent="0.25">
      <c r="A28638">
        <v>611120006</v>
      </c>
      <c r="B28638" t="s">
        <v>9042</v>
      </c>
    </row>
    <row r="28639" spans="1:2" x14ac:dyDescent="0.25">
      <c r="A28639">
        <v>61112000610</v>
      </c>
      <c r="B28639" t="s">
        <v>9043</v>
      </c>
    </row>
    <row r="28640" spans="1:2" x14ac:dyDescent="0.25">
      <c r="A28640">
        <v>61112000690</v>
      </c>
      <c r="B28640" t="s">
        <v>57</v>
      </c>
    </row>
    <row r="28641" spans="1:2" x14ac:dyDescent="0.25">
      <c r="A28641">
        <v>61112000700</v>
      </c>
      <c r="B28641" t="s">
        <v>9044</v>
      </c>
    </row>
    <row r="28642" spans="1:2" x14ac:dyDescent="0.25">
      <c r="A28642">
        <v>61112000800</v>
      </c>
      <c r="B28642" t="s">
        <v>7662</v>
      </c>
    </row>
    <row r="28643" spans="1:2" x14ac:dyDescent="0.25">
      <c r="A28643">
        <v>61112000900</v>
      </c>
      <c r="B28643" t="s">
        <v>10</v>
      </c>
    </row>
    <row r="28644" spans="1:2" x14ac:dyDescent="0.25">
      <c r="A28644">
        <v>61113000</v>
      </c>
      <c r="B28644" t="e">
        <f>- de fibras sinteticas</f>
        <v>#NAME?</v>
      </c>
    </row>
    <row r="28645" spans="1:2" x14ac:dyDescent="0.25">
      <c r="A28645">
        <v>61113000100</v>
      </c>
      <c r="B28645" t="s">
        <v>9037</v>
      </c>
    </row>
    <row r="28646" spans="1:2" x14ac:dyDescent="0.25">
      <c r="A28646">
        <v>61113000200</v>
      </c>
      <c r="B28646" t="s">
        <v>9038</v>
      </c>
    </row>
    <row r="28647" spans="1:2" x14ac:dyDescent="0.25">
      <c r="A28647">
        <v>61113000300</v>
      </c>
      <c r="B28647" t="s">
        <v>9039</v>
      </c>
    </row>
    <row r="28648" spans="1:2" x14ac:dyDescent="0.25">
      <c r="A28648">
        <v>61113000400</v>
      </c>
      <c r="B28648" t="s">
        <v>9040</v>
      </c>
    </row>
    <row r="28649" spans="1:2" x14ac:dyDescent="0.25">
      <c r="A28649">
        <v>61113000500</v>
      </c>
      <c r="B28649" t="s">
        <v>9041</v>
      </c>
    </row>
    <row r="28650" spans="1:2" x14ac:dyDescent="0.25">
      <c r="A28650">
        <v>611130006</v>
      </c>
      <c r="B28650" t="s">
        <v>9042</v>
      </c>
    </row>
    <row r="28651" spans="1:2" x14ac:dyDescent="0.25">
      <c r="A28651">
        <v>61113000610</v>
      </c>
      <c r="B28651" t="s">
        <v>9043</v>
      </c>
    </row>
    <row r="28652" spans="1:2" x14ac:dyDescent="0.25">
      <c r="A28652">
        <v>61113000690</v>
      </c>
      <c r="B28652" t="s">
        <v>57</v>
      </c>
    </row>
    <row r="28653" spans="1:2" x14ac:dyDescent="0.25">
      <c r="A28653">
        <v>61113000700</v>
      </c>
      <c r="B28653" t="s">
        <v>9044</v>
      </c>
    </row>
    <row r="28654" spans="1:2" x14ac:dyDescent="0.25">
      <c r="A28654">
        <v>61113000800</v>
      </c>
      <c r="B28654" t="s">
        <v>7662</v>
      </c>
    </row>
    <row r="28655" spans="1:2" x14ac:dyDescent="0.25">
      <c r="A28655">
        <v>61113000900</v>
      </c>
      <c r="B28655" t="s">
        <v>10</v>
      </c>
    </row>
    <row r="28656" spans="1:2" x14ac:dyDescent="0.25">
      <c r="A28656">
        <v>611190</v>
      </c>
      <c r="B28656" t="e">
        <f>- de las demas materias textiles</f>
        <v>#NAME?</v>
      </c>
    </row>
    <row r="28657" spans="1:2" x14ac:dyDescent="0.25">
      <c r="A28657">
        <v>61119010</v>
      </c>
      <c r="B28657" t="s">
        <v>8835</v>
      </c>
    </row>
    <row r="28658" spans="1:2" x14ac:dyDescent="0.25">
      <c r="A28658">
        <v>61119010100</v>
      </c>
      <c r="B28658" t="s">
        <v>9037</v>
      </c>
    </row>
    <row r="28659" spans="1:2" x14ac:dyDescent="0.25">
      <c r="A28659">
        <v>61119010200</v>
      </c>
      <c r="B28659" t="s">
        <v>9038</v>
      </c>
    </row>
    <row r="28660" spans="1:2" x14ac:dyDescent="0.25">
      <c r="A28660">
        <v>61119010300</v>
      </c>
      <c r="B28660" t="s">
        <v>9039</v>
      </c>
    </row>
    <row r="28661" spans="1:2" x14ac:dyDescent="0.25">
      <c r="A28661">
        <v>611190104</v>
      </c>
      <c r="B28661" t="s">
        <v>9042</v>
      </c>
    </row>
    <row r="28662" spans="1:2" x14ac:dyDescent="0.25">
      <c r="A28662">
        <v>61119010410</v>
      </c>
      <c r="B28662" t="s">
        <v>9043</v>
      </c>
    </row>
    <row r="28663" spans="1:2" x14ac:dyDescent="0.25">
      <c r="A28663">
        <v>61119010490</v>
      </c>
      <c r="B28663" t="s">
        <v>57</v>
      </c>
    </row>
    <row r="28664" spans="1:2" x14ac:dyDescent="0.25">
      <c r="A28664">
        <v>61119010500</v>
      </c>
      <c r="B28664" t="s">
        <v>9044</v>
      </c>
    </row>
    <row r="28665" spans="1:2" x14ac:dyDescent="0.25">
      <c r="A28665">
        <v>61119010600</v>
      </c>
      <c r="B28665" t="s">
        <v>7662</v>
      </c>
    </row>
    <row r="28666" spans="1:2" x14ac:dyDescent="0.25">
      <c r="A28666">
        <v>61119010900</v>
      </c>
      <c r="B28666" t="s">
        <v>10</v>
      </c>
    </row>
    <row r="28667" spans="1:2" x14ac:dyDescent="0.25">
      <c r="A28667">
        <v>61119090</v>
      </c>
      <c r="B28667" t="s">
        <v>10</v>
      </c>
    </row>
    <row r="28668" spans="1:2" x14ac:dyDescent="0.25">
      <c r="A28668">
        <v>61119090100</v>
      </c>
      <c r="B28668" t="s">
        <v>9037</v>
      </c>
    </row>
    <row r="28669" spans="1:2" x14ac:dyDescent="0.25">
      <c r="A28669">
        <v>61119090200</v>
      </c>
      <c r="B28669" t="s">
        <v>9038</v>
      </c>
    </row>
    <row r="28670" spans="1:2" x14ac:dyDescent="0.25">
      <c r="A28670">
        <v>61119090300</v>
      </c>
      <c r="B28670" t="s">
        <v>9039</v>
      </c>
    </row>
    <row r="28671" spans="1:2" x14ac:dyDescent="0.25">
      <c r="A28671">
        <v>611190904</v>
      </c>
      <c r="B28671" t="s">
        <v>9042</v>
      </c>
    </row>
    <row r="28672" spans="1:2" x14ac:dyDescent="0.25">
      <c r="A28672">
        <v>61119090410</v>
      </c>
      <c r="B28672" t="s">
        <v>9043</v>
      </c>
    </row>
    <row r="28673" spans="1:2" x14ac:dyDescent="0.25">
      <c r="A28673">
        <v>61119090490</v>
      </c>
      <c r="B28673" t="s">
        <v>57</v>
      </c>
    </row>
    <row r="28674" spans="1:2" x14ac:dyDescent="0.25">
      <c r="A28674">
        <v>61119090500</v>
      </c>
      <c r="B28674" t="s">
        <v>9044</v>
      </c>
    </row>
    <row r="28675" spans="1:2" x14ac:dyDescent="0.25">
      <c r="A28675">
        <v>61119090600</v>
      </c>
      <c r="B28675" t="s">
        <v>7662</v>
      </c>
    </row>
    <row r="28676" spans="1:2" x14ac:dyDescent="0.25">
      <c r="A28676">
        <v>61119090900</v>
      </c>
      <c r="B28676" t="s">
        <v>10</v>
      </c>
    </row>
    <row r="28677" spans="1:2" x14ac:dyDescent="0.25">
      <c r="A28677">
        <v>6112</v>
      </c>
      <c r="B28677" t="s">
        <v>9045</v>
      </c>
    </row>
    <row r="28678" spans="1:2" x14ac:dyDescent="0.25">
      <c r="A28678">
        <v>61121</v>
      </c>
      <c r="B28678" t="s">
        <v>9046</v>
      </c>
    </row>
    <row r="28679" spans="1:2" x14ac:dyDescent="0.25">
      <c r="A28679">
        <v>61121100</v>
      </c>
      <c r="B28679" t="e">
        <f>- - de algodon</f>
        <v>#NAME?</v>
      </c>
    </row>
    <row r="28680" spans="1:2" x14ac:dyDescent="0.25">
      <c r="A28680">
        <v>61121100100</v>
      </c>
      <c r="B28680" t="s">
        <v>8979</v>
      </c>
    </row>
    <row r="28681" spans="1:2" x14ac:dyDescent="0.25">
      <c r="A28681">
        <v>61121100900</v>
      </c>
      <c r="B28681" t="s">
        <v>10</v>
      </c>
    </row>
    <row r="28682" spans="1:2" x14ac:dyDescent="0.25">
      <c r="A28682">
        <v>61121200</v>
      </c>
      <c r="B28682" t="e">
        <f>- - de fibras sinteticas</f>
        <v>#NAME?</v>
      </c>
    </row>
    <row r="28683" spans="1:2" x14ac:dyDescent="0.25">
      <c r="A28683">
        <v>61121200100</v>
      </c>
      <c r="B28683" t="s">
        <v>8979</v>
      </c>
    </row>
    <row r="28684" spans="1:2" x14ac:dyDescent="0.25">
      <c r="A28684">
        <v>61121200900</v>
      </c>
      <c r="B28684" t="s">
        <v>10</v>
      </c>
    </row>
    <row r="28685" spans="1:2" x14ac:dyDescent="0.25">
      <c r="A28685">
        <v>61121900</v>
      </c>
      <c r="B28685" t="e">
        <f>- - de las demas materias textiles</f>
        <v>#NAME?</v>
      </c>
    </row>
    <row r="28686" spans="1:2" x14ac:dyDescent="0.25">
      <c r="A28686">
        <v>61121900100</v>
      </c>
      <c r="B28686" t="s">
        <v>8979</v>
      </c>
    </row>
    <row r="28687" spans="1:2" x14ac:dyDescent="0.25">
      <c r="A28687">
        <v>61121900900</v>
      </c>
      <c r="B28687" t="s">
        <v>10</v>
      </c>
    </row>
    <row r="28688" spans="1:2" x14ac:dyDescent="0.25">
      <c r="A28688">
        <v>61122000</v>
      </c>
      <c r="B28688" t="e">
        <f>- Monos (overoles) y Conjuntos de esqui</f>
        <v>#NAME?</v>
      </c>
    </row>
    <row r="28689" spans="1:2" x14ac:dyDescent="0.25">
      <c r="A28689">
        <v>61122000100</v>
      </c>
      <c r="B28689" t="s">
        <v>8979</v>
      </c>
    </row>
    <row r="28690" spans="1:2" x14ac:dyDescent="0.25">
      <c r="A28690">
        <v>61122000900</v>
      </c>
      <c r="B28690" t="s">
        <v>10</v>
      </c>
    </row>
    <row r="28691" spans="1:2" x14ac:dyDescent="0.25">
      <c r="A28691">
        <v>61123</v>
      </c>
      <c r="B28691" t="s">
        <v>9047</v>
      </c>
    </row>
    <row r="28692" spans="1:2" x14ac:dyDescent="0.25">
      <c r="A28692">
        <v>61123100000</v>
      </c>
      <c r="B28692" t="e">
        <f>--de fibras sinteticas</f>
        <v>#NAME?</v>
      </c>
    </row>
    <row r="28693" spans="1:2" x14ac:dyDescent="0.25">
      <c r="A28693">
        <v>61123900000</v>
      </c>
      <c r="B28693" t="e">
        <f>--de las demas materias textiles</f>
        <v>#NAME?</v>
      </c>
    </row>
    <row r="28694" spans="1:2" x14ac:dyDescent="0.25">
      <c r="A28694">
        <v>61124</v>
      </c>
      <c r="B28694" t="s">
        <v>9048</v>
      </c>
    </row>
    <row r="28695" spans="1:2" x14ac:dyDescent="0.25">
      <c r="A28695">
        <v>61124100</v>
      </c>
      <c r="B28695" t="e">
        <f>- - de fibras sinteticas</f>
        <v>#NAME?</v>
      </c>
    </row>
    <row r="28696" spans="1:2" x14ac:dyDescent="0.25">
      <c r="A28696">
        <v>61124100100</v>
      </c>
      <c r="B28696" t="s">
        <v>9049</v>
      </c>
    </row>
    <row r="28697" spans="1:2" x14ac:dyDescent="0.25">
      <c r="A28697">
        <v>61124100900</v>
      </c>
      <c r="B28697" t="s">
        <v>57</v>
      </c>
    </row>
    <row r="28698" spans="1:2" x14ac:dyDescent="0.25">
      <c r="A28698">
        <v>61124900</v>
      </c>
      <c r="B28698" t="e">
        <f>- - de las demas materias textiles</f>
        <v>#NAME?</v>
      </c>
    </row>
    <row r="28699" spans="1:2" x14ac:dyDescent="0.25">
      <c r="A28699">
        <v>61124900100</v>
      </c>
      <c r="B28699" t="s">
        <v>9049</v>
      </c>
    </row>
    <row r="28700" spans="1:2" x14ac:dyDescent="0.25">
      <c r="A28700">
        <v>61124900900</v>
      </c>
      <c r="B28700" t="s">
        <v>57</v>
      </c>
    </row>
    <row r="28701" spans="1:2" x14ac:dyDescent="0.25">
      <c r="A28701">
        <v>61130000</v>
      </c>
      <c r="B28701" t="s">
        <v>9050</v>
      </c>
    </row>
    <row r="28702" spans="1:2" x14ac:dyDescent="0.25">
      <c r="A28702">
        <v>611300001</v>
      </c>
      <c r="B28702" t="s">
        <v>9051</v>
      </c>
    </row>
    <row r="28703" spans="1:2" x14ac:dyDescent="0.25">
      <c r="A28703">
        <v>61130000110</v>
      </c>
      <c r="B28703" t="s">
        <v>5635</v>
      </c>
    </row>
    <row r="28704" spans="1:2" x14ac:dyDescent="0.25">
      <c r="A28704">
        <v>61130000190</v>
      </c>
      <c r="B28704" t="s">
        <v>10</v>
      </c>
    </row>
    <row r="28705" spans="1:2" x14ac:dyDescent="0.25">
      <c r="A28705">
        <v>611300002</v>
      </c>
      <c r="B28705" t="s">
        <v>9052</v>
      </c>
    </row>
    <row r="28706" spans="1:2" x14ac:dyDescent="0.25">
      <c r="A28706">
        <v>61130000210</v>
      </c>
      <c r="B28706" t="s">
        <v>9053</v>
      </c>
    </row>
    <row r="28707" spans="1:2" x14ac:dyDescent="0.25">
      <c r="A28707">
        <v>61130000290</v>
      </c>
      <c r="B28707" t="s">
        <v>57</v>
      </c>
    </row>
    <row r="28708" spans="1:2" x14ac:dyDescent="0.25">
      <c r="A28708">
        <v>611300003</v>
      </c>
      <c r="B28708" t="s">
        <v>9054</v>
      </c>
    </row>
    <row r="28709" spans="1:2" x14ac:dyDescent="0.25">
      <c r="A28709">
        <v>61130000310</v>
      </c>
      <c r="B28709" t="s">
        <v>5635</v>
      </c>
    </row>
    <row r="28710" spans="1:2" x14ac:dyDescent="0.25">
      <c r="A28710">
        <v>61130000390</v>
      </c>
      <c r="B28710" t="s">
        <v>10</v>
      </c>
    </row>
    <row r="28711" spans="1:2" x14ac:dyDescent="0.25">
      <c r="A28711">
        <v>6114</v>
      </c>
      <c r="B28711" t="s">
        <v>9055</v>
      </c>
    </row>
    <row r="28712" spans="1:2" x14ac:dyDescent="0.25">
      <c r="A28712">
        <v>61142000</v>
      </c>
      <c r="B28712" t="e">
        <f>- de algodon</f>
        <v>#NAME?</v>
      </c>
    </row>
    <row r="28713" spans="1:2" x14ac:dyDescent="0.25">
      <c r="A28713">
        <v>61142000100</v>
      </c>
      <c r="B28713" t="s">
        <v>8979</v>
      </c>
    </row>
    <row r="28714" spans="1:2" x14ac:dyDescent="0.25">
      <c r="A28714">
        <v>611420009</v>
      </c>
      <c r="B28714" t="s">
        <v>10</v>
      </c>
    </row>
    <row r="28715" spans="1:2" x14ac:dyDescent="0.25">
      <c r="A28715">
        <v>61142000910</v>
      </c>
      <c r="B28715" t="s">
        <v>5635</v>
      </c>
    </row>
    <row r="28716" spans="1:2" x14ac:dyDescent="0.25">
      <c r="A28716">
        <v>61142000990</v>
      </c>
      <c r="B28716" t="s">
        <v>10</v>
      </c>
    </row>
    <row r="28717" spans="1:2" x14ac:dyDescent="0.25">
      <c r="A28717">
        <v>61143000</v>
      </c>
      <c r="B28717" t="e">
        <f>- de fibras sinteticas o artificiales</f>
        <v>#NAME?</v>
      </c>
    </row>
    <row r="28718" spans="1:2" x14ac:dyDescent="0.25">
      <c r="A28718">
        <v>611430001</v>
      </c>
      <c r="B28718" t="s">
        <v>8979</v>
      </c>
    </row>
    <row r="28719" spans="1:2" x14ac:dyDescent="0.25">
      <c r="A28719">
        <v>61143000110</v>
      </c>
      <c r="B28719" t="s">
        <v>9056</v>
      </c>
    </row>
    <row r="28720" spans="1:2" x14ac:dyDescent="0.25">
      <c r="A28720">
        <v>61143000190</v>
      </c>
      <c r="B28720" t="s">
        <v>10</v>
      </c>
    </row>
    <row r="28721" spans="1:2" x14ac:dyDescent="0.25">
      <c r="A28721">
        <v>611430009</v>
      </c>
      <c r="B28721" t="s">
        <v>10</v>
      </c>
    </row>
    <row r="28722" spans="1:2" x14ac:dyDescent="0.25">
      <c r="A28722">
        <v>61143000910</v>
      </c>
      <c r="B28722" t="s">
        <v>5635</v>
      </c>
    </row>
    <row r="28723" spans="1:2" x14ac:dyDescent="0.25">
      <c r="A28723">
        <v>6114300099</v>
      </c>
      <c r="B28723" t="s">
        <v>10</v>
      </c>
    </row>
    <row r="28724" spans="1:2" x14ac:dyDescent="0.25">
      <c r="A28724">
        <v>61143000991</v>
      </c>
      <c r="B28724" t="s">
        <v>9056</v>
      </c>
    </row>
    <row r="28725" spans="1:2" x14ac:dyDescent="0.25">
      <c r="A28725">
        <v>61143000999</v>
      </c>
      <c r="B28725" t="s">
        <v>10</v>
      </c>
    </row>
    <row r="28726" spans="1:2" x14ac:dyDescent="0.25">
      <c r="A28726">
        <v>611490</v>
      </c>
      <c r="B28726" t="e">
        <f>- de las demas materias textiles</f>
        <v>#NAME?</v>
      </c>
    </row>
    <row r="28727" spans="1:2" x14ac:dyDescent="0.25">
      <c r="A28727">
        <v>61149010</v>
      </c>
      <c r="B28727" t="s">
        <v>8835</v>
      </c>
    </row>
    <row r="28728" spans="1:2" x14ac:dyDescent="0.25">
      <c r="A28728">
        <v>61149010100</v>
      </c>
      <c r="B28728" t="s">
        <v>8979</v>
      </c>
    </row>
    <row r="28729" spans="1:2" x14ac:dyDescent="0.25">
      <c r="A28729">
        <v>611490109</v>
      </c>
      <c r="B28729" t="s">
        <v>10</v>
      </c>
    </row>
    <row r="28730" spans="1:2" x14ac:dyDescent="0.25">
      <c r="A28730">
        <v>61149010910</v>
      </c>
      <c r="B28730" t="s">
        <v>5635</v>
      </c>
    </row>
    <row r="28731" spans="1:2" x14ac:dyDescent="0.25">
      <c r="A28731">
        <v>61149010990</v>
      </c>
      <c r="B28731" t="s">
        <v>10</v>
      </c>
    </row>
    <row r="28732" spans="1:2" x14ac:dyDescent="0.25">
      <c r="A28732">
        <v>61149090</v>
      </c>
      <c r="B28732" t="s">
        <v>10</v>
      </c>
    </row>
    <row r="28733" spans="1:2" x14ac:dyDescent="0.25">
      <c r="A28733">
        <v>61149090100</v>
      </c>
      <c r="B28733" t="s">
        <v>8979</v>
      </c>
    </row>
    <row r="28734" spans="1:2" x14ac:dyDescent="0.25">
      <c r="A28734">
        <v>611490909</v>
      </c>
      <c r="B28734" t="s">
        <v>10</v>
      </c>
    </row>
    <row r="28735" spans="1:2" x14ac:dyDescent="0.25">
      <c r="A28735">
        <v>61149090910</v>
      </c>
      <c r="B28735" t="s">
        <v>5635</v>
      </c>
    </row>
    <row r="28736" spans="1:2" x14ac:dyDescent="0.25">
      <c r="A28736">
        <v>61149090990</v>
      </c>
      <c r="B28736" t="s">
        <v>10</v>
      </c>
    </row>
    <row r="28737" spans="1:2" x14ac:dyDescent="0.25">
      <c r="A28737">
        <v>6115</v>
      </c>
      <c r="B28737" t="s">
        <v>9057</v>
      </c>
    </row>
    <row r="28738" spans="1:2" x14ac:dyDescent="0.25">
      <c r="A28738">
        <v>611510</v>
      </c>
      <c r="B28738" t="e">
        <f>- Calzas. panty-medias. leotardos ymedias. de compresion progresiva (por ejemplo. medias para varices)</f>
        <v>#NAME?</v>
      </c>
    </row>
    <row r="28739" spans="1:2" x14ac:dyDescent="0.25">
      <c r="A28739">
        <v>6115101</v>
      </c>
      <c r="B28739" t="s">
        <v>9058</v>
      </c>
    </row>
    <row r="28740" spans="1:2" x14ac:dyDescent="0.25">
      <c r="A28740">
        <v>61151011000</v>
      </c>
      <c r="B28740" t="s">
        <v>9059</v>
      </c>
    </row>
    <row r="28741" spans="1:2" x14ac:dyDescent="0.25">
      <c r="A28741">
        <v>61151012000</v>
      </c>
      <c r="B28741" t="s">
        <v>9060</v>
      </c>
    </row>
    <row r="28742" spans="1:2" x14ac:dyDescent="0.25">
      <c r="A28742">
        <v>61151013000</v>
      </c>
      <c r="B28742" t="s">
        <v>8835</v>
      </c>
    </row>
    <row r="28743" spans="1:2" x14ac:dyDescent="0.25">
      <c r="A28743">
        <v>61151014000</v>
      </c>
      <c r="B28743" t="s">
        <v>8805</v>
      </c>
    </row>
    <row r="28744" spans="1:2" x14ac:dyDescent="0.25">
      <c r="A28744">
        <v>61151019000</v>
      </c>
      <c r="B28744" t="s">
        <v>8837</v>
      </c>
    </row>
    <row r="28745" spans="1:2" x14ac:dyDescent="0.25">
      <c r="A28745">
        <v>6115102</v>
      </c>
      <c r="B28745" t="s">
        <v>9061</v>
      </c>
    </row>
    <row r="28746" spans="1:2" x14ac:dyDescent="0.25">
      <c r="A28746">
        <v>61151021000</v>
      </c>
      <c r="B28746" t="s">
        <v>8898</v>
      </c>
    </row>
    <row r="28747" spans="1:2" x14ac:dyDescent="0.25">
      <c r="A28747">
        <v>61151022000</v>
      </c>
      <c r="B28747" t="s">
        <v>8805</v>
      </c>
    </row>
    <row r="28748" spans="1:2" x14ac:dyDescent="0.25">
      <c r="A28748">
        <v>61151029000</v>
      </c>
      <c r="B28748" t="s">
        <v>8837</v>
      </c>
    </row>
    <row r="28749" spans="1:2" x14ac:dyDescent="0.25">
      <c r="A28749">
        <v>6115109</v>
      </c>
      <c r="B28749" t="s">
        <v>57</v>
      </c>
    </row>
    <row r="28750" spans="1:2" x14ac:dyDescent="0.25">
      <c r="A28750">
        <v>61151091000</v>
      </c>
      <c r="B28750" t="s">
        <v>8835</v>
      </c>
    </row>
    <row r="28751" spans="1:2" x14ac:dyDescent="0.25">
      <c r="A28751">
        <v>61151092000</v>
      </c>
      <c r="B28751" t="s">
        <v>8805</v>
      </c>
    </row>
    <row r="28752" spans="1:2" x14ac:dyDescent="0.25">
      <c r="A28752">
        <v>61151093000</v>
      </c>
      <c r="B28752" t="s">
        <v>8808</v>
      </c>
    </row>
    <row r="28753" spans="1:2" x14ac:dyDescent="0.25">
      <c r="A28753">
        <v>61151099000</v>
      </c>
      <c r="B28753" t="s">
        <v>8837</v>
      </c>
    </row>
    <row r="28754" spans="1:2" x14ac:dyDescent="0.25">
      <c r="A28754">
        <v>61152</v>
      </c>
      <c r="B28754" t="s">
        <v>9062</v>
      </c>
    </row>
    <row r="28755" spans="1:2" x14ac:dyDescent="0.25">
      <c r="A28755">
        <v>61152100</v>
      </c>
      <c r="B28755" t="s">
        <v>9063</v>
      </c>
    </row>
    <row r="28756" spans="1:2" x14ac:dyDescent="0.25">
      <c r="A28756">
        <v>611521001</v>
      </c>
      <c r="B28756" t="s">
        <v>9064</v>
      </c>
    </row>
    <row r="28757" spans="1:2" x14ac:dyDescent="0.25">
      <c r="A28757">
        <v>6115210011</v>
      </c>
      <c r="B28757" t="s">
        <v>9065</v>
      </c>
    </row>
    <row r="28758" spans="1:2" x14ac:dyDescent="0.25">
      <c r="A28758">
        <v>61152100111</v>
      </c>
      <c r="B28758" t="s">
        <v>9066</v>
      </c>
    </row>
    <row r="28759" spans="1:2" x14ac:dyDescent="0.25">
      <c r="A28759">
        <v>61152100112</v>
      </c>
      <c r="B28759" t="s">
        <v>9067</v>
      </c>
    </row>
    <row r="28760" spans="1:2" x14ac:dyDescent="0.25">
      <c r="A28760">
        <v>61152100113</v>
      </c>
      <c r="B28760" t="s">
        <v>9068</v>
      </c>
    </row>
    <row r="28761" spans="1:2" x14ac:dyDescent="0.25">
      <c r="A28761">
        <v>6115210012</v>
      </c>
      <c r="B28761" t="s">
        <v>9069</v>
      </c>
    </row>
    <row r="28762" spans="1:2" x14ac:dyDescent="0.25">
      <c r="A28762">
        <v>61152100121</v>
      </c>
      <c r="B28762" t="s">
        <v>9066</v>
      </c>
    </row>
    <row r="28763" spans="1:2" x14ac:dyDescent="0.25">
      <c r="A28763">
        <v>61152100122</v>
      </c>
      <c r="B28763" t="s">
        <v>9067</v>
      </c>
    </row>
    <row r="28764" spans="1:2" x14ac:dyDescent="0.25">
      <c r="A28764">
        <v>61152100123</v>
      </c>
      <c r="B28764" t="s">
        <v>9068</v>
      </c>
    </row>
    <row r="28765" spans="1:2" x14ac:dyDescent="0.25">
      <c r="A28765">
        <v>6115210013</v>
      </c>
      <c r="B28765" t="s">
        <v>9070</v>
      </c>
    </row>
    <row r="28766" spans="1:2" x14ac:dyDescent="0.25">
      <c r="A28766">
        <v>61152100131</v>
      </c>
      <c r="B28766" t="s">
        <v>9066</v>
      </c>
    </row>
    <row r="28767" spans="1:2" x14ac:dyDescent="0.25">
      <c r="A28767">
        <v>61152100132</v>
      </c>
      <c r="B28767" t="s">
        <v>9067</v>
      </c>
    </row>
    <row r="28768" spans="1:2" x14ac:dyDescent="0.25">
      <c r="A28768">
        <v>61152100133</v>
      </c>
      <c r="B28768" t="s">
        <v>9068</v>
      </c>
    </row>
    <row r="28769" spans="1:2" x14ac:dyDescent="0.25">
      <c r="A28769">
        <v>6115210014</v>
      </c>
      <c r="B28769" t="s">
        <v>9071</v>
      </c>
    </row>
    <row r="28770" spans="1:2" x14ac:dyDescent="0.25">
      <c r="A28770">
        <v>61152100141</v>
      </c>
      <c r="B28770" t="s">
        <v>9066</v>
      </c>
    </row>
    <row r="28771" spans="1:2" x14ac:dyDescent="0.25">
      <c r="A28771">
        <v>61152100142</v>
      </c>
      <c r="B28771" t="s">
        <v>9067</v>
      </c>
    </row>
    <row r="28772" spans="1:2" x14ac:dyDescent="0.25">
      <c r="A28772">
        <v>61152100143</v>
      </c>
      <c r="B28772" t="s">
        <v>9068</v>
      </c>
    </row>
    <row r="28773" spans="1:2" x14ac:dyDescent="0.25">
      <c r="A28773">
        <v>611521002</v>
      </c>
      <c r="B28773" t="s">
        <v>9072</v>
      </c>
    </row>
    <row r="28774" spans="1:2" x14ac:dyDescent="0.25">
      <c r="A28774">
        <v>6115210021</v>
      </c>
      <c r="B28774" t="s">
        <v>9065</v>
      </c>
    </row>
    <row r="28775" spans="1:2" x14ac:dyDescent="0.25">
      <c r="A28775">
        <v>61152100211</v>
      </c>
      <c r="B28775" t="s">
        <v>9066</v>
      </c>
    </row>
    <row r="28776" spans="1:2" x14ac:dyDescent="0.25">
      <c r="A28776">
        <v>61152100212</v>
      </c>
      <c r="B28776" t="s">
        <v>9067</v>
      </c>
    </row>
    <row r="28777" spans="1:2" x14ac:dyDescent="0.25">
      <c r="A28777">
        <v>61152100213</v>
      </c>
      <c r="B28777" t="s">
        <v>9068</v>
      </c>
    </row>
    <row r="28778" spans="1:2" x14ac:dyDescent="0.25">
      <c r="A28778">
        <v>6115210022</v>
      </c>
      <c r="B28778" t="s">
        <v>9069</v>
      </c>
    </row>
    <row r="28779" spans="1:2" x14ac:dyDescent="0.25">
      <c r="A28779">
        <v>61152100221</v>
      </c>
      <c r="B28779" t="s">
        <v>9066</v>
      </c>
    </row>
    <row r="28780" spans="1:2" x14ac:dyDescent="0.25">
      <c r="A28780">
        <v>61152100222</v>
      </c>
      <c r="B28780" t="s">
        <v>9067</v>
      </c>
    </row>
    <row r="28781" spans="1:2" x14ac:dyDescent="0.25">
      <c r="A28781">
        <v>61152100223</v>
      </c>
      <c r="B28781" t="s">
        <v>9068</v>
      </c>
    </row>
    <row r="28782" spans="1:2" x14ac:dyDescent="0.25">
      <c r="A28782">
        <v>6115210023</v>
      </c>
      <c r="B28782" t="s">
        <v>9070</v>
      </c>
    </row>
    <row r="28783" spans="1:2" x14ac:dyDescent="0.25">
      <c r="A28783">
        <v>61152100231</v>
      </c>
      <c r="B28783" t="s">
        <v>9066</v>
      </c>
    </row>
    <row r="28784" spans="1:2" x14ac:dyDescent="0.25">
      <c r="A28784">
        <v>61152100232</v>
      </c>
      <c r="B28784" t="s">
        <v>9067</v>
      </c>
    </row>
    <row r="28785" spans="1:2" x14ac:dyDescent="0.25">
      <c r="A28785">
        <v>61152100233</v>
      </c>
      <c r="B28785" t="s">
        <v>9068</v>
      </c>
    </row>
    <row r="28786" spans="1:2" x14ac:dyDescent="0.25">
      <c r="A28786">
        <v>6115210024</v>
      </c>
      <c r="B28786" t="s">
        <v>9071</v>
      </c>
    </row>
    <row r="28787" spans="1:2" x14ac:dyDescent="0.25">
      <c r="A28787">
        <v>61152100241</v>
      </c>
      <c r="B28787" t="s">
        <v>9066</v>
      </c>
    </row>
    <row r="28788" spans="1:2" x14ac:dyDescent="0.25">
      <c r="A28788">
        <v>61152100242</v>
      </c>
      <c r="B28788" t="s">
        <v>9067</v>
      </c>
    </row>
    <row r="28789" spans="1:2" x14ac:dyDescent="0.25">
      <c r="A28789">
        <v>61152100243</v>
      </c>
      <c r="B28789" t="s">
        <v>9068</v>
      </c>
    </row>
    <row r="28790" spans="1:2" x14ac:dyDescent="0.25">
      <c r="A28790">
        <v>611521003</v>
      </c>
      <c r="B28790" t="s">
        <v>9073</v>
      </c>
    </row>
    <row r="28791" spans="1:2" x14ac:dyDescent="0.25">
      <c r="A28791">
        <v>6115210031</v>
      </c>
      <c r="B28791" t="s">
        <v>9065</v>
      </c>
    </row>
    <row r="28792" spans="1:2" x14ac:dyDescent="0.25">
      <c r="A28792">
        <v>61152100311</v>
      </c>
      <c r="B28792" t="s">
        <v>9066</v>
      </c>
    </row>
    <row r="28793" spans="1:2" x14ac:dyDescent="0.25">
      <c r="A28793">
        <v>61152100312</v>
      </c>
      <c r="B28793" t="s">
        <v>9067</v>
      </c>
    </row>
    <row r="28794" spans="1:2" x14ac:dyDescent="0.25">
      <c r="A28794">
        <v>61152100313</v>
      </c>
      <c r="B28794" t="s">
        <v>9068</v>
      </c>
    </row>
    <row r="28795" spans="1:2" x14ac:dyDescent="0.25">
      <c r="A28795">
        <v>6115210032</v>
      </c>
      <c r="B28795" t="s">
        <v>9069</v>
      </c>
    </row>
    <row r="28796" spans="1:2" x14ac:dyDescent="0.25">
      <c r="A28796">
        <v>61152100321</v>
      </c>
      <c r="B28796" t="s">
        <v>9066</v>
      </c>
    </row>
    <row r="28797" spans="1:2" x14ac:dyDescent="0.25">
      <c r="A28797">
        <v>61152100322</v>
      </c>
      <c r="B28797" t="s">
        <v>9067</v>
      </c>
    </row>
    <row r="28798" spans="1:2" x14ac:dyDescent="0.25">
      <c r="A28798">
        <v>61152100323</v>
      </c>
      <c r="B28798" t="s">
        <v>9068</v>
      </c>
    </row>
    <row r="28799" spans="1:2" x14ac:dyDescent="0.25">
      <c r="A28799">
        <v>6115210033</v>
      </c>
      <c r="B28799" t="s">
        <v>9070</v>
      </c>
    </row>
    <row r="28800" spans="1:2" x14ac:dyDescent="0.25">
      <c r="A28800">
        <v>61152100331</v>
      </c>
      <c r="B28800" t="s">
        <v>9066</v>
      </c>
    </row>
    <row r="28801" spans="1:2" x14ac:dyDescent="0.25">
      <c r="A28801">
        <v>61152100332</v>
      </c>
      <c r="B28801" t="s">
        <v>9067</v>
      </c>
    </row>
    <row r="28802" spans="1:2" x14ac:dyDescent="0.25">
      <c r="A28802">
        <v>61152100333</v>
      </c>
      <c r="B28802" t="s">
        <v>9068</v>
      </c>
    </row>
    <row r="28803" spans="1:2" x14ac:dyDescent="0.25">
      <c r="A28803">
        <v>6115210034</v>
      </c>
      <c r="B28803" t="s">
        <v>9071</v>
      </c>
    </row>
    <row r="28804" spans="1:2" x14ac:dyDescent="0.25">
      <c r="A28804">
        <v>61152100341</v>
      </c>
      <c r="B28804" t="s">
        <v>9066</v>
      </c>
    </row>
    <row r="28805" spans="1:2" x14ac:dyDescent="0.25">
      <c r="A28805">
        <v>61152100342</v>
      </c>
      <c r="B28805" t="s">
        <v>9067</v>
      </c>
    </row>
    <row r="28806" spans="1:2" x14ac:dyDescent="0.25">
      <c r="A28806">
        <v>61152100343</v>
      </c>
      <c r="B28806" t="s">
        <v>9068</v>
      </c>
    </row>
    <row r="28807" spans="1:2" x14ac:dyDescent="0.25">
      <c r="A28807">
        <v>611521004</v>
      </c>
      <c r="B28807" t="s">
        <v>9074</v>
      </c>
    </row>
    <row r="28808" spans="1:2" x14ac:dyDescent="0.25">
      <c r="A28808">
        <v>6115210041</v>
      </c>
      <c r="B28808" t="s">
        <v>9065</v>
      </c>
    </row>
    <row r="28809" spans="1:2" x14ac:dyDescent="0.25">
      <c r="A28809">
        <v>61152100411</v>
      </c>
      <c r="B28809" t="s">
        <v>9066</v>
      </c>
    </row>
    <row r="28810" spans="1:2" x14ac:dyDescent="0.25">
      <c r="A28810">
        <v>61152100412</v>
      </c>
      <c r="B28810" t="s">
        <v>9067</v>
      </c>
    </row>
    <row r="28811" spans="1:2" x14ac:dyDescent="0.25">
      <c r="A28811">
        <v>61152100413</v>
      </c>
      <c r="B28811" t="s">
        <v>9068</v>
      </c>
    </row>
    <row r="28812" spans="1:2" x14ac:dyDescent="0.25">
      <c r="A28812">
        <v>6115210042</v>
      </c>
      <c r="B28812" t="s">
        <v>9069</v>
      </c>
    </row>
    <row r="28813" spans="1:2" x14ac:dyDescent="0.25">
      <c r="A28813">
        <v>61152100421</v>
      </c>
      <c r="B28813" t="s">
        <v>9066</v>
      </c>
    </row>
    <row r="28814" spans="1:2" x14ac:dyDescent="0.25">
      <c r="A28814">
        <v>61152100422</v>
      </c>
      <c r="B28814" t="s">
        <v>9067</v>
      </c>
    </row>
    <row r="28815" spans="1:2" x14ac:dyDescent="0.25">
      <c r="A28815">
        <v>61152100423</v>
      </c>
      <c r="B28815" t="s">
        <v>9068</v>
      </c>
    </row>
    <row r="28816" spans="1:2" x14ac:dyDescent="0.25">
      <c r="A28816">
        <v>6115210043</v>
      </c>
      <c r="B28816" t="s">
        <v>9070</v>
      </c>
    </row>
    <row r="28817" spans="1:2" x14ac:dyDescent="0.25">
      <c r="A28817">
        <v>61152100431</v>
      </c>
      <c r="B28817" t="s">
        <v>9066</v>
      </c>
    </row>
    <row r="28818" spans="1:2" x14ac:dyDescent="0.25">
      <c r="A28818">
        <v>61152100432</v>
      </c>
      <c r="B28818" t="s">
        <v>9067</v>
      </c>
    </row>
    <row r="28819" spans="1:2" x14ac:dyDescent="0.25">
      <c r="A28819">
        <v>61152100433</v>
      </c>
      <c r="B28819" t="s">
        <v>9068</v>
      </c>
    </row>
    <row r="28820" spans="1:2" x14ac:dyDescent="0.25">
      <c r="A28820">
        <v>6115210044</v>
      </c>
      <c r="B28820" t="s">
        <v>9071</v>
      </c>
    </row>
    <row r="28821" spans="1:2" x14ac:dyDescent="0.25">
      <c r="A28821">
        <v>61152100441</v>
      </c>
      <c r="B28821" t="s">
        <v>9066</v>
      </c>
    </row>
    <row r="28822" spans="1:2" x14ac:dyDescent="0.25">
      <c r="A28822">
        <v>61152100442</v>
      </c>
      <c r="B28822" t="s">
        <v>9067</v>
      </c>
    </row>
    <row r="28823" spans="1:2" x14ac:dyDescent="0.25">
      <c r="A28823">
        <v>61152100443</v>
      </c>
      <c r="B28823" t="s">
        <v>9068</v>
      </c>
    </row>
    <row r="28824" spans="1:2" x14ac:dyDescent="0.25">
      <c r="A28824">
        <v>611521005</v>
      </c>
      <c r="B28824" t="s">
        <v>9075</v>
      </c>
    </row>
    <row r="28825" spans="1:2" x14ac:dyDescent="0.25">
      <c r="A28825">
        <v>6115210051</v>
      </c>
      <c r="B28825" t="s">
        <v>9065</v>
      </c>
    </row>
    <row r="28826" spans="1:2" x14ac:dyDescent="0.25">
      <c r="A28826">
        <v>61152100511</v>
      </c>
      <c r="B28826" t="s">
        <v>9066</v>
      </c>
    </row>
    <row r="28827" spans="1:2" x14ac:dyDescent="0.25">
      <c r="A28827">
        <v>61152100512</v>
      </c>
      <c r="B28827" t="s">
        <v>9067</v>
      </c>
    </row>
    <row r="28828" spans="1:2" x14ac:dyDescent="0.25">
      <c r="A28828">
        <v>61152100513</v>
      </c>
      <c r="B28828" t="s">
        <v>9068</v>
      </c>
    </row>
    <row r="28829" spans="1:2" x14ac:dyDescent="0.25">
      <c r="A28829">
        <v>6115210052</v>
      </c>
      <c r="B28829" t="s">
        <v>9069</v>
      </c>
    </row>
    <row r="28830" spans="1:2" x14ac:dyDescent="0.25">
      <c r="A28830">
        <v>61152100521</v>
      </c>
      <c r="B28830" t="s">
        <v>9066</v>
      </c>
    </row>
    <row r="28831" spans="1:2" x14ac:dyDescent="0.25">
      <c r="A28831">
        <v>61152100522</v>
      </c>
      <c r="B28831" t="s">
        <v>9067</v>
      </c>
    </row>
    <row r="28832" spans="1:2" x14ac:dyDescent="0.25">
      <c r="A28832">
        <v>61152100523</v>
      </c>
      <c r="B28832" t="s">
        <v>9068</v>
      </c>
    </row>
    <row r="28833" spans="1:2" x14ac:dyDescent="0.25">
      <c r="A28833">
        <v>6115210053</v>
      </c>
      <c r="B28833" t="s">
        <v>9070</v>
      </c>
    </row>
    <row r="28834" spans="1:2" x14ac:dyDescent="0.25">
      <c r="A28834">
        <v>61152100531</v>
      </c>
      <c r="B28834" t="s">
        <v>9066</v>
      </c>
    </row>
    <row r="28835" spans="1:2" x14ac:dyDescent="0.25">
      <c r="A28835">
        <v>61152100532</v>
      </c>
      <c r="B28835" t="s">
        <v>9067</v>
      </c>
    </row>
    <row r="28836" spans="1:2" x14ac:dyDescent="0.25">
      <c r="A28836">
        <v>61152100533</v>
      </c>
      <c r="B28836" t="s">
        <v>9068</v>
      </c>
    </row>
    <row r="28837" spans="1:2" x14ac:dyDescent="0.25">
      <c r="A28837">
        <v>6115210054</v>
      </c>
      <c r="B28837" t="s">
        <v>9071</v>
      </c>
    </row>
    <row r="28838" spans="1:2" x14ac:dyDescent="0.25">
      <c r="A28838">
        <v>61152100541</v>
      </c>
      <c r="B28838" t="s">
        <v>9066</v>
      </c>
    </row>
    <row r="28839" spans="1:2" x14ac:dyDescent="0.25">
      <c r="A28839">
        <v>61152100542</v>
      </c>
      <c r="B28839" t="s">
        <v>9067</v>
      </c>
    </row>
    <row r="28840" spans="1:2" x14ac:dyDescent="0.25">
      <c r="A28840">
        <v>61152100543</v>
      </c>
      <c r="B28840" t="s">
        <v>9068</v>
      </c>
    </row>
    <row r="28841" spans="1:2" x14ac:dyDescent="0.25">
      <c r="A28841">
        <v>611521006</v>
      </c>
      <c r="B28841" t="s">
        <v>9076</v>
      </c>
    </row>
    <row r="28842" spans="1:2" x14ac:dyDescent="0.25">
      <c r="A28842">
        <v>6115210061</v>
      </c>
      <c r="B28842" t="s">
        <v>9065</v>
      </c>
    </row>
    <row r="28843" spans="1:2" x14ac:dyDescent="0.25">
      <c r="A28843">
        <v>61152100611</v>
      </c>
      <c r="B28843" t="s">
        <v>9077</v>
      </c>
    </row>
    <row r="28844" spans="1:2" x14ac:dyDescent="0.25">
      <c r="A28844">
        <v>61152100612</v>
      </c>
      <c r="B28844" t="s">
        <v>9078</v>
      </c>
    </row>
    <row r="28845" spans="1:2" x14ac:dyDescent="0.25">
      <c r="A28845">
        <v>61152100613</v>
      </c>
      <c r="B28845" t="s">
        <v>9068</v>
      </c>
    </row>
    <row r="28846" spans="1:2" x14ac:dyDescent="0.25">
      <c r="A28846">
        <v>6115210062</v>
      </c>
      <c r="B28846" t="s">
        <v>9069</v>
      </c>
    </row>
    <row r="28847" spans="1:2" x14ac:dyDescent="0.25">
      <c r="A28847">
        <v>61152100621</v>
      </c>
      <c r="B28847" t="s">
        <v>9077</v>
      </c>
    </row>
    <row r="28848" spans="1:2" x14ac:dyDescent="0.25">
      <c r="A28848">
        <v>61152100622</v>
      </c>
      <c r="B28848" t="s">
        <v>9078</v>
      </c>
    </row>
    <row r="28849" spans="1:2" x14ac:dyDescent="0.25">
      <c r="A28849">
        <v>61152100623</v>
      </c>
      <c r="B28849" t="s">
        <v>9068</v>
      </c>
    </row>
    <row r="28850" spans="1:2" x14ac:dyDescent="0.25">
      <c r="A28850">
        <v>6115210063</v>
      </c>
      <c r="B28850" t="s">
        <v>9070</v>
      </c>
    </row>
    <row r="28851" spans="1:2" x14ac:dyDescent="0.25">
      <c r="A28851">
        <v>61152100631</v>
      </c>
      <c r="B28851" t="s">
        <v>9077</v>
      </c>
    </row>
    <row r="28852" spans="1:2" x14ac:dyDescent="0.25">
      <c r="A28852">
        <v>61152100632</v>
      </c>
      <c r="B28852" t="s">
        <v>9078</v>
      </c>
    </row>
    <row r="28853" spans="1:2" x14ac:dyDescent="0.25">
      <c r="A28853">
        <v>61152100633</v>
      </c>
      <c r="B28853" t="s">
        <v>9068</v>
      </c>
    </row>
    <row r="28854" spans="1:2" x14ac:dyDescent="0.25">
      <c r="A28854">
        <v>6115210064</v>
      </c>
      <c r="B28854" t="s">
        <v>9071</v>
      </c>
    </row>
    <row r="28855" spans="1:2" x14ac:dyDescent="0.25">
      <c r="A28855">
        <v>61152100641</v>
      </c>
      <c r="B28855" t="s">
        <v>9077</v>
      </c>
    </row>
    <row r="28856" spans="1:2" x14ac:dyDescent="0.25">
      <c r="A28856">
        <v>61152100642</v>
      </c>
      <c r="B28856" t="s">
        <v>9078</v>
      </c>
    </row>
    <row r="28857" spans="1:2" x14ac:dyDescent="0.25">
      <c r="A28857">
        <v>61152100643</v>
      </c>
      <c r="B28857" t="s">
        <v>9068</v>
      </c>
    </row>
    <row r="28858" spans="1:2" x14ac:dyDescent="0.25">
      <c r="A28858">
        <v>61152100900</v>
      </c>
      <c r="B28858" t="s">
        <v>10</v>
      </c>
    </row>
    <row r="28859" spans="1:2" x14ac:dyDescent="0.25">
      <c r="A28859">
        <v>61152200</v>
      </c>
      <c r="B28859" t="s">
        <v>9079</v>
      </c>
    </row>
    <row r="28860" spans="1:2" x14ac:dyDescent="0.25">
      <c r="A28860">
        <v>611522001</v>
      </c>
      <c r="B28860" t="s">
        <v>9080</v>
      </c>
    </row>
    <row r="28861" spans="1:2" x14ac:dyDescent="0.25">
      <c r="A28861">
        <v>6115220011</v>
      </c>
      <c r="B28861" t="s">
        <v>9081</v>
      </c>
    </row>
    <row r="28862" spans="1:2" x14ac:dyDescent="0.25">
      <c r="A28862">
        <v>61152200111</v>
      </c>
      <c r="B28862" t="s">
        <v>9082</v>
      </c>
    </row>
    <row r="28863" spans="1:2" x14ac:dyDescent="0.25">
      <c r="A28863">
        <v>61152200112</v>
      </c>
      <c r="B28863" t="s">
        <v>9083</v>
      </c>
    </row>
    <row r="28864" spans="1:2" x14ac:dyDescent="0.25">
      <c r="A28864">
        <v>61152200113</v>
      </c>
      <c r="B28864" t="s">
        <v>9084</v>
      </c>
    </row>
    <row r="28865" spans="1:2" x14ac:dyDescent="0.25">
      <c r="A28865">
        <v>61152200114</v>
      </c>
      <c r="B28865" t="s">
        <v>9085</v>
      </c>
    </row>
    <row r="28866" spans="1:2" x14ac:dyDescent="0.25">
      <c r="A28866">
        <v>6115220012</v>
      </c>
      <c r="B28866" t="s">
        <v>9086</v>
      </c>
    </row>
    <row r="28867" spans="1:2" x14ac:dyDescent="0.25">
      <c r="A28867">
        <v>61152200121</v>
      </c>
      <c r="B28867" t="s">
        <v>9082</v>
      </c>
    </row>
    <row r="28868" spans="1:2" x14ac:dyDescent="0.25">
      <c r="A28868">
        <v>61152200122</v>
      </c>
      <c r="B28868" t="s">
        <v>9083</v>
      </c>
    </row>
    <row r="28869" spans="1:2" x14ac:dyDescent="0.25">
      <c r="A28869">
        <v>61152200123</v>
      </c>
      <c r="B28869" t="s">
        <v>9084</v>
      </c>
    </row>
    <row r="28870" spans="1:2" x14ac:dyDescent="0.25">
      <c r="A28870">
        <v>61152200124</v>
      </c>
      <c r="B28870" t="s">
        <v>9085</v>
      </c>
    </row>
    <row r="28871" spans="1:2" x14ac:dyDescent="0.25">
      <c r="A28871">
        <v>6115220013</v>
      </c>
      <c r="B28871" t="s">
        <v>9087</v>
      </c>
    </row>
    <row r="28872" spans="1:2" x14ac:dyDescent="0.25">
      <c r="A28872">
        <v>61152200131</v>
      </c>
      <c r="B28872" t="s">
        <v>9082</v>
      </c>
    </row>
    <row r="28873" spans="1:2" x14ac:dyDescent="0.25">
      <c r="A28873">
        <v>61152200132</v>
      </c>
      <c r="B28873" t="s">
        <v>9083</v>
      </c>
    </row>
    <row r="28874" spans="1:2" x14ac:dyDescent="0.25">
      <c r="A28874">
        <v>61152200133</v>
      </c>
      <c r="B28874" t="s">
        <v>9084</v>
      </c>
    </row>
    <row r="28875" spans="1:2" x14ac:dyDescent="0.25">
      <c r="A28875">
        <v>61152200134</v>
      </c>
      <c r="B28875" t="s">
        <v>9085</v>
      </c>
    </row>
    <row r="28876" spans="1:2" x14ac:dyDescent="0.25">
      <c r="A28876">
        <v>6115220014</v>
      </c>
      <c r="B28876" t="s">
        <v>9088</v>
      </c>
    </row>
    <row r="28877" spans="1:2" x14ac:dyDescent="0.25">
      <c r="A28877">
        <v>61152200141</v>
      </c>
      <c r="B28877" t="s">
        <v>9082</v>
      </c>
    </row>
    <row r="28878" spans="1:2" x14ac:dyDescent="0.25">
      <c r="A28878">
        <v>61152200142</v>
      </c>
      <c r="B28878" t="s">
        <v>9083</v>
      </c>
    </row>
    <row r="28879" spans="1:2" x14ac:dyDescent="0.25">
      <c r="A28879">
        <v>61152200143</v>
      </c>
      <c r="B28879" t="s">
        <v>9084</v>
      </c>
    </row>
    <row r="28880" spans="1:2" x14ac:dyDescent="0.25">
      <c r="A28880">
        <v>61152200144</v>
      </c>
      <c r="B28880" t="s">
        <v>9085</v>
      </c>
    </row>
    <row r="28881" spans="1:2" x14ac:dyDescent="0.25">
      <c r="A28881">
        <v>6115220015</v>
      </c>
      <c r="B28881" t="s">
        <v>9089</v>
      </c>
    </row>
    <row r="28882" spans="1:2" x14ac:dyDescent="0.25">
      <c r="A28882">
        <v>61152200151</v>
      </c>
      <c r="B28882" t="s">
        <v>9082</v>
      </c>
    </row>
    <row r="28883" spans="1:2" x14ac:dyDescent="0.25">
      <c r="A28883">
        <v>61152200152</v>
      </c>
      <c r="B28883" t="s">
        <v>9083</v>
      </c>
    </row>
    <row r="28884" spans="1:2" x14ac:dyDescent="0.25">
      <c r="A28884">
        <v>61152200153</v>
      </c>
      <c r="B28884" t="s">
        <v>9084</v>
      </c>
    </row>
    <row r="28885" spans="1:2" x14ac:dyDescent="0.25">
      <c r="A28885">
        <v>61152200154</v>
      </c>
      <c r="B28885" t="s">
        <v>9085</v>
      </c>
    </row>
    <row r="28886" spans="1:2" x14ac:dyDescent="0.25">
      <c r="A28886">
        <v>6115220016</v>
      </c>
      <c r="B28886" t="s">
        <v>9090</v>
      </c>
    </row>
    <row r="28887" spans="1:2" x14ac:dyDescent="0.25">
      <c r="A28887">
        <v>61152200161</v>
      </c>
      <c r="B28887" t="s">
        <v>9082</v>
      </c>
    </row>
    <row r="28888" spans="1:2" x14ac:dyDescent="0.25">
      <c r="A28888">
        <v>61152200162</v>
      </c>
      <c r="B28888" t="s">
        <v>9083</v>
      </c>
    </row>
    <row r="28889" spans="1:2" x14ac:dyDescent="0.25">
      <c r="A28889">
        <v>61152200163</v>
      </c>
      <c r="B28889" t="s">
        <v>9084</v>
      </c>
    </row>
    <row r="28890" spans="1:2" x14ac:dyDescent="0.25">
      <c r="A28890">
        <v>61152200164</v>
      </c>
      <c r="B28890" t="s">
        <v>9085</v>
      </c>
    </row>
    <row r="28891" spans="1:2" x14ac:dyDescent="0.25">
      <c r="A28891">
        <v>6115220017</v>
      </c>
      <c r="B28891" t="s">
        <v>9091</v>
      </c>
    </row>
    <row r="28892" spans="1:2" x14ac:dyDescent="0.25">
      <c r="A28892">
        <v>61152200171</v>
      </c>
      <c r="B28892" t="s">
        <v>9082</v>
      </c>
    </row>
    <row r="28893" spans="1:2" x14ac:dyDescent="0.25">
      <c r="A28893">
        <v>61152200172</v>
      </c>
      <c r="B28893" t="s">
        <v>9083</v>
      </c>
    </row>
    <row r="28894" spans="1:2" x14ac:dyDescent="0.25">
      <c r="A28894">
        <v>61152200173</v>
      </c>
      <c r="B28894" t="s">
        <v>9084</v>
      </c>
    </row>
    <row r="28895" spans="1:2" x14ac:dyDescent="0.25">
      <c r="A28895">
        <v>61152200174</v>
      </c>
      <c r="B28895" t="s">
        <v>9085</v>
      </c>
    </row>
    <row r="28896" spans="1:2" x14ac:dyDescent="0.25">
      <c r="A28896">
        <v>6115220018</v>
      </c>
      <c r="B28896" t="s">
        <v>9092</v>
      </c>
    </row>
    <row r="28897" spans="1:2" x14ac:dyDescent="0.25">
      <c r="A28897">
        <v>61152200181</v>
      </c>
      <c r="B28897" t="s">
        <v>9082</v>
      </c>
    </row>
    <row r="28898" spans="1:2" x14ac:dyDescent="0.25">
      <c r="A28898">
        <v>61152200182</v>
      </c>
      <c r="B28898" t="s">
        <v>9083</v>
      </c>
    </row>
    <row r="28899" spans="1:2" x14ac:dyDescent="0.25">
      <c r="A28899">
        <v>61152200183</v>
      </c>
      <c r="B28899" t="s">
        <v>9084</v>
      </c>
    </row>
    <row r="28900" spans="1:2" x14ac:dyDescent="0.25">
      <c r="A28900">
        <v>61152200184</v>
      </c>
      <c r="B28900" t="s">
        <v>9085</v>
      </c>
    </row>
    <row r="28901" spans="1:2" x14ac:dyDescent="0.25">
      <c r="A28901">
        <v>61152200900</v>
      </c>
      <c r="B28901" t="s">
        <v>57</v>
      </c>
    </row>
    <row r="28902" spans="1:2" x14ac:dyDescent="0.25">
      <c r="A28902">
        <v>611529</v>
      </c>
      <c r="B28902" t="e">
        <f>- - de las demas materias textiles</f>
        <v>#NAME?</v>
      </c>
    </row>
    <row r="28903" spans="1:2" x14ac:dyDescent="0.25">
      <c r="A28903">
        <v>61152910</v>
      </c>
      <c r="B28903" t="s">
        <v>8835</v>
      </c>
    </row>
    <row r="28904" spans="1:2" x14ac:dyDescent="0.25">
      <c r="A28904">
        <v>611529101</v>
      </c>
      <c r="B28904" t="s">
        <v>9093</v>
      </c>
    </row>
    <row r="28905" spans="1:2" x14ac:dyDescent="0.25">
      <c r="A28905">
        <v>6115291011</v>
      </c>
      <c r="B28905" t="s">
        <v>9094</v>
      </c>
    </row>
    <row r="28906" spans="1:2" x14ac:dyDescent="0.25">
      <c r="A28906">
        <v>61152910111</v>
      </c>
      <c r="B28906" t="s">
        <v>9082</v>
      </c>
    </row>
    <row r="28907" spans="1:2" x14ac:dyDescent="0.25">
      <c r="A28907">
        <v>61152910112</v>
      </c>
      <c r="B28907" t="s">
        <v>9083</v>
      </c>
    </row>
    <row r="28908" spans="1:2" x14ac:dyDescent="0.25">
      <c r="A28908">
        <v>61152910113</v>
      </c>
      <c r="B28908" t="s">
        <v>9084</v>
      </c>
    </row>
    <row r="28909" spans="1:2" x14ac:dyDescent="0.25">
      <c r="A28909">
        <v>61152910114</v>
      </c>
      <c r="B28909" t="s">
        <v>9085</v>
      </c>
    </row>
    <row r="28910" spans="1:2" x14ac:dyDescent="0.25">
      <c r="A28910">
        <v>6115291012</v>
      </c>
      <c r="B28910" t="s">
        <v>9095</v>
      </c>
    </row>
    <row r="28911" spans="1:2" x14ac:dyDescent="0.25">
      <c r="A28911">
        <v>61152910121</v>
      </c>
      <c r="B28911" t="s">
        <v>9082</v>
      </c>
    </row>
    <row r="28912" spans="1:2" x14ac:dyDescent="0.25">
      <c r="A28912">
        <v>61152910122</v>
      </c>
      <c r="B28912" t="s">
        <v>9083</v>
      </c>
    </row>
    <row r="28913" spans="1:2" x14ac:dyDescent="0.25">
      <c r="A28913">
        <v>61152910123</v>
      </c>
      <c r="B28913" t="s">
        <v>9084</v>
      </c>
    </row>
    <row r="28914" spans="1:2" x14ac:dyDescent="0.25">
      <c r="A28914">
        <v>61152910124</v>
      </c>
      <c r="B28914" t="s">
        <v>9085</v>
      </c>
    </row>
    <row r="28915" spans="1:2" x14ac:dyDescent="0.25">
      <c r="A28915">
        <v>61152910900</v>
      </c>
      <c r="B28915" t="s">
        <v>57</v>
      </c>
    </row>
    <row r="28916" spans="1:2" x14ac:dyDescent="0.25">
      <c r="A28916">
        <v>61152920</v>
      </c>
      <c r="B28916" t="s">
        <v>8805</v>
      </c>
    </row>
    <row r="28917" spans="1:2" x14ac:dyDescent="0.25">
      <c r="A28917">
        <v>611529201</v>
      </c>
      <c r="B28917" t="s">
        <v>9080</v>
      </c>
    </row>
    <row r="28918" spans="1:2" x14ac:dyDescent="0.25">
      <c r="A28918">
        <v>6115292011</v>
      </c>
      <c r="B28918" t="s">
        <v>9094</v>
      </c>
    </row>
    <row r="28919" spans="1:2" x14ac:dyDescent="0.25">
      <c r="A28919">
        <v>61152920111</v>
      </c>
      <c r="B28919" t="s">
        <v>9082</v>
      </c>
    </row>
    <row r="28920" spans="1:2" x14ac:dyDescent="0.25">
      <c r="A28920">
        <v>61152920112</v>
      </c>
      <c r="B28920" t="s">
        <v>9083</v>
      </c>
    </row>
    <row r="28921" spans="1:2" x14ac:dyDescent="0.25">
      <c r="A28921">
        <v>61152920113</v>
      </c>
      <c r="B28921" t="s">
        <v>9084</v>
      </c>
    </row>
    <row r="28922" spans="1:2" x14ac:dyDescent="0.25">
      <c r="A28922">
        <v>61152920114</v>
      </c>
      <c r="B28922" t="s">
        <v>9085</v>
      </c>
    </row>
    <row r="28923" spans="1:2" x14ac:dyDescent="0.25">
      <c r="A28923">
        <v>6115292012</v>
      </c>
      <c r="B28923" t="s">
        <v>9095</v>
      </c>
    </row>
    <row r="28924" spans="1:2" x14ac:dyDescent="0.25">
      <c r="A28924">
        <v>61152920121</v>
      </c>
      <c r="B28924" t="s">
        <v>9082</v>
      </c>
    </row>
    <row r="28925" spans="1:2" x14ac:dyDescent="0.25">
      <c r="A28925">
        <v>61152920122</v>
      </c>
      <c r="B28925" t="s">
        <v>9083</v>
      </c>
    </row>
    <row r="28926" spans="1:2" x14ac:dyDescent="0.25">
      <c r="A28926">
        <v>61152920123</v>
      </c>
      <c r="B28926" t="s">
        <v>9084</v>
      </c>
    </row>
    <row r="28927" spans="1:2" x14ac:dyDescent="0.25">
      <c r="A28927">
        <v>61152920124</v>
      </c>
      <c r="B28927" t="s">
        <v>9085</v>
      </c>
    </row>
    <row r="28928" spans="1:2" x14ac:dyDescent="0.25">
      <c r="A28928">
        <v>61152920900</v>
      </c>
      <c r="B28928" t="s">
        <v>57</v>
      </c>
    </row>
    <row r="28929" spans="1:2" x14ac:dyDescent="0.25">
      <c r="A28929">
        <v>61152990</v>
      </c>
      <c r="B28929" t="s">
        <v>10</v>
      </c>
    </row>
    <row r="28930" spans="1:2" x14ac:dyDescent="0.25">
      <c r="A28930">
        <v>611529901</v>
      </c>
      <c r="B28930" t="s">
        <v>9096</v>
      </c>
    </row>
    <row r="28931" spans="1:2" x14ac:dyDescent="0.25">
      <c r="A28931">
        <v>6115299011</v>
      </c>
      <c r="B28931" t="s">
        <v>9094</v>
      </c>
    </row>
    <row r="28932" spans="1:2" x14ac:dyDescent="0.25">
      <c r="A28932">
        <v>61152990111</v>
      </c>
      <c r="B28932" t="s">
        <v>9082</v>
      </c>
    </row>
    <row r="28933" spans="1:2" x14ac:dyDescent="0.25">
      <c r="A28933">
        <v>61152990112</v>
      </c>
      <c r="B28933" t="s">
        <v>9083</v>
      </c>
    </row>
    <row r="28934" spans="1:2" x14ac:dyDescent="0.25">
      <c r="A28934">
        <v>61152990113</v>
      </c>
      <c r="B28934" t="s">
        <v>9084</v>
      </c>
    </row>
    <row r="28935" spans="1:2" x14ac:dyDescent="0.25">
      <c r="A28935">
        <v>61152990114</v>
      </c>
      <c r="B28935" t="s">
        <v>9085</v>
      </c>
    </row>
    <row r="28936" spans="1:2" x14ac:dyDescent="0.25">
      <c r="A28936">
        <v>6115299012</v>
      </c>
      <c r="B28936" t="s">
        <v>9095</v>
      </c>
    </row>
    <row r="28937" spans="1:2" x14ac:dyDescent="0.25">
      <c r="A28937">
        <v>61152990121</v>
      </c>
      <c r="B28937" t="s">
        <v>9082</v>
      </c>
    </row>
    <row r="28938" spans="1:2" x14ac:dyDescent="0.25">
      <c r="A28938">
        <v>61152990122</v>
      </c>
      <c r="B28938" t="s">
        <v>9083</v>
      </c>
    </row>
    <row r="28939" spans="1:2" x14ac:dyDescent="0.25">
      <c r="A28939">
        <v>61152990123</v>
      </c>
      <c r="B28939" t="s">
        <v>9084</v>
      </c>
    </row>
    <row r="28940" spans="1:2" x14ac:dyDescent="0.25">
      <c r="A28940">
        <v>61152990124</v>
      </c>
      <c r="B28940" t="s">
        <v>9085</v>
      </c>
    </row>
    <row r="28941" spans="1:2" x14ac:dyDescent="0.25">
      <c r="A28941">
        <v>611529902</v>
      </c>
      <c r="B28941" t="s">
        <v>9097</v>
      </c>
    </row>
    <row r="28942" spans="1:2" x14ac:dyDescent="0.25">
      <c r="A28942">
        <v>6115299021</v>
      </c>
      <c r="B28942" t="s">
        <v>9094</v>
      </c>
    </row>
    <row r="28943" spans="1:2" x14ac:dyDescent="0.25">
      <c r="A28943">
        <v>61152990211</v>
      </c>
      <c r="B28943" t="s">
        <v>9082</v>
      </c>
    </row>
    <row r="28944" spans="1:2" x14ac:dyDescent="0.25">
      <c r="A28944">
        <v>61152990212</v>
      </c>
      <c r="B28944" t="s">
        <v>9083</v>
      </c>
    </row>
    <row r="28945" spans="1:2" x14ac:dyDescent="0.25">
      <c r="A28945">
        <v>61152990213</v>
      </c>
      <c r="B28945" t="s">
        <v>9084</v>
      </c>
    </row>
    <row r="28946" spans="1:2" x14ac:dyDescent="0.25">
      <c r="A28946">
        <v>61152990214</v>
      </c>
      <c r="B28946" t="s">
        <v>9085</v>
      </c>
    </row>
    <row r="28947" spans="1:2" x14ac:dyDescent="0.25">
      <c r="A28947">
        <v>6115299022</v>
      </c>
      <c r="B28947" t="s">
        <v>9095</v>
      </c>
    </row>
    <row r="28948" spans="1:2" x14ac:dyDescent="0.25">
      <c r="A28948">
        <v>61152990221</v>
      </c>
      <c r="B28948" t="s">
        <v>9082</v>
      </c>
    </row>
    <row r="28949" spans="1:2" x14ac:dyDescent="0.25">
      <c r="A28949">
        <v>61152990222</v>
      </c>
      <c r="B28949" t="s">
        <v>9083</v>
      </c>
    </row>
    <row r="28950" spans="1:2" x14ac:dyDescent="0.25">
      <c r="A28950">
        <v>61152990223</v>
      </c>
      <c r="B28950" t="s">
        <v>9084</v>
      </c>
    </row>
    <row r="28951" spans="1:2" x14ac:dyDescent="0.25">
      <c r="A28951">
        <v>61152990224</v>
      </c>
      <c r="B28951" t="s">
        <v>9084</v>
      </c>
    </row>
    <row r="28952" spans="1:2" x14ac:dyDescent="0.25">
      <c r="A28952">
        <v>61152990900</v>
      </c>
      <c r="B28952" t="s">
        <v>57</v>
      </c>
    </row>
    <row r="28953" spans="1:2" x14ac:dyDescent="0.25">
      <c r="A28953">
        <v>611530</v>
      </c>
      <c r="B28953" t="s">
        <v>9098</v>
      </c>
    </row>
    <row r="28954" spans="1:2" x14ac:dyDescent="0.25">
      <c r="A28954">
        <v>61153010</v>
      </c>
      <c r="B28954" t="s">
        <v>8898</v>
      </c>
    </row>
    <row r="28955" spans="1:2" x14ac:dyDescent="0.25">
      <c r="A28955">
        <v>611530101</v>
      </c>
      <c r="B28955" t="s">
        <v>8577</v>
      </c>
    </row>
    <row r="28956" spans="1:2" x14ac:dyDescent="0.25">
      <c r="A28956">
        <v>6115301011</v>
      </c>
      <c r="B28956" t="s">
        <v>9099</v>
      </c>
    </row>
    <row r="28957" spans="1:2" x14ac:dyDescent="0.25">
      <c r="A28957">
        <v>61153010111</v>
      </c>
      <c r="B28957" t="s">
        <v>9100</v>
      </c>
    </row>
    <row r="28958" spans="1:2" x14ac:dyDescent="0.25">
      <c r="A28958">
        <v>61153010112</v>
      </c>
      <c r="B28958" t="s">
        <v>9101</v>
      </c>
    </row>
    <row r="28959" spans="1:2" x14ac:dyDescent="0.25">
      <c r="A28959">
        <v>61153010113</v>
      </c>
      <c r="B28959" t="s">
        <v>9102</v>
      </c>
    </row>
    <row r="28960" spans="1:2" x14ac:dyDescent="0.25">
      <c r="A28960">
        <v>61153010114</v>
      </c>
      <c r="B28960" t="s">
        <v>9103</v>
      </c>
    </row>
    <row r="28961" spans="1:2" x14ac:dyDescent="0.25">
      <c r="A28961">
        <v>6115301012</v>
      </c>
      <c r="B28961" t="s">
        <v>9104</v>
      </c>
    </row>
    <row r="28962" spans="1:2" x14ac:dyDescent="0.25">
      <c r="A28962">
        <v>61153010121</v>
      </c>
      <c r="B28962" t="s">
        <v>9100</v>
      </c>
    </row>
    <row r="28963" spans="1:2" x14ac:dyDescent="0.25">
      <c r="A28963">
        <v>61153010122</v>
      </c>
      <c r="B28963" t="s">
        <v>9101</v>
      </c>
    </row>
    <row r="28964" spans="1:2" x14ac:dyDescent="0.25">
      <c r="A28964">
        <v>61153010123</v>
      </c>
      <c r="B28964" t="s">
        <v>9102</v>
      </c>
    </row>
    <row r="28965" spans="1:2" x14ac:dyDescent="0.25">
      <c r="A28965">
        <v>61153010124</v>
      </c>
      <c r="B28965" t="s">
        <v>9103</v>
      </c>
    </row>
    <row r="28966" spans="1:2" x14ac:dyDescent="0.25">
      <c r="A28966">
        <v>6115301013</v>
      </c>
      <c r="B28966" t="s">
        <v>9105</v>
      </c>
    </row>
    <row r="28967" spans="1:2" x14ac:dyDescent="0.25">
      <c r="A28967">
        <v>61153010131</v>
      </c>
      <c r="B28967" t="s">
        <v>9100</v>
      </c>
    </row>
    <row r="28968" spans="1:2" x14ac:dyDescent="0.25">
      <c r="A28968">
        <v>61153010132</v>
      </c>
      <c r="B28968" t="s">
        <v>9101</v>
      </c>
    </row>
    <row r="28969" spans="1:2" x14ac:dyDescent="0.25">
      <c r="A28969">
        <v>61153010133</v>
      </c>
      <c r="B28969" t="s">
        <v>9102</v>
      </c>
    </row>
    <row r="28970" spans="1:2" x14ac:dyDescent="0.25">
      <c r="A28970">
        <v>61153010134</v>
      </c>
      <c r="B28970" t="s">
        <v>9103</v>
      </c>
    </row>
    <row r="28971" spans="1:2" x14ac:dyDescent="0.25">
      <c r="A28971">
        <v>61153010190</v>
      </c>
      <c r="B28971" t="s">
        <v>57</v>
      </c>
    </row>
    <row r="28972" spans="1:2" x14ac:dyDescent="0.25">
      <c r="A28972">
        <v>611530102</v>
      </c>
      <c r="B28972" t="s">
        <v>6664</v>
      </c>
    </row>
    <row r="28973" spans="1:2" x14ac:dyDescent="0.25">
      <c r="A28973">
        <v>6115301021</v>
      </c>
      <c r="B28973" t="s">
        <v>9099</v>
      </c>
    </row>
    <row r="28974" spans="1:2" x14ac:dyDescent="0.25">
      <c r="A28974">
        <v>61153010211</v>
      </c>
      <c r="B28974" t="s">
        <v>9100</v>
      </c>
    </row>
    <row r="28975" spans="1:2" x14ac:dyDescent="0.25">
      <c r="A28975">
        <v>61153010212</v>
      </c>
      <c r="B28975" t="s">
        <v>9101</v>
      </c>
    </row>
    <row r="28976" spans="1:2" x14ac:dyDescent="0.25">
      <c r="A28976">
        <v>61153010213</v>
      </c>
      <c r="B28976" t="s">
        <v>9102</v>
      </c>
    </row>
    <row r="28977" spans="1:2" x14ac:dyDescent="0.25">
      <c r="A28977">
        <v>61153010214</v>
      </c>
      <c r="B28977" t="s">
        <v>9103</v>
      </c>
    </row>
    <row r="28978" spans="1:2" x14ac:dyDescent="0.25">
      <c r="A28978">
        <v>6115301022</v>
      </c>
      <c r="B28978" t="s">
        <v>9104</v>
      </c>
    </row>
    <row r="28979" spans="1:2" x14ac:dyDescent="0.25">
      <c r="A28979">
        <v>61153010221</v>
      </c>
      <c r="B28979" t="s">
        <v>9100</v>
      </c>
    </row>
    <row r="28980" spans="1:2" x14ac:dyDescent="0.25">
      <c r="A28980">
        <v>61153010222</v>
      </c>
      <c r="B28980" t="s">
        <v>9101</v>
      </c>
    </row>
    <row r="28981" spans="1:2" x14ac:dyDescent="0.25">
      <c r="A28981">
        <v>61153010223</v>
      </c>
      <c r="B28981" t="s">
        <v>9102</v>
      </c>
    </row>
    <row r="28982" spans="1:2" x14ac:dyDescent="0.25">
      <c r="A28982">
        <v>61153010224</v>
      </c>
      <c r="B28982" t="s">
        <v>9103</v>
      </c>
    </row>
    <row r="28983" spans="1:2" x14ac:dyDescent="0.25">
      <c r="A28983">
        <v>6115301023</v>
      </c>
      <c r="B28983" t="s">
        <v>9105</v>
      </c>
    </row>
    <row r="28984" spans="1:2" x14ac:dyDescent="0.25">
      <c r="A28984">
        <v>61153010231</v>
      </c>
      <c r="B28984" t="s">
        <v>9100</v>
      </c>
    </row>
    <row r="28985" spans="1:2" x14ac:dyDescent="0.25">
      <c r="A28985">
        <v>61153010232</v>
      </c>
      <c r="B28985" t="s">
        <v>9101</v>
      </c>
    </row>
    <row r="28986" spans="1:2" x14ac:dyDescent="0.25">
      <c r="A28986">
        <v>61153010233</v>
      </c>
      <c r="B28986" t="s">
        <v>9102</v>
      </c>
    </row>
    <row r="28987" spans="1:2" x14ac:dyDescent="0.25">
      <c r="A28987">
        <v>61153010234</v>
      </c>
      <c r="B28987" t="s">
        <v>9103</v>
      </c>
    </row>
    <row r="28988" spans="1:2" x14ac:dyDescent="0.25">
      <c r="A28988">
        <v>61153010290</v>
      </c>
      <c r="B28988" t="s">
        <v>57</v>
      </c>
    </row>
    <row r="28989" spans="1:2" x14ac:dyDescent="0.25">
      <c r="A28989">
        <v>611530109</v>
      </c>
      <c r="B28989" t="s">
        <v>9106</v>
      </c>
    </row>
    <row r="28990" spans="1:2" x14ac:dyDescent="0.25">
      <c r="A28990">
        <v>6115301091</v>
      </c>
      <c r="B28990" t="s">
        <v>9099</v>
      </c>
    </row>
    <row r="28991" spans="1:2" x14ac:dyDescent="0.25">
      <c r="A28991">
        <v>61153010911</v>
      </c>
      <c r="B28991" t="s">
        <v>9100</v>
      </c>
    </row>
    <row r="28992" spans="1:2" x14ac:dyDescent="0.25">
      <c r="A28992">
        <v>61153010912</v>
      </c>
      <c r="B28992" t="s">
        <v>9101</v>
      </c>
    </row>
    <row r="28993" spans="1:2" x14ac:dyDescent="0.25">
      <c r="A28993">
        <v>61153010913</v>
      </c>
      <c r="B28993" t="s">
        <v>9102</v>
      </c>
    </row>
    <row r="28994" spans="1:2" x14ac:dyDescent="0.25">
      <c r="A28994">
        <v>61153010914</v>
      </c>
      <c r="B28994" t="s">
        <v>9103</v>
      </c>
    </row>
    <row r="28995" spans="1:2" x14ac:dyDescent="0.25">
      <c r="A28995">
        <v>6115301092</v>
      </c>
      <c r="B28995" t="s">
        <v>9104</v>
      </c>
    </row>
    <row r="28996" spans="1:2" x14ac:dyDescent="0.25">
      <c r="A28996">
        <v>61153010921</v>
      </c>
      <c r="B28996" t="s">
        <v>9100</v>
      </c>
    </row>
    <row r="28997" spans="1:2" x14ac:dyDescent="0.25">
      <c r="A28997">
        <v>61153010922</v>
      </c>
      <c r="B28997" t="s">
        <v>9101</v>
      </c>
    </row>
    <row r="28998" spans="1:2" x14ac:dyDescent="0.25">
      <c r="A28998">
        <v>61153010923</v>
      </c>
      <c r="B28998" t="s">
        <v>9102</v>
      </c>
    </row>
    <row r="28999" spans="1:2" x14ac:dyDescent="0.25">
      <c r="A28999">
        <v>61153010924</v>
      </c>
      <c r="B28999" t="s">
        <v>9103</v>
      </c>
    </row>
    <row r="29000" spans="1:2" x14ac:dyDescent="0.25">
      <c r="A29000">
        <v>6115301093</v>
      </c>
      <c r="B29000" t="s">
        <v>9105</v>
      </c>
    </row>
    <row r="29001" spans="1:2" x14ac:dyDescent="0.25">
      <c r="A29001">
        <v>61153010931</v>
      </c>
      <c r="B29001" t="s">
        <v>9100</v>
      </c>
    </row>
    <row r="29002" spans="1:2" x14ac:dyDescent="0.25">
      <c r="A29002">
        <v>61153010932</v>
      </c>
      <c r="B29002" t="s">
        <v>9101</v>
      </c>
    </row>
    <row r="29003" spans="1:2" x14ac:dyDescent="0.25">
      <c r="A29003">
        <v>61153010933</v>
      </c>
      <c r="B29003" t="s">
        <v>9102</v>
      </c>
    </row>
    <row r="29004" spans="1:2" x14ac:dyDescent="0.25">
      <c r="A29004">
        <v>61153010934</v>
      </c>
      <c r="B29004" t="s">
        <v>9103</v>
      </c>
    </row>
    <row r="29005" spans="1:2" x14ac:dyDescent="0.25">
      <c r="A29005">
        <v>61153010990</v>
      </c>
      <c r="B29005" t="s">
        <v>57</v>
      </c>
    </row>
    <row r="29006" spans="1:2" x14ac:dyDescent="0.25">
      <c r="A29006">
        <v>61153020</v>
      </c>
      <c r="B29006" t="s">
        <v>8805</v>
      </c>
    </row>
    <row r="29007" spans="1:2" x14ac:dyDescent="0.25">
      <c r="A29007">
        <v>611530201</v>
      </c>
      <c r="B29007" t="s">
        <v>9099</v>
      </c>
    </row>
    <row r="29008" spans="1:2" x14ac:dyDescent="0.25">
      <c r="A29008">
        <v>61153020110</v>
      </c>
      <c r="B29008" t="s">
        <v>9100</v>
      </c>
    </row>
    <row r="29009" spans="1:2" x14ac:dyDescent="0.25">
      <c r="A29009">
        <v>61153020120</v>
      </c>
      <c r="B29009" t="s">
        <v>9101</v>
      </c>
    </row>
    <row r="29010" spans="1:2" x14ac:dyDescent="0.25">
      <c r="A29010">
        <v>61153020130</v>
      </c>
      <c r="B29010" t="s">
        <v>9102</v>
      </c>
    </row>
    <row r="29011" spans="1:2" x14ac:dyDescent="0.25">
      <c r="A29011">
        <v>61153020140</v>
      </c>
      <c r="B29011" t="s">
        <v>9103</v>
      </c>
    </row>
    <row r="29012" spans="1:2" x14ac:dyDescent="0.25">
      <c r="A29012">
        <v>611530202</v>
      </c>
      <c r="B29012" t="s">
        <v>9104</v>
      </c>
    </row>
    <row r="29013" spans="1:2" x14ac:dyDescent="0.25">
      <c r="A29013">
        <v>61153020210</v>
      </c>
      <c r="B29013" t="s">
        <v>9100</v>
      </c>
    </row>
    <row r="29014" spans="1:2" x14ac:dyDescent="0.25">
      <c r="A29014">
        <v>61153020220</v>
      </c>
      <c r="B29014" t="s">
        <v>9101</v>
      </c>
    </row>
    <row r="29015" spans="1:2" x14ac:dyDescent="0.25">
      <c r="A29015">
        <v>61153020230</v>
      </c>
      <c r="B29015" t="s">
        <v>9102</v>
      </c>
    </row>
    <row r="29016" spans="1:2" x14ac:dyDescent="0.25">
      <c r="A29016">
        <v>61153020240</v>
      </c>
      <c r="B29016" t="s">
        <v>9103</v>
      </c>
    </row>
    <row r="29017" spans="1:2" x14ac:dyDescent="0.25">
      <c r="A29017">
        <v>611530203</v>
      </c>
      <c r="B29017" t="s">
        <v>9105</v>
      </c>
    </row>
    <row r="29018" spans="1:2" x14ac:dyDescent="0.25">
      <c r="A29018">
        <v>61153020310</v>
      </c>
      <c r="B29018" t="s">
        <v>9100</v>
      </c>
    </row>
    <row r="29019" spans="1:2" x14ac:dyDescent="0.25">
      <c r="A29019">
        <v>61153020320</v>
      </c>
      <c r="B29019" t="s">
        <v>9101</v>
      </c>
    </row>
    <row r="29020" spans="1:2" x14ac:dyDescent="0.25">
      <c r="A29020">
        <v>61153020330</v>
      </c>
      <c r="B29020" t="s">
        <v>9102</v>
      </c>
    </row>
    <row r="29021" spans="1:2" x14ac:dyDescent="0.25">
      <c r="A29021">
        <v>61153020340</v>
      </c>
      <c r="B29021" t="s">
        <v>9103</v>
      </c>
    </row>
    <row r="29022" spans="1:2" x14ac:dyDescent="0.25">
      <c r="A29022">
        <v>61153020900</v>
      </c>
      <c r="B29022" t="s">
        <v>57</v>
      </c>
    </row>
    <row r="29023" spans="1:2" x14ac:dyDescent="0.25">
      <c r="A29023">
        <v>61153090</v>
      </c>
      <c r="B29023" t="s">
        <v>8837</v>
      </c>
    </row>
    <row r="29024" spans="1:2" x14ac:dyDescent="0.25">
      <c r="A29024">
        <v>611530901</v>
      </c>
      <c r="B29024" t="s">
        <v>9099</v>
      </c>
    </row>
    <row r="29025" spans="1:2" x14ac:dyDescent="0.25">
      <c r="A29025">
        <v>61153090110</v>
      </c>
      <c r="B29025" t="s">
        <v>9100</v>
      </c>
    </row>
    <row r="29026" spans="1:2" x14ac:dyDescent="0.25">
      <c r="A29026">
        <v>61153090120</v>
      </c>
      <c r="B29026" t="s">
        <v>9101</v>
      </c>
    </row>
    <row r="29027" spans="1:2" x14ac:dyDescent="0.25">
      <c r="A29027">
        <v>61153090130</v>
      </c>
      <c r="B29027" t="s">
        <v>9102</v>
      </c>
    </row>
    <row r="29028" spans="1:2" x14ac:dyDescent="0.25">
      <c r="A29028">
        <v>61153090140</v>
      </c>
      <c r="B29028" t="s">
        <v>9103</v>
      </c>
    </row>
    <row r="29029" spans="1:2" x14ac:dyDescent="0.25">
      <c r="A29029">
        <v>611530902</v>
      </c>
      <c r="B29029" t="s">
        <v>9104</v>
      </c>
    </row>
    <row r="29030" spans="1:2" x14ac:dyDescent="0.25">
      <c r="A29030">
        <v>61153090210</v>
      </c>
      <c r="B29030" t="s">
        <v>9100</v>
      </c>
    </row>
    <row r="29031" spans="1:2" x14ac:dyDescent="0.25">
      <c r="A29031">
        <v>61153090220</v>
      </c>
      <c r="B29031" t="s">
        <v>9101</v>
      </c>
    </row>
    <row r="29032" spans="1:2" x14ac:dyDescent="0.25">
      <c r="A29032">
        <v>61153090230</v>
      </c>
      <c r="B29032" t="s">
        <v>9102</v>
      </c>
    </row>
    <row r="29033" spans="1:2" x14ac:dyDescent="0.25">
      <c r="A29033">
        <v>61153090240</v>
      </c>
      <c r="B29033" t="s">
        <v>9103</v>
      </c>
    </row>
    <row r="29034" spans="1:2" x14ac:dyDescent="0.25">
      <c r="A29034">
        <v>611530903</v>
      </c>
      <c r="B29034" t="s">
        <v>9105</v>
      </c>
    </row>
    <row r="29035" spans="1:2" x14ac:dyDescent="0.25">
      <c r="A29035">
        <v>61153090310</v>
      </c>
      <c r="B29035" t="s">
        <v>9100</v>
      </c>
    </row>
    <row r="29036" spans="1:2" x14ac:dyDescent="0.25">
      <c r="A29036">
        <v>61153090320</v>
      </c>
      <c r="B29036" t="s">
        <v>9101</v>
      </c>
    </row>
    <row r="29037" spans="1:2" x14ac:dyDescent="0.25">
      <c r="A29037">
        <v>61153090330</v>
      </c>
      <c r="B29037" t="s">
        <v>9102</v>
      </c>
    </row>
    <row r="29038" spans="1:2" x14ac:dyDescent="0.25">
      <c r="A29038">
        <v>61153090340</v>
      </c>
      <c r="B29038" t="s">
        <v>9103</v>
      </c>
    </row>
    <row r="29039" spans="1:2" x14ac:dyDescent="0.25">
      <c r="A29039">
        <v>61153090900</v>
      </c>
      <c r="B29039" t="s">
        <v>57</v>
      </c>
    </row>
    <row r="29040" spans="1:2" x14ac:dyDescent="0.25">
      <c r="A29040">
        <v>61159</v>
      </c>
      <c r="B29040" t="s">
        <v>28</v>
      </c>
    </row>
    <row r="29041" spans="1:2" x14ac:dyDescent="0.25">
      <c r="A29041">
        <v>61159400</v>
      </c>
      <c r="B29041" t="e">
        <f>- - de lana o Pelo fino</f>
        <v>#NAME?</v>
      </c>
    </row>
    <row r="29042" spans="1:2" x14ac:dyDescent="0.25">
      <c r="A29042">
        <v>61159400100</v>
      </c>
      <c r="B29042" t="s">
        <v>9099</v>
      </c>
    </row>
    <row r="29043" spans="1:2" x14ac:dyDescent="0.25">
      <c r="A29043">
        <v>61159400200</v>
      </c>
      <c r="B29043" t="s">
        <v>9104</v>
      </c>
    </row>
    <row r="29044" spans="1:2" x14ac:dyDescent="0.25">
      <c r="A29044">
        <v>61159400900</v>
      </c>
      <c r="B29044" t="s">
        <v>57</v>
      </c>
    </row>
    <row r="29045" spans="1:2" x14ac:dyDescent="0.25">
      <c r="A29045">
        <v>61159500</v>
      </c>
      <c r="B29045" t="e">
        <f>- - de algodon</f>
        <v>#NAME?</v>
      </c>
    </row>
    <row r="29046" spans="1:2" x14ac:dyDescent="0.25">
      <c r="A29046">
        <v>61159500100</v>
      </c>
      <c r="B29046" t="s">
        <v>9099</v>
      </c>
    </row>
    <row r="29047" spans="1:2" x14ac:dyDescent="0.25">
      <c r="A29047">
        <v>61159500200</v>
      </c>
      <c r="B29047" t="s">
        <v>9104</v>
      </c>
    </row>
    <row r="29048" spans="1:2" x14ac:dyDescent="0.25">
      <c r="A29048">
        <v>61159500900</v>
      </c>
      <c r="B29048" t="s">
        <v>57</v>
      </c>
    </row>
    <row r="29049" spans="1:2" x14ac:dyDescent="0.25">
      <c r="A29049">
        <v>61159600</v>
      </c>
      <c r="B29049" t="e">
        <f>- - de fibras sinteticas</f>
        <v>#NAME?</v>
      </c>
    </row>
    <row r="29050" spans="1:2" x14ac:dyDescent="0.25">
      <c r="A29050">
        <v>61159600100</v>
      </c>
      <c r="B29050" t="s">
        <v>9099</v>
      </c>
    </row>
    <row r="29051" spans="1:2" x14ac:dyDescent="0.25">
      <c r="A29051">
        <v>61159600200</v>
      </c>
      <c r="B29051" t="s">
        <v>9104</v>
      </c>
    </row>
    <row r="29052" spans="1:2" x14ac:dyDescent="0.25">
      <c r="A29052">
        <v>61159600900</v>
      </c>
      <c r="B29052" t="s">
        <v>57</v>
      </c>
    </row>
    <row r="29053" spans="1:2" x14ac:dyDescent="0.25">
      <c r="A29053">
        <v>61159900</v>
      </c>
      <c r="B29053" t="e">
        <f>- - de las demas materias textiles</f>
        <v>#NAME?</v>
      </c>
    </row>
    <row r="29054" spans="1:2" x14ac:dyDescent="0.25">
      <c r="A29054">
        <v>61159900100</v>
      </c>
      <c r="B29054" t="s">
        <v>9099</v>
      </c>
    </row>
    <row r="29055" spans="1:2" x14ac:dyDescent="0.25">
      <c r="A29055">
        <v>61159900200</v>
      </c>
      <c r="B29055" t="s">
        <v>9104</v>
      </c>
    </row>
    <row r="29056" spans="1:2" x14ac:dyDescent="0.25">
      <c r="A29056">
        <v>61159900900</v>
      </c>
      <c r="B29056" t="s">
        <v>57</v>
      </c>
    </row>
    <row r="29057" spans="1:2" x14ac:dyDescent="0.25">
      <c r="A29057">
        <v>6116</v>
      </c>
      <c r="B29057" t="s">
        <v>9107</v>
      </c>
    </row>
    <row r="29058" spans="1:2" x14ac:dyDescent="0.25">
      <c r="A29058">
        <v>61161000</v>
      </c>
      <c r="B29058" t="e">
        <f>- impregnados. recubiertos o revestidos Con plastico o caucho</f>
        <v>#NAME?</v>
      </c>
    </row>
    <row r="29059" spans="1:2" x14ac:dyDescent="0.25">
      <c r="A29059">
        <v>61161000200</v>
      </c>
      <c r="B29059" t="s">
        <v>9108</v>
      </c>
    </row>
    <row r="29060" spans="1:2" x14ac:dyDescent="0.25">
      <c r="A29060">
        <v>611610003</v>
      </c>
      <c r="B29060" t="s">
        <v>9109</v>
      </c>
    </row>
    <row r="29061" spans="1:2" x14ac:dyDescent="0.25">
      <c r="A29061">
        <v>6116100031</v>
      </c>
      <c r="B29061" t="s">
        <v>9110</v>
      </c>
    </row>
    <row r="29062" spans="1:2" x14ac:dyDescent="0.25">
      <c r="A29062">
        <v>61161000311</v>
      </c>
      <c r="B29062" t="s">
        <v>9111</v>
      </c>
    </row>
    <row r="29063" spans="1:2" x14ac:dyDescent="0.25">
      <c r="A29063">
        <v>61161000312</v>
      </c>
      <c r="B29063" t="s">
        <v>9112</v>
      </c>
    </row>
    <row r="29064" spans="1:2" x14ac:dyDescent="0.25">
      <c r="A29064">
        <v>61161000313</v>
      </c>
      <c r="B29064" t="s">
        <v>9113</v>
      </c>
    </row>
    <row r="29065" spans="1:2" x14ac:dyDescent="0.25">
      <c r="A29065">
        <v>61161000314</v>
      </c>
      <c r="B29065" t="s">
        <v>9114</v>
      </c>
    </row>
    <row r="29066" spans="1:2" x14ac:dyDescent="0.25">
      <c r="A29066">
        <v>61161000319</v>
      </c>
      <c r="B29066" t="s">
        <v>10</v>
      </c>
    </row>
    <row r="29067" spans="1:2" x14ac:dyDescent="0.25">
      <c r="A29067">
        <v>6116100032</v>
      </c>
      <c r="B29067" t="s">
        <v>9115</v>
      </c>
    </row>
    <row r="29068" spans="1:2" x14ac:dyDescent="0.25">
      <c r="A29068">
        <v>61161000321</v>
      </c>
      <c r="B29068" t="s">
        <v>9111</v>
      </c>
    </row>
    <row r="29069" spans="1:2" x14ac:dyDescent="0.25">
      <c r="A29069">
        <v>61161000322</v>
      </c>
      <c r="B29069" t="s">
        <v>9112</v>
      </c>
    </row>
    <row r="29070" spans="1:2" x14ac:dyDescent="0.25">
      <c r="A29070">
        <v>61161000323</v>
      </c>
      <c r="B29070" t="s">
        <v>9113</v>
      </c>
    </row>
    <row r="29071" spans="1:2" x14ac:dyDescent="0.25">
      <c r="A29071">
        <v>61161000324</v>
      </c>
      <c r="B29071" t="s">
        <v>9114</v>
      </c>
    </row>
    <row r="29072" spans="1:2" x14ac:dyDescent="0.25">
      <c r="A29072">
        <v>61161000329</v>
      </c>
      <c r="B29072" t="s">
        <v>10</v>
      </c>
    </row>
    <row r="29073" spans="1:2" x14ac:dyDescent="0.25">
      <c r="A29073">
        <v>61161000330</v>
      </c>
      <c r="B29073" t="s">
        <v>9116</v>
      </c>
    </row>
    <row r="29074" spans="1:2" x14ac:dyDescent="0.25">
      <c r="A29074">
        <v>61161000900</v>
      </c>
      <c r="B29074" t="s">
        <v>10</v>
      </c>
    </row>
    <row r="29075" spans="1:2" x14ac:dyDescent="0.25">
      <c r="A29075">
        <v>61169</v>
      </c>
      <c r="B29075" t="s">
        <v>28</v>
      </c>
    </row>
    <row r="29076" spans="1:2" x14ac:dyDescent="0.25">
      <c r="A29076">
        <v>61169100000</v>
      </c>
      <c r="B29076" t="e">
        <f>--de lana o Pelo fino</f>
        <v>#NAME?</v>
      </c>
    </row>
    <row r="29077" spans="1:2" x14ac:dyDescent="0.25">
      <c r="A29077">
        <v>61169200</v>
      </c>
      <c r="B29077" t="e">
        <f>- - de algodon</f>
        <v>#NAME?</v>
      </c>
    </row>
    <row r="29078" spans="1:2" x14ac:dyDescent="0.25">
      <c r="A29078">
        <v>61169200100</v>
      </c>
      <c r="B29078" t="s">
        <v>9108</v>
      </c>
    </row>
    <row r="29079" spans="1:2" x14ac:dyDescent="0.25">
      <c r="A29079">
        <v>61169200200</v>
      </c>
      <c r="B29079" t="s">
        <v>9109</v>
      </c>
    </row>
    <row r="29080" spans="1:2" x14ac:dyDescent="0.25">
      <c r="A29080">
        <v>61169200900</v>
      </c>
      <c r="B29080" t="s">
        <v>10</v>
      </c>
    </row>
    <row r="29081" spans="1:2" x14ac:dyDescent="0.25">
      <c r="A29081">
        <v>61169300</v>
      </c>
      <c r="B29081" t="e">
        <f>- - de fibras sinteticas</f>
        <v>#NAME?</v>
      </c>
    </row>
    <row r="29082" spans="1:2" x14ac:dyDescent="0.25">
      <c r="A29082">
        <v>61169300100</v>
      </c>
      <c r="B29082" t="s">
        <v>9108</v>
      </c>
    </row>
    <row r="29083" spans="1:2" x14ac:dyDescent="0.25">
      <c r="A29083">
        <v>61169300200</v>
      </c>
      <c r="B29083" t="s">
        <v>9109</v>
      </c>
    </row>
    <row r="29084" spans="1:2" x14ac:dyDescent="0.25">
      <c r="A29084">
        <v>61169300900</v>
      </c>
      <c r="B29084" t="s">
        <v>10</v>
      </c>
    </row>
    <row r="29085" spans="1:2" x14ac:dyDescent="0.25">
      <c r="A29085">
        <v>61169900000</v>
      </c>
      <c r="B29085" t="e">
        <f>--de las demas materias textiles</f>
        <v>#NAME?</v>
      </c>
    </row>
    <row r="29086" spans="1:2" x14ac:dyDescent="0.25">
      <c r="A29086">
        <v>6117</v>
      </c>
      <c r="B29086" t="s">
        <v>9117</v>
      </c>
    </row>
    <row r="29087" spans="1:2" x14ac:dyDescent="0.25">
      <c r="A29087">
        <v>61171000</v>
      </c>
      <c r="B29087" t="e">
        <f>- Chales. pañuelos de cuello. bufandas. mantillas. velos y Articulos similares</f>
        <v>#NAME?</v>
      </c>
    </row>
    <row r="29088" spans="1:2" x14ac:dyDescent="0.25">
      <c r="A29088">
        <v>61171000100</v>
      </c>
      <c r="B29088" t="s">
        <v>9118</v>
      </c>
    </row>
    <row r="29089" spans="1:2" x14ac:dyDescent="0.25">
      <c r="A29089">
        <v>61171000200</v>
      </c>
      <c r="B29089" t="s">
        <v>9119</v>
      </c>
    </row>
    <row r="29090" spans="1:2" x14ac:dyDescent="0.25">
      <c r="A29090">
        <v>61171000300</v>
      </c>
      <c r="B29090" t="s">
        <v>9120</v>
      </c>
    </row>
    <row r="29091" spans="1:2" x14ac:dyDescent="0.25">
      <c r="A29091">
        <v>611780</v>
      </c>
      <c r="B29091" t="e">
        <f>- Los demas complementos (accesorios) de vestir</f>
        <v>#NAME?</v>
      </c>
    </row>
    <row r="29092" spans="1:2" x14ac:dyDescent="0.25">
      <c r="A29092">
        <v>61178010000</v>
      </c>
      <c r="B29092" t="s">
        <v>9121</v>
      </c>
    </row>
    <row r="29093" spans="1:2" x14ac:dyDescent="0.25">
      <c r="A29093">
        <v>61178090000</v>
      </c>
      <c r="B29093" t="s">
        <v>10</v>
      </c>
    </row>
    <row r="29094" spans="1:2" x14ac:dyDescent="0.25">
      <c r="A29094">
        <v>61179000</v>
      </c>
      <c r="B29094" t="e">
        <f>- partes</f>
        <v>#NAME?</v>
      </c>
    </row>
    <row r="29095" spans="1:2" x14ac:dyDescent="0.25">
      <c r="A29095">
        <v>611790001</v>
      </c>
      <c r="B29095" t="s">
        <v>9122</v>
      </c>
    </row>
    <row r="29096" spans="1:2" x14ac:dyDescent="0.25">
      <c r="A29096">
        <v>6117900011</v>
      </c>
      <c r="B29096" t="s">
        <v>8835</v>
      </c>
    </row>
    <row r="29097" spans="1:2" x14ac:dyDescent="0.25">
      <c r="A29097">
        <v>61179000111</v>
      </c>
      <c r="B29097" t="s">
        <v>9123</v>
      </c>
    </row>
    <row r="29098" spans="1:2" x14ac:dyDescent="0.25">
      <c r="A29098">
        <v>61179000112</v>
      </c>
      <c r="B29098" t="s">
        <v>9124</v>
      </c>
    </row>
    <row r="29099" spans="1:2" x14ac:dyDescent="0.25">
      <c r="A29099">
        <v>61179000113</v>
      </c>
      <c r="B29099" t="s">
        <v>9125</v>
      </c>
    </row>
    <row r="29100" spans="1:2" x14ac:dyDescent="0.25">
      <c r="A29100">
        <v>61179000119</v>
      </c>
      <c r="B29100" t="s">
        <v>57</v>
      </c>
    </row>
    <row r="29101" spans="1:2" x14ac:dyDescent="0.25">
      <c r="A29101">
        <v>6117900012</v>
      </c>
      <c r="B29101" t="s">
        <v>8805</v>
      </c>
    </row>
    <row r="29102" spans="1:2" x14ac:dyDescent="0.25">
      <c r="A29102">
        <v>61179000121</v>
      </c>
      <c r="B29102" t="s">
        <v>9123</v>
      </c>
    </row>
    <row r="29103" spans="1:2" x14ac:dyDescent="0.25">
      <c r="A29103">
        <v>61179000122</v>
      </c>
      <c r="B29103" t="s">
        <v>9124</v>
      </c>
    </row>
    <row r="29104" spans="1:2" x14ac:dyDescent="0.25">
      <c r="A29104">
        <v>61179000123</v>
      </c>
      <c r="B29104" t="s">
        <v>9125</v>
      </c>
    </row>
    <row r="29105" spans="1:2" x14ac:dyDescent="0.25">
      <c r="A29105">
        <v>61179000129</v>
      </c>
      <c r="B29105" t="s">
        <v>57</v>
      </c>
    </row>
    <row r="29106" spans="1:2" x14ac:dyDescent="0.25">
      <c r="A29106">
        <v>6117900013</v>
      </c>
      <c r="B29106" t="s">
        <v>9126</v>
      </c>
    </row>
    <row r="29107" spans="1:2" x14ac:dyDescent="0.25">
      <c r="A29107">
        <v>61179000131</v>
      </c>
      <c r="B29107" t="s">
        <v>9123</v>
      </c>
    </row>
    <row r="29108" spans="1:2" x14ac:dyDescent="0.25">
      <c r="A29108">
        <v>61179000132</v>
      </c>
      <c r="B29108" t="s">
        <v>9124</v>
      </c>
    </row>
    <row r="29109" spans="1:2" x14ac:dyDescent="0.25">
      <c r="A29109">
        <v>61179000133</v>
      </c>
      <c r="B29109" t="s">
        <v>9125</v>
      </c>
    </row>
    <row r="29110" spans="1:2" x14ac:dyDescent="0.25">
      <c r="A29110">
        <v>61179000139</v>
      </c>
      <c r="B29110" t="s">
        <v>57</v>
      </c>
    </row>
    <row r="29111" spans="1:2" x14ac:dyDescent="0.25">
      <c r="A29111">
        <v>6117900019</v>
      </c>
      <c r="B29111" t="s">
        <v>8837</v>
      </c>
    </row>
    <row r="29112" spans="1:2" x14ac:dyDescent="0.25">
      <c r="A29112">
        <v>61179000191</v>
      </c>
      <c r="B29112" t="s">
        <v>9123</v>
      </c>
    </row>
    <row r="29113" spans="1:2" x14ac:dyDescent="0.25">
      <c r="A29113">
        <v>61179000192</v>
      </c>
      <c r="B29113" t="s">
        <v>9124</v>
      </c>
    </row>
    <row r="29114" spans="1:2" x14ac:dyDescent="0.25">
      <c r="A29114">
        <v>61179000193</v>
      </c>
      <c r="B29114" t="s">
        <v>9125</v>
      </c>
    </row>
    <row r="29115" spans="1:2" x14ac:dyDescent="0.25">
      <c r="A29115">
        <v>61179000199</v>
      </c>
      <c r="B29115" t="s">
        <v>57</v>
      </c>
    </row>
    <row r="29116" spans="1:2" x14ac:dyDescent="0.25">
      <c r="A29116">
        <v>611790009</v>
      </c>
      <c r="B29116" t="s">
        <v>57</v>
      </c>
    </row>
    <row r="29117" spans="1:2" x14ac:dyDescent="0.25">
      <c r="A29117">
        <v>61179000910</v>
      </c>
      <c r="B29117" t="s">
        <v>8835</v>
      </c>
    </row>
    <row r="29118" spans="1:2" x14ac:dyDescent="0.25">
      <c r="A29118">
        <v>61179000920</v>
      </c>
      <c r="B29118" t="s">
        <v>8805</v>
      </c>
    </row>
    <row r="29119" spans="1:2" x14ac:dyDescent="0.25">
      <c r="A29119">
        <v>61179000930</v>
      </c>
      <c r="B29119" t="s">
        <v>8898</v>
      </c>
    </row>
    <row r="29120" spans="1:2" x14ac:dyDescent="0.25">
      <c r="A29120">
        <v>61179000990</v>
      </c>
      <c r="B29120" t="s">
        <v>8837</v>
      </c>
    </row>
    <row r="29121" spans="1:2" x14ac:dyDescent="0.25">
      <c r="A29121">
        <v>6201</v>
      </c>
      <c r="B29121" t="s">
        <v>9127</v>
      </c>
    </row>
    <row r="29122" spans="1:2" x14ac:dyDescent="0.25">
      <c r="A29122">
        <v>62011</v>
      </c>
      <c r="B29122" t="s">
        <v>9128</v>
      </c>
    </row>
    <row r="29123" spans="1:2" x14ac:dyDescent="0.25">
      <c r="A29123">
        <v>62011100</v>
      </c>
      <c r="B29123" t="e">
        <f>- - de lana o Pelo fino</f>
        <v>#NAME?</v>
      </c>
    </row>
    <row r="29124" spans="1:2" x14ac:dyDescent="0.25">
      <c r="A29124">
        <v>620111001</v>
      </c>
      <c r="B29124" t="s">
        <v>8978</v>
      </c>
    </row>
    <row r="29125" spans="1:2" x14ac:dyDescent="0.25">
      <c r="A29125">
        <v>6201110011</v>
      </c>
      <c r="B29125" t="s">
        <v>8979</v>
      </c>
    </row>
    <row r="29126" spans="1:2" x14ac:dyDescent="0.25">
      <c r="A29126">
        <v>62011100111</v>
      </c>
      <c r="B29126" t="s">
        <v>8980</v>
      </c>
    </row>
    <row r="29127" spans="1:2" x14ac:dyDescent="0.25">
      <c r="A29127">
        <v>62011100112</v>
      </c>
      <c r="B29127" t="s">
        <v>9129</v>
      </c>
    </row>
    <row r="29128" spans="1:2" x14ac:dyDescent="0.25">
      <c r="A29128">
        <v>62011100119</v>
      </c>
      <c r="B29128" t="s">
        <v>10</v>
      </c>
    </row>
    <row r="29129" spans="1:2" x14ac:dyDescent="0.25">
      <c r="A29129">
        <v>62011100190</v>
      </c>
      <c r="B29129" t="s">
        <v>10</v>
      </c>
    </row>
    <row r="29130" spans="1:2" x14ac:dyDescent="0.25">
      <c r="A29130">
        <v>620111002</v>
      </c>
      <c r="B29130" t="s">
        <v>8984</v>
      </c>
    </row>
    <row r="29131" spans="1:2" x14ac:dyDescent="0.25">
      <c r="A29131">
        <v>6201110021</v>
      </c>
      <c r="B29131" t="s">
        <v>8979</v>
      </c>
    </row>
    <row r="29132" spans="1:2" x14ac:dyDescent="0.25">
      <c r="A29132">
        <v>62011100211</v>
      </c>
      <c r="B29132" t="s">
        <v>8980</v>
      </c>
    </row>
    <row r="29133" spans="1:2" x14ac:dyDescent="0.25">
      <c r="A29133">
        <v>62011100212</v>
      </c>
      <c r="B29133" t="s">
        <v>9129</v>
      </c>
    </row>
    <row r="29134" spans="1:2" x14ac:dyDescent="0.25">
      <c r="A29134">
        <v>62011100219</v>
      </c>
      <c r="B29134" t="s">
        <v>10</v>
      </c>
    </row>
    <row r="29135" spans="1:2" x14ac:dyDescent="0.25">
      <c r="A29135">
        <v>62011100290</v>
      </c>
      <c r="B29135" t="s">
        <v>10</v>
      </c>
    </row>
    <row r="29136" spans="1:2" x14ac:dyDescent="0.25">
      <c r="A29136">
        <v>62011200</v>
      </c>
      <c r="B29136" t="e">
        <f>- - de algodon</f>
        <v>#NAME?</v>
      </c>
    </row>
    <row r="29137" spans="1:2" x14ac:dyDescent="0.25">
      <c r="A29137">
        <v>620112001</v>
      </c>
      <c r="B29137" t="s">
        <v>9130</v>
      </c>
    </row>
    <row r="29138" spans="1:2" x14ac:dyDescent="0.25">
      <c r="A29138">
        <v>6201120011</v>
      </c>
      <c r="B29138" t="s">
        <v>8979</v>
      </c>
    </row>
    <row r="29139" spans="1:2" x14ac:dyDescent="0.25">
      <c r="A29139">
        <v>62011200111</v>
      </c>
      <c r="B29139" t="s">
        <v>8980</v>
      </c>
    </row>
    <row r="29140" spans="1:2" x14ac:dyDescent="0.25">
      <c r="A29140">
        <v>62011200112</v>
      </c>
      <c r="B29140" t="s">
        <v>9129</v>
      </c>
    </row>
    <row r="29141" spans="1:2" x14ac:dyDescent="0.25">
      <c r="A29141">
        <v>62011200119</v>
      </c>
      <c r="B29141" t="s">
        <v>10</v>
      </c>
    </row>
    <row r="29142" spans="1:2" x14ac:dyDescent="0.25">
      <c r="A29142">
        <v>62011200190</v>
      </c>
      <c r="B29142" t="s">
        <v>10</v>
      </c>
    </row>
    <row r="29143" spans="1:2" x14ac:dyDescent="0.25">
      <c r="A29143">
        <v>620112009</v>
      </c>
      <c r="B29143" t="s">
        <v>10</v>
      </c>
    </row>
    <row r="29144" spans="1:2" x14ac:dyDescent="0.25">
      <c r="A29144">
        <v>6201120091</v>
      </c>
      <c r="B29144" t="s">
        <v>8979</v>
      </c>
    </row>
    <row r="29145" spans="1:2" x14ac:dyDescent="0.25">
      <c r="A29145">
        <v>62011200911</v>
      </c>
      <c r="B29145" t="s">
        <v>8980</v>
      </c>
    </row>
    <row r="29146" spans="1:2" x14ac:dyDescent="0.25">
      <c r="A29146">
        <v>62011200912</v>
      </c>
      <c r="B29146" t="s">
        <v>9129</v>
      </c>
    </row>
    <row r="29147" spans="1:2" x14ac:dyDescent="0.25">
      <c r="A29147">
        <v>62011200919</v>
      </c>
      <c r="B29147" t="s">
        <v>10</v>
      </c>
    </row>
    <row r="29148" spans="1:2" x14ac:dyDescent="0.25">
      <c r="A29148">
        <v>62011200990</v>
      </c>
      <c r="B29148" t="s">
        <v>10</v>
      </c>
    </row>
    <row r="29149" spans="1:2" x14ac:dyDescent="0.25">
      <c r="A29149">
        <v>62011300</v>
      </c>
      <c r="B29149" t="e">
        <f>- - de fibras sinteticas o artificiales</f>
        <v>#NAME?</v>
      </c>
    </row>
    <row r="29150" spans="1:2" x14ac:dyDescent="0.25">
      <c r="A29150">
        <v>620113001</v>
      </c>
      <c r="B29150" t="s">
        <v>8978</v>
      </c>
    </row>
    <row r="29151" spans="1:2" x14ac:dyDescent="0.25">
      <c r="A29151">
        <v>6201130011</v>
      </c>
      <c r="B29151" t="s">
        <v>8979</v>
      </c>
    </row>
    <row r="29152" spans="1:2" x14ac:dyDescent="0.25">
      <c r="A29152">
        <v>62011300111</v>
      </c>
      <c r="B29152" t="s">
        <v>9131</v>
      </c>
    </row>
    <row r="29153" spans="1:2" x14ac:dyDescent="0.25">
      <c r="A29153">
        <v>62011300112</v>
      </c>
      <c r="B29153" t="s">
        <v>9129</v>
      </c>
    </row>
    <row r="29154" spans="1:2" x14ac:dyDescent="0.25">
      <c r="A29154">
        <v>62011300113</v>
      </c>
      <c r="B29154" t="s">
        <v>8982</v>
      </c>
    </row>
    <row r="29155" spans="1:2" x14ac:dyDescent="0.25">
      <c r="A29155">
        <v>62011300190</v>
      </c>
      <c r="B29155" t="s">
        <v>10</v>
      </c>
    </row>
    <row r="29156" spans="1:2" x14ac:dyDescent="0.25">
      <c r="A29156">
        <v>620113002</v>
      </c>
      <c r="B29156" t="s">
        <v>8984</v>
      </c>
    </row>
    <row r="29157" spans="1:2" x14ac:dyDescent="0.25">
      <c r="A29157">
        <v>6201130021</v>
      </c>
      <c r="B29157" t="s">
        <v>8979</v>
      </c>
    </row>
    <row r="29158" spans="1:2" x14ac:dyDescent="0.25">
      <c r="A29158">
        <v>62011300211</v>
      </c>
      <c r="B29158" t="s">
        <v>9132</v>
      </c>
    </row>
    <row r="29159" spans="1:2" x14ac:dyDescent="0.25">
      <c r="A29159">
        <v>62011300212</v>
      </c>
      <c r="B29159" t="s">
        <v>9129</v>
      </c>
    </row>
    <row r="29160" spans="1:2" x14ac:dyDescent="0.25">
      <c r="A29160">
        <v>62011300213</v>
      </c>
      <c r="B29160" t="s">
        <v>8982</v>
      </c>
    </row>
    <row r="29161" spans="1:2" x14ac:dyDescent="0.25">
      <c r="A29161">
        <v>62011300290</v>
      </c>
      <c r="B29161" t="s">
        <v>10</v>
      </c>
    </row>
    <row r="29162" spans="1:2" x14ac:dyDescent="0.25">
      <c r="A29162">
        <v>62011900</v>
      </c>
      <c r="B29162" t="e">
        <f>- - de las demas materias textiles</f>
        <v>#NAME?</v>
      </c>
    </row>
    <row r="29163" spans="1:2" x14ac:dyDescent="0.25">
      <c r="A29163">
        <v>620119001</v>
      </c>
      <c r="B29163" t="s">
        <v>8978</v>
      </c>
    </row>
    <row r="29164" spans="1:2" x14ac:dyDescent="0.25">
      <c r="A29164">
        <v>6201190011</v>
      </c>
      <c r="B29164" t="s">
        <v>8979</v>
      </c>
    </row>
    <row r="29165" spans="1:2" x14ac:dyDescent="0.25">
      <c r="A29165">
        <v>62011900111</v>
      </c>
      <c r="B29165" t="s">
        <v>8980</v>
      </c>
    </row>
    <row r="29166" spans="1:2" x14ac:dyDescent="0.25">
      <c r="A29166">
        <v>62011900112</v>
      </c>
      <c r="B29166" t="s">
        <v>9129</v>
      </c>
    </row>
    <row r="29167" spans="1:2" x14ac:dyDescent="0.25">
      <c r="A29167">
        <v>62011900119</v>
      </c>
      <c r="B29167" t="s">
        <v>10</v>
      </c>
    </row>
    <row r="29168" spans="1:2" x14ac:dyDescent="0.25">
      <c r="A29168">
        <v>62011900190</v>
      </c>
      <c r="B29168" t="s">
        <v>10</v>
      </c>
    </row>
    <row r="29169" spans="1:2" x14ac:dyDescent="0.25">
      <c r="A29169">
        <v>620119002</v>
      </c>
      <c r="B29169" t="s">
        <v>8984</v>
      </c>
    </row>
    <row r="29170" spans="1:2" x14ac:dyDescent="0.25">
      <c r="A29170">
        <v>6201190021</v>
      </c>
      <c r="B29170" t="s">
        <v>8979</v>
      </c>
    </row>
    <row r="29171" spans="1:2" x14ac:dyDescent="0.25">
      <c r="A29171">
        <v>62011900211</v>
      </c>
      <c r="B29171" t="s">
        <v>8980</v>
      </c>
    </row>
    <row r="29172" spans="1:2" x14ac:dyDescent="0.25">
      <c r="A29172">
        <v>62011900212</v>
      </c>
      <c r="B29172" t="s">
        <v>9129</v>
      </c>
    </row>
    <row r="29173" spans="1:2" x14ac:dyDescent="0.25">
      <c r="A29173">
        <v>62011900219</v>
      </c>
      <c r="B29173" t="s">
        <v>10</v>
      </c>
    </row>
    <row r="29174" spans="1:2" x14ac:dyDescent="0.25">
      <c r="A29174">
        <v>62011900290</v>
      </c>
      <c r="B29174" t="s">
        <v>10</v>
      </c>
    </row>
    <row r="29175" spans="1:2" x14ac:dyDescent="0.25">
      <c r="A29175">
        <v>62019</v>
      </c>
      <c r="B29175" t="s">
        <v>28</v>
      </c>
    </row>
    <row r="29176" spans="1:2" x14ac:dyDescent="0.25">
      <c r="A29176">
        <v>62019100</v>
      </c>
      <c r="B29176" t="e">
        <f>- - de lana o Pelo fino</f>
        <v>#NAME?</v>
      </c>
    </row>
    <row r="29177" spans="1:2" x14ac:dyDescent="0.25">
      <c r="A29177">
        <v>620191001</v>
      </c>
      <c r="B29177" t="s">
        <v>8978</v>
      </c>
    </row>
    <row r="29178" spans="1:2" x14ac:dyDescent="0.25">
      <c r="A29178">
        <v>62019100110</v>
      </c>
      <c r="B29178" t="s">
        <v>8979</v>
      </c>
    </row>
    <row r="29179" spans="1:2" x14ac:dyDescent="0.25">
      <c r="A29179">
        <v>62019100190</v>
      </c>
      <c r="B29179" t="s">
        <v>10</v>
      </c>
    </row>
    <row r="29180" spans="1:2" x14ac:dyDescent="0.25">
      <c r="A29180">
        <v>620191002</v>
      </c>
      <c r="B29180" t="s">
        <v>8984</v>
      </c>
    </row>
    <row r="29181" spans="1:2" x14ac:dyDescent="0.25">
      <c r="A29181">
        <v>62019100210</v>
      </c>
      <c r="B29181" t="s">
        <v>8979</v>
      </c>
    </row>
    <row r="29182" spans="1:2" x14ac:dyDescent="0.25">
      <c r="A29182">
        <v>62019100290</v>
      </c>
      <c r="B29182" t="s">
        <v>10</v>
      </c>
    </row>
    <row r="29183" spans="1:2" x14ac:dyDescent="0.25">
      <c r="A29183">
        <v>62019200</v>
      </c>
      <c r="B29183" t="e">
        <f>- - de algodon</f>
        <v>#NAME?</v>
      </c>
    </row>
    <row r="29184" spans="1:2" x14ac:dyDescent="0.25">
      <c r="A29184">
        <v>620192001</v>
      </c>
      <c r="B29184" t="s">
        <v>8978</v>
      </c>
    </row>
    <row r="29185" spans="1:2" x14ac:dyDescent="0.25">
      <c r="A29185">
        <v>62019200110</v>
      </c>
      <c r="B29185" t="s">
        <v>8979</v>
      </c>
    </row>
    <row r="29186" spans="1:2" x14ac:dyDescent="0.25">
      <c r="A29186">
        <v>62019200190</v>
      </c>
      <c r="B29186" t="s">
        <v>10</v>
      </c>
    </row>
    <row r="29187" spans="1:2" x14ac:dyDescent="0.25">
      <c r="A29187">
        <v>620192002</v>
      </c>
      <c r="B29187" t="s">
        <v>8984</v>
      </c>
    </row>
    <row r="29188" spans="1:2" x14ac:dyDescent="0.25">
      <c r="A29188">
        <v>6201920021</v>
      </c>
      <c r="B29188" t="s">
        <v>9130</v>
      </c>
    </row>
    <row r="29189" spans="1:2" x14ac:dyDescent="0.25">
      <c r="A29189">
        <v>62019200211</v>
      </c>
      <c r="B29189" t="s">
        <v>8979</v>
      </c>
    </row>
    <row r="29190" spans="1:2" x14ac:dyDescent="0.25">
      <c r="A29190">
        <v>62019200219</v>
      </c>
      <c r="B29190" t="s">
        <v>10</v>
      </c>
    </row>
    <row r="29191" spans="1:2" x14ac:dyDescent="0.25">
      <c r="A29191">
        <v>6201920029</v>
      </c>
      <c r="B29191" t="s">
        <v>10</v>
      </c>
    </row>
    <row r="29192" spans="1:2" x14ac:dyDescent="0.25">
      <c r="A29192">
        <v>62019200291</v>
      </c>
      <c r="B29192" t="s">
        <v>8979</v>
      </c>
    </row>
    <row r="29193" spans="1:2" x14ac:dyDescent="0.25">
      <c r="A29193">
        <v>62019200299</v>
      </c>
      <c r="B29193" t="s">
        <v>10</v>
      </c>
    </row>
    <row r="29194" spans="1:2" x14ac:dyDescent="0.25">
      <c r="A29194">
        <v>62019300</v>
      </c>
      <c r="B29194" t="e">
        <f>- - de fibras sinteticas o artificiales</f>
        <v>#NAME?</v>
      </c>
    </row>
    <row r="29195" spans="1:2" x14ac:dyDescent="0.25">
      <c r="A29195">
        <v>620193001</v>
      </c>
      <c r="B29195" t="s">
        <v>8978</v>
      </c>
    </row>
    <row r="29196" spans="1:2" x14ac:dyDescent="0.25">
      <c r="A29196">
        <v>62019300110</v>
      </c>
      <c r="B29196" t="s">
        <v>8979</v>
      </c>
    </row>
    <row r="29197" spans="1:2" x14ac:dyDescent="0.25">
      <c r="A29197">
        <v>62019300190</v>
      </c>
      <c r="B29197" t="s">
        <v>10</v>
      </c>
    </row>
    <row r="29198" spans="1:2" x14ac:dyDescent="0.25">
      <c r="A29198">
        <v>620193002</v>
      </c>
      <c r="B29198" t="s">
        <v>8984</v>
      </c>
    </row>
    <row r="29199" spans="1:2" x14ac:dyDescent="0.25">
      <c r="A29199">
        <v>62019300210</v>
      </c>
      <c r="B29199" t="s">
        <v>8979</v>
      </c>
    </row>
    <row r="29200" spans="1:2" x14ac:dyDescent="0.25">
      <c r="A29200">
        <v>62019300290</v>
      </c>
      <c r="B29200" t="s">
        <v>10</v>
      </c>
    </row>
    <row r="29201" spans="1:2" x14ac:dyDescent="0.25">
      <c r="A29201">
        <v>62019900</v>
      </c>
      <c r="B29201" t="e">
        <f>- - de las demas materias textiles</f>
        <v>#NAME?</v>
      </c>
    </row>
    <row r="29202" spans="1:2" x14ac:dyDescent="0.25">
      <c r="A29202">
        <v>620199001</v>
      </c>
      <c r="B29202" t="s">
        <v>8978</v>
      </c>
    </row>
    <row r="29203" spans="1:2" x14ac:dyDescent="0.25">
      <c r="A29203">
        <v>62019900110</v>
      </c>
      <c r="B29203" t="s">
        <v>8979</v>
      </c>
    </row>
    <row r="29204" spans="1:2" x14ac:dyDescent="0.25">
      <c r="A29204">
        <v>62019900190</v>
      </c>
      <c r="B29204" t="s">
        <v>10</v>
      </c>
    </row>
    <row r="29205" spans="1:2" x14ac:dyDescent="0.25">
      <c r="A29205">
        <v>620199002</v>
      </c>
      <c r="B29205" t="s">
        <v>8984</v>
      </c>
    </row>
    <row r="29206" spans="1:2" x14ac:dyDescent="0.25">
      <c r="A29206">
        <v>62019900210</v>
      </c>
      <c r="B29206" t="s">
        <v>8979</v>
      </c>
    </row>
    <row r="29207" spans="1:2" x14ac:dyDescent="0.25">
      <c r="A29207">
        <v>62019900290</v>
      </c>
      <c r="B29207" t="s">
        <v>10</v>
      </c>
    </row>
    <row r="29208" spans="1:2" x14ac:dyDescent="0.25">
      <c r="A29208">
        <v>6202</v>
      </c>
      <c r="B29208" t="s">
        <v>9133</v>
      </c>
    </row>
    <row r="29209" spans="1:2" x14ac:dyDescent="0.25">
      <c r="A29209">
        <v>62021</v>
      </c>
      <c r="B29209" t="s">
        <v>9128</v>
      </c>
    </row>
    <row r="29210" spans="1:2" x14ac:dyDescent="0.25">
      <c r="A29210">
        <v>62021100</v>
      </c>
      <c r="B29210" t="e">
        <f>- - de lana o Pelo fino</f>
        <v>#NAME?</v>
      </c>
    </row>
    <row r="29211" spans="1:2" x14ac:dyDescent="0.25">
      <c r="A29211">
        <v>620211001</v>
      </c>
      <c r="B29211" t="s">
        <v>9134</v>
      </c>
    </row>
    <row r="29212" spans="1:2" x14ac:dyDescent="0.25">
      <c r="A29212">
        <v>6202110011</v>
      </c>
      <c r="B29212" t="s">
        <v>8979</v>
      </c>
    </row>
    <row r="29213" spans="1:2" x14ac:dyDescent="0.25">
      <c r="A29213">
        <v>62021100111</v>
      </c>
      <c r="B29213" t="s">
        <v>8986</v>
      </c>
    </row>
    <row r="29214" spans="1:2" x14ac:dyDescent="0.25">
      <c r="A29214">
        <v>62021100112</v>
      </c>
      <c r="B29214" t="s">
        <v>9129</v>
      </c>
    </row>
    <row r="29215" spans="1:2" x14ac:dyDescent="0.25">
      <c r="A29215">
        <v>62021100119</v>
      </c>
      <c r="B29215" t="s">
        <v>10</v>
      </c>
    </row>
    <row r="29216" spans="1:2" x14ac:dyDescent="0.25">
      <c r="A29216">
        <v>62021100190</v>
      </c>
      <c r="B29216" t="s">
        <v>10</v>
      </c>
    </row>
    <row r="29217" spans="1:2" x14ac:dyDescent="0.25">
      <c r="A29217">
        <v>620211002</v>
      </c>
      <c r="B29217" t="s">
        <v>9135</v>
      </c>
    </row>
    <row r="29218" spans="1:2" x14ac:dyDescent="0.25">
      <c r="A29218">
        <v>6202110021</v>
      </c>
      <c r="B29218" t="s">
        <v>8979</v>
      </c>
    </row>
    <row r="29219" spans="1:2" x14ac:dyDescent="0.25">
      <c r="A29219">
        <v>62021100211</v>
      </c>
      <c r="B29219" t="s">
        <v>8986</v>
      </c>
    </row>
    <row r="29220" spans="1:2" x14ac:dyDescent="0.25">
      <c r="A29220">
        <v>62021100212</v>
      </c>
      <c r="B29220" t="s">
        <v>9129</v>
      </c>
    </row>
    <row r="29221" spans="1:2" x14ac:dyDescent="0.25">
      <c r="A29221">
        <v>62021100219</v>
      </c>
      <c r="B29221" t="s">
        <v>10</v>
      </c>
    </row>
    <row r="29222" spans="1:2" x14ac:dyDescent="0.25">
      <c r="A29222">
        <v>62021100290</v>
      </c>
      <c r="B29222" t="s">
        <v>10</v>
      </c>
    </row>
    <row r="29223" spans="1:2" x14ac:dyDescent="0.25">
      <c r="A29223">
        <v>620211003</v>
      </c>
      <c r="B29223" t="s">
        <v>9136</v>
      </c>
    </row>
    <row r="29224" spans="1:2" x14ac:dyDescent="0.25">
      <c r="A29224">
        <v>6202110031</v>
      </c>
      <c r="B29224" t="s">
        <v>8979</v>
      </c>
    </row>
    <row r="29225" spans="1:2" x14ac:dyDescent="0.25">
      <c r="A29225">
        <v>62021100311</v>
      </c>
      <c r="B29225" t="s">
        <v>8986</v>
      </c>
    </row>
    <row r="29226" spans="1:2" x14ac:dyDescent="0.25">
      <c r="A29226">
        <v>62021100312</v>
      </c>
      <c r="B29226" t="s">
        <v>9129</v>
      </c>
    </row>
    <row r="29227" spans="1:2" x14ac:dyDescent="0.25">
      <c r="A29227">
        <v>62021100319</v>
      </c>
      <c r="B29227" t="s">
        <v>10</v>
      </c>
    </row>
    <row r="29228" spans="1:2" x14ac:dyDescent="0.25">
      <c r="A29228">
        <v>62021100390</v>
      </c>
      <c r="B29228" t="s">
        <v>10</v>
      </c>
    </row>
    <row r="29229" spans="1:2" x14ac:dyDescent="0.25">
      <c r="A29229">
        <v>62021200</v>
      </c>
      <c r="B29229" t="e">
        <f>- - de algodon</f>
        <v>#NAME?</v>
      </c>
    </row>
    <row r="29230" spans="1:2" x14ac:dyDescent="0.25">
      <c r="A29230">
        <v>620212001</v>
      </c>
      <c r="B29230" t="s">
        <v>9130</v>
      </c>
    </row>
    <row r="29231" spans="1:2" x14ac:dyDescent="0.25">
      <c r="A29231">
        <v>6202120011</v>
      </c>
      <c r="B29231" t="s">
        <v>8979</v>
      </c>
    </row>
    <row r="29232" spans="1:2" x14ac:dyDescent="0.25">
      <c r="A29232">
        <v>62021200111</v>
      </c>
      <c r="B29232" t="s">
        <v>8986</v>
      </c>
    </row>
    <row r="29233" spans="1:2" x14ac:dyDescent="0.25">
      <c r="A29233">
        <v>62021200112</v>
      </c>
      <c r="B29233" t="s">
        <v>9129</v>
      </c>
    </row>
    <row r="29234" spans="1:2" x14ac:dyDescent="0.25">
      <c r="A29234">
        <v>62021200119</v>
      </c>
      <c r="B29234" t="s">
        <v>10</v>
      </c>
    </row>
    <row r="29235" spans="1:2" x14ac:dyDescent="0.25">
      <c r="A29235">
        <v>62021200190</v>
      </c>
      <c r="B29235" t="s">
        <v>10</v>
      </c>
    </row>
    <row r="29236" spans="1:2" x14ac:dyDescent="0.25">
      <c r="A29236">
        <v>620212009</v>
      </c>
      <c r="B29236" t="s">
        <v>10</v>
      </c>
    </row>
    <row r="29237" spans="1:2" x14ac:dyDescent="0.25">
      <c r="A29237">
        <v>6202120091</v>
      </c>
      <c r="B29237" t="s">
        <v>8979</v>
      </c>
    </row>
    <row r="29238" spans="1:2" x14ac:dyDescent="0.25">
      <c r="A29238">
        <v>62021200911</v>
      </c>
      <c r="B29238" t="s">
        <v>8986</v>
      </c>
    </row>
    <row r="29239" spans="1:2" x14ac:dyDescent="0.25">
      <c r="A29239">
        <v>62021200912</v>
      </c>
      <c r="B29239" t="s">
        <v>9129</v>
      </c>
    </row>
    <row r="29240" spans="1:2" x14ac:dyDescent="0.25">
      <c r="A29240">
        <v>62021200919</v>
      </c>
      <c r="B29240" t="s">
        <v>10</v>
      </c>
    </row>
    <row r="29241" spans="1:2" x14ac:dyDescent="0.25">
      <c r="A29241">
        <v>62021200990</v>
      </c>
      <c r="B29241" t="s">
        <v>10</v>
      </c>
    </row>
    <row r="29242" spans="1:2" x14ac:dyDescent="0.25">
      <c r="A29242">
        <v>62021300</v>
      </c>
      <c r="B29242" t="e">
        <f>- - de fibras sinteticas o artificiales</f>
        <v>#NAME?</v>
      </c>
    </row>
    <row r="29243" spans="1:2" x14ac:dyDescent="0.25">
      <c r="A29243">
        <v>620213001</v>
      </c>
      <c r="B29243" t="s">
        <v>8978</v>
      </c>
    </row>
    <row r="29244" spans="1:2" x14ac:dyDescent="0.25">
      <c r="A29244">
        <v>6202130011</v>
      </c>
      <c r="B29244" t="s">
        <v>8979</v>
      </c>
    </row>
    <row r="29245" spans="1:2" x14ac:dyDescent="0.25">
      <c r="A29245">
        <v>62021300111</v>
      </c>
      <c r="B29245" t="s">
        <v>9137</v>
      </c>
    </row>
    <row r="29246" spans="1:2" x14ac:dyDescent="0.25">
      <c r="A29246">
        <v>62021300112</v>
      </c>
      <c r="B29246" t="s">
        <v>9129</v>
      </c>
    </row>
    <row r="29247" spans="1:2" x14ac:dyDescent="0.25">
      <c r="A29247">
        <v>62021300113</v>
      </c>
      <c r="B29247" t="s">
        <v>8982</v>
      </c>
    </row>
    <row r="29248" spans="1:2" x14ac:dyDescent="0.25">
      <c r="A29248">
        <v>62021300190</v>
      </c>
      <c r="B29248" t="s">
        <v>10</v>
      </c>
    </row>
    <row r="29249" spans="1:2" x14ac:dyDescent="0.25">
      <c r="A29249">
        <v>620213002</v>
      </c>
      <c r="B29249" t="s">
        <v>8984</v>
      </c>
    </row>
    <row r="29250" spans="1:2" x14ac:dyDescent="0.25">
      <c r="A29250">
        <v>6202130021</v>
      </c>
      <c r="B29250" t="s">
        <v>8979</v>
      </c>
    </row>
    <row r="29251" spans="1:2" x14ac:dyDescent="0.25">
      <c r="A29251">
        <v>62021300211</v>
      </c>
      <c r="B29251" t="s">
        <v>9137</v>
      </c>
    </row>
    <row r="29252" spans="1:2" x14ac:dyDescent="0.25">
      <c r="A29252">
        <v>62021300212</v>
      </c>
      <c r="B29252" t="s">
        <v>9129</v>
      </c>
    </row>
    <row r="29253" spans="1:2" x14ac:dyDescent="0.25">
      <c r="A29253">
        <v>62021300213</v>
      </c>
      <c r="B29253" t="s">
        <v>8982</v>
      </c>
    </row>
    <row r="29254" spans="1:2" x14ac:dyDescent="0.25">
      <c r="A29254">
        <v>62021300290</v>
      </c>
      <c r="B29254" t="s">
        <v>10</v>
      </c>
    </row>
    <row r="29255" spans="1:2" x14ac:dyDescent="0.25">
      <c r="A29255">
        <v>62021900</v>
      </c>
      <c r="B29255" t="e">
        <f>- - de las demas materias textiles</f>
        <v>#NAME?</v>
      </c>
    </row>
    <row r="29256" spans="1:2" x14ac:dyDescent="0.25">
      <c r="A29256">
        <v>620219001</v>
      </c>
      <c r="B29256" t="s">
        <v>8978</v>
      </c>
    </row>
    <row r="29257" spans="1:2" x14ac:dyDescent="0.25">
      <c r="A29257">
        <v>6202190011</v>
      </c>
      <c r="B29257" t="s">
        <v>8979</v>
      </c>
    </row>
    <row r="29258" spans="1:2" x14ac:dyDescent="0.25">
      <c r="A29258">
        <v>62021900111</v>
      </c>
      <c r="B29258" t="s">
        <v>8986</v>
      </c>
    </row>
    <row r="29259" spans="1:2" x14ac:dyDescent="0.25">
      <c r="A29259">
        <v>62021900112</v>
      </c>
      <c r="B29259" t="s">
        <v>9129</v>
      </c>
    </row>
    <row r="29260" spans="1:2" x14ac:dyDescent="0.25">
      <c r="A29260">
        <v>62021900119</v>
      </c>
      <c r="B29260" t="s">
        <v>10</v>
      </c>
    </row>
    <row r="29261" spans="1:2" x14ac:dyDescent="0.25">
      <c r="A29261">
        <v>62021900190</v>
      </c>
      <c r="B29261" t="s">
        <v>10</v>
      </c>
    </row>
    <row r="29262" spans="1:2" x14ac:dyDescent="0.25">
      <c r="A29262">
        <v>620219002</v>
      </c>
      <c r="B29262" t="s">
        <v>8984</v>
      </c>
    </row>
    <row r="29263" spans="1:2" x14ac:dyDescent="0.25">
      <c r="A29263">
        <v>6202190021</v>
      </c>
      <c r="B29263" t="s">
        <v>8979</v>
      </c>
    </row>
    <row r="29264" spans="1:2" x14ac:dyDescent="0.25">
      <c r="A29264">
        <v>62021900211</v>
      </c>
      <c r="B29264" t="s">
        <v>8986</v>
      </c>
    </row>
    <row r="29265" spans="1:2" x14ac:dyDescent="0.25">
      <c r="A29265">
        <v>62021900212</v>
      </c>
      <c r="B29265" t="s">
        <v>9129</v>
      </c>
    </row>
    <row r="29266" spans="1:2" x14ac:dyDescent="0.25">
      <c r="A29266">
        <v>62021900219</v>
      </c>
      <c r="B29266" t="s">
        <v>10</v>
      </c>
    </row>
    <row r="29267" spans="1:2" x14ac:dyDescent="0.25">
      <c r="A29267">
        <v>62021900290</v>
      </c>
      <c r="B29267" t="s">
        <v>10</v>
      </c>
    </row>
    <row r="29268" spans="1:2" x14ac:dyDescent="0.25">
      <c r="A29268">
        <v>62029</v>
      </c>
      <c r="B29268" t="s">
        <v>28</v>
      </c>
    </row>
    <row r="29269" spans="1:2" x14ac:dyDescent="0.25">
      <c r="A29269">
        <v>62029100</v>
      </c>
      <c r="B29269" t="e">
        <f>- - de lana o Pelo fino</f>
        <v>#NAME?</v>
      </c>
    </row>
    <row r="29270" spans="1:2" x14ac:dyDescent="0.25">
      <c r="A29270">
        <v>620291001</v>
      </c>
      <c r="B29270" t="s">
        <v>8978</v>
      </c>
    </row>
    <row r="29271" spans="1:2" x14ac:dyDescent="0.25">
      <c r="A29271">
        <v>62029100110</v>
      </c>
      <c r="B29271" t="s">
        <v>8979</v>
      </c>
    </row>
    <row r="29272" spans="1:2" x14ac:dyDescent="0.25">
      <c r="A29272">
        <v>62029100190</v>
      </c>
      <c r="B29272" t="s">
        <v>10</v>
      </c>
    </row>
    <row r="29273" spans="1:2" x14ac:dyDescent="0.25">
      <c r="A29273">
        <v>620291002</v>
      </c>
      <c r="B29273" t="s">
        <v>8984</v>
      </c>
    </row>
    <row r="29274" spans="1:2" x14ac:dyDescent="0.25">
      <c r="A29274">
        <v>62029100210</v>
      </c>
      <c r="B29274" t="s">
        <v>8979</v>
      </c>
    </row>
    <row r="29275" spans="1:2" x14ac:dyDescent="0.25">
      <c r="A29275">
        <v>62029100290</v>
      </c>
      <c r="B29275" t="s">
        <v>10</v>
      </c>
    </row>
    <row r="29276" spans="1:2" x14ac:dyDescent="0.25">
      <c r="A29276">
        <v>62029200</v>
      </c>
      <c r="B29276" t="e">
        <f>- - de algodon</f>
        <v>#NAME?</v>
      </c>
    </row>
    <row r="29277" spans="1:2" x14ac:dyDescent="0.25">
      <c r="A29277">
        <v>620292001</v>
      </c>
      <c r="B29277" t="s">
        <v>8978</v>
      </c>
    </row>
    <row r="29278" spans="1:2" x14ac:dyDescent="0.25">
      <c r="A29278">
        <v>62029200110</v>
      </c>
      <c r="B29278" t="s">
        <v>8979</v>
      </c>
    </row>
    <row r="29279" spans="1:2" x14ac:dyDescent="0.25">
      <c r="A29279">
        <v>62029200190</v>
      </c>
      <c r="B29279" t="s">
        <v>10</v>
      </c>
    </row>
    <row r="29280" spans="1:2" x14ac:dyDescent="0.25">
      <c r="A29280">
        <v>620292002</v>
      </c>
      <c r="B29280" t="s">
        <v>8984</v>
      </c>
    </row>
    <row r="29281" spans="1:2" x14ac:dyDescent="0.25">
      <c r="A29281">
        <v>6202920021</v>
      </c>
      <c r="B29281" t="s">
        <v>9130</v>
      </c>
    </row>
    <row r="29282" spans="1:2" x14ac:dyDescent="0.25">
      <c r="A29282">
        <v>62029200211</v>
      </c>
      <c r="B29282" t="s">
        <v>8979</v>
      </c>
    </row>
    <row r="29283" spans="1:2" x14ac:dyDescent="0.25">
      <c r="A29283">
        <v>62029200219</v>
      </c>
      <c r="B29283" t="s">
        <v>10</v>
      </c>
    </row>
    <row r="29284" spans="1:2" x14ac:dyDescent="0.25">
      <c r="A29284">
        <v>6202920029</v>
      </c>
      <c r="B29284" t="s">
        <v>10</v>
      </c>
    </row>
    <row r="29285" spans="1:2" x14ac:dyDescent="0.25">
      <c r="A29285">
        <v>62029200291</v>
      </c>
      <c r="B29285" t="s">
        <v>8979</v>
      </c>
    </row>
    <row r="29286" spans="1:2" x14ac:dyDescent="0.25">
      <c r="A29286">
        <v>62029200299</v>
      </c>
      <c r="B29286" t="s">
        <v>10</v>
      </c>
    </row>
    <row r="29287" spans="1:2" x14ac:dyDescent="0.25">
      <c r="A29287">
        <v>62029300</v>
      </c>
      <c r="B29287" t="e">
        <f>- - de fibras sinteticas o artificiales</f>
        <v>#NAME?</v>
      </c>
    </row>
    <row r="29288" spans="1:2" x14ac:dyDescent="0.25">
      <c r="A29288">
        <v>620293001</v>
      </c>
      <c r="B29288" t="s">
        <v>8978</v>
      </c>
    </row>
    <row r="29289" spans="1:2" x14ac:dyDescent="0.25">
      <c r="A29289">
        <v>62029300110</v>
      </c>
      <c r="B29289" t="s">
        <v>8979</v>
      </c>
    </row>
    <row r="29290" spans="1:2" x14ac:dyDescent="0.25">
      <c r="A29290">
        <v>62029300190</v>
      </c>
      <c r="B29290" t="s">
        <v>10</v>
      </c>
    </row>
    <row r="29291" spans="1:2" x14ac:dyDescent="0.25">
      <c r="A29291">
        <v>620293002</v>
      </c>
      <c r="B29291" t="s">
        <v>8984</v>
      </c>
    </row>
    <row r="29292" spans="1:2" x14ac:dyDescent="0.25">
      <c r="A29292">
        <v>62029300210</v>
      </c>
      <c r="B29292" t="s">
        <v>8979</v>
      </c>
    </row>
    <row r="29293" spans="1:2" x14ac:dyDescent="0.25">
      <c r="A29293">
        <v>62029300290</v>
      </c>
      <c r="B29293" t="s">
        <v>10</v>
      </c>
    </row>
    <row r="29294" spans="1:2" x14ac:dyDescent="0.25">
      <c r="A29294">
        <v>62029900</v>
      </c>
      <c r="B29294" t="e">
        <f>- - de las demas materias textiles</f>
        <v>#NAME?</v>
      </c>
    </row>
    <row r="29295" spans="1:2" x14ac:dyDescent="0.25">
      <c r="A29295">
        <v>620299001</v>
      </c>
      <c r="B29295" t="s">
        <v>8978</v>
      </c>
    </row>
    <row r="29296" spans="1:2" x14ac:dyDescent="0.25">
      <c r="A29296">
        <v>62029900110</v>
      </c>
      <c r="B29296" t="s">
        <v>8979</v>
      </c>
    </row>
    <row r="29297" spans="1:2" x14ac:dyDescent="0.25">
      <c r="A29297">
        <v>62029900190</v>
      </c>
      <c r="B29297" t="s">
        <v>10</v>
      </c>
    </row>
    <row r="29298" spans="1:2" x14ac:dyDescent="0.25">
      <c r="A29298">
        <v>620299002</v>
      </c>
      <c r="B29298" t="s">
        <v>8984</v>
      </c>
    </row>
    <row r="29299" spans="1:2" x14ac:dyDescent="0.25">
      <c r="A29299">
        <v>62029900210</v>
      </c>
      <c r="B29299" t="s">
        <v>8979</v>
      </c>
    </row>
    <row r="29300" spans="1:2" x14ac:dyDescent="0.25">
      <c r="A29300">
        <v>62029900290</v>
      </c>
      <c r="B29300" t="s">
        <v>10</v>
      </c>
    </row>
    <row r="29301" spans="1:2" x14ac:dyDescent="0.25">
      <c r="A29301">
        <v>6203</v>
      </c>
      <c r="B29301" t="s">
        <v>9138</v>
      </c>
    </row>
    <row r="29302" spans="1:2" x14ac:dyDescent="0.25">
      <c r="A29302">
        <v>62031</v>
      </c>
      <c r="B29302" t="s">
        <v>9139</v>
      </c>
    </row>
    <row r="29303" spans="1:2" x14ac:dyDescent="0.25">
      <c r="A29303">
        <v>62031100</v>
      </c>
      <c r="B29303" t="e">
        <f>- - de lana o Pelo fino</f>
        <v>#NAME?</v>
      </c>
    </row>
    <row r="29304" spans="1:2" x14ac:dyDescent="0.25">
      <c r="A29304">
        <v>620311001</v>
      </c>
      <c r="B29304" t="s">
        <v>8988</v>
      </c>
    </row>
    <row r="29305" spans="1:2" x14ac:dyDescent="0.25">
      <c r="A29305">
        <v>6203110011</v>
      </c>
      <c r="B29305" t="s">
        <v>8979</v>
      </c>
    </row>
    <row r="29306" spans="1:2" x14ac:dyDescent="0.25">
      <c r="A29306">
        <v>62031100111</v>
      </c>
      <c r="B29306" t="s">
        <v>8992</v>
      </c>
    </row>
    <row r="29307" spans="1:2" x14ac:dyDescent="0.25">
      <c r="A29307">
        <v>62031100119</v>
      </c>
      <c r="B29307" t="s">
        <v>10</v>
      </c>
    </row>
    <row r="29308" spans="1:2" x14ac:dyDescent="0.25">
      <c r="A29308">
        <v>62031100190</v>
      </c>
      <c r="B29308" t="s">
        <v>10</v>
      </c>
    </row>
    <row r="29309" spans="1:2" x14ac:dyDescent="0.25">
      <c r="A29309">
        <v>620311002</v>
      </c>
      <c r="B29309" t="s">
        <v>8990</v>
      </c>
    </row>
    <row r="29310" spans="1:2" x14ac:dyDescent="0.25">
      <c r="A29310">
        <v>6203110021</v>
      </c>
      <c r="B29310" t="s">
        <v>8979</v>
      </c>
    </row>
    <row r="29311" spans="1:2" x14ac:dyDescent="0.25">
      <c r="A29311">
        <v>62031100211</v>
      </c>
      <c r="B29311" t="s">
        <v>8992</v>
      </c>
    </row>
    <row r="29312" spans="1:2" x14ac:dyDescent="0.25">
      <c r="A29312">
        <v>62031100219</v>
      </c>
      <c r="B29312" t="s">
        <v>10</v>
      </c>
    </row>
    <row r="29313" spans="1:2" x14ac:dyDescent="0.25">
      <c r="A29313">
        <v>62031100290</v>
      </c>
      <c r="B29313" t="s">
        <v>10</v>
      </c>
    </row>
    <row r="29314" spans="1:2" x14ac:dyDescent="0.25">
      <c r="A29314">
        <v>62031200</v>
      </c>
      <c r="B29314" t="e">
        <f>- - de fibras sinteticas</f>
        <v>#NAME?</v>
      </c>
    </row>
    <row r="29315" spans="1:2" x14ac:dyDescent="0.25">
      <c r="A29315">
        <v>620312001</v>
      </c>
      <c r="B29315" t="s">
        <v>8988</v>
      </c>
    </row>
    <row r="29316" spans="1:2" x14ac:dyDescent="0.25">
      <c r="A29316">
        <v>62031200110</v>
      </c>
      <c r="B29316" t="s">
        <v>8979</v>
      </c>
    </row>
    <row r="29317" spans="1:2" x14ac:dyDescent="0.25">
      <c r="A29317">
        <v>62031200190</v>
      </c>
      <c r="B29317" t="s">
        <v>10</v>
      </c>
    </row>
    <row r="29318" spans="1:2" x14ac:dyDescent="0.25">
      <c r="A29318">
        <v>620312002</v>
      </c>
      <c r="B29318" t="s">
        <v>8990</v>
      </c>
    </row>
    <row r="29319" spans="1:2" x14ac:dyDescent="0.25">
      <c r="A29319">
        <v>62031200210</v>
      </c>
      <c r="B29319" t="s">
        <v>8979</v>
      </c>
    </row>
    <row r="29320" spans="1:2" x14ac:dyDescent="0.25">
      <c r="A29320">
        <v>62031200290</v>
      </c>
      <c r="B29320" t="s">
        <v>10</v>
      </c>
    </row>
    <row r="29321" spans="1:2" x14ac:dyDescent="0.25">
      <c r="A29321">
        <v>62031900</v>
      </c>
      <c r="B29321" t="e">
        <f>- - de las demas materias textiles</f>
        <v>#NAME?</v>
      </c>
    </row>
    <row r="29322" spans="1:2" x14ac:dyDescent="0.25">
      <c r="A29322">
        <v>620319001</v>
      </c>
      <c r="B29322" t="s">
        <v>8988</v>
      </c>
    </row>
    <row r="29323" spans="1:2" x14ac:dyDescent="0.25">
      <c r="A29323">
        <v>62031900110</v>
      </c>
      <c r="B29323" t="s">
        <v>8979</v>
      </c>
    </row>
    <row r="29324" spans="1:2" x14ac:dyDescent="0.25">
      <c r="A29324">
        <v>62031900190</v>
      </c>
      <c r="B29324" t="s">
        <v>10</v>
      </c>
    </row>
    <row r="29325" spans="1:2" x14ac:dyDescent="0.25">
      <c r="A29325">
        <v>620319002</v>
      </c>
      <c r="B29325" t="s">
        <v>8990</v>
      </c>
    </row>
    <row r="29326" spans="1:2" x14ac:dyDescent="0.25">
      <c r="A29326">
        <v>62031900210</v>
      </c>
      <c r="B29326" t="s">
        <v>8979</v>
      </c>
    </row>
    <row r="29327" spans="1:2" x14ac:dyDescent="0.25">
      <c r="A29327">
        <v>62031900290</v>
      </c>
      <c r="B29327" t="s">
        <v>10</v>
      </c>
    </row>
    <row r="29328" spans="1:2" x14ac:dyDescent="0.25">
      <c r="A29328">
        <v>62032</v>
      </c>
      <c r="B29328" t="s">
        <v>8991</v>
      </c>
    </row>
    <row r="29329" spans="1:2" x14ac:dyDescent="0.25">
      <c r="A29329">
        <v>62032200</v>
      </c>
      <c r="B29329" t="e">
        <f>- - de algodon</f>
        <v>#NAME?</v>
      </c>
    </row>
    <row r="29330" spans="1:2" x14ac:dyDescent="0.25">
      <c r="A29330">
        <v>620322001</v>
      </c>
      <c r="B29330" t="s">
        <v>8988</v>
      </c>
    </row>
    <row r="29331" spans="1:2" x14ac:dyDescent="0.25">
      <c r="A29331">
        <v>6203220011</v>
      </c>
      <c r="B29331" t="s">
        <v>8979</v>
      </c>
    </row>
    <row r="29332" spans="1:2" x14ac:dyDescent="0.25">
      <c r="A29332">
        <v>62032200111</v>
      </c>
      <c r="B29332" t="s">
        <v>9140</v>
      </c>
    </row>
    <row r="29333" spans="1:2" x14ac:dyDescent="0.25">
      <c r="A29333">
        <v>62032200119</v>
      </c>
      <c r="B29333" t="s">
        <v>10</v>
      </c>
    </row>
    <row r="29334" spans="1:2" x14ac:dyDescent="0.25">
      <c r="A29334">
        <v>62032200190</v>
      </c>
      <c r="B29334" t="s">
        <v>10</v>
      </c>
    </row>
    <row r="29335" spans="1:2" x14ac:dyDescent="0.25">
      <c r="A29335">
        <v>620322009</v>
      </c>
      <c r="B29335" t="s">
        <v>10</v>
      </c>
    </row>
    <row r="29336" spans="1:2" x14ac:dyDescent="0.25">
      <c r="A29336">
        <v>62032200910</v>
      </c>
      <c r="B29336" t="s">
        <v>8979</v>
      </c>
    </row>
    <row r="29337" spans="1:2" x14ac:dyDescent="0.25">
      <c r="A29337">
        <v>62032200990</v>
      </c>
      <c r="B29337" t="s">
        <v>10</v>
      </c>
    </row>
    <row r="29338" spans="1:2" x14ac:dyDescent="0.25">
      <c r="A29338">
        <v>62032300</v>
      </c>
      <c r="B29338" t="e">
        <f>- - de fibras sinteticas</f>
        <v>#NAME?</v>
      </c>
    </row>
    <row r="29339" spans="1:2" x14ac:dyDescent="0.25">
      <c r="A29339">
        <v>620323001</v>
      </c>
      <c r="B29339" t="s">
        <v>8988</v>
      </c>
    </row>
    <row r="29340" spans="1:2" x14ac:dyDescent="0.25">
      <c r="A29340">
        <v>6203230011</v>
      </c>
      <c r="B29340" t="s">
        <v>8979</v>
      </c>
    </row>
    <row r="29341" spans="1:2" x14ac:dyDescent="0.25">
      <c r="A29341">
        <v>62032300111</v>
      </c>
      <c r="B29341" t="s">
        <v>9141</v>
      </c>
    </row>
    <row r="29342" spans="1:2" x14ac:dyDescent="0.25">
      <c r="A29342">
        <v>62032300119</v>
      </c>
      <c r="B29342" t="s">
        <v>10</v>
      </c>
    </row>
    <row r="29343" spans="1:2" x14ac:dyDescent="0.25">
      <c r="A29343">
        <v>62032300190</v>
      </c>
      <c r="B29343" t="s">
        <v>10</v>
      </c>
    </row>
    <row r="29344" spans="1:2" x14ac:dyDescent="0.25">
      <c r="A29344">
        <v>620323009</v>
      </c>
      <c r="B29344" t="s">
        <v>10</v>
      </c>
    </row>
    <row r="29345" spans="1:2" x14ac:dyDescent="0.25">
      <c r="A29345">
        <v>62032300910</v>
      </c>
      <c r="B29345" t="s">
        <v>8979</v>
      </c>
    </row>
    <row r="29346" spans="1:2" x14ac:dyDescent="0.25">
      <c r="A29346">
        <v>62032300990</v>
      </c>
      <c r="B29346" t="s">
        <v>10</v>
      </c>
    </row>
    <row r="29347" spans="1:2" x14ac:dyDescent="0.25">
      <c r="A29347">
        <v>620329</v>
      </c>
      <c r="B29347" t="e">
        <f>- - de las demas materias textiles</f>
        <v>#NAME?</v>
      </c>
    </row>
    <row r="29348" spans="1:2" x14ac:dyDescent="0.25">
      <c r="A29348">
        <v>62032910</v>
      </c>
      <c r="B29348" t="s">
        <v>8835</v>
      </c>
    </row>
    <row r="29349" spans="1:2" x14ac:dyDescent="0.25">
      <c r="A29349">
        <v>620329101</v>
      </c>
      <c r="B29349" t="s">
        <v>9142</v>
      </c>
    </row>
    <row r="29350" spans="1:2" x14ac:dyDescent="0.25">
      <c r="A29350">
        <v>6203291011</v>
      </c>
      <c r="B29350" t="s">
        <v>8979</v>
      </c>
    </row>
    <row r="29351" spans="1:2" x14ac:dyDescent="0.25">
      <c r="A29351">
        <v>62032910111</v>
      </c>
      <c r="B29351" t="s">
        <v>8992</v>
      </c>
    </row>
    <row r="29352" spans="1:2" x14ac:dyDescent="0.25">
      <c r="A29352">
        <v>62032910119</v>
      </c>
      <c r="B29352" t="s">
        <v>10</v>
      </c>
    </row>
    <row r="29353" spans="1:2" x14ac:dyDescent="0.25">
      <c r="A29353">
        <v>62032910190</v>
      </c>
      <c r="B29353" t="s">
        <v>10</v>
      </c>
    </row>
    <row r="29354" spans="1:2" x14ac:dyDescent="0.25">
      <c r="A29354">
        <v>620329102</v>
      </c>
      <c r="B29354" t="s">
        <v>9143</v>
      </c>
    </row>
    <row r="29355" spans="1:2" x14ac:dyDescent="0.25">
      <c r="A29355">
        <v>62032910210</v>
      </c>
      <c r="B29355" t="s">
        <v>8979</v>
      </c>
    </row>
    <row r="29356" spans="1:2" x14ac:dyDescent="0.25">
      <c r="A29356">
        <v>62032910290</v>
      </c>
      <c r="B29356" t="s">
        <v>10</v>
      </c>
    </row>
    <row r="29357" spans="1:2" x14ac:dyDescent="0.25">
      <c r="A29357">
        <v>620329103</v>
      </c>
      <c r="B29357" t="s">
        <v>9144</v>
      </c>
    </row>
    <row r="29358" spans="1:2" x14ac:dyDescent="0.25">
      <c r="A29358">
        <v>62032910310</v>
      </c>
      <c r="B29358" t="s">
        <v>8979</v>
      </c>
    </row>
    <row r="29359" spans="1:2" x14ac:dyDescent="0.25">
      <c r="A29359">
        <v>62032910390</v>
      </c>
      <c r="B29359" t="s">
        <v>10</v>
      </c>
    </row>
    <row r="29360" spans="1:2" x14ac:dyDescent="0.25">
      <c r="A29360">
        <v>620329109</v>
      </c>
      <c r="B29360" t="s">
        <v>10</v>
      </c>
    </row>
    <row r="29361" spans="1:2" x14ac:dyDescent="0.25">
      <c r="A29361">
        <v>6203291091</v>
      </c>
      <c r="B29361" t="s">
        <v>8979</v>
      </c>
    </row>
    <row r="29362" spans="1:2" x14ac:dyDescent="0.25">
      <c r="A29362">
        <v>62032910911</v>
      </c>
      <c r="B29362" t="s">
        <v>8992</v>
      </c>
    </row>
    <row r="29363" spans="1:2" x14ac:dyDescent="0.25">
      <c r="A29363">
        <v>62032910919</v>
      </c>
      <c r="B29363" t="s">
        <v>10</v>
      </c>
    </row>
    <row r="29364" spans="1:2" x14ac:dyDescent="0.25">
      <c r="A29364">
        <v>62032910990</v>
      </c>
      <c r="B29364" t="s">
        <v>10</v>
      </c>
    </row>
    <row r="29365" spans="1:2" x14ac:dyDescent="0.25">
      <c r="A29365">
        <v>62032990</v>
      </c>
      <c r="B29365" t="s">
        <v>10</v>
      </c>
    </row>
    <row r="29366" spans="1:2" x14ac:dyDescent="0.25">
      <c r="A29366">
        <v>620329901</v>
      </c>
      <c r="B29366" t="s">
        <v>8988</v>
      </c>
    </row>
    <row r="29367" spans="1:2" x14ac:dyDescent="0.25">
      <c r="A29367">
        <v>62032990110</v>
      </c>
      <c r="B29367" t="s">
        <v>8979</v>
      </c>
    </row>
    <row r="29368" spans="1:2" x14ac:dyDescent="0.25">
      <c r="A29368">
        <v>62032990190</v>
      </c>
      <c r="B29368" t="s">
        <v>10</v>
      </c>
    </row>
    <row r="29369" spans="1:2" x14ac:dyDescent="0.25">
      <c r="A29369">
        <v>620329909</v>
      </c>
      <c r="B29369" t="s">
        <v>10</v>
      </c>
    </row>
    <row r="29370" spans="1:2" x14ac:dyDescent="0.25">
      <c r="A29370">
        <v>62032990910</v>
      </c>
      <c r="B29370" t="s">
        <v>8979</v>
      </c>
    </row>
    <row r="29371" spans="1:2" x14ac:dyDescent="0.25">
      <c r="A29371">
        <v>62032990990</v>
      </c>
      <c r="B29371" t="s">
        <v>10</v>
      </c>
    </row>
    <row r="29372" spans="1:2" x14ac:dyDescent="0.25">
      <c r="A29372">
        <v>62033</v>
      </c>
      <c r="B29372" t="s">
        <v>8993</v>
      </c>
    </row>
    <row r="29373" spans="1:2" x14ac:dyDescent="0.25">
      <c r="A29373">
        <v>62033100</v>
      </c>
      <c r="B29373" t="e">
        <f>- - de lana o Pelo fino</f>
        <v>#NAME?</v>
      </c>
    </row>
    <row r="29374" spans="1:2" x14ac:dyDescent="0.25">
      <c r="A29374">
        <v>620331001</v>
      </c>
      <c r="B29374" t="s">
        <v>8979</v>
      </c>
    </row>
    <row r="29375" spans="1:2" x14ac:dyDescent="0.25">
      <c r="A29375">
        <v>62033100110</v>
      </c>
      <c r="B29375" t="s">
        <v>8992</v>
      </c>
    </row>
    <row r="29376" spans="1:2" x14ac:dyDescent="0.25">
      <c r="A29376">
        <v>62033100190</v>
      </c>
      <c r="B29376" t="s">
        <v>10</v>
      </c>
    </row>
    <row r="29377" spans="1:2" x14ac:dyDescent="0.25">
      <c r="A29377">
        <v>62033100900</v>
      </c>
      <c r="B29377" t="s">
        <v>10</v>
      </c>
    </row>
    <row r="29378" spans="1:2" x14ac:dyDescent="0.25">
      <c r="A29378">
        <v>62033200</v>
      </c>
      <c r="B29378" t="e">
        <f>- - de algodon</f>
        <v>#NAME?</v>
      </c>
    </row>
    <row r="29379" spans="1:2" x14ac:dyDescent="0.25">
      <c r="A29379">
        <v>62033200100</v>
      </c>
      <c r="B29379" t="s">
        <v>8979</v>
      </c>
    </row>
    <row r="29380" spans="1:2" x14ac:dyDescent="0.25">
      <c r="A29380">
        <v>62033200900</v>
      </c>
      <c r="B29380" t="s">
        <v>10</v>
      </c>
    </row>
    <row r="29381" spans="1:2" x14ac:dyDescent="0.25">
      <c r="A29381">
        <v>62033300</v>
      </c>
      <c r="B29381" t="e">
        <f>- - de fibras sinteticas</f>
        <v>#NAME?</v>
      </c>
    </row>
    <row r="29382" spans="1:2" x14ac:dyDescent="0.25">
      <c r="A29382">
        <v>62033300100</v>
      </c>
      <c r="B29382" t="s">
        <v>8979</v>
      </c>
    </row>
    <row r="29383" spans="1:2" x14ac:dyDescent="0.25">
      <c r="A29383">
        <v>62033300900</v>
      </c>
      <c r="B29383" t="s">
        <v>10</v>
      </c>
    </row>
    <row r="29384" spans="1:2" x14ac:dyDescent="0.25">
      <c r="A29384">
        <v>62033900</v>
      </c>
      <c r="B29384" t="e">
        <f>- - de las demas materias textiles</f>
        <v>#NAME?</v>
      </c>
    </row>
    <row r="29385" spans="1:2" x14ac:dyDescent="0.25">
      <c r="A29385">
        <v>62033900100</v>
      </c>
      <c r="B29385" t="s">
        <v>8979</v>
      </c>
    </row>
    <row r="29386" spans="1:2" x14ac:dyDescent="0.25">
      <c r="A29386">
        <v>62033900900</v>
      </c>
      <c r="B29386" t="s">
        <v>10</v>
      </c>
    </row>
    <row r="29387" spans="1:2" x14ac:dyDescent="0.25">
      <c r="A29387">
        <v>62034</v>
      </c>
      <c r="B29387" t="s">
        <v>8994</v>
      </c>
    </row>
    <row r="29388" spans="1:2" x14ac:dyDescent="0.25">
      <c r="A29388">
        <v>62034100</v>
      </c>
      <c r="B29388" t="e">
        <f>- - de lana o Pelo fino</f>
        <v>#NAME?</v>
      </c>
    </row>
    <row r="29389" spans="1:2" x14ac:dyDescent="0.25">
      <c r="A29389">
        <v>620341001</v>
      </c>
      <c r="B29389" t="s">
        <v>8995</v>
      </c>
    </row>
    <row r="29390" spans="1:2" x14ac:dyDescent="0.25">
      <c r="A29390">
        <v>62034100110</v>
      </c>
      <c r="B29390" t="s">
        <v>8979</v>
      </c>
    </row>
    <row r="29391" spans="1:2" x14ac:dyDescent="0.25">
      <c r="A29391">
        <v>62034100190</v>
      </c>
      <c r="B29391" t="s">
        <v>10</v>
      </c>
    </row>
    <row r="29392" spans="1:2" x14ac:dyDescent="0.25">
      <c r="A29392">
        <v>620341002</v>
      </c>
      <c r="B29392" t="s">
        <v>8996</v>
      </c>
    </row>
    <row r="29393" spans="1:2" x14ac:dyDescent="0.25">
      <c r="A29393">
        <v>62034100210</v>
      </c>
      <c r="B29393" t="s">
        <v>8979</v>
      </c>
    </row>
    <row r="29394" spans="1:2" x14ac:dyDescent="0.25">
      <c r="A29394">
        <v>62034100290</v>
      </c>
      <c r="B29394" t="s">
        <v>10</v>
      </c>
    </row>
    <row r="29395" spans="1:2" x14ac:dyDescent="0.25">
      <c r="A29395">
        <v>620341003</v>
      </c>
      <c r="B29395" t="s">
        <v>8997</v>
      </c>
    </row>
    <row r="29396" spans="1:2" x14ac:dyDescent="0.25">
      <c r="A29396">
        <v>62034100310</v>
      </c>
      <c r="B29396" t="s">
        <v>8979</v>
      </c>
    </row>
    <row r="29397" spans="1:2" x14ac:dyDescent="0.25">
      <c r="A29397">
        <v>62034100390</v>
      </c>
      <c r="B29397" t="s">
        <v>10</v>
      </c>
    </row>
    <row r="29398" spans="1:2" x14ac:dyDescent="0.25">
      <c r="A29398">
        <v>62034200</v>
      </c>
      <c r="B29398" t="e">
        <f>- - de algodon</f>
        <v>#NAME?</v>
      </c>
    </row>
    <row r="29399" spans="1:2" x14ac:dyDescent="0.25">
      <c r="A29399">
        <v>620342001</v>
      </c>
      <c r="B29399" t="s">
        <v>8995</v>
      </c>
    </row>
    <row r="29400" spans="1:2" x14ac:dyDescent="0.25">
      <c r="A29400">
        <v>6203420011</v>
      </c>
      <c r="B29400" t="s">
        <v>9130</v>
      </c>
    </row>
    <row r="29401" spans="1:2" x14ac:dyDescent="0.25">
      <c r="A29401">
        <v>62034200111</v>
      </c>
      <c r="B29401" t="s">
        <v>8979</v>
      </c>
    </row>
    <row r="29402" spans="1:2" x14ac:dyDescent="0.25">
      <c r="A29402">
        <v>62034200119</v>
      </c>
      <c r="B29402" t="s">
        <v>10</v>
      </c>
    </row>
    <row r="29403" spans="1:2" x14ac:dyDescent="0.25">
      <c r="A29403">
        <v>6203420019</v>
      </c>
      <c r="B29403" t="s">
        <v>10</v>
      </c>
    </row>
    <row r="29404" spans="1:2" x14ac:dyDescent="0.25">
      <c r="A29404">
        <v>62034200191</v>
      </c>
      <c r="B29404" t="s">
        <v>8979</v>
      </c>
    </row>
    <row r="29405" spans="1:2" x14ac:dyDescent="0.25">
      <c r="A29405">
        <v>62034200199</v>
      </c>
      <c r="B29405" t="s">
        <v>10</v>
      </c>
    </row>
    <row r="29406" spans="1:2" x14ac:dyDescent="0.25">
      <c r="A29406">
        <v>620342002</v>
      </c>
      <c r="B29406" t="s">
        <v>8996</v>
      </c>
    </row>
    <row r="29407" spans="1:2" x14ac:dyDescent="0.25">
      <c r="A29407">
        <v>6203420021</v>
      </c>
      <c r="B29407" t="s">
        <v>9130</v>
      </c>
    </row>
    <row r="29408" spans="1:2" x14ac:dyDescent="0.25">
      <c r="A29408">
        <v>62034200211</v>
      </c>
      <c r="B29408" t="s">
        <v>8979</v>
      </c>
    </row>
    <row r="29409" spans="1:2" x14ac:dyDescent="0.25">
      <c r="A29409">
        <v>62034200219</v>
      </c>
      <c r="B29409" t="s">
        <v>10</v>
      </c>
    </row>
    <row r="29410" spans="1:2" x14ac:dyDescent="0.25">
      <c r="A29410">
        <v>6203420029</v>
      </c>
      <c r="B29410" t="s">
        <v>10</v>
      </c>
    </row>
    <row r="29411" spans="1:2" x14ac:dyDescent="0.25">
      <c r="A29411">
        <v>62034200291</v>
      </c>
      <c r="B29411" t="s">
        <v>8979</v>
      </c>
    </row>
    <row r="29412" spans="1:2" x14ac:dyDescent="0.25">
      <c r="A29412">
        <v>62034200299</v>
      </c>
      <c r="B29412" t="s">
        <v>10</v>
      </c>
    </row>
    <row r="29413" spans="1:2" x14ac:dyDescent="0.25">
      <c r="A29413">
        <v>620342003</v>
      </c>
      <c r="B29413" t="s">
        <v>8997</v>
      </c>
    </row>
    <row r="29414" spans="1:2" x14ac:dyDescent="0.25">
      <c r="A29414">
        <v>6203420031</v>
      </c>
      <c r="B29414" t="s">
        <v>9130</v>
      </c>
    </row>
    <row r="29415" spans="1:2" x14ac:dyDescent="0.25">
      <c r="A29415">
        <v>62034200311</v>
      </c>
      <c r="B29415" t="s">
        <v>8979</v>
      </c>
    </row>
    <row r="29416" spans="1:2" x14ac:dyDescent="0.25">
      <c r="A29416">
        <v>62034200319</v>
      </c>
      <c r="B29416" t="s">
        <v>10</v>
      </c>
    </row>
    <row r="29417" spans="1:2" x14ac:dyDescent="0.25">
      <c r="A29417">
        <v>6203420039</v>
      </c>
      <c r="B29417" t="s">
        <v>10</v>
      </c>
    </row>
    <row r="29418" spans="1:2" x14ac:dyDescent="0.25">
      <c r="A29418">
        <v>62034200391</v>
      </c>
      <c r="B29418" t="s">
        <v>8979</v>
      </c>
    </row>
    <row r="29419" spans="1:2" x14ac:dyDescent="0.25">
      <c r="A29419">
        <v>62034200399</v>
      </c>
      <c r="B29419" t="s">
        <v>10</v>
      </c>
    </row>
    <row r="29420" spans="1:2" x14ac:dyDescent="0.25">
      <c r="A29420">
        <v>62034300</v>
      </c>
      <c r="B29420" t="e">
        <f>- - de fibras sinteticas</f>
        <v>#NAME?</v>
      </c>
    </row>
    <row r="29421" spans="1:2" x14ac:dyDescent="0.25">
      <c r="A29421">
        <v>620343001</v>
      </c>
      <c r="B29421" t="s">
        <v>8995</v>
      </c>
    </row>
    <row r="29422" spans="1:2" x14ac:dyDescent="0.25">
      <c r="A29422">
        <v>62034300110</v>
      </c>
      <c r="B29422" t="s">
        <v>8979</v>
      </c>
    </row>
    <row r="29423" spans="1:2" x14ac:dyDescent="0.25">
      <c r="A29423">
        <v>62034300190</v>
      </c>
      <c r="B29423" t="s">
        <v>10</v>
      </c>
    </row>
    <row r="29424" spans="1:2" x14ac:dyDescent="0.25">
      <c r="A29424">
        <v>620343002</v>
      </c>
      <c r="B29424" t="s">
        <v>8996</v>
      </c>
    </row>
    <row r="29425" spans="1:2" x14ac:dyDescent="0.25">
      <c r="A29425">
        <v>62034300210</v>
      </c>
      <c r="B29425" t="s">
        <v>8979</v>
      </c>
    </row>
    <row r="29426" spans="1:2" x14ac:dyDescent="0.25">
      <c r="A29426">
        <v>62034300290</v>
      </c>
      <c r="B29426" t="s">
        <v>10</v>
      </c>
    </row>
    <row r="29427" spans="1:2" x14ac:dyDescent="0.25">
      <c r="A29427">
        <v>620343003</v>
      </c>
      <c r="B29427" t="s">
        <v>8997</v>
      </c>
    </row>
    <row r="29428" spans="1:2" x14ac:dyDescent="0.25">
      <c r="A29428">
        <v>62034300310</v>
      </c>
      <c r="B29428" t="s">
        <v>8979</v>
      </c>
    </row>
    <row r="29429" spans="1:2" x14ac:dyDescent="0.25">
      <c r="A29429">
        <v>62034300390</v>
      </c>
      <c r="B29429" t="s">
        <v>10</v>
      </c>
    </row>
    <row r="29430" spans="1:2" x14ac:dyDescent="0.25">
      <c r="A29430">
        <v>62034900</v>
      </c>
      <c r="B29430" t="e">
        <f>- - de las demas materias textiles</f>
        <v>#NAME?</v>
      </c>
    </row>
    <row r="29431" spans="1:2" x14ac:dyDescent="0.25">
      <c r="A29431">
        <v>620349001</v>
      </c>
      <c r="B29431" t="s">
        <v>8995</v>
      </c>
    </row>
    <row r="29432" spans="1:2" x14ac:dyDescent="0.25">
      <c r="A29432">
        <v>62034900110</v>
      </c>
      <c r="B29432" t="s">
        <v>8979</v>
      </c>
    </row>
    <row r="29433" spans="1:2" x14ac:dyDescent="0.25">
      <c r="A29433">
        <v>62034900190</v>
      </c>
      <c r="B29433" t="s">
        <v>10</v>
      </c>
    </row>
    <row r="29434" spans="1:2" x14ac:dyDescent="0.25">
      <c r="A29434">
        <v>620349002</v>
      </c>
      <c r="B29434" t="s">
        <v>8996</v>
      </c>
    </row>
    <row r="29435" spans="1:2" x14ac:dyDescent="0.25">
      <c r="A29435">
        <v>62034900210</v>
      </c>
      <c r="B29435" t="s">
        <v>8979</v>
      </c>
    </row>
    <row r="29436" spans="1:2" x14ac:dyDescent="0.25">
      <c r="A29436">
        <v>62034900290</v>
      </c>
      <c r="B29436" t="s">
        <v>10</v>
      </c>
    </row>
    <row r="29437" spans="1:2" x14ac:dyDescent="0.25">
      <c r="A29437">
        <v>620349003</v>
      </c>
      <c r="B29437" t="s">
        <v>8997</v>
      </c>
    </row>
    <row r="29438" spans="1:2" x14ac:dyDescent="0.25">
      <c r="A29438">
        <v>62034900310</v>
      </c>
      <c r="B29438" t="s">
        <v>8979</v>
      </c>
    </row>
    <row r="29439" spans="1:2" x14ac:dyDescent="0.25">
      <c r="A29439">
        <v>62034900390</v>
      </c>
      <c r="B29439" t="s">
        <v>10</v>
      </c>
    </row>
    <row r="29440" spans="1:2" x14ac:dyDescent="0.25">
      <c r="A29440">
        <v>6204</v>
      </c>
      <c r="B29440" t="s">
        <v>9145</v>
      </c>
    </row>
    <row r="29441" spans="1:2" x14ac:dyDescent="0.25">
      <c r="A29441">
        <v>62041</v>
      </c>
      <c r="B29441" t="s">
        <v>8999</v>
      </c>
    </row>
    <row r="29442" spans="1:2" x14ac:dyDescent="0.25">
      <c r="A29442">
        <v>62041100</v>
      </c>
      <c r="B29442" t="e">
        <f>- - de lana o Pelo fino</f>
        <v>#NAME?</v>
      </c>
    </row>
    <row r="29443" spans="1:2" x14ac:dyDescent="0.25">
      <c r="A29443">
        <v>620411001</v>
      </c>
      <c r="B29443" t="s">
        <v>8979</v>
      </c>
    </row>
    <row r="29444" spans="1:2" x14ac:dyDescent="0.25">
      <c r="A29444">
        <v>62041100110</v>
      </c>
      <c r="B29444" t="s">
        <v>8992</v>
      </c>
    </row>
    <row r="29445" spans="1:2" x14ac:dyDescent="0.25">
      <c r="A29445">
        <v>62041100190</v>
      </c>
      <c r="B29445" t="s">
        <v>10</v>
      </c>
    </row>
    <row r="29446" spans="1:2" x14ac:dyDescent="0.25">
      <c r="A29446">
        <v>62041100900</v>
      </c>
      <c r="B29446" t="s">
        <v>10</v>
      </c>
    </row>
    <row r="29447" spans="1:2" x14ac:dyDescent="0.25">
      <c r="A29447">
        <v>62041200</v>
      </c>
      <c r="B29447" t="e">
        <f>- - de algodon</f>
        <v>#NAME?</v>
      </c>
    </row>
    <row r="29448" spans="1:2" x14ac:dyDescent="0.25">
      <c r="A29448">
        <v>62041200100</v>
      </c>
      <c r="B29448" t="s">
        <v>8979</v>
      </c>
    </row>
    <row r="29449" spans="1:2" x14ac:dyDescent="0.25">
      <c r="A29449">
        <v>62041200900</v>
      </c>
      <c r="B29449" t="s">
        <v>10</v>
      </c>
    </row>
    <row r="29450" spans="1:2" x14ac:dyDescent="0.25">
      <c r="A29450">
        <v>62041300</v>
      </c>
      <c r="B29450" t="e">
        <f>- - de fibras sinteticas</f>
        <v>#NAME?</v>
      </c>
    </row>
    <row r="29451" spans="1:2" x14ac:dyDescent="0.25">
      <c r="A29451">
        <v>62041300100</v>
      </c>
      <c r="B29451" t="s">
        <v>8979</v>
      </c>
    </row>
    <row r="29452" spans="1:2" x14ac:dyDescent="0.25">
      <c r="A29452">
        <v>62041300900</v>
      </c>
      <c r="B29452" t="s">
        <v>10</v>
      </c>
    </row>
    <row r="29453" spans="1:2" x14ac:dyDescent="0.25">
      <c r="A29453">
        <v>62041900</v>
      </c>
      <c r="B29453" t="e">
        <f>- - de las demas materias textiles</f>
        <v>#NAME?</v>
      </c>
    </row>
    <row r="29454" spans="1:2" x14ac:dyDescent="0.25">
      <c r="A29454">
        <v>62041900100</v>
      </c>
      <c r="B29454" t="s">
        <v>8979</v>
      </c>
    </row>
    <row r="29455" spans="1:2" x14ac:dyDescent="0.25">
      <c r="A29455">
        <v>62041900900</v>
      </c>
      <c r="B29455" t="s">
        <v>10</v>
      </c>
    </row>
    <row r="29456" spans="1:2" x14ac:dyDescent="0.25">
      <c r="A29456">
        <v>62042</v>
      </c>
      <c r="B29456" t="s">
        <v>8991</v>
      </c>
    </row>
    <row r="29457" spans="1:2" x14ac:dyDescent="0.25">
      <c r="A29457">
        <v>62042100</v>
      </c>
      <c r="B29457" t="e">
        <f>- - de lana o Pelo fino</f>
        <v>#NAME?</v>
      </c>
    </row>
    <row r="29458" spans="1:2" x14ac:dyDescent="0.25">
      <c r="A29458">
        <v>620421001</v>
      </c>
      <c r="B29458" t="s">
        <v>8979</v>
      </c>
    </row>
    <row r="29459" spans="1:2" x14ac:dyDescent="0.25">
      <c r="A29459">
        <v>62042100110</v>
      </c>
      <c r="B29459" t="s">
        <v>8992</v>
      </c>
    </row>
    <row r="29460" spans="1:2" x14ac:dyDescent="0.25">
      <c r="A29460">
        <v>62042100190</v>
      </c>
      <c r="B29460" t="s">
        <v>10</v>
      </c>
    </row>
    <row r="29461" spans="1:2" x14ac:dyDescent="0.25">
      <c r="A29461">
        <v>62042100900</v>
      </c>
      <c r="B29461" t="s">
        <v>10</v>
      </c>
    </row>
    <row r="29462" spans="1:2" x14ac:dyDescent="0.25">
      <c r="A29462">
        <v>62042200</v>
      </c>
      <c r="B29462" t="e">
        <f>- - de algodon</f>
        <v>#NAME?</v>
      </c>
    </row>
    <row r="29463" spans="1:2" x14ac:dyDescent="0.25">
      <c r="A29463">
        <v>62042200100</v>
      </c>
      <c r="B29463" t="s">
        <v>8979</v>
      </c>
    </row>
    <row r="29464" spans="1:2" x14ac:dyDescent="0.25">
      <c r="A29464">
        <v>62042200900</v>
      </c>
      <c r="B29464" t="s">
        <v>10</v>
      </c>
    </row>
    <row r="29465" spans="1:2" x14ac:dyDescent="0.25">
      <c r="A29465">
        <v>62042300</v>
      </c>
      <c r="B29465" t="e">
        <f>- - de fibras sinteticas</f>
        <v>#NAME?</v>
      </c>
    </row>
    <row r="29466" spans="1:2" x14ac:dyDescent="0.25">
      <c r="A29466">
        <v>62042300100</v>
      </c>
      <c r="B29466" t="s">
        <v>8979</v>
      </c>
    </row>
    <row r="29467" spans="1:2" x14ac:dyDescent="0.25">
      <c r="A29467">
        <v>62042300900</v>
      </c>
      <c r="B29467" t="s">
        <v>10</v>
      </c>
    </row>
    <row r="29468" spans="1:2" x14ac:dyDescent="0.25">
      <c r="A29468">
        <v>62042900</v>
      </c>
      <c r="B29468" t="e">
        <f>- - de las demas materias textiles</f>
        <v>#NAME?</v>
      </c>
    </row>
    <row r="29469" spans="1:2" x14ac:dyDescent="0.25">
      <c r="A29469">
        <v>62042900100</v>
      </c>
      <c r="B29469" t="s">
        <v>8979</v>
      </c>
    </row>
    <row r="29470" spans="1:2" x14ac:dyDescent="0.25">
      <c r="A29470">
        <v>62042900900</v>
      </c>
      <c r="B29470" t="s">
        <v>10</v>
      </c>
    </row>
    <row r="29471" spans="1:2" x14ac:dyDescent="0.25">
      <c r="A29471">
        <v>62043</v>
      </c>
      <c r="B29471" t="s">
        <v>8993</v>
      </c>
    </row>
    <row r="29472" spans="1:2" x14ac:dyDescent="0.25">
      <c r="A29472">
        <v>62043100</v>
      </c>
      <c r="B29472" t="e">
        <f>- - de lana o Pelo fino</f>
        <v>#NAME?</v>
      </c>
    </row>
    <row r="29473" spans="1:2" x14ac:dyDescent="0.25">
      <c r="A29473">
        <v>620431001</v>
      </c>
      <c r="B29473" t="s">
        <v>8979</v>
      </c>
    </row>
    <row r="29474" spans="1:2" x14ac:dyDescent="0.25">
      <c r="A29474">
        <v>62043100110</v>
      </c>
      <c r="B29474" t="s">
        <v>8992</v>
      </c>
    </row>
    <row r="29475" spans="1:2" x14ac:dyDescent="0.25">
      <c r="A29475">
        <v>62043100190</v>
      </c>
      <c r="B29475" t="s">
        <v>10</v>
      </c>
    </row>
    <row r="29476" spans="1:2" x14ac:dyDescent="0.25">
      <c r="A29476">
        <v>62043100900</v>
      </c>
      <c r="B29476" t="s">
        <v>10</v>
      </c>
    </row>
    <row r="29477" spans="1:2" x14ac:dyDescent="0.25">
      <c r="A29477">
        <v>62043200</v>
      </c>
      <c r="B29477" t="e">
        <f>- - de algodon</f>
        <v>#NAME?</v>
      </c>
    </row>
    <row r="29478" spans="1:2" x14ac:dyDescent="0.25">
      <c r="A29478">
        <v>62043200100</v>
      </c>
      <c r="B29478" t="s">
        <v>8979</v>
      </c>
    </row>
    <row r="29479" spans="1:2" x14ac:dyDescent="0.25">
      <c r="A29479">
        <v>62043200900</v>
      </c>
      <c r="B29479" t="s">
        <v>10</v>
      </c>
    </row>
    <row r="29480" spans="1:2" x14ac:dyDescent="0.25">
      <c r="A29480">
        <v>62043300</v>
      </c>
      <c r="B29480" t="e">
        <f>- - de fibras sinteticas</f>
        <v>#NAME?</v>
      </c>
    </row>
    <row r="29481" spans="1:2" x14ac:dyDescent="0.25">
      <c r="A29481">
        <v>62043300100</v>
      </c>
      <c r="B29481" t="s">
        <v>8979</v>
      </c>
    </row>
    <row r="29482" spans="1:2" x14ac:dyDescent="0.25">
      <c r="A29482">
        <v>62043300900</v>
      </c>
      <c r="B29482" t="s">
        <v>10</v>
      </c>
    </row>
    <row r="29483" spans="1:2" x14ac:dyDescent="0.25">
      <c r="A29483">
        <v>62043900</v>
      </c>
      <c r="B29483" t="e">
        <f>- - de las demas materias textiles</f>
        <v>#NAME?</v>
      </c>
    </row>
    <row r="29484" spans="1:2" x14ac:dyDescent="0.25">
      <c r="A29484">
        <v>62043900100</v>
      </c>
      <c r="B29484" t="s">
        <v>8979</v>
      </c>
    </row>
    <row r="29485" spans="1:2" x14ac:dyDescent="0.25">
      <c r="A29485">
        <v>62043900900</v>
      </c>
      <c r="B29485" t="s">
        <v>10</v>
      </c>
    </row>
    <row r="29486" spans="1:2" x14ac:dyDescent="0.25">
      <c r="A29486">
        <v>62044</v>
      </c>
      <c r="B29486" t="s">
        <v>9000</v>
      </c>
    </row>
    <row r="29487" spans="1:2" x14ac:dyDescent="0.25">
      <c r="A29487">
        <v>62044100</v>
      </c>
      <c r="B29487" t="e">
        <f>- - de lana o Pelo fino</f>
        <v>#NAME?</v>
      </c>
    </row>
    <row r="29488" spans="1:2" x14ac:dyDescent="0.25">
      <c r="A29488">
        <v>620441001</v>
      </c>
      <c r="B29488" t="s">
        <v>9001</v>
      </c>
    </row>
    <row r="29489" spans="1:2" x14ac:dyDescent="0.25">
      <c r="A29489">
        <v>6204410011</v>
      </c>
      <c r="B29489" t="s">
        <v>9002</v>
      </c>
    </row>
    <row r="29490" spans="1:2" x14ac:dyDescent="0.25">
      <c r="A29490">
        <v>62044100111</v>
      </c>
      <c r="B29490" t="s">
        <v>8979</v>
      </c>
    </row>
    <row r="29491" spans="1:2" x14ac:dyDescent="0.25">
      <c r="A29491">
        <v>62044100119</v>
      </c>
      <c r="B29491" t="s">
        <v>10</v>
      </c>
    </row>
    <row r="29492" spans="1:2" x14ac:dyDescent="0.25">
      <c r="A29492">
        <v>6204410019</v>
      </c>
      <c r="B29492" t="s">
        <v>10</v>
      </c>
    </row>
    <row r="29493" spans="1:2" x14ac:dyDescent="0.25">
      <c r="A29493">
        <v>62044100191</v>
      </c>
      <c r="B29493" t="s">
        <v>8979</v>
      </c>
    </row>
    <row r="29494" spans="1:2" x14ac:dyDescent="0.25">
      <c r="A29494">
        <v>62044100199</v>
      </c>
      <c r="B29494" t="s">
        <v>10</v>
      </c>
    </row>
    <row r="29495" spans="1:2" x14ac:dyDescent="0.25">
      <c r="A29495">
        <v>620441002</v>
      </c>
      <c r="B29495" t="s">
        <v>9003</v>
      </c>
    </row>
    <row r="29496" spans="1:2" x14ac:dyDescent="0.25">
      <c r="A29496">
        <v>6204410021</v>
      </c>
      <c r="B29496" t="s">
        <v>9002</v>
      </c>
    </row>
    <row r="29497" spans="1:2" x14ac:dyDescent="0.25">
      <c r="A29497">
        <v>62044100211</v>
      </c>
      <c r="B29497" t="s">
        <v>8979</v>
      </c>
    </row>
    <row r="29498" spans="1:2" x14ac:dyDescent="0.25">
      <c r="A29498">
        <v>62044100219</v>
      </c>
      <c r="B29498" t="s">
        <v>10</v>
      </c>
    </row>
    <row r="29499" spans="1:2" x14ac:dyDescent="0.25">
      <c r="A29499">
        <v>6204410029</v>
      </c>
      <c r="B29499" t="s">
        <v>10</v>
      </c>
    </row>
    <row r="29500" spans="1:2" x14ac:dyDescent="0.25">
      <c r="A29500">
        <v>62044100291</v>
      </c>
      <c r="B29500" t="s">
        <v>8979</v>
      </c>
    </row>
    <row r="29501" spans="1:2" x14ac:dyDescent="0.25">
      <c r="A29501">
        <v>62044100299</v>
      </c>
      <c r="B29501" t="s">
        <v>10</v>
      </c>
    </row>
    <row r="29502" spans="1:2" x14ac:dyDescent="0.25">
      <c r="A29502">
        <v>62044200</v>
      </c>
      <c r="B29502" t="e">
        <f>- - de algodon</f>
        <v>#NAME?</v>
      </c>
    </row>
    <row r="29503" spans="1:2" x14ac:dyDescent="0.25">
      <c r="A29503">
        <v>620442001</v>
      </c>
      <c r="B29503" t="s">
        <v>9001</v>
      </c>
    </row>
    <row r="29504" spans="1:2" x14ac:dyDescent="0.25">
      <c r="A29504">
        <v>6204420011</v>
      </c>
      <c r="B29504" t="s">
        <v>9002</v>
      </c>
    </row>
    <row r="29505" spans="1:2" x14ac:dyDescent="0.25">
      <c r="A29505">
        <v>62044200111</v>
      </c>
      <c r="B29505" t="s">
        <v>8979</v>
      </c>
    </row>
    <row r="29506" spans="1:2" x14ac:dyDescent="0.25">
      <c r="A29506">
        <v>62044200119</v>
      </c>
      <c r="B29506" t="s">
        <v>10</v>
      </c>
    </row>
    <row r="29507" spans="1:2" x14ac:dyDescent="0.25">
      <c r="A29507">
        <v>6204420019</v>
      </c>
      <c r="B29507" t="s">
        <v>10</v>
      </c>
    </row>
    <row r="29508" spans="1:2" x14ac:dyDescent="0.25">
      <c r="A29508">
        <v>62044200191</v>
      </c>
      <c r="B29508" t="s">
        <v>8979</v>
      </c>
    </row>
    <row r="29509" spans="1:2" x14ac:dyDescent="0.25">
      <c r="A29509">
        <v>62044200199</v>
      </c>
      <c r="B29509" t="s">
        <v>10</v>
      </c>
    </row>
    <row r="29510" spans="1:2" x14ac:dyDescent="0.25">
      <c r="A29510">
        <v>620442002</v>
      </c>
      <c r="B29510" t="s">
        <v>9003</v>
      </c>
    </row>
    <row r="29511" spans="1:2" x14ac:dyDescent="0.25">
      <c r="A29511">
        <v>6204420021</v>
      </c>
      <c r="B29511" t="s">
        <v>9146</v>
      </c>
    </row>
    <row r="29512" spans="1:2" x14ac:dyDescent="0.25">
      <c r="A29512">
        <v>62044200211</v>
      </c>
      <c r="B29512" t="s">
        <v>8979</v>
      </c>
    </row>
    <row r="29513" spans="1:2" x14ac:dyDescent="0.25">
      <c r="A29513">
        <v>62044200219</v>
      </c>
      <c r="B29513" t="s">
        <v>10</v>
      </c>
    </row>
    <row r="29514" spans="1:2" x14ac:dyDescent="0.25">
      <c r="A29514">
        <v>6204420029</v>
      </c>
      <c r="B29514" t="s">
        <v>10</v>
      </c>
    </row>
    <row r="29515" spans="1:2" x14ac:dyDescent="0.25">
      <c r="A29515">
        <v>62044200291</v>
      </c>
      <c r="B29515" t="s">
        <v>8979</v>
      </c>
    </row>
    <row r="29516" spans="1:2" x14ac:dyDescent="0.25">
      <c r="A29516">
        <v>62044200299</v>
      </c>
      <c r="B29516" t="s">
        <v>10</v>
      </c>
    </row>
    <row r="29517" spans="1:2" x14ac:dyDescent="0.25">
      <c r="A29517">
        <v>62044300</v>
      </c>
      <c r="B29517" t="e">
        <f>- - de fibras sinteticas</f>
        <v>#NAME?</v>
      </c>
    </row>
    <row r="29518" spans="1:2" x14ac:dyDescent="0.25">
      <c r="A29518">
        <v>620443001</v>
      </c>
      <c r="B29518" t="s">
        <v>9001</v>
      </c>
    </row>
    <row r="29519" spans="1:2" x14ac:dyDescent="0.25">
      <c r="A29519">
        <v>6204430011</v>
      </c>
      <c r="B29519" t="s">
        <v>9002</v>
      </c>
    </row>
    <row r="29520" spans="1:2" x14ac:dyDescent="0.25">
      <c r="A29520">
        <v>62044300111</v>
      </c>
      <c r="B29520" t="s">
        <v>8979</v>
      </c>
    </row>
    <row r="29521" spans="1:2" x14ac:dyDescent="0.25">
      <c r="A29521">
        <v>62044300119</v>
      </c>
      <c r="B29521" t="s">
        <v>10</v>
      </c>
    </row>
    <row r="29522" spans="1:2" x14ac:dyDescent="0.25">
      <c r="A29522">
        <v>6204430019</v>
      </c>
      <c r="B29522" t="s">
        <v>10</v>
      </c>
    </row>
    <row r="29523" spans="1:2" x14ac:dyDescent="0.25">
      <c r="A29523">
        <v>62044300191</v>
      </c>
      <c r="B29523" t="s">
        <v>8979</v>
      </c>
    </row>
    <row r="29524" spans="1:2" x14ac:dyDescent="0.25">
      <c r="A29524">
        <v>62044300199</v>
      </c>
      <c r="B29524" t="s">
        <v>10</v>
      </c>
    </row>
    <row r="29525" spans="1:2" x14ac:dyDescent="0.25">
      <c r="A29525">
        <v>620443002</v>
      </c>
      <c r="B29525" t="s">
        <v>9003</v>
      </c>
    </row>
    <row r="29526" spans="1:2" x14ac:dyDescent="0.25">
      <c r="A29526">
        <v>6204430021</v>
      </c>
      <c r="B29526" t="s">
        <v>9002</v>
      </c>
    </row>
    <row r="29527" spans="1:2" x14ac:dyDescent="0.25">
      <c r="A29527">
        <v>62044300211</v>
      </c>
      <c r="B29527" t="s">
        <v>8979</v>
      </c>
    </row>
    <row r="29528" spans="1:2" x14ac:dyDescent="0.25">
      <c r="A29528">
        <v>62044300219</v>
      </c>
      <c r="B29528" t="s">
        <v>10</v>
      </c>
    </row>
    <row r="29529" spans="1:2" x14ac:dyDescent="0.25">
      <c r="A29529">
        <v>6204430029</v>
      </c>
      <c r="B29529" t="s">
        <v>10</v>
      </c>
    </row>
    <row r="29530" spans="1:2" x14ac:dyDescent="0.25">
      <c r="A29530">
        <v>62044300291</v>
      </c>
      <c r="B29530" t="s">
        <v>8979</v>
      </c>
    </row>
    <row r="29531" spans="1:2" x14ac:dyDescent="0.25">
      <c r="A29531">
        <v>62044300299</v>
      </c>
      <c r="B29531" t="s">
        <v>10</v>
      </c>
    </row>
    <row r="29532" spans="1:2" x14ac:dyDescent="0.25">
      <c r="A29532">
        <v>62044400</v>
      </c>
      <c r="B29532" t="e">
        <f>- - de fibras artificiales</f>
        <v>#NAME?</v>
      </c>
    </row>
    <row r="29533" spans="1:2" x14ac:dyDescent="0.25">
      <c r="A29533">
        <v>620444001</v>
      </c>
      <c r="B29533" t="s">
        <v>9001</v>
      </c>
    </row>
    <row r="29534" spans="1:2" x14ac:dyDescent="0.25">
      <c r="A29534">
        <v>6204440011</v>
      </c>
      <c r="B29534" t="s">
        <v>9002</v>
      </c>
    </row>
    <row r="29535" spans="1:2" x14ac:dyDescent="0.25">
      <c r="A29535">
        <v>62044400111</v>
      </c>
      <c r="B29535" t="s">
        <v>8979</v>
      </c>
    </row>
    <row r="29536" spans="1:2" x14ac:dyDescent="0.25">
      <c r="A29536">
        <v>62044400119</v>
      </c>
      <c r="B29536" t="s">
        <v>10</v>
      </c>
    </row>
    <row r="29537" spans="1:2" x14ac:dyDescent="0.25">
      <c r="A29537">
        <v>6204440019</v>
      </c>
      <c r="B29537" t="s">
        <v>10</v>
      </c>
    </row>
    <row r="29538" spans="1:2" x14ac:dyDescent="0.25">
      <c r="A29538">
        <v>62044400191</v>
      </c>
      <c r="B29538" t="s">
        <v>8979</v>
      </c>
    </row>
    <row r="29539" spans="1:2" x14ac:dyDescent="0.25">
      <c r="A29539">
        <v>62044400199</v>
      </c>
      <c r="B29539" t="s">
        <v>10</v>
      </c>
    </row>
    <row r="29540" spans="1:2" x14ac:dyDescent="0.25">
      <c r="A29540">
        <v>620444002</v>
      </c>
      <c r="B29540" t="s">
        <v>9003</v>
      </c>
    </row>
    <row r="29541" spans="1:2" x14ac:dyDescent="0.25">
      <c r="A29541">
        <v>6204440021</v>
      </c>
      <c r="B29541" t="s">
        <v>9002</v>
      </c>
    </row>
    <row r="29542" spans="1:2" x14ac:dyDescent="0.25">
      <c r="A29542">
        <v>62044400211</v>
      </c>
      <c r="B29542" t="s">
        <v>8979</v>
      </c>
    </row>
    <row r="29543" spans="1:2" x14ac:dyDescent="0.25">
      <c r="A29543">
        <v>62044400219</v>
      </c>
      <c r="B29543" t="s">
        <v>10</v>
      </c>
    </row>
    <row r="29544" spans="1:2" x14ac:dyDescent="0.25">
      <c r="A29544">
        <v>6204440029</v>
      </c>
      <c r="B29544" t="s">
        <v>10</v>
      </c>
    </row>
    <row r="29545" spans="1:2" x14ac:dyDescent="0.25">
      <c r="A29545">
        <v>62044400291</v>
      </c>
      <c r="B29545" t="s">
        <v>8979</v>
      </c>
    </row>
    <row r="29546" spans="1:2" x14ac:dyDescent="0.25">
      <c r="A29546">
        <v>62044400299</v>
      </c>
      <c r="B29546" t="s">
        <v>10</v>
      </c>
    </row>
    <row r="29547" spans="1:2" x14ac:dyDescent="0.25">
      <c r="A29547">
        <v>62044900</v>
      </c>
      <c r="B29547" t="e">
        <f>- - de las demas materias textiles</f>
        <v>#NAME?</v>
      </c>
    </row>
    <row r="29548" spans="1:2" x14ac:dyDescent="0.25">
      <c r="A29548">
        <v>620449001</v>
      </c>
      <c r="B29548" t="s">
        <v>9001</v>
      </c>
    </row>
    <row r="29549" spans="1:2" x14ac:dyDescent="0.25">
      <c r="A29549">
        <v>6204490011</v>
      </c>
      <c r="B29549" t="s">
        <v>9002</v>
      </c>
    </row>
    <row r="29550" spans="1:2" x14ac:dyDescent="0.25">
      <c r="A29550">
        <v>62044900111</v>
      </c>
      <c r="B29550" t="s">
        <v>8979</v>
      </c>
    </row>
    <row r="29551" spans="1:2" x14ac:dyDescent="0.25">
      <c r="A29551">
        <v>62044900119</v>
      </c>
      <c r="B29551" t="s">
        <v>10</v>
      </c>
    </row>
    <row r="29552" spans="1:2" x14ac:dyDescent="0.25">
      <c r="A29552">
        <v>6204490019</v>
      </c>
      <c r="B29552" t="s">
        <v>10</v>
      </c>
    </row>
    <row r="29553" spans="1:2" x14ac:dyDescent="0.25">
      <c r="A29553">
        <v>62044900191</v>
      </c>
      <c r="B29553" t="s">
        <v>8979</v>
      </c>
    </row>
    <row r="29554" spans="1:2" x14ac:dyDescent="0.25">
      <c r="A29554">
        <v>62044900199</v>
      </c>
      <c r="B29554" t="s">
        <v>10</v>
      </c>
    </row>
    <row r="29555" spans="1:2" x14ac:dyDescent="0.25">
      <c r="A29555">
        <v>620449002</v>
      </c>
      <c r="B29555" t="s">
        <v>9003</v>
      </c>
    </row>
    <row r="29556" spans="1:2" x14ac:dyDescent="0.25">
      <c r="A29556">
        <v>6204490021</v>
      </c>
      <c r="B29556" t="s">
        <v>9002</v>
      </c>
    </row>
    <row r="29557" spans="1:2" x14ac:dyDescent="0.25">
      <c r="A29557">
        <v>62044900211</v>
      </c>
      <c r="B29557" t="s">
        <v>8979</v>
      </c>
    </row>
    <row r="29558" spans="1:2" x14ac:dyDescent="0.25">
      <c r="A29558">
        <v>62044900219</v>
      </c>
      <c r="B29558" t="s">
        <v>10</v>
      </c>
    </row>
    <row r="29559" spans="1:2" x14ac:dyDescent="0.25">
      <c r="A29559">
        <v>6204490029</v>
      </c>
      <c r="B29559" t="s">
        <v>10</v>
      </c>
    </row>
    <row r="29560" spans="1:2" x14ac:dyDescent="0.25">
      <c r="A29560">
        <v>62044900291</v>
      </c>
      <c r="B29560" t="s">
        <v>8979</v>
      </c>
    </row>
    <row r="29561" spans="1:2" x14ac:dyDescent="0.25">
      <c r="A29561">
        <v>62044900299</v>
      </c>
      <c r="B29561" t="s">
        <v>10</v>
      </c>
    </row>
    <row r="29562" spans="1:2" x14ac:dyDescent="0.25">
      <c r="A29562">
        <v>62045</v>
      </c>
      <c r="B29562" t="s">
        <v>9004</v>
      </c>
    </row>
    <row r="29563" spans="1:2" x14ac:dyDescent="0.25">
      <c r="A29563">
        <v>62045100</v>
      </c>
      <c r="B29563" t="e">
        <f>- - de lana o Pelo fino</f>
        <v>#NAME?</v>
      </c>
    </row>
    <row r="29564" spans="1:2" x14ac:dyDescent="0.25">
      <c r="A29564">
        <v>620451001</v>
      </c>
      <c r="B29564" t="s">
        <v>9001</v>
      </c>
    </row>
    <row r="29565" spans="1:2" x14ac:dyDescent="0.25">
      <c r="A29565">
        <v>6204510011</v>
      </c>
      <c r="B29565" t="s">
        <v>9002</v>
      </c>
    </row>
    <row r="29566" spans="1:2" x14ac:dyDescent="0.25">
      <c r="A29566">
        <v>62045100111</v>
      </c>
      <c r="B29566" t="s">
        <v>8979</v>
      </c>
    </row>
    <row r="29567" spans="1:2" x14ac:dyDescent="0.25">
      <c r="A29567">
        <v>62045100119</v>
      </c>
      <c r="B29567" t="s">
        <v>10</v>
      </c>
    </row>
    <row r="29568" spans="1:2" x14ac:dyDescent="0.25">
      <c r="A29568">
        <v>6204510019</v>
      </c>
      <c r="B29568" t="s">
        <v>10</v>
      </c>
    </row>
    <row r="29569" spans="1:2" x14ac:dyDescent="0.25">
      <c r="A29569">
        <v>62045100191</v>
      </c>
      <c r="B29569" t="s">
        <v>8979</v>
      </c>
    </row>
    <row r="29570" spans="1:2" x14ac:dyDescent="0.25">
      <c r="A29570">
        <v>62045100199</v>
      </c>
      <c r="B29570" t="s">
        <v>10</v>
      </c>
    </row>
    <row r="29571" spans="1:2" x14ac:dyDescent="0.25">
      <c r="A29571">
        <v>620451002</v>
      </c>
      <c r="B29571" t="s">
        <v>9003</v>
      </c>
    </row>
    <row r="29572" spans="1:2" x14ac:dyDescent="0.25">
      <c r="A29572">
        <v>6204510021</v>
      </c>
      <c r="B29572" t="s">
        <v>9002</v>
      </c>
    </row>
    <row r="29573" spans="1:2" x14ac:dyDescent="0.25">
      <c r="A29573">
        <v>62045100211</v>
      </c>
      <c r="B29573" t="s">
        <v>8979</v>
      </c>
    </row>
    <row r="29574" spans="1:2" x14ac:dyDescent="0.25">
      <c r="A29574">
        <v>62045100219</v>
      </c>
      <c r="B29574" t="s">
        <v>10</v>
      </c>
    </row>
    <row r="29575" spans="1:2" x14ac:dyDescent="0.25">
      <c r="A29575">
        <v>6204510029</v>
      </c>
      <c r="B29575" t="s">
        <v>10</v>
      </c>
    </row>
    <row r="29576" spans="1:2" x14ac:dyDescent="0.25">
      <c r="A29576">
        <v>62045100291</v>
      </c>
      <c r="B29576" t="s">
        <v>8979</v>
      </c>
    </row>
    <row r="29577" spans="1:2" x14ac:dyDescent="0.25">
      <c r="A29577">
        <v>62045100299</v>
      </c>
      <c r="B29577" t="s">
        <v>10</v>
      </c>
    </row>
    <row r="29578" spans="1:2" x14ac:dyDescent="0.25">
      <c r="A29578">
        <v>62045200</v>
      </c>
      <c r="B29578" t="e">
        <f>- - de algodon</f>
        <v>#NAME?</v>
      </c>
    </row>
    <row r="29579" spans="1:2" x14ac:dyDescent="0.25">
      <c r="A29579">
        <v>620452001</v>
      </c>
      <c r="B29579" t="s">
        <v>9001</v>
      </c>
    </row>
    <row r="29580" spans="1:2" x14ac:dyDescent="0.25">
      <c r="A29580">
        <v>6204520011</v>
      </c>
      <c r="B29580" t="s">
        <v>9002</v>
      </c>
    </row>
    <row r="29581" spans="1:2" x14ac:dyDescent="0.25">
      <c r="A29581">
        <v>62045200111</v>
      </c>
      <c r="B29581" t="s">
        <v>8979</v>
      </c>
    </row>
    <row r="29582" spans="1:2" x14ac:dyDescent="0.25">
      <c r="A29582">
        <v>62045200119</v>
      </c>
      <c r="B29582" t="s">
        <v>10</v>
      </c>
    </row>
    <row r="29583" spans="1:2" x14ac:dyDescent="0.25">
      <c r="A29583">
        <v>6204520019</v>
      </c>
      <c r="B29583" t="s">
        <v>10</v>
      </c>
    </row>
    <row r="29584" spans="1:2" x14ac:dyDescent="0.25">
      <c r="A29584">
        <v>62045200191</v>
      </c>
      <c r="B29584" t="s">
        <v>8979</v>
      </c>
    </row>
    <row r="29585" spans="1:2" x14ac:dyDescent="0.25">
      <c r="A29585">
        <v>62045200199</v>
      </c>
      <c r="B29585" t="s">
        <v>10</v>
      </c>
    </row>
    <row r="29586" spans="1:2" x14ac:dyDescent="0.25">
      <c r="A29586">
        <v>620452002</v>
      </c>
      <c r="B29586" t="s">
        <v>9003</v>
      </c>
    </row>
    <row r="29587" spans="1:2" x14ac:dyDescent="0.25">
      <c r="A29587">
        <v>6204520021</v>
      </c>
      <c r="B29587" t="s">
        <v>9002</v>
      </c>
    </row>
    <row r="29588" spans="1:2" x14ac:dyDescent="0.25">
      <c r="A29588">
        <v>62045200211</v>
      </c>
      <c r="B29588" t="s">
        <v>8979</v>
      </c>
    </row>
    <row r="29589" spans="1:2" x14ac:dyDescent="0.25">
      <c r="A29589">
        <v>62045200219</v>
      </c>
      <c r="B29589" t="s">
        <v>10</v>
      </c>
    </row>
    <row r="29590" spans="1:2" x14ac:dyDescent="0.25">
      <c r="A29590">
        <v>6204520029</v>
      </c>
      <c r="B29590" t="s">
        <v>10</v>
      </c>
    </row>
    <row r="29591" spans="1:2" x14ac:dyDescent="0.25">
      <c r="A29591">
        <v>62045200291</v>
      </c>
      <c r="B29591" t="s">
        <v>8979</v>
      </c>
    </row>
    <row r="29592" spans="1:2" x14ac:dyDescent="0.25">
      <c r="A29592">
        <v>62045200299</v>
      </c>
      <c r="B29592" t="s">
        <v>10</v>
      </c>
    </row>
    <row r="29593" spans="1:2" x14ac:dyDescent="0.25">
      <c r="A29593">
        <v>62045300</v>
      </c>
      <c r="B29593" t="e">
        <f>- - de fibras sinteticas</f>
        <v>#NAME?</v>
      </c>
    </row>
    <row r="29594" spans="1:2" x14ac:dyDescent="0.25">
      <c r="A29594">
        <v>620453001</v>
      </c>
      <c r="B29594" t="s">
        <v>9001</v>
      </c>
    </row>
    <row r="29595" spans="1:2" x14ac:dyDescent="0.25">
      <c r="A29595">
        <v>6204530011</v>
      </c>
      <c r="B29595" t="s">
        <v>9002</v>
      </c>
    </row>
    <row r="29596" spans="1:2" x14ac:dyDescent="0.25">
      <c r="A29596">
        <v>62045300111</v>
      </c>
      <c r="B29596" t="s">
        <v>8979</v>
      </c>
    </row>
    <row r="29597" spans="1:2" x14ac:dyDescent="0.25">
      <c r="A29597">
        <v>62045300119</v>
      </c>
      <c r="B29597" t="s">
        <v>10</v>
      </c>
    </row>
    <row r="29598" spans="1:2" x14ac:dyDescent="0.25">
      <c r="A29598">
        <v>6204530019</v>
      </c>
      <c r="B29598" t="s">
        <v>10</v>
      </c>
    </row>
    <row r="29599" spans="1:2" x14ac:dyDescent="0.25">
      <c r="A29599">
        <v>62045300191</v>
      </c>
      <c r="B29599" t="s">
        <v>8979</v>
      </c>
    </row>
    <row r="29600" spans="1:2" x14ac:dyDescent="0.25">
      <c r="A29600">
        <v>62045300199</v>
      </c>
      <c r="B29600" t="s">
        <v>10</v>
      </c>
    </row>
    <row r="29601" spans="1:2" x14ac:dyDescent="0.25">
      <c r="A29601">
        <v>620453002</v>
      </c>
      <c r="B29601" t="s">
        <v>9003</v>
      </c>
    </row>
    <row r="29602" spans="1:2" x14ac:dyDescent="0.25">
      <c r="A29602">
        <v>6204530021</v>
      </c>
      <c r="B29602" t="s">
        <v>9002</v>
      </c>
    </row>
    <row r="29603" spans="1:2" x14ac:dyDescent="0.25">
      <c r="A29603">
        <v>62045300211</v>
      </c>
      <c r="B29603" t="s">
        <v>8979</v>
      </c>
    </row>
    <row r="29604" spans="1:2" x14ac:dyDescent="0.25">
      <c r="A29604">
        <v>62045300219</v>
      </c>
      <c r="B29604" t="s">
        <v>10</v>
      </c>
    </row>
    <row r="29605" spans="1:2" x14ac:dyDescent="0.25">
      <c r="A29605">
        <v>6204530029</v>
      </c>
      <c r="B29605" t="s">
        <v>10</v>
      </c>
    </row>
    <row r="29606" spans="1:2" x14ac:dyDescent="0.25">
      <c r="A29606">
        <v>62045300291</v>
      </c>
      <c r="B29606" t="s">
        <v>8979</v>
      </c>
    </row>
    <row r="29607" spans="1:2" x14ac:dyDescent="0.25">
      <c r="A29607">
        <v>62045300299</v>
      </c>
      <c r="B29607" t="s">
        <v>10</v>
      </c>
    </row>
    <row r="29608" spans="1:2" x14ac:dyDescent="0.25">
      <c r="A29608">
        <v>62045900</v>
      </c>
      <c r="B29608" t="e">
        <f>- - de las demas materias textiles</f>
        <v>#NAME?</v>
      </c>
    </row>
    <row r="29609" spans="1:2" x14ac:dyDescent="0.25">
      <c r="A29609">
        <v>620459001</v>
      </c>
      <c r="B29609" t="s">
        <v>9001</v>
      </c>
    </row>
    <row r="29610" spans="1:2" x14ac:dyDescent="0.25">
      <c r="A29610">
        <v>6204590011</v>
      </c>
      <c r="B29610" t="s">
        <v>9002</v>
      </c>
    </row>
    <row r="29611" spans="1:2" x14ac:dyDescent="0.25">
      <c r="A29611">
        <v>62045900111</v>
      </c>
      <c r="B29611" t="s">
        <v>8979</v>
      </c>
    </row>
    <row r="29612" spans="1:2" x14ac:dyDescent="0.25">
      <c r="A29612">
        <v>62045900119</v>
      </c>
      <c r="B29612" t="s">
        <v>10</v>
      </c>
    </row>
    <row r="29613" spans="1:2" x14ac:dyDescent="0.25">
      <c r="A29613">
        <v>6204590019</v>
      </c>
      <c r="B29613" t="s">
        <v>10</v>
      </c>
    </row>
    <row r="29614" spans="1:2" x14ac:dyDescent="0.25">
      <c r="A29614">
        <v>62045900191</v>
      </c>
      <c r="B29614" t="s">
        <v>8979</v>
      </c>
    </row>
    <row r="29615" spans="1:2" x14ac:dyDescent="0.25">
      <c r="A29615">
        <v>62045900199</v>
      </c>
      <c r="B29615" t="s">
        <v>10</v>
      </c>
    </row>
    <row r="29616" spans="1:2" x14ac:dyDescent="0.25">
      <c r="A29616">
        <v>620459002</v>
      </c>
      <c r="B29616" t="s">
        <v>9003</v>
      </c>
    </row>
    <row r="29617" spans="1:2" x14ac:dyDescent="0.25">
      <c r="A29617">
        <v>6204590021</v>
      </c>
      <c r="B29617" t="s">
        <v>9002</v>
      </c>
    </row>
    <row r="29618" spans="1:2" x14ac:dyDescent="0.25">
      <c r="A29618">
        <v>62045900211</v>
      </c>
      <c r="B29618" t="s">
        <v>8979</v>
      </c>
    </row>
    <row r="29619" spans="1:2" x14ac:dyDescent="0.25">
      <c r="A29619">
        <v>62045900219</v>
      </c>
      <c r="B29619" t="s">
        <v>10</v>
      </c>
    </row>
    <row r="29620" spans="1:2" x14ac:dyDescent="0.25">
      <c r="A29620">
        <v>6204590029</v>
      </c>
      <c r="B29620" t="s">
        <v>10</v>
      </c>
    </row>
    <row r="29621" spans="1:2" x14ac:dyDescent="0.25">
      <c r="A29621">
        <v>62045900291</v>
      </c>
      <c r="B29621" t="s">
        <v>8979</v>
      </c>
    </row>
    <row r="29622" spans="1:2" x14ac:dyDescent="0.25">
      <c r="A29622">
        <v>62045900299</v>
      </c>
      <c r="B29622" t="s">
        <v>10</v>
      </c>
    </row>
    <row r="29623" spans="1:2" x14ac:dyDescent="0.25">
      <c r="A29623">
        <v>62046</v>
      </c>
      <c r="B29623" t="s">
        <v>8994</v>
      </c>
    </row>
    <row r="29624" spans="1:2" x14ac:dyDescent="0.25">
      <c r="A29624">
        <v>62046100</v>
      </c>
      <c r="B29624" t="e">
        <f>- - de lana o Pelo fino</f>
        <v>#NAME?</v>
      </c>
    </row>
    <row r="29625" spans="1:2" x14ac:dyDescent="0.25">
      <c r="A29625">
        <v>620461001</v>
      </c>
      <c r="B29625" t="s">
        <v>8995</v>
      </c>
    </row>
    <row r="29626" spans="1:2" x14ac:dyDescent="0.25">
      <c r="A29626">
        <v>62046100110</v>
      </c>
      <c r="B29626" t="s">
        <v>8979</v>
      </c>
    </row>
    <row r="29627" spans="1:2" x14ac:dyDescent="0.25">
      <c r="A29627">
        <v>62046100190</v>
      </c>
      <c r="B29627" t="s">
        <v>10</v>
      </c>
    </row>
    <row r="29628" spans="1:2" x14ac:dyDescent="0.25">
      <c r="A29628">
        <v>620461002</v>
      </c>
      <c r="B29628" t="s">
        <v>8996</v>
      </c>
    </row>
    <row r="29629" spans="1:2" x14ac:dyDescent="0.25">
      <c r="A29629">
        <v>62046100210</v>
      </c>
      <c r="B29629" t="s">
        <v>8979</v>
      </c>
    </row>
    <row r="29630" spans="1:2" x14ac:dyDescent="0.25">
      <c r="A29630">
        <v>62046100290</v>
      </c>
      <c r="B29630" t="s">
        <v>10</v>
      </c>
    </row>
    <row r="29631" spans="1:2" x14ac:dyDescent="0.25">
      <c r="A29631">
        <v>620461003</v>
      </c>
      <c r="B29631" t="s">
        <v>8997</v>
      </c>
    </row>
    <row r="29632" spans="1:2" x14ac:dyDescent="0.25">
      <c r="A29632">
        <v>62046100310</v>
      </c>
      <c r="B29632" t="s">
        <v>8979</v>
      </c>
    </row>
    <row r="29633" spans="1:2" x14ac:dyDescent="0.25">
      <c r="A29633">
        <v>62046100390</v>
      </c>
      <c r="B29633" t="s">
        <v>10</v>
      </c>
    </row>
    <row r="29634" spans="1:2" x14ac:dyDescent="0.25">
      <c r="A29634">
        <v>62046200</v>
      </c>
      <c r="B29634" t="e">
        <f>- - de algodon</f>
        <v>#NAME?</v>
      </c>
    </row>
    <row r="29635" spans="1:2" x14ac:dyDescent="0.25">
      <c r="A29635">
        <v>620462001</v>
      </c>
      <c r="B29635" t="s">
        <v>8995</v>
      </c>
    </row>
    <row r="29636" spans="1:2" x14ac:dyDescent="0.25">
      <c r="A29636">
        <v>6204620011</v>
      </c>
      <c r="B29636" t="s">
        <v>9130</v>
      </c>
    </row>
    <row r="29637" spans="1:2" x14ac:dyDescent="0.25">
      <c r="A29637">
        <v>62046200111</v>
      </c>
      <c r="B29637" t="s">
        <v>8979</v>
      </c>
    </row>
    <row r="29638" spans="1:2" x14ac:dyDescent="0.25">
      <c r="A29638">
        <v>62046200119</v>
      </c>
      <c r="B29638" t="s">
        <v>10</v>
      </c>
    </row>
    <row r="29639" spans="1:2" x14ac:dyDescent="0.25">
      <c r="A29639">
        <v>6204620019</v>
      </c>
      <c r="B29639" t="s">
        <v>10</v>
      </c>
    </row>
    <row r="29640" spans="1:2" x14ac:dyDescent="0.25">
      <c r="A29640">
        <v>62046200191</v>
      </c>
      <c r="B29640" t="s">
        <v>8979</v>
      </c>
    </row>
    <row r="29641" spans="1:2" x14ac:dyDescent="0.25">
      <c r="A29641">
        <v>62046200199</v>
      </c>
      <c r="B29641" t="s">
        <v>10</v>
      </c>
    </row>
    <row r="29642" spans="1:2" x14ac:dyDescent="0.25">
      <c r="A29642">
        <v>620462002</v>
      </c>
      <c r="B29642" t="s">
        <v>8996</v>
      </c>
    </row>
    <row r="29643" spans="1:2" x14ac:dyDescent="0.25">
      <c r="A29643">
        <v>6204620021</v>
      </c>
      <c r="B29643" t="s">
        <v>9130</v>
      </c>
    </row>
    <row r="29644" spans="1:2" x14ac:dyDescent="0.25">
      <c r="A29644">
        <v>62046200211</v>
      </c>
      <c r="B29644" t="s">
        <v>8979</v>
      </c>
    </row>
    <row r="29645" spans="1:2" x14ac:dyDescent="0.25">
      <c r="A29645">
        <v>62046200219</v>
      </c>
      <c r="B29645" t="s">
        <v>9147</v>
      </c>
    </row>
    <row r="29646" spans="1:2" x14ac:dyDescent="0.25">
      <c r="A29646">
        <v>6204620029</v>
      </c>
      <c r="B29646" t="s">
        <v>10</v>
      </c>
    </row>
    <row r="29647" spans="1:2" x14ac:dyDescent="0.25">
      <c r="A29647">
        <v>62046200291</v>
      </c>
      <c r="B29647" t="s">
        <v>8979</v>
      </c>
    </row>
    <row r="29648" spans="1:2" x14ac:dyDescent="0.25">
      <c r="A29648">
        <v>62046200299</v>
      </c>
      <c r="B29648" t="s">
        <v>10</v>
      </c>
    </row>
    <row r="29649" spans="1:2" x14ac:dyDescent="0.25">
      <c r="A29649">
        <v>620462003</v>
      </c>
      <c r="B29649" t="s">
        <v>8997</v>
      </c>
    </row>
    <row r="29650" spans="1:2" x14ac:dyDescent="0.25">
      <c r="A29650">
        <v>6204620031</v>
      </c>
      <c r="B29650" t="s">
        <v>9130</v>
      </c>
    </row>
    <row r="29651" spans="1:2" x14ac:dyDescent="0.25">
      <c r="A29651">
        <v>62046200311</v>
      </c>
      <c r="B29651" t="s">
        <v>8979</v>
      </c>
    </row>
    <row r="29652" spans="1:2" x14ac:dyDescent="0.25">
      <c r="A29652">
        <v>62046200319</v>
      </c>
      <c r="B29652" t="s">
        <v>10</v>
      </c>
    </row>
    <row r="29653" spans="1:2" x14ac:dyDescent="0.25">
      <c r="A29653">
        <v>6204620039</v>
      </c>
      <c r="B29653" t="s">
        <v>10</v>
      </c>
    </row>
    <row r="29654" spans="1:2" x14ac:dyDescent="0.25">
      <c r="A29654">
        <v>62046200391</v>
      </c>
      <c r="B29654" t="s">
        <v>8979</v>
      </c>
    </row>
    <row r="29655" spans="1:2" x14ac:dyDescent="0.25">
      <c r="A29655">
        <v>62046200399</v>
      </c>
      <c r="B29655" t="s">
        <v>9147</v>
      </c>
    </row>
    <row r="29656" spans="1:2" x14ac:dyDescent="0.25">
      <c r="A29656">
        <v>62046300</v>
      </c>
      <c r="B29656" t="e">
        <f>- - de fibras sinteticas</f>
        <v>#NAME?</v>
      </c>
    </row>
    <row r="29657" spans="1:2" x14ac:dyDescent="0.25">
      <c r="A29657">
        <v>620463001</v>
      </c>
      <c r="B29657" t="s">
        <v>8995</v>
      </c>
    </row>
    <row r="29658" spans="1:2" x14ac:dyDescent="0.25">
      <c r="A29658">
        <v>62046300110</v>
      </c>
      <c r="B29658" t="s">
        <v>8979</v>
      </c>
    </row>
    <row r="29659" spans="1:2" x14ac:dyDescent="0.25">
      <c r="A29659">
        <v>62046300190</v>
      </c>
      <c r="B29659" t="s">
        <v>10</v>
      </c>
    </row>
    <row r="29660" spans="1:2" x14ac:dyDescent="0.25">
      <c r="A29660">
        <v>620463002</v>
      </c>
      <c r="B29660" t="s">
        <v>8996</v>
      </c>
    </row>
    <row r="29661" spans="1:2" x14ac:dyDescent="0.25">
      <c r="A29661">
        <v>62046300210</v>
      </c>
      <c r="B29661" t="s">
        <v>8979</v>
      </c>
    </row>
    <row r="29662" spans="1:2" x14ac:dyDescent="0.25">
      <c r="A29662">
        <v>62046300290</v>
      </c>
      <c r="B29662" t="s">
        <v>10</v>
      </c>
    </row>
    <row r="29663" spans="1:2" x14ac:dyDescent="0.25">
      <c r="A29663">
        <v>620463003</v>
      </c>
      <c r="B29663" t="s">
        <v>8997</v>
      </c>
    </row>
    <row r="29664" spans="1:2" x14ac:dyDescent="0.25">
      <c r="A29664">
        <v>62046300310</v>
      </c>
      <c r="B29664" t="s">
        <v>8979</v>
      </c>
    </row>
    <row r="29665" spans="1:2" x14ac:dyDescent="0.25">
      <c r="A29665">
        <v>62046300390</v>
      </c>
      <c r="B29665" t="s">
        <v>10</v>
      </c>
    </row>
    <row r="29666" spans="1:2" x14ac:dyDescent="0.25">
      <c r="A29666">
        <v>62046900</v>
      </c>
      <c r="B29666" t="e">
        <f>- - de las demas materias textiles</f>
        <v>#NAME?</v>
      </c>
    </row>
    <row r="29667" spans="1:2" x14ac:dyDescent="0.25">
      <c r="A29667">
        <v>620469001</v>
      </c>
      <c r="B29667" t="s">
        <v>8995</v>
      </c>
    </row>
    <row r="29668" spans="1:2" x14ac:dyDescent="0.25">
      <c r="A29668">
        <v>62046900110</v>
      </c>
      <c r="B29668" t="s">
        <v>8979</v>
      </c>
    </row>
    <row r="29669" spans="1:2" x14ac:dyDescent="0.25">
      <c r="A29669">
        <v>62046900190</v>
      </c>
      <c r="B29669" t="s">
        <v>10</v>
      </c>
    </row>
    <row r="29670" spans="1:2" x14ac:dyDescent="0.25">
      <c r="A29670">
        <v>620469002</v>
      </c>
      <c r="B29670" t="s">
        <v>8996</v>
      </c>
    </row>
    <row r="29671" spans="1:2" x14ac:dyDescent="0.25">
      <c r="A29671">
        <v>62046900210</v>
      </c>
      <c r="B29671" t="s">
        <v>8979</v>
      </c>
    </row>
    <row r="29672" spans="1:2" x14ac:dyDescent="0.25">
      <c r="A29672">
        <v>62046900290</v>
      </c>
      <c r="B29672" t="s">
        <v>10</v>
      </c>
    </row>
    <row r="29673" spans="1:2" x14ac:dyDescent="0.25">
      <c r="A29673">
        <v>620469003</v>
      </c>
      <c r="B29673" t="s">
        <v>8997</v>
      </c>
    </row>
    <row r="29674" spans="1:2" x14ac:dyDescent="0.25">
      <c r="A29674">
        <v>62046900310</v>
      </c>
      <c r="B29674" t="s">
        <v>8979</v>
      </c>
    </row>
    <row r="29675" spans="1:2" x14ac:dyDescent="0.25">
      <c r="A29675">
        <v>62046900390</v>
      </c>
      <c r="B29675" t="s">
        <v>10</v>
      </c>
    </row>
    <row r="29676" spans="1:2" x14ac:dyDescent="0.25">
      <c r="A29676">
        <v>6205</v>
      </c>
      <c r="B29676" t="s">
        <v>9148</v>
      </c>
    </row>
    <row r="29677" spans="1:2" x14ac:dyDescent="0.25">
      <c r="A29677">
        <v>62052000</v>
      </c>
      <c r="B29677" t="e">
        <f>- de algodon</f>
        <v>#NAME?</v>
      </c>
    </row>
    <row r="29678" spans="1:2" x14ac:dyDescent="0.25">
      <c r="A29678">
        <v>620520001</v>
      </c>
      <c r="B29678" t="s">
        <v>9007</v>
      </c>
    </row>
    <row r="29679" spans="1:2" x14ac:dyDescent="0.25">
      <c r="A29679">
        <v>6205200011</v>
      </c>
      <c r="B29679" t="s">
        <v>9130</v>
      </c>
    </row>
    <row r="29680" spans="1:2" x14ac:dyDescent="0.25">
      <c r="A29680">
        <v>62052000111</v>
      </c>
      <c r="B29680" t="s">
        <v>8979</v>
      </c>
    </row>
    <row r="29681" spans="1:2" x14ac:dyDescent="0.25">
      <c r="A29681">
        <v>62052000119</v>
      </c>
      <c r="B29681" t="s">
        <v>10</v>
      </c>
    </row>
    <row r="29682" spans="1:2" x14ac:dyDescent="0.25">
      <c r="A29682">
        <v>6205200019</v>
      </c>
      <c r="B29682" t="s">
        <v>10</v>
      </c>
    </row>
    <row r="29683" spans="1:2" x14ac:dyDescent="0.25">
      <c r="A29683">
        <v>62052000191</v>
      </c>
      <c r="B29683" t="s">
        <v>8979</v>
      </c>
    </row>
    <row r="29684" spans="1:2" x14ac:dyDescent="0.25">
      <c r="A29684">
        <v>62052000199</v>
      </c>
      <c r="B29684" t="s">
        <v>10</v>
      </c>
    </row>
    <row r="29685" spans="1:2" x14ac:dyDescent="0.25">
      <c r="A29685">
        <v>620520002</v>
      </c>
      <c r="B29685" t="s">
        <v>9008</v>
      </c>
    </row>
    <row r="29686" spans="1:2" x14ac:dyDescent="0.25">
      <c r="A29686">
        <v>6205200021</v>
      </c>
      <c r="B29686" t="s">
        <v>9130</v>
      </c>
    </row>
    <row r="29687" spans="1:2" x14ac:dyDescent="0.25">
      <c r="A29687">
        <v>62052000211</v>
      </c>
      <c r="B29687" t="s">
        <v>8979</v>
      </c>
    </row>
    <row r="29688" spans="1:2" x14ac:dyDescent="0.25">
      <c r="A29688">
        <v>62052000219</v>
      </c>
      <c r="B29688" t="s">
        <v>10</v>
      </c>
    </row>
    <row r="29689" spans="1:2" x14ac:dyDescent="0.25">
      <c r="A29689">
        <v>6205200029</v>
      </c>
      <c r="B29689" t="s">
        <v>10</v>
      </c>
    </row>
    <row r="29690" spans="1:2" x14ac:dyDescent="0.25">
      <c r="A29690">
        <v>62052000291</v>
      </c>
      <c r="B29690" t="s">
        <v>8979</v>
      </c>
    </row>
    <row r="29691" spans="1:2" x14ac:dyDescent="0.25">
      <c r="A29691">
        <v>62052000299</v>
      </c>
      <c r="B29691" t="s">
        <v>10</v>
      </c>
    </row>
    <row r="29692" spans="1:2" x14ac:dyDescent="0.25">
      <c r="A29692">
        <v>62053000</v>
      </c>
      <c r="B29692" t="e">
        <f>- de fibras sinteticas o artificiales</f>
        <v>#NAME?</v>
      </c>
    </row>
    <row r="29693" spans="1:2" x14ac:dyDescent="0.25">
      <c r="A29693">
        <v>620530001</v>
      </c>
      <c r="B29693" t="s">
        <v>9007</v>
      </c>
    </row>
    <row r="29694" spans="1:2" x14ac:dyDescent="0.25">
      <c r="A29694">
        <v>62053000110</v>
      </c>
      <c r="B29694" t="s">
        <v>8979</v>
      </c>
    </row>
    <row r="29695" spans="1:2" x14ac:dyDescent="0.25">
      <c r="A29695">
        <v>62053000190</v>
      </c>
      <c r="B29695" t="s">
        <v>10</v>
      </c>
    </row>
    <row r="29696" spans="1:2" x14ac:dyDescent="0.25">
      <c r="A29696">
        <v>620530002</v>
      </c>
      <c r="B29696" t="s">
        <v>9008</v>
      </c>
    </row>
    <row r="29697" spans="1:2" x14ac:dyDescent="0.25">
      <c r="A29697">
        <v>62053000210</v>
      </c>
      <c r="B29697" t="s">
        <v>8979</v>
      </c>
    </row>
    <row r="29698" spans="1:2" x14ac:dyDescent="0.25">
      <c r="A29698">
        <v>62053000290</v>
      </c>
      <c r="B29698" t="s">
        <v>10</v>
      </c>
    </row>
    <row r="29699" spans="1:2" x14ac:dyDescent="0.25">
      <c r="A29699">
        <v>620590</v>
      </c>
      <c r="B29699" t="e">
        <f>- de las demas materias textiles</f>
        <v>#NAME?</v>
      </c>
    </row>
    <row r="29700" spans="1:2" x14ac:dyDescent="0.25">
      <c r="A29700">
        <v>62059010</v>
      </c>
      <c r="B29700" t="s">
        <v>8835</v>
      </c>
    </row>
    <row r="29701" spans="1:2" x14ac:dyDescent="0.25">
      <c r="A29701">
        <v>620590101</v>
      </c>
      <c r="B29701" t="s">
        <v>9007</v>
      </c>
    </row>
    <row r="29702" spans="1:2" x14ac:dyDescent="0.25">
      <c r="A29702">
        <v>6205901011</v>
      </c>
      <c r="B29702" t="s">
        <v>8979</v>
      </c>
    </row>
    <row r="29703" spans="1:2" x14ac:dyDescent="0.25">
      <c r="A29703">
        <v>62059010111</v>
      </c>
      <c r="B29703" t="s">
        <v>9149</v>
      </c>
    </row>
    <row r="29704" spans="1:2" x14ac:dyDescent="0.25">
      <c r="A29704">
        <v>62059010119</v>
      </c>
      <c r="B29704" t="s">
        <v>10</v>
      </c>
    </row>
    <row r="29705" spans="1:2" x14ac:dyDescent="0.25">
      <c r="A29705">
        <v>6205901019</v>
      </c>
      <c r="B29705" t="s">
        <v>10</v>
      </c>
    </row>
    <row r="29706" spans="1:2" x14ac:dyDescent="0.25">
      <c r="A29706">
        <v>62059010191</v>
      </c>
      <c r="B29706" t="s">
        <v>9149</v>
      </c>
    </row>
    <row r="29707" spans="1:2" x14ac:dyDescent="0.25">
      <c r="A29707">
        <v>62059010199</v>
      </c>
      <c r="B29707" t="s">
        <v>10</v>
      </c>
    </row>
    <row r="29708" spans="1:2" x14ac:dyDescent="0.25">
      <c r="A29708">
        <v>620590102</v>
      </c>
      <c r="B29708" t="s">
        <v>9008</v>
      </c>
    </row>
    <row r="29709" spans="1:2" x14ac:dyDescent="0.25">
      <c r="A29709">
        <v>6205901021</v>
      </c>
      <c r="B29709" t="s">
        <v>8979</v>
      </c>
    </row>
    <row r="29710" spans="1:2" x14ac:dyDescent="0.25">
      <c r="A29710">
        <v>62059010211</v>
      </c>
      <c r="B29710" t="s">
        <v>9149</v>
      </c>
    </row>
    <row r="29711" spans="1:2" x14ac:dyDescent="0.25">
      <c r="A29711">
        <v>62059010219</v>
      </c>
      <c r="B29711" t="s">
        <v>10</v>
      </c>
    </row>
    <row r="29712" spans="1:2" x14ac:dyDescent="0.25">
      <c r="A29712">
        <v>6205901029</v>
      </c>
      <c r="B29712" t="s">
        <v>10</v>
      </c>
    </row>
    <row r="29713" spans="1:2" x14ac:dyDescent="0.25">
      <c r="A29713">
        <v>62059010291</v>
      </c>
      <c r="B29713" t="s">
        <v>9149</v>
      </c>
    </row>
    <row r="29714" spans="1:2" x14ac:dyDescent="0.25">
      <c r="A29714">
        <v>62059010299</v>
      </c>
      <c r="B29714" t="s">
        <v>10</v>
      </c>
    </row>
    <row r="29715" spans="1:2" x14ac:dyDescent="0.25">
      <c r="A29715">
        <v>62059090</v>
      </c>
      <c r="B29715" t="s">
        <v>57</v>
      </c>
    </row>
    <row r="29716" spans="1:2" x14ac:dyDescent="0.25">
      <c r="A29716">
        <v>620590901</v>
      </c>
      <c r="B29716" t="s">
        <v>9007</v>
      </c>
    </row>
    <row r="29717" spans="1:2" x14ac:dyDescent="0.25">
      <c r="A29717">
        <v>62059090110</v>
      </c>
      <c r="B29717" t="s">
        <v>8979</v>
      </c>
    </row>
    <row r="29718" spans="1:2" x14ac:dyDescent="0.25">
      <c r="A29718">
        <v>62059090190</v>
      </c>
      <c r="B29718" t="s">
        <v>10</v>
      </c>
    </row>
    <row r="29719" spans="1:2" x14ac:dyDescent="0.25">
      <c r="A29719">
        <v>620590902</v>
      </c>
      <c r="B29719" t="s">
        <v>9008</v>
      </c>
    </row>
    <row r="29720" spans="1:2" x14ac:dyDescent="0.25">
      <c r="A29720">
        <v>62059090210</v>
      </c>
      <c r="B29720" t="s">
        <v>8979</v>
      </c>
    </row>
    <row r="29721" spans="1:2" x14ac:dyDescent="0.25">
      <c r="A29721">
        <v>62059090290</v>
      </c>
      <c r="B29721" t="s">
        <v>10</v>
      </c>
    </row>
    <row r="29722" spans="1:2" x14ac:dyDescent="0.25">
      <c r="A29722">
        <v>6206</v>
      </c>
      <c r="B29722" t="s">
        <v>9150</v>
      </c>
    </row>
    <row r="29723" spans="1:2" x14ac:dyDescent="0.25">
      <c r="A29723">
        <v>62061000</v>
      </c>
      <c r="B29723" t="e">
        <f>- de seda o desperdicios de seda</f>
        <v>#NAME?</v>
      </c>
    </row>
    <row r="29724" spans="1:2" x14ac:dyDescent="0.25">
      <c r="A29724">
        <v>620610001</v>
      </c>
      <c r="B29724" t="s">
        <v>9011</v>
      </c>
    </row>
    <row r="29725" spans="1:2" x14ac:dyDescent="0.25">
      <c r="A29725">
        <v>62061000110</v>
      </c>
      <c r="B29725" t="s">
        <v>8979</v>
      </c>
    </row>
    <row r="29726" spans="1:2" x14ac:dyDescent="0.25">
      <c r="A29726">
        <v>62061000190</v>
      </c>
      <c r="B29726" t="s">
        <v>10</v>
      </c>
    </row>
    <row r="29727" spans="1:2" x14ac:dyDescent="0.25">
      <c r="A29727">
        <v>620610002</v>
      </c>
      <c r="B29727" t="s">
        <v>9008</v>
      </c>
    </row>
    <row r="29728" spans="1:2" x14ac:dyDescent="0.25">
      <c r="A29728">
        <v>62061000210</v>
      </c>
      <c r="B29728" t="s">
        <v>8979</v>
      </c>
    </row>
    <row r="29729" spans="1:2" x14ac:dyDescent="0.25">
      <c r="A29729">
        <v>62061000290</v>
      </c>
      <c r="B29729" t="s">
        <v>10</v>
      </c>
    </row>
    <row r="29730" spans="1:2" x14ac:dyDescent="0.25">
      <c r="A29730">
        <v>62062000</v>
      </c>
      <c r="B29730" t="e">
        <f>- de lana o Pelo fino</f>
        <v>#NAME?</v>
      </c>
    </row>
    <row r="29731" spans="1:2" x14ac:dyDescent="0.25">
      <c r="A29731">
        <v>620620001</v>
      </c>
      <c r="B29731" t="s">
        <v>9011</v>
      </c>
    </row>
    <row r="29732" spans="1:2" x14ac:dyDescent="0.25">
      <c r="A29732">
        <v>62062000110</v>
      </c>
      <c r="B29732" t="s">
        <v>8979</v>
      </c>
    </row>
    <row r="29733" spans="1:2" x14ac:dyDescent="0.25">
      <c r="A29733">
        <v>62062000190</v>
      </c>
      <c r="B29733" t="s">
        <v>10</v>
      </c>
    </row>
    <row r="29734" spans="1:2" x14ac:dyDescent="0.25">
      <c r="A29734">
        <v>620620002</v>
      </c>
      <c r="B29734" t="s">
        <v>9008</v>
      </c>
    </row>
    <row r="29735" spans="1:2" x14ac:dyDescent="0.25">
      <c r="A29735">
        <v>62062000210</v>
      </c>
      <c r="B29735" t="s">
        <v>8979</v>
      </c>
    </row>
    <row r="29736" spans="1:2" x14ac:dyDescent="0.25">
      <c r="A29736">
        <v>62062000290</v>
      </c>
      <c r="B29736" t="s">
        <v>10</v>
      </c>
    </row>
    <row r="29737" spans="1:2" x14ac:dyDescent="0.25">
      <c r="A29737">
        <v>62063000</v>
      </c>
      <c r="B29737" t="e">
        <f>- de algodon</f>
        <v>#NAME?</v>
      </c>
    </row>
    <row r="29738" spans="1:2" x14ac:dyDescent="0.25">
      <c r="A29738">
        <v>620630001</v>
      </c>
      <c r="B29738" t="s">
        <v>9011</v>
      </c>
    </row>
    <row r="29739" spans="1:2" x14ac:dyDescent="0.25">
      <c r="A29739">
        <v>6206300011</v>
      </c>
      <c r="B29739" t="s">
        <v>9130</v>
      </c>
    </row>
    <row r="29740" spans="1:2" x14ac:dyDescent="0.25">
      <c r="A29740">
        <v>62063000111</v>
      </c>
      <c r="B29740" t="s">
        <v>8979</v>
      </c>
    </row>
    <row r="29741" spans="1:2" x14ac:dyDescent="0.25">
      <c r="A29741">
        <v>62063000119</v>
      </c>
      <c r="B29741" t="s">
        <v>10</v>
      </c>
    </row>
    <row r="29742" spans="1:2" x14ac:dyDescent="0.25">
      <c r="A29742">
        <v>6206300019</v>
      </c>
      <c r="B29742" t="s">
        <v>10</v>
      </c>
    </row>
    <row r="29743" spans="1:2" x14ac:dyDescent="0.25">
      <c r="A29743">
        <v>62063000191</v>
      </c>
      <c r="B29743" t="s">
        <v>8979</v>
      </c>
    </row>
    <row r="29744" spans="1:2" x14ac:dyDescent="0.25">
      <c r="A29744">
        <v>62063000199</v>
      </c>
      <c r="B29744" t="s">
        <v>10</v>
      </c>
    </row>
    <row r="29745" spans="1:2" x14ac:dyDescent="0.25">
      <c r="A29745">
        <v>620630002</v>
      </c>
      <c r="B29745" t="s">
        <v>9008</v>
      </c>
    </row>
    <row r="29746" spans="1:2" x14ac:dyDescent="0.25">
      <c r="A29746">
        <v>6206300021</v>
      </c>
      <c r="B29746" t="s">
        <v>9130</v>
      </c>
    </row>
    <row r="29747" spans="1:2" x14ac:dyDescent="0.25">
      <c r="A29747">
        <v>62063000211</v>
      </c>
      <c r="B29747" t="s">
        <v>8979</v>
      </c>
    </row>
    <row r="29748" spans="1:2" x14ac:dyDescent="0.25">
      <c r="A29748">
        <v>62063000219</v>
      </c>
      <c r="B29748" t="s">
        <v>10</v>
      </c>
    </row>
    <row r="29749" spans="1:2" x14ac:dyDescent="0.25">
      <c r="A29749">
        <v>6206300029</v>
      </c>
      <c r="B29749" t="s">
        <v>10</v>
      </c>
    </row>
    <row r="29750" spans="1:2" x14ac:dyDescent="0.25">
      <c r="A29750">
        <v>62063000291</v>
      </c>
      <c r="B29750" t="s">
        <v>8979</v>
      </c>
    </row>
    <row r="29751" spans="1:2" x14ac:dyDescent="0.25">
      <c r="A29751">
        <v>62063000299</v>
      </c>
      <c r="B29751" t="s">
        <v>10</v>
      </c>
    </row>
    <row r="29752" spans="1:2" x14ac:dyDescent="0.25">
      <c r="A29752">
        <v>62064000</v>
      </c>
      <c r="B29752" t="e">
        <f>- de fibras sinteticas o artificiales</f>
        <v>#NAME?</v>
      </c>
    </row>
    <row r="29753" spans="1:2" x14ac:dyDescent="0.25">
      <c r="A29753">
        <v>620640001</v>
      </c>
      <c r="B29753" t="s">
        <v>9011</v>
      </c>
    </row>
    <row r="29754" spans="1:2" x14ac:dyDescent="0.25">
      <c r="A29754">
        <v>62064000110</v>
      </c>
      <c r="B29754" t="s">
        <v>8979</v>
      </c>
    </row>
    <row r="29755" spans="1:2" x14ac:dyDescent="0.25">
      <c r="A29755">
        <v>62064000190</v>
      </c>
      <c r="B29755" t="s">
        <v>10</v>
      </c>
    </row>
    <row r="29756" spans="1:2" x14ac:dyDescent="0.25">
      <c r="A29756">
        <v>620640002</v>
      </c>
      <c r="B29756" t="s">
        <v>9008</v>
      </c>
    </row>
    <row r="29757" spans="1:2" x14ac:dyDescent="0.25">
      <c r="A29757">
        <v>62064000210</v>
      </c>
      <c r="B29757" t="s">
        <v>8979</v>
      </c>
    </row>
    <row r="29758" spans="1:2" x14ac:dyDescent="0.25">
      <c r="A29758">
        <v>62064000290</v>
      </c>
      <c r="B29758" t="s">
        <v>10</v>
      </c>
    </row>
    <row r="29759" spans="1:2" x14ac:dyDescent="0.25">
      <c r="A29759">
        <v>62069000</v>
      </c>
      <c r="B29759" t="e">
        <f>- de las demas materias textiles</f>
        <v>#NAME?</v>
      </c>
    </row>
    <row r="29760" spans="1:2" x14ac:dyDescent="0.25">
      <c r="A29760">
        <v>620690001</v>
      </c>
      <c r="B29760" t="s">
        <v>9011</v>
      </c>
    </row>
    <row r="29761" spans="1:2" x14ac:dyDescent="0.25">
      <c r="A29761">
        <v>62069000110</v>
      </c>
      <c r="B29761" t="s">
        <v>8979</v>
      </c>
    </row>
    <row r="29762" spans="1:2" x14ac:dyDescent="0.25">
      <c r="A29762">
        <v>62069000190</v>
      </c>
      <c r="B29762" t="s">
        <v>10</v>
      </c>
    </row>
    <row r="29763" spans="1:2" x14ac:dyDescent="0.25">
      <c r="A29763">
        <v>620690002</v>
      </c>
      <c r="B29763" t="s">
        <v>9008</v>
      </c>
    </row>
    <row r="29764" spans="1:2" x14ac:dyDescent="0.25">
      <c r="A29764">
        <v>62069000210</v>
      </c>
      <c r="B29764" t="s">
        <v>8979</v>
      </c>
    </row>
    <row r="29765" spans="1:2" x14ac:dyDescent="0.25">
      <c r="A29765">
        <v>62069000290</v>
      </c>
      <c r="B29765" t="s">
        <v>10</v>
      </c>
    </row>
    <row r="29766" spans="1:2" x14ac:dyDescent="0.25">
      <c r="A29766">
        <v>6207</v>
      </c>
      <c r="B29766" t="s">
        <v>9151</v>
      </c>
    </row>
    <row r="29767" spans="1:2" x14ac:dyDescent="0.25">
      <c r="A29767">
        <v>62071</v>
      </c>
      <c r="B29767" t="s">
        <v>9013</v>
      </c>
    </row>
    <row r="29768" spans="1:2" x14ac:dyDescent="0.25">
      <c r="A29768">
        <v>62071100</v>
      </c>
      <c r="B29768" t="e">
        <f>- - de algodon</f>
        <v>#NAME?</v>
      </c>
    </row>
    <row r="29769" spans="1:2" x14ac:dyDescent="0.25">
      <c r="A29769">
        <v>62071100100</v>
      </c>
      <c r="B29769" t="s">
        <v>9014</v>
      </c>
    </row>
    <row r="29770" spans="1:2" x14ac:dyDescent="0.25">
      <c r="A29770">
        <v>62071100200</v>
      </c>
      <c r="B29770" t="s">
        <v>9015</v>
      </c>
    </row>
    <row r="29771" spans="1:2" x14ac:dyDescent="0.25">
      <c r="A29771">
        <v>62071900</v>
      </c>
      <c r="B29771" t="e">
        <f>- - de las demas materias textiles</f>
        <v>#NAME?</v>
      </c>
    </row>
    <row r="29772" spans="1:2" x14ac:dyDescent="0.25">
      <c r="A29772">
        <v>62071900100</v>
      </c>
      <c r="B29772" t="s">
        <v>9014</v>
      </c>
    </row>
    <row r="29773" spans="1:2" x14ac:dyDescent="0.25">
      <c r="A29773">
        <v>62071900200</v>
      </c>
      <c r="B29773" t="s">
        <v>9015</v>
      </c>
    </row>
    <row r="29774" spans="1:2" x14ac:dyDescent="0.25">
      <c r="A29774">
        <v>62072</v>
      </c>
      <c r="B29774" t="s">
        <v>9016</v>
      </c>
    </row>
    <row r="29775" spans="1:2" x14ac:dyDescent="0.25">
      <c r="A29775">
        <v>62072100</v>
      </c>
      <c r="B29775" t="e">
        <f>- - de algodon</f>
        <v>#NAME?</v>
      </c>
    </row>
    <row r="29776" spans="1:2" x14ac:dyDescent="0.25">
      <c r="A29776">
        <v>620721001</v>
      </c>
      <c r="B29776" t="s">
        <v>9017</v>
      </c>
    </row>
    <row r="29777" spans="1:2" x14ac:dyDescent="0.25">
      <c r="A29777">
        <v>62072100110</v>
      </c>
      <c r="B29777" t="s">
        <v>8979</v>
      </c>
    </row>
    <row r="29778" spans="1:2" x14ac:dyDescent="0.25">
      <c r="A29778">
        <v>62072100190</v>
      </c>
      <c r="B29778" t="s">
        <v>10</v>
      </c>
    </row>
    <row r="29779" spans="1:2" x14ac:dyDescent="0.25">
      <c r="A29779">
        <v>620721002</v>
      </c>
      <c r="B29779" t="s">
        <v>9018</v>
      </c>
    </row>
    <row r="29780" spans="1:2" x14ac:dyDescent="0.25">
      <c r="A29780">
        <v>62072100210</v>
      </c>
      <c r="B29780" t="s">
        <v>8979</v>
      </c>
    </row>
    <row r="29781" spans="1:2" x14ac:dyDescent="0.25">
      <c r="A29781">
        <v>62072100290</v>
      </c>
      <c r="B29781" t="s">
        <v>10</v>
      </c>
    </row>
    <row r="29782" spans="1:2" x14ac:dyDescent="0.25">
      <c r="A29782">
        <v>62072200</v>
      </c>
      <c r="B29782" t="e">
        <f>- - de fibras sinteticas o artificiales</f>
        <v>#NAME?</v>
      </c>
    </row>
    <row r="29783" spans="1:2" x14ac:dyDescent="0.25">
      <c r="A29783">
        <v>620722001</v>
      </c>
      <c r="B29783" t="s">
        <v>9017</v>
      </c>
    </row>
    <row r="29784" spans="1:2" x14ac:dyDescent="0.25">
      <c r="A29784">
        <v>62072200110</v>
      </c>
      <c r="B29784" t="s">
        <v>8979</v>
      </c>
    </row>
    <row r="29785" spans="1:2" x14ac:dyDescent="0.25">
      <c r="A29785">
        <v>62072200190</v>
      </c>
      <c r="B29785" t="s">
        <v>10</v>
      </c>
    </row>
    <row r="29786" spans="1:2" x14ac:dyDescent="0.25">
      <c r="A29786">
        <v>620722002</v>
      </c>
      <c r="B29786" t="s">
        <v>9018</v>
      </c>
    </row>
    <row r="29787" spans="1:2" x14ac:dyDescent="0.25">
      <c r="A29787">
        <v>62072200210</v>
      </c>
      <c r="B29787" t="s">
        <v>8979</v>
      </c>
    </row>
    <row r="29788" spans="1:2" x14ac:dyDescent="0.25">
      <c r="A29788">
        <v>62072200290</v>
      </c>
      <c r="B29788" t="s">
        <v>10</v>
      </c>
    </row>
    <row r="29789" spans="1:2" x14ac:dyDescent="0.25">
      <c r="A29789">
        <v>62072900</v>
      </c>
      <c r="B29789" t="e">
        <f>- - de las demas materias textiles</f>
        <v>#NAME?</v>
      </c>
    </row>
    <row r="29790" spans="1:2" x14ac:dyDescent="0.25">
      <c r="A29790">
        <v>620729001</v>
      </c>
      <c r="B29790" t="s">
        <v>9017</v>
      </c>
    </row>
    <row r="29791" spans="1:2" x14ac:dyDescent="0.25">
      <c r="A29791">
        <v>62072900110</v>
      </c>
      <c r="B29791" t="s">
        <v>8979</v>
      </c>
    </row>
    <row r="29792" spans="1:2" x14ac:dyDescent="0.25">
      <c r="A29792">
        <v>62072900190</v>
      </c>
      <c r="B29792" t="s">
        <v>10</v>
      </c>
    </row>
    <row r="29793" spans="1:2" x14ac:dyDescent="0.25">
      <c r="A29793">
        <v>620729002</v>
      </c>
      <c r="B29793" t="s">
        <v>9018</v>
      </c>
    </row>
    <row r="29794" spans="1:2" x14ac:dyDescent="0.25">
      <c r="A29794">
        <v>62072900210</v>
      </c>
      <c r="B29794" t="s">
        <v>8979</v>
      </c>
    </row>
    <row r="29795" spans="1:2" x14ac:dyDescent="0.25">
      <c r="A29795">
        <v>62072900290</v>
      </c>
      <c r="B29795" t="s">
        <v>10</v>
      </c>
    </row>
    <row r="29796" spans="1:2" x14ac:dyDescent="0.25">
      <c r="A29796">
        <v>62079</v>
      </c>
      <c r="B29796" t="s">
        <v>28</v>
      </c>
    </row>
    <row r="29797" spans="1:2" x14ac:dyDescent="0.25">
      <c r="A29797">
        <v>62079100</v>
      </c>
      <c r="B29797" t="e">
        <f>- - de algodon</f>
        <v>#NAME?</v>
      </c>
    </row>
    <row r="29798" spans="1:2" x14ac:dyDescent="0.25">
      <c r="A29798">
        <v>62079100100</v>
      </c>
      <c r="B29798" t="s">
        <v>8979</v>
      </c>
    </row>
    <row r="29799" spans="1:2" x14ac:dyDescent="0.25">
      <c r="A29799">
        <v>62079100900</v>
      </c>
      <c r="B29799" t="s">
        <v>10</v>
      </c>
    </row>
    <row r="29800" spans="1:2" x14ac:dyDescent="0.25">
      <c r="A29800">
        <v>620799</v>
      </c>
      <c r="B29800" t="e">
        <f>- - de las demas materias textiles</f>
        <v>#NAME?</v>
      </c>
    </row>
    <row r="29801" spans="1:2" x14ac:dyDescent="0.25">
      <c r="A29801">
        <v>62079910</v>
      </c>
      <c r="B29801" t="s">
        <v>8898</v>
      </c>
    </row>
    <row r="29802" spans="1:2" x14ac:dyDescent="0.25">
      <c r="A29802">
        <v>62079910100</v>
      </c>
      <c r="B29802" t="s">
        <v>8979</v>
      </c>
    </row>
    <row r="29803" spans="1:2" x14ac:dyDescent="0.25">
      <c r="A29803">
        <v>62079910900</v>
      </c>
      <c r="B29803" t="s">
        <v>10</v>
      </c>
    </row>
    <row r="29804" spans="1:2" x14ac:dyDescent="0.25">
      <c r="A29804">
        <v>62079990</v>
      </c>
      <c r="B29804" t="s">
        <v>10</v>
      </c>
    </row>
    <row r="29805" spans="1:2" x14ac:dyDescent="0.25">
      <c r="A29805">
        <v>62079990100</v>
      </c>
      <c r="B29805" t="s">
        <v>8979</v>
      </c>
    </row>
    <row r="29806" spans="1:2" x14ac:dyDescent="0.25">
      <c r="A29806">
        <v>62079990900</v>
      </c>
      <c r="B29806" t="s">
        <v>10</v>
      </c>
    </row>
    <row r="29807" spans="1:2" x14ac:dyDescent="0.25">
      <c r="A29807">
        <v>6208</v>
      </c>
      <c r="B29807" t="s">
        <v>9152</v>
      </c>
    </row>
    <row r="29808" spans="1:2" x14ac:dyDescent="0.25">
      <c r="A29808">
        <v>62081</v>
      </c>
      <c r="B29808" t="s">
        <v>9020</v>
      </c>
    </row>
    <row r="29809" spans="1:2" x14ac:dyDescent="0.25">
      <c r="A29809">
        <v>62081100000</v>
      </c>
      <c r="B29809" t="e">
        <f>--de fibras sinteticas o artificiales</f>
        <v>#NAME?</v>
      </c>
    </row>
    <row r="29810" spans="1:2" x14ac:dyDescent="0.25">
      <c r="A29810">
        <v>62081900000</v>
      </c>
      <c r="B29810" t="e">
        <f>--de las demas materias textiles</f>
        <v>#NAME?</v>
      </c>
    </row>
    <row r="29811" spans="1:2" x14ac:dyDescent="0.25">
      <c r="A29811">
        <v>62082</v>
      </c>
      <c r="B29811" t="s">
        <v>9016</v>
      </c>
    </row>
    <row r="29812" spans="1:2" x14ac:dyDescent="0.25">
      <c r="A29812">
        <v>62082100</v>
      </c>
      <c r="B29812" t="e">
        <f>- - de algodon</f>
        <v>#NAME?</v>
      </c>
    </row>
    <row r="29813" spans="1:2" x14ac:dyDescent="0.25">
      <c r="A29813">
        <v>620821001</v>
      </c>
      <c r="B29813" t="s">
        <v>9017</v>
      </c>
    </row>
    <row r="29814" spans="1:2" x14ac:dyDescent="0.25">
      <c r="A29814">
        <v>62082100110</v>
      </c>
      <c r="B29814" t="s">
        <v>8979</v>
      </c>
    </row>
    <row r="29815" spans="1:2" x14ac:dyDescent="0.25">
      <c r="A29815">
        <v>62082100190</v>
      </c>
      <c r="B29815" t="s">
        <v>10</v>
      </c>
    </row>
    <row r="29816" spans="1:2" x14ac:dyDescent="0.25">
      <c r="A29816">
        <v>620821002</v>
      </c>
      <c r="B29816" t="s">
        <v>9018</v>
      </c>
    </row>
    <row r="29817" spans="1:2" x14ac:dyDescent="0.25">
      <c r="A29817">
        <v>62082100210</v>
      </c>
      <c r="B29817" t="s">
        <v>8979</v>
      </c>
    </row>
    <row r="29818" spans="1:2" x14ac:dyDescent="0.25">
      <c r="A29818">
        <v>62082100290</v>
      </c>
      <c r="B29818" t="s">
        <v>10</v>
      </c>
    </row>
    <row r="29819" spans="1:2" x14ac:dyDescent="0.25">
      <c r="A29819">
        <v>62082200</v>
      </c>
      <c r="B29819" t="e">
        <f>- - de fibras sinteticas o artificiales</f>
        <v>#NAME?</v>
      </c>
    </row>
    <row r="29820" spans="1:2" x14ac:dyDescent="0.25">
      <c r="A29820">
        <v>620822001</v>
      </c>
      <c r="B29820" t="s">
        <v>9017</v>
      </c>
    </row>
    <row r="29821" spans="1:2" x14ac:dyDescent="0.25">
      <c r="A29821">
        <v>62082200110</v>
      </c>
      <c r="B29821" t="s">
        <v>8979</v>
      </c>
    </row>
    <row r="29822" spans="1:2" x14ac:dyDescent="0.25">
      <c r="A29822">
        <v>62082200190</v>
      </c>
      <c r="B29822" t="s">
        <v>10</v>
      </c>
    </row>
    <row r="29823" spans="1:2" x14ac:dyDescent="0.25">
      <c r="A29823">
        <v>620822002</v>
      </c>
      <c r="B29823" t="s">
        <v>9018</v>
      </c>
    </row>
    <row r="29824" spans="1:2" x14ac:dyDescent="0.25">
      <c r="A29824">
        <v>62082200210</v>
      </c>
      <c r="B29824" t="s">
        <v>8979</v>
      </c>
    </row>
    <row r="29825" spans="1:2" x14ac:dyDescent="0.25">
      <c r="A29825">
        <v>62082200290</v>
      </c>
      <c r="B29825" t="s">
        <v>10</v>
      </c>
    </row>
    <row r="29826" spans="1:2" x14ac:dyDescent="0.25">
      <c r="A29826">
        <v>62082900</v>
      </c>
      <c r="B29826" t="e">
        <f>- - de las demas materias textiles</f>
        <v>#NAME?</v>
      </c>
    </row>
    <row r="29827" spans="1:2" x14ac:dyDescent="0.25">
      <c r="A29827">
        <v>620829001</v>
      </c>
      <c r="B29827" t="s">
        <v>9017</v>
      </c>
    </row>
    <row r="29828" spans="1:2" x14ac:dyDescent="0.25">
      <c r="A29828">
        <v>62082900110</v>
      </c>
      <c r="B29828" t="s">
        <v>8979</v>
      </c>
    </row>
    <row r="29829" spans="1:2" x14ac:dyDescent="0.25">
      <c r="A29829">
        <v>62082900190</v>
      </c>
      <c r="B29829" t="s">
        <v>10</v>
      </c>
    </row>
    <row r="29830" spans="1:2" x14ac:dyDescent="0.25">
      <c r="A29830">
        <v>620829002</v>
      </c>
      <c r="B29830" t="s">
        <v>9018</v>
      </c>
    </row>
    <row r="29831" spans="1:2" x14ac:dyDescent="0.25">
      <c r="A29831">
        <v>62082900210</v>
      </c>
      <c r="B29831" t="s">
        <v>8979</v>
      </c>
    </row>
    <row r="29832" spans="1:2" x14ac:dyDescent="0.25">
      <c r="A29832">
        <v>62082900290</v>
      </c>
      <c r="B29832" t="s">
        <v>10</v>
      </c>
    </row>
    <row r="29833" spans="1:2" x14ac:dyDescent="0.25">
      <c r="A29833">
        <v>62089</v>
      </c>
      <c r="B29833" t="s">
        <v>28</v>
      </c>
    </row>
    <row r="29834" spans="1:2" x14ac:dyDescent="0.25">
      <c r="A29834">
        <v>62089100</v>
      </c>
      <c r="B29834" t="e">
        <f>- - de algodon</f>
        <v>#NAME?</v>
      </c>
    </row>
    <row r="29835" spans="1:2" x14ac:dyDescent="0.25">
      <c r="A29835">
        <v>62089100100</v>
      </c>
      <c r="B29835" t="s">
        <v>8979</v>
      </c>
    </row>
    <row r="29836" spans="1:2" x14ac:dyDescent="0.25">
      <c r="A29836">
        <v>62089100900</v>
      </c>
      <c r="B29836" t="s">
        <v>10</v>
      </c>
    </row>
    <row r="29837" spans="1:2" x14ac:dyDescent="0.25">
      <c r="A29837">
        <v>62089200</v>
      </c>
      <c r="B29837" t="e">
        <f>- - de fibras sinteticas o artificiales</f>
        <v>#NAME?</v>
      </c>
    </row>
    <row r="29838" spans="1:2" x14ac:dyDescent="0.25">
      <c r="A29838">
        <v>62089200100</v>
      </c>
      <c r="B29838" t="s">
        <v>8979</v>
      </c>
    </row>
    <row r="29839" spans="1:2" x14ac:dyDescent="0.25">
      <c r="A29839">
        <v>62089200900</v>
      </c>
      <c r="B29839" t="s">
        <v>10</v>
      </c>
    </row>
    <row r="29840" spans="1:2" x14ac:dyDescent="0.25">
      <c r="A29840">
        <v>62089900</v>
      </c>
      <c r="B29840" t="e">
        <f>- - de las demas materias textiles</f>
        <v>#NAME?</v>
      </c>
    </row>
    <row r="29841" spans="1:2" x14ac:dyDescent="0.25">
      <c r="A29841">
        <v>62089900100</v>
      </c>
      <c r="B29841" t="s">
        <v>8979</v>
      </c>
    </row>
    <row r="29842" spans="1:2" x14ac:dyDescent="0.25">
      <c r="A29842">
        <v>62089900900</v>
      </c>
      <c r="B29842" t="s">
        <v>10</v>
      </c>
    </row>
    <row r="29843" spans="1:2" x14ac:dyDescent="0.25">
      <c r="A29843">
        <v>6209</v>
      </c>
      <c r="B29843" t="s">
        <v>9153</v>
      </c>
    </row>
    <row r="29844" spans="1:2" x14ac:dyDescent="0.25">
      <c r="A29844">
        <v>62092000</v>
      </c>
      <c r="B29844" t="e">
        <f>- de algodon</f>
        <v>#NAME?</v>
      </c>
    </row>
    <row r="29845" spans="1:2" x14ac:dyDescent="0.25">
      <c r="A29845">
        <v>62092000100</v>
      </c>
      <c r="B29845" t="s">
        <v>9154</v>
      </c>
    </row>
    <row r="29846" spans="1:2" x14ac:dyDescent="0.25">
      <c r="A29846">
        <v>62092000200</v>
      </c>
      <c r="B29846" t="s">
        <v>9038</v>
      </c>
    </row>
    <row r="29847" spans="1:2" x14ac:dyDescent="0.25">
      <c r="A29847">
        <v>62092000300</v>
      </c>
      <c r="B29847" t="s">
        <v>9039</v>
      </c>
    </row>
    <row r="29848" spans="1:2" x14ac:dyDescent="0.25">
      <c r="A29848">
        <v>62092000400</v>
      </c>
      <c r="B29848" t="s">
        <v>9040</v>
      </c>
    </row>
    <row r="29849" spans="1:2" x14ac:dyDescent="0.25">
      <c r="A29849">
        <v>62092000500</v>
      </c>
      <c r="B29849" t="s">
        <v>9155</v>
      </c>
    </row>
    <row r="29850" spans="1:2" x14ac:dyDescent="0.25">
      <c r="A29850">
        <v>62092000600</v>
      </c>
      <c r="B29850" t="s">
        <v>9044</v>
      </c>
    </row>
    <row r="29851" spans="1:2" x14ac:dyDescent="0.25">
      <c r="A29851">
        <v>62092000700</v>
      </c>
      <c r="B29851" t="s">
        <v>7662</v>
      </c>
    </row>
    <row r="29852" spans="1:2" x14ac:dyDescent="0.25">
      <c r="A29852">
        <v>62092000900</v>
      </c>
      <c r="B29852" t="s">
        <v>10</v>
      </c>
    </row>
    <row r="29853" spans="1:2" x14ac:dyDescent="0.25">
      <c r="A29853">
        <v>62093000</v>
      </c>
      <c r="B29853" t="e">
        <f>- de fibras sinteticas</f>
        <v>#NAME?</v>
      </c>
    </row>
    <row r="29854" spans="1:2" x14ac:dyDescent="0.25">
      <c r="A29854">
        <v>62093000100</v>
      </c>
      <c r="B29854" t="s">
        <v>9154</v>
      </c>
    </row>
    <row r="29855" spans="1:2" x14ac:dyDescent="0.25">
      <c r="A29855">
        <v>62093000200</v>
      </c>
      <c r="B29855" t="s">
        <v>9038</v>
      </c>
    </row>
    <row r="29856" spans="1:2" x14ac:dyDescent="0.25">
      <c r="A29856">
        <v>62093000300</v>
      </c>
      <c r="B29856" t="s">
        <v>9039</v>
      </c>
    </row>
    <row r="29857" spans="1:2" x14ac:dyDescent="0.25">
      <c r="A29857">
        <v>62093000400</v>
      </c>
      <c r="B29857" t="s">
        <v>9040</v>
      </c>
    </row>
    <row r="29858" spans="1:2" x14ac:dyDescent="0.25">
      <c r="A29858">
        <v>62093000500</v>
      </c>
      <c r="B29858" t="s">
        <v>9155</v>
      </c>
    </row>
    <row r="29859" spans="1:2" x14ac:dyDescent="0.25">
      <c r="A29859">
        <v>62093000600</v>
      </c>
      <c r="B29859" t="s">
        <v>9044</v>
      </c>
    </row>
    <row r="29860" spans="1:2" x14ac:dyDescent="0.25">
      <c r="A29860">
        <v>62093000700</v>
      </c>
      <c r="B29860" t="s">
        <v>7662</v>
      </c>
    </row>
    <row r="29861" spans="1:2" x14ac:dyDescent="0.25">
      <c r="A29861">
        <v>62093000900</v>
      </c>
      <c r="B29861" t="s">
        <v>10</v>
      </c>
    </row>
    <row r="29862" spans="1:2" x14ac:dyDescent="0.25">
      <c r="A29862">
        <v>620990</v>
      </c>
      <c r="B29862" t="e">
        <f>- de las demas materias textiles</f>
        <v>#NAME?</v>
      </c>
    </row>
    <row r="29863" spans="1:2" x14ac:dyDescent="0.25">
      <c r="A29863">
        <v>62099010</v>
      </c>
      <c r="B29863" t="s">
        <v>8835</v>
      </c>
    </row>
    <row r="29864" spans="1:2" x14ac:dyDescent="0.25">
      <c r="A29864">
        <v>62099010100</v>
      </c>
      <c r="B29864" t="s">
        <v>9154</v>
      </c>
    </row>
    <row r="29865" spans="1:2" x14ac:dyDescent="0.25">
      <c r="A29865">
        <v>62099010200</v>
      </c>
      <c r="B29865" t="s">
        <v>9038</v>
      </c>
    </row>
    <row r="29866" spans="1:2" x14ac:dyDescent="0.25">
      <c r="A29866">
        <v>62099010300</v>
      </c>
      <c r="B29866" t="s">
        <v>9039</v>
      </c>
    </row>
    <row r="29867" spans="1:2" x14ac:dyDescent="0.25">
      <c r="A29867">
        <v>62099010400</v>
      </c>
      <c r="B29867" t="s">
        <v>9155</v>
      </c>
    </row>
    <row r="29868" spans="1:2" x14ac:dyDescent="0.25">
      <c r="A29868">
        <v>62099010500</v>
      </c>
      <c r="B29868" t="s">
        <v>9044</v>
      </c>
    </row>
    <row r="29869" spans="1:2" x14ac:dyDescent="0.25">
      <c r="A29869">
        <v>62099010600</v>
      </c>
      <c r="B29869" t="s">
        <v>7662</v>
      </c>
    </row>
    <row r="29870" spans="1:2" x14ac:dyDescent="0.25">
      <c r="A29870">
        <v>62099010900</v>
      </c>
      <c r="B29870" t="s">
        <v>10</v>
      </c>
    </row>
    <row r="29871" spans="1:2" x14ac:dyDescent="0.25">
      <c r="A29871">
        <v>62099090</v>
      </c>
      <c r="B29871" t="s">
        <v>10</v>
      </c>
    </row>
    <row r="29872" spans="1:2" x14ac:dyDescent="0.25">
      <c r="A29872">
        <v>62099090100</v>
      </c>
      <c r="B29872" t="s">
        <v>9154</v>
      </c>
    </row>
    <row r="29873" spans="1:2" x14ac:dyDescent="0.25">
      <c r="A29873">
        <v>62099090200</v>
      </c>
      <c r="B29873" t="s">
        <v>9038</v>
      </c>
    </row>
    <row r="29874" spans="1:2" x14ac:dyDescent="0.25">
      <c r="A29874">
        <v>62099090300</v>
      </c>
      <c r="B29874" t="s">
        <v>9039</v>
      </c>
    </row>
    <row r="29875" spans="1:2" x14ac:dyDescent="0.25">
      <c r="A29875">
        <v>62099090400</v>
      </c>
      <c r="B29875" t="s">
        <v>9155</v>
      </c>
    </row>
    <row r="29876" spans="1:2" x14ac:dyDescent="0.25">
      <c r="A29876">
        <v>62099090500</v>
      </c>
      <c r="B29876" t="s">
        <v>9044</v>
      </c>
    </row>
    <row r="29877" spans="1:2" x14ac:dyDescent="0.25">
      <c r="A29877">
        <v>62099090600</v>
      </c>
      <c r="B29877" t="s">
        <v>7662</v>
      </c>
    </row>
    <row r="29878" spans="1:2" x14ac:dyDescent="0.25">
      <c r="A29878">
        <v>62099090900</v>
      </c>
      <c r="B29878" t="s">
        <v>10</v>
      </c>
    </row>
    <row r="29879" spans="1:2" x14ac:dyDescent="0.25">
      <c r="A29879">
        <v>6210</v>
      </c>
      <c r="B29879" t="s">
        <v>9156</v>
      </c>
    </row>
    <row r="29880" spans="1:2" x14ac:dyDescent="0.25">
      <c r="A29880">
        <v>62101000</v>
      </c>
      <c r="B29880" t="s">
        <v>9157</v>
      </c>
    </row>
    <row r="29881" spans="1:2" x14ac:dyDescent="0.25">
      <c r="A29881">
        <v>621010001</v>
      </c>
      <c r="B29881" t="s">
        <v>9158</v>
      </c>
    </row>
    <row r="29882" spans="1:2" x14ac:dyDescent="0.25">
      <c r="A29882">
        <v>6210100011</v>
      </c>
      <c r="B29882" t="s">
        <v>9159</v>
      </c>
    </row>
    <row r="29883" spans="1:2" x14ac:dyDescent="0.25">
      <c r="A29883">
        <v>62101000111</v>
      </c>
      <c r="B29883" t="s">
        <v>9160</v>
      </c>
    </row>
    <row r="29884" spans="1:2" x14ac:dyDescent="0.25">
      <c r="A29884">
        <v>62101000119</v>
      </c>
      <c r="B29884" t="s">
        <v>57</v>
      </c>
    </row>
    <row r="29885" spans="1:2" x14ac:dyDescent="0.25">
      <c r="A29885">
        <v>6210100019</v>
      </c>
      <c r="B29885" t="s">
        <v>57</v>
      </c>
    </row>
    <row r="29886" spans="1:2" x14ac:dyDescent="0.25">
      <c r="A29886">
        <v>62101000191</v>
      </c>
      <c r="B29886" t="s">
        <v>5635</v>
      </c>
    </row>
    <row r="29887" spans="1:2" x14ac:dyDescent="0.25">
      <c r="A29887">
        <v>62101000199</v>
      </c>
      <c r="B29887" t="s">
        <v>10</v>
      </c>
    </row>
    <row r="29888" spans="1:2" x14ac:dyDescent="0.25">
      <c r="A29888">
        <v>62101000200</v>
      </c>
      <c r="B29888" t="s">
        <v>9161</v>
      </c>
    </row>
    <row r="29889" spans="1:2" x14ac:dyDescent="0.25">
      <c r="A29889">
        <v>62102000</v>
      </c>
      <c r="B29889" t="s">
        <v>9162</v>
      </c>
    </row>
    <row r="29890" spans="1:2" x14ac:dyDescent="0.25">
      <c r="A29890">
        <v>621020001</v>
      </c>
      <c r="B29890" t="s">
        <v>9163</v>
      </c>
    </row>
    <row r="29891" spans="1:2" x14ac:dyDescent="0.25">
      <c r="A29891">
        <v>6210200011</v>
      </c>
      <c r="B29891" t="s">
        <v>8978</v>
      </c>
    </row>
    <row r="29892" spans="1:2" x14ac:dyDescent="0.25">
      <c r="A29892">
        <v>62102000111</v>
      </c>
      <c r="B29892" t="s">
        <v>8979</v>
      </c>
    </row>
    <row r="29893" spans="1:2" x14ac:dyDescent="0.25">
      <c r="A29893">
        <v>62102000119</v>
      </c>
      <c r="B29893" t="s">
        <v>10</v>
      </c>
    </row>
    <row r="29894" spans="1:2" x14ac:dyDescent="0.25">
      <c r="A29894">
        <v>6210200012</v>
      </c>
      <c r="B29894" t="s">
        <v>8984</v>
      </c>
    </row>
    <row r="29895" spans="1:2" x14ac:dyDescent="0.25">
      <c r="A29895">
        <v>62102000121</v>
      </c>
      <c r="B29895" t="s">
        <v>8979</v>
      </c>
    </row>
    <row r="29896" spans="1:2" x14ac:dyDescent="0.25">
      <c r="A29896">
        <v>62102000129</v>
      </c>
      <c r="B29896" t="s">
        <v>10</v>
      </c>
    </row>
    <row r="29897" spans="1:2" x14ac:dyDescent="0.25">
      <c r="A29897">
        <v>621020002</v>
      </c>
      <c r="B29897" t="s">
        <v>9164</v>
      </c>
    </row>
    <row r="29898" spans="1:2" x14ac:dyDescent="0.25">
      <c r="A29898">
        <v>6210200021</v>
      </c>
      <c r="B29898" t="s">
        <v>8978</v>
      </c>
    </row>
    <row r="29899" spans="1:2" x14ac:dyDescent="0.25">
      <c r="A29899">
        <v>62102000211</v>
      </c>
      <c r="B29899" t="s">
        <v>8979</v>
      </c>
    </row>
    <row r="29900" spans="1:2" x14ac:dyDescent="0.25">
      <c r="A29900">
        <v>62102000219</v>
      </c>
      <c r="B29900" t="s">
        <v>10</v>
      </c>
    </row>
    <row r="29901" spans="1:2" x14ac:dyDescent="0.25">
      <c r="A29901">
        <v>6210200022</v>
      </c>
      <c r="B29901" t="s">
        <v>8984</v>
      </c>
    </row>
    <row r="29902" spans="1:2" x14ac:dyDescent="0.25">
      <c r="A29902">
        <v>62102000221</v>
      </c>
      <c r="B29902" t="s">
        <v>8979</v>
      </c>
    </row>
    <row r="29903" spans="1:2" x14ac:dyDescent="0.25">
      <c r="A29903">
        <v>62102000229</v>
      </c>
      <c r="B29903" t="s">
        <v>10</v>
      </c>
    </row>
    <row r="29904" spans="1:2" x14ac:dyDescent="0.25">
      <c r="A29904">
        <v>621020003</v>
      </c>
      <c r="B29904" t="s">
        <v>9165</v>
      </c>
    </row>
    <row r="29905" spans="1:2" x14ac:dyDescent="0.25">
      <c r="A29905">
        <v>6210200031</v>
      </c>
      <c r="B29905" t="s">
        <v>8978</v>
      </c>
    </row>
    <row r="29906" spans="1:2" x14ac:dyDescent="0.25">
      <c r="A29906">
        <v>62102000311</v>
      </c>
      <c r="B29906" t="s">
        <v>8979</v>
      </c>
    </row>
    <row r="29907" spans="1:2" x14ac:dyDescent="0.25">
      <c r="A29907">
        <v>62102000319</v>
      </c>
      <c r="B29907" t="s">
        <v>10</v>
      </c>
    </row>
    <row r="29908" spans="1:2" x14ac:dyDescent="0.25">
      <c r="A29908">
        <v>6210200032</v>
      </c>
      <c r="B29908" t="s">
        <v>8984</v>
      </c>
    </row>
    <row r="29909" spans="1:2" x14ac:dyDescent="0.25">
      <c r="A29909">
        <v>62102000321</v>
      </c>
      <c r="B29909" t="s">
        <v>8979</v>
      </c>
    </row>
    <row r="29910" spans="1:2" x14ac:dyDescent="0.25">
      <c r="A29910">
        <v>62102000329</v>
      </c>
      <c r="B29910" t="s">
        <v>10</v>
      </c>
    </row>
    <row r="29911" spans="1:2" x14ac:dyDescent="0.25">
      <c r="A29911">
        <v>62103000</v>
      </c>
      <c r="B29911" t="s">
        <v>9166</v>
      </c>
    </row>
    <row r="29912" spans="1:2" x14ac:dyDescent="0.25">
      <c r="A29912">
        <v>621030001</v>
      </c>
      <c r="B29912" t="s">
        <v>9163</v>
      </c>
    </row>
    <row r="29913" spans="1:2" x14ac:dyDescent="0.25">
      <c r="A29913">
        <v>6210300011</v>
      </c>
      <c r="B29913" t="s">
        <v>8978</v>
      </c>
    </row>
    <row r="29914" spans="1:2" x14ac:dyDescent="0.25">
      <c r="A29914">
        <v>62103000111</v>
      </c>
      <c r="B29914" t="s">
        <v>8979</v>
      </c>
    </row>
    <row r="29915" spans="1:2" x14ac:dyDescent="0.25">
      <c r="A29915">
        <v>62103000119</v>
      </c>
      <c r="B29915" t="s">
        <v>10</v>
      </c>
    </row>
    <row r="29916" spans="1:2" x14ac:dyDescent="0.25">
      <c r="A29916">
        <v>6210300012</v>
      </c>
      <c r="B29916" t="s">
        <v>8984</v>
      </c>
    </row>
    <row r="29917" spans="1:2" x14ac:dyDescent="0.25">
      <c r="A29917">
        <v>62103000121</v>
      </c>
      <c r="B29917" t="s">
        <v>8979</v>
      </c>
    </row>
    <row r="29918" spans="1:2" x14ac:dyDescent="0.25">
      <c r="A29918">
        <v>62103000129</v>
      </c>
      <c r="B29918" t="s">
        <v>10</v>
      </c>
    </row>
    <row r="29919" spans="1:2" x14ac:dyDescent="0.25">
      <c r="A29919">
        <v>621030002</v>
      </c>
      <c r="B29919" t="s">
        <v>9164</v>
      </c>
    </row>
    <row r="29920" spans="1:2" x14ac:dyDescent="0.25">
      <c r="A29920">
        <v>6210300021</v>
      </c>
      <c r="B29920" t="s">
        <v>8978</v>
      </c>
    </row>
    <row r="29921" spans="1:2" x14ac:dyDescent="0.25">
      <c r="A29921">
        <v>62103000211</v>
      </c>
      <c r="B29921" t="s">
        <v>8979</v>
      </c>
    </row>
    <row r="29922" spans="1:2" x14ac:dyDescent="0.25">
      <c r="A29922">
        <v>62103000219</v>
      </c>
      <c r="B29922" t="s">
        <v>10</v>
      </c>
    </row>
    <row r="29923" spans="1:2" x14ac:dyDescent="0.25">
      <c r="A29923">
        <v>6210300022</v>
      </c>
      <c r="B29923" t="s">
        <v>8984</v>
      </c>
    </row>
    <row r="29924" spans="1:2" x14ac:dyDescent="0.25">
      <c r="A29924">
        <v>62103000221</v>
      </c>
      <c r="B29924" t="s">
        <v>8979</v>
      </c>
    </row>
    <row r="29925" spans="1:2" x14ac:dyDescent="0.25">
      <c r="A29925">
        <v>62103000229</v>
      </c>
      <c r="B29925" t="s">
        <v>10</v>
      </c>
    </row>
    <row r="29926" spans="1:2" x14ac:dyDescent="0.25">
      <c r="A29926">
        <v>621030003</v>
      </c>
      <c r="B29926" t="s">
        <v>9165</v>
      </c>
    </row>
    <row r="29927" spans="1:2" x14ac:dyDescent="0.25">
      <c r="A29927">
        <v>6210300031</v>
      </c>
      <c r="B29927" t="s">
        <v>8978</v>
      </c>
    </row>
    <row r="29928" spans="1:2" x14ac:dyDescent="0.25">
      <c r="A29928">
        <v>62103000311</v>
      </c>
      <c r="B29928" t="s">
        <v>8979</v>
      </c>
    </row>
    <row r="29929" spans="1:2" x14ac:dyDescent="0.25">
      <c r="A29929">
        <v>62103000319</v>
      </c>
      <c r="B29929" t="s">
        <v>10</v>
      </c>
    </row>
    <row r="29930" spans="1:2" x14ac:dyDescent="0.25">
      <c r="A29930">
        <v>6210300032</v>
      </c>
      <c r="B29930" t="s">
        <v>8984</v>
      </c>
    </row>
    <row r="29931" spans="1:2" x14ac:dyDescent="0.25">
      <c r="A29931">
        <v>62103000321</v>
      </c>
      <c r="B29931" t="s">
        <v>8979</v>
      </c>
    </row>
    <row r="29932" spans="1:2" x14ac:dyDescent="0.25">
      <c r="A29932">
        <v>62103000329</v>
      </c>
      <c r="B29932" t="s">
        <v>10</v>
      </c>
    </row>
    <row r="29933" spans="1:2" x14ac:dyDescent="0.25">
      <c r="A29933">
        <v>62104000</v>
      </c>
      <c r="B29933" t="e">
        <f>- las demas Prendas de vestir para hombres o niños</f>
        <v>#NAME?</v>
      </c>
    </row>
    <row r="29934" spans="1:2" x14ac:dyDescent="0.25">
      <c r="A29934">
        <v>621040001</v>
      </c>
      <c r="B29934" t="s">
        <v>9167</v>
      </c>
    </row>
    <row r="29935" spans="1:2" x14ac:dyDescent="0.25">
      <c r="A29935">
        <v>6210400011</v>
      </c>
      <c r="B29935" t="s">
        <v>9163</v>
      </c>
    </row>
    <row r="29936" spans="1:2" x14ac:dyDescent="0.25">
      <c r="A29936">
        <v>62104000111</v>
      </c>
      <c r="B29936" t="s">
        <v>8979</v>
      </c>
    </row>
    <row r="29937" spans="1:2" x14ac:dyDescent="0.25">
      <c r="A29937">
        <v>62104000119</v>
      </c>
      <c r="B29937" t="s">
        <v>10</v>
      </c>
    </row>
    <row r="29938" spans="1:2" x14ac:dyDescent="0.25">
      <c r="A29938">
        <v>6210400012</v>
      </c>
      <c r="B29938" t="s">
        <v>9164</v>
      </c>
    </row>
    <row r="29939" spans="1:2" x14ac:dyDescent="0.25">
      <c r="A29939">
        <v>62104000121</v>
      </c>
      <c r="B29939" t="s">
        <v>8979</v>
      </c>
    </row>
    <row r="29940" spans="1:2" x14ac:dyDescent="0.25">
      <c r="A29940">
        <v>62104000129</v>
      </c>
      <c r="B29940" t="s">
        <v>10</v>
      </c>
    </row>
    <row r="29941" spans="1:2" x14ac:dyDescent="0.25">
      <c r="A29941">
        <v>6210400013</v>
      </c>
      <c r="B29941" t="s">
        <v>9165</v>
      </c>
    </row>
    <row r="29942" spans="1:2" x14ac:dyDescent="0.25">
      <c r="A29942">
        <v>62104000131</v>
      </c>
      <c r="B29942" t="s">
        <v>8979</v>
      </c>
    </row>
    <row r="29943" spans="1:2" x14ac:dyDescent="0.25">
      <c r="A29943">
        <v>62104000139</v>
      </c>
      <c r="B29943" t="s">
        <v>10</v>
      </c>
    </row>
    <row r="29944" spans="1:2" x14ac:dyDescent="0.25">
      <c r="A29944">
        <v>621040009</v>
      </c>
      <c r="B29944" t="s">
        <v>10</v>
      </c>
    </row>
    <row r="29945" spans="1:2" x14ac:dyDescent="0.25">
      <c r="A29945">
        <v>6210400091</v>
      </c>
      <c r="B29945" t="s">
        <v>9163</v>
      </c>
    </row>
    <row r="29946" spans="1:2" x14ac:dyDescent="0.25">
      <c r="A29946">
        <v>62104000911</v>
      </c>
      <c r="B29946" t="s">
        <v>8979</v>
      </c>
    </row>
    <row r="29947" spans="1:2" x14ac:dyDescent="0.25">
      <c r="A29947">
        <v>62104000912</v>
      </c>
      <c r="B29947" t="s">
        <v>5635</v>
      </c>
    </row>
    <row r="29948" spans="1:2" x14ac:dyDescent="0.25">
      <c r="A29948">
        <v>62104000919</v>
      </c>
      <c r="B29948" t="s">
        <v>10</v>
      </c>
    </row>
    <row r="29949" spans="1:2" x14ac:dyDescent="0.25">
      <c r="A29949">
        <v>6210400092</v>
      </c>
      <c r="B29949" t="s">
        <v>9164</v>
      </c>
    </row>
    <row r="29950" spans="1:2" x14ac:dyDescent="0.25">
      <c r="A29950">
        <v>62104000921</v>
      </c>
      <c r="B29950" t="s">
        <v>8979</v>
      </c>
    </row>
    <row r="29951" spans="1:2" x14ac:dyDescent="0.25">
      <c r="A29951">
        <v>62104000929</v>
      </c>
      <c r="B29951" t="s">
        <v>10</v>
      </c>
    </row>
    <row r="29952" spans="1:2" x14ac:dyDescent="0.25">
      <c r="A29952">
        <v>6210400093</v>
      </c>
      <c r="B29952" t="s">
        <v>9165</v>
      </c>
    </row>
    <row r="29953" spans="1:2" x14ac:dyDescent="0.25">
      <c r="A29953">
        <v>62104000931</v>
      </c>
      <c r="B29953" t="s">
        <v>8979</v>
      </c>
    </row>
    <row r="29954" spans="1:2" x14ac:dyDescent="0.25">
      <c r="A29954">
        <v>62104000932</v>
      </c>
      <c r="B29954" t="s">
        <v>5635</v>
      </c>
    </row>
    <row r="29955" spans="1:2" x14ac:dyDescent="0.25">
      <c r="A29955">
        <v>62104000939</v>
      </c>
      <c r="B29955" t="s">
        <v>10</v>
      </c>
    </row>
    <row r="29956" spans="1:2" x14ac:dyDescent="0.25">
      <c r="A29956">
        <v>62105000</v>
      </c>
      <c r="B29956" t="e">
        <f>- las demas Prendas de vestir para mujeres o niñas</f>
        <v>#NAME?</v>
      </c>
    </row>
    <row r="29957" spans="1:2" x14ac:dyDescent="0.25">
      <c r="A29957">
        <v>621050001</v>
      </c>
      <c r="B29957" t="s">
        <v>9168</v>
      </c>
    </row>
    <row r="29958" spans="1:2" x14ac:dyDescent="0.25">
      <c r="A29958">
        <v>6210500011</v>
      </c>
      <c r="B29958" t="s">
        <v>9163</v>
      </c>
    </row>
    <row r="29959" spans="1:2" x14ac:dyDescent="0.25">
      <c r="A29959">
        <v>62105000111</v>
      </c>
      <c r="B29959" t="s">
        <v>8979</v>
      </c>
    </row>
    <row r="29960" spans="1:2" x14ac:dyDescent="0.25">
      <c r="A29960">
        <v>62105000119</v>
      </c>
      <c r="B29960" t="s">
        <v>10</v>
      </c>
    </row>
    <row r="29961" spans="1:2" x14ac:dyDescent="0.25">
      <c r="A29961">
        <v>6210500012</v>
      </c>
      <c r="B29961" t="s">
        <v>9164</v>
      </c>
    </row>
    <row r="29962" spans="1:2" x14ac:dyDescent="0.25">
      <c r="A29962">
        <v>62105000121</v>
      </c>
      <c r="B29962" t="s">
        <v>8979</v>
      </c>
    </row>
    <row r="29963" spans="1:2" x14ac:dyDescent="0.25">
      <c r="A29963">
        <v>62105000129</v>
      </c>
      <c r="B29963" t="s">
        <v>10</v>
      </c>
    </row>
    <row r="29964" spans="1:2" x14ac:dyDescent="0.25">
      <c r="A29964">
        <v>6210500013</v>
      </c>
      <c r="B29964" t="s">
        <v>9165</v>
      </c>
    </row>
    <row r="29965" spans="1:2" x14ac:dyDescent="0.25">
      <c r="A29965">
        <v>62105000131</v>
      </c>
      <c r="B29965" t="s">
        <v>8979</v>
      </c>
    </row>
    <row r="29966" spans="1:2" x14ac:dyDescent="0.25">
      <c r="A29966">
        <v>62105000139</v>
      </c>
      <c r="B29966" t="s">
        <v>10</v>
      </c>
    </row>
    <row r="29967" spans="1:2" x14ac:dyDescent="0.25">
      <c r="A29967">
        <v>621050009</v>
      </c>
      <c r="B29967" t="s">
        <v>10</v>
      </c>
    </row>
    <row r="29968" spans="1:2" x14ac:dyDescent="0.25">
      <c r="A29968">
        <v>6210500091</v>
      </c>
      <c r="B29968" t="s">
        <v>9163</v>
      </c>
    </row>
    <row r="29969" spans="1:2" x14ac:dyDescent="0.25">
      <c r="A29969">
        <v>62105000911</v>
      </c>
      <c r="B29969" t="s">
        <v>8979</v>
      </c>
    </row>
    <row r="29970" spans="1:2" x14ac:dyDescent="0.25">
      <c r="A29970">
        <v>62105000912</v>
      </c>
      <c r="B29970" t="s">
        <v>5635</v>
      </c>
    </row>
    <row r="29971" spans="1:2" x14ac:dyDescent="0.25">
      <c r="A29971">
        <v>62105000919</v>
      </c>
      <c r="B29971" t="s">
        <v>10</v>
      </c>
    </row>
    <row r="29972" spans="1:2" x14ac:dyDescent="0.25">
      <c r="A29972">
        <v>6210500092</v>
      </c>
      <c r="B29972" t="s">
        <v>9164</v>
      </c>
    </row>
    <row r="29973" spans="1:2" x14ac:dyDescent="0.25">
      <c r="A29973">
        <v>62105000921</v>
      </c>
      <c r="B29973" t="s">
        <v>8979</v>
      </c>
    </row>
    <row r="29974" spans="1:2" x14ac:dyDescent="0.25">
      <c r="A29974">
        <v>62105000929</v>
      </c>
      <c r="B29974" t="s">
        <v>10</v>
      </c>
    </row>
    <row r="29975" spans="1:2" x14ac:dyDescent="0.25">
      <c r="A29975">
        <v>6210500093</v>
      </c>
      <c r="B29975" t="s">
        <v>9165</v>
      </c>
    </row>
    <row r="29976" spans="1:2" x14ac:dyDescent="0.25">
      <c r="A29976">
        <v>62105000931</v>
      </c>
      <c r="B29976" t="s">
        <v>8979</v>
      </c>
    </row>
    <row r="29977" spans="1:2" x14ac:dyDescent="0.25">
      <c r="A29977">
        <v>62105000932</v>
      </c>
      <c r="B29977" t="s">
        <v>5635</v>
      </c>
    </row>
    <row r="29978" spans="1:2" x14ac:dyDescent="0.25">
      <c r="A29978">
        <v>62105000939</v>
      </c>
      <c r="B29978" t="s">
        <v>10</v>
      </c>
    </row>
    <row r="29979" spans="1:2" x14ac:dyDescent="0.25">
      <c r="A29979">
        <v>6211</v>
      </c>
      <c r="B29979" t="s">
        <v>9169</v>
      </c>
    </row>
    <row r="29980" spans="1:2" x14ac:dyDescent="0.25">
      <c r="A29980">
        <v>62111</v>
      </c>
      <c r="B29980" t="s">
        <v>9170</v>
      </c>
    </row>
    <row r="29981" spans="1:2" x14ac:dyDescent="0.25">
      <c r="A29981">
        <v>62111100000</v>
      </c>
      <c r="B29981" t="e">
        <f>--para hombres o niños</f>
        <v>#NAME?</v>
      </c>
    </row>
    <row r="29982" spans="1:2" x14ac:dyDescent="0.25">
      <c r="A29982">
        <v>62111200000</v>
      </c>
      <c r="B29982" t="e">
        <f>--para mujeres o niñas</f>
        <v>#NAME?</v>
      </c>
    </row>
    <row r="29983" spans="1:2" x14ac:dyDescent="0.25">
      <c r="A29983">
        <v>62112000</v>
      </c>
      <c r="B29983" t="e">
        <f>- Monos (overoles) y Conjuntos de esqui</f>
        <v>#NAME?</v>
      </c>
    </row>
    <row r="29984" spans="1:2" x14ac:dyDescent="0.25">
      <c r="A29984">
        <v>62112000100</v>
      </c>
      <c r="B29984" t="s">
        <v>8979</v>
      </c>
    </row>
    <row r="29985" spans="1:2" x14ac:dyDescent="0.25">
      <c r="A29985">
        <v>62112000900</v>
      </c>
      <c r="B29985" t="s">
        <v>10</v>
      </c>
    </row>
    <row r="29986" spans="1:2" x14ac:dyDescent="0.25">
      <c r="A29986">
        <v>62113</v>
      </c>
      <c r="B29986" t="s">
        <v>9171</v>
      </c>
    </row>
    <row r="29987" spans="1:2" x14ac:dyDescent="0.25">
      <c r="A29987">
        <v>62113200</v>
      </c>
      <c r="B29987" t="e">
        <f>- - de algodon</f>
        <v>#NAME?</v>
      </c>
    </row>
    <row r="29988" spans="1:2" x14ac:dyDescent="0.25">
      <c r="A29988">
        <v>62113200100</v>
      </c>
      <c r="B29988" t="s">
        <v>8979</v>
      </c>
    </row>
    <row r="29989" spans="1:2" x14ac:dyDescent="0.25">
      <c r="A29989">
        <v>621132009</v>
      </c>
      <c r="B29989" t="s">
        <v>10</v>
      </c>
    </row>
    <row r="29990" spans="1:2" x14ac:dyDescent="0.25">
      <c r="A29990">
        <v>62113200910</v>
      </c>
      <c r="B29990" t="s">
        <v>9172</v>
      </c>
    </row>
    <row r="29991" spans="1:2" x14ac:dyDescent="0.25">
      <c r="A29991">
        <v>62113200920</v>
      </c>
      <c r="B29991" t="s">
        <v>5635</v>
      </c>
    </row>
    <row r="29992" spans="1:2" x14ac:dyDescent="0.25">
      <c r="A29992">
        <v>62113200990</v>
      </c>
      <c r="B29992" t="s">
        <v>57</v>
      </c>
    </row>
    <row r="29993" spans="1:2" x14ac:dyDescent="0.25">
      <c r="A29993">
        <v>62113300</v>
      </c>
      <c r="B29993" t="e">
        <f>- - de fibras sinteticas o artificiales</f>
        <v>#NAME?</v>
      </c>
    </row>
    <row r="29994" spans="1:2" x14ac:dyDescent="0.25">
      <c r="A29994">
        <v>621133001</v>
      </c>
      <c r="B29994" t="s">
        <v>8979</v>
      </c>
    </row>
    <row r="29995" spans="1:2" x14ac:dyDescent="0.25">
      <c r="A29995">
        <v>62113300110</v>
      </c>
      <c r="B29995" t="s">
        <v>9173</v>
      </c>
    </row>
    <row r="29996" spans="1:2" x14ac:dyDescent="0.25">
      <c r="A29996">
        <v>62113300190</v>
      </c>
      <c r="B29996" t="s">
        <v>10</v>
      </c>
    </row>
    <row r="29997" spans="1:2" x14ac:dyDescent="0.25">
      <c r="A29997">
        <v>621133009</v>
      </c>
      <c r="B29997" t="s">
        <v>57</v>
      </c>
    </row>
    <row r="29998" spans="1:2" x14ac:dyDescent="0.25">
      <c r="A29998">
        <v>62113300910</v>
      </c>
      <c r="B29998" t="s">
        <v>9172</v>
      </c>
    </row>
    <row r="29999" spans="1:2" x14ac:dyDescent="0.25">
      <c r="A29999">
        <v>62113300920</v>
      </c>
      <c r="B29999" t="s">
        <v>5635</v>
      </c>
    </row>
    <row r="30000" spans="1:2" x14ac:dyDescent="0.25">
      <c r="A30000">
        <v>62113300990</v>
      </c>
      <c r="B30000" t="s">
        <v>57</v>
      </c>
    </row>
    <row r="30001" spans="1:2" x14ac:dyDescent="0.25">
      <c r="A30001">
        <v>621139</v>
      </c>
      <c r="B30001" t="e">
        <f>- - de las demas materias textiles</f>
        <v>#NAME?</v>
      </c>
    </row>
    <row r="30002" spans="1:2" x14ac:dyDescent="0.25">
      <c r="A30002">
        <v>62113910</v>
      </c>
      <c r="B30002" t="s">
        <v>8835</v>
      </c>
    </row>
    <row r="30003" spans="1:2" x14ac:dyDescent="0.25">
      <c r="A30003">
        <v>62113910100</v>
      </c>
      <c r="B30003" t="s">
        <v>8979</v>
      </c>
    </row>
    <row r="30004" spans="1:2" x14ac:dyDescent="0.25">
      <c r="A30004">
        <v>62113910200</v>
      </c>
      <c r="B30004" t="s">
        <v>5635</v>
      </c>
    </row>
    <row r="30005" spans="1:2" x14ac:dyDescent="0.25">
      <c r="A30005">
        <v>62113910900</v>
      </c>
      <c r="B30005" t="s">
        <v>10</v>
      </c>
    </row>
    <row r="30006" spans="1:2" x14ac:dyDescent="0.25">
      <c r="A30006">
        <v>62113990</v>
      </c>
      <c r="B30006" t="s">
        <v>57</v>
      </c>
    </row>
    <row r="30007" spans="1:2" x14ac:dyDescent="0.25">
      <c r="A30007">
        <v>62113990100</v>
      </c>
      <c r="B30007" t="s">
        <v>8979</v>
      </c>
    </row>
    <row r="30008" spans="1:2" x14ac:dyDescent="0.25">
      <c r="A30008">
        <v>62113990200</v>
      </c>
      <c r="B30008" t="s">
        <v>5635</v>
      </c>
    </row>
    <row r="30009" spans="1:2" x14ac:dyDescent="0.25">
      <c r="A30009">
        <v>62113990900</v>
      </c>
      <c r="B30009" t="s">
        <v>10</v>
      </c>
    </row>
    <row r="30010" spans="1:2" x14ac:dyDescent="0.25">
      <c r="A30010">
        <v>62114</v>
      </c>
      <c r="B30010" t="s">
        <v>9174</v>
      </c>
    </row>
    <row r="30011" spans="1:2" x14ac:dyDescent="0.25">
      <c r="A30011">
        <v>62114200</v>
      </c>
      <c r="B30011" t="e">
        <f>- - de algodon</f>
        <v>#NAME?</v>
      </c>
    </row>
    <row r="30012" spans="1:2" x14ac:dyDescent="0.25">
      <c r="A30012">
        <v>62114200100</v>
      </c>
      <c r="B30012" t="s">
        <v>8979</v>
      </c>
    </row>
    <row r="30013" spans="1:2" x14ac:dyDescent="0.25">
      <c r="A30013">
        <v>621142009</v>
      </c>
      <c r="B30013" t="s">
        <v>10</v>
      </c>
    </row>
    <row r="30014" spans="1:2" x14ac:dyDescent="0.25">
      <c r="A30014">
        <v>62114200910</v>
      </c>
      <c r="B30014" t="s">
        <v>9172</v>
      </c>
    </row>
    <row r="30015" spans="1:2" x14ac:dyDescent="0.25">
      <c r="A30015">
        <v>62114200920</v>
      </c>
      <c r="B30015" t="s">
        <v>5635</v>
      </c>
    </row>
    <row r="30016" spans="1:2" x14ac:dyDescent="0.25">
      <c r="A30016">
        <v>62114200990</v>
      </c>
      <c r="B30016" t="s">
        <v>57</v>
      </c>
    </row>
    <row r="30017" spans="1:2" x14ac:dyDescent="0.25">
      <c r="A30017">
        <v>62114300</v>
      </c>
      <c r="B30017" t="e">
        <f>- - de fibras sinteticas o artificiales</f>
        <v>#NAME?</v>
      </c>
    </row>
    <row r="30018" spans="1:2" x14ac:dyDescent="0.25">
      <c r="A30018">
        <v>621143001</v>
      </c>
      <c r="B30018" t="s">
        <v>8979</v>
      </c>
    </row>
    <row r="30019" spans="1:2" x14ac:dyDescent="0.25">
      <c r="A30019">
        <v>62114300110</v>
      </c>
      <c r="B30019" t="s">
        <v>9175</v>
      </c>
    </row>
    <row r="30020" spans="1:2" x14ac:dyDescent="0.25">
      <c r="A30020">
        <v>62114300190</v>
      </c>
      <c r="B30020" t="s">
        <v>57</v>
      </c>
    </row>
    <row r="30021" spans="1:2" x14ac:dyDescent="0.25">
      <c r="A30021">
        <v>621143009</v>
      </c>
      <c r="B30021" t="s">
        <v>10</v>
      </c>
    </row>
    <row r="30022" spans="1:2" x14ac:dyDescent="0.25">
      <c r="A30022">
        <v>62114300910</v>
      </c>
      <c r="B30022" t="s">
        <v>9172</v>
      </c>
    </row>
    <row r="30023" spans="1:2" x14ac:dyDescent="0.25">
      <c r="A30023">
        <v>62114300920</v>
      </c>
      <c r="B30023" t="s">
        <v>5635</v>
      </c>
    </row>
    <row r="30024" spans="1:2" x14ac:dyDescent="0.25">
      <c r="A30024">
        <v>62114300990</v>
      </c>
      <c r="B30024" t="s">
        <v>57</v>
      </c>
    </row>
    <row r="30025" spans="1:2" x14ac:dyDescent="0.25">
      <c r="A30025">
        <v>62114900</v>
      </c>
      <c r="B30025" t="e">
        <f>- - de las demas materias textiles</f>
        <v>#NAME?</v>
      </c>
    </row>
    <row r="30026" spans="1:2" x14ac:dyDescent="0.25">
      <c r="A30026">
        <v>62114900100</v>
      </c>
      <c r="B30026" t="s">
        <v>8979</v>
      </c>
    </row>
    <row r="30027" spans="1:2" x14ac:dyDescent="0.25">
      <c r="A30027">
        <v>62114900200</v>
      </c>
      <c r="B30027" t="s">
        <v>5635</v>
      </c>
    </row>
    <row r="30028" spans="1:2" x14ac:dyDescent="0.25">
      <c r="A30028">
        <v>62114900900</v>
      </c>
      <c r="B30028" t="s">
        <v>10</v>
      </c>
    </row>
    <row r="30029" spans="1:2" x14ac:dyDescent="0.25">
      <c r="A30029">
        <v>6212</v>
      </c>
      <c r="B30029" t="s">
        <v>9176</v>
      </c>
    </row>
    <row r="30030" spans="1:2" x14ac:dyDescent="0.25">
      <c r="A30030">
        <v>62121000000</v>
      </c>
      <c r="B30030" t="e">
        <f>-Sostenes (corpiños)</f>
        <v>#NAME?</v>
      </c>
    </row>
    <row r="30031" spans="1:2" x14ac:dyDescent="0.25">
      <c r="A30031">
        <v>62122000000</v>
      </c>
      <c r="B30031" t="e">
        <f>-Fajas y Fajas braga (Fajas bombacha)</f>
        <v>#NAME?</v>
      </c>
    </row>
    <row r="30032" spans="1:2" x14ac:dyDescent="0.25">
      <c r="A30032">
        <v>62123000000</v>
      </c>
      <c r="B30032" t="e">
        <f>-Fajas sosten (Fajas corpiño)</f>
        <v>#NAME?</v>
      </c>
    </row>
    <row r="30033" spans="1:2" x14ac:dyDescent="0.25">
      <c r="A30033">
        <v>62129000000</v>
      </c>
      <c r="B30033" t="e">
        <f>-Los demas</f>
        <v>#NAME?</v>
      </c>
    </row>
    <row r="30034" spans="1:2" x14ac:dyDescent="0.25">
      <c r="A30034">
        <v>6213</v>
      </c>
      <c r="B30034" t="s">
        <v>9177</v>
      </c>
    </row>
    <row r="30035" spans="1:2" x14ac:dyDescent="0.25">
      <c r="A30035">
        <v>62132000000</v>
      </c>
      <c r="B30035" t="e">
        <f>-de algodon</f>
        <v>#NAME?</v>
      </c>
    </row>
    <row r="30036" spans="1:2" x14ac:dyDescent="0.25">
      <c r="A30036">
        <v>621390</v>
      </c>
      <c r="B30036" t="e">
        <f>- de las demas materias textiles</f>
        <v>#NAME?</v>
      </c>
    </row>
    <row r="30037" spans="1:2" x14ac:dyDescent="0.25">
      <c r="A30037">
        <v>62139010000</v>
      </c>
      <c r="B30037" t="s">
        <v>9178</v>
      </c>
    </row>
    <row r="30038" spans="1:2" x14ac:dyDescent="0.25">
      <c r="A30038">
        <v>62139090000</v>
      </c>
      <c r="B30038" t="s">
        <v>10</v>
      </c>
    </row>
    <row r="30039" spans="1:2" x14ac:dyDescent="0.25">
      <c r="A30039">
        <v>6214</v>
      </c>
      <c r="B30039" t="s">
        <v>9179</v>
      </c>
    </row>
    <row r="30040" spans="1:2" x14ac:dyDescent="0.25">
      <c r="A30040">
        <v>62141000</v>
      </c>
      <c r="B30040" t="e">
        <f>- de seda o desperdicios de seda</f>
        <v>#NAME?</v>
      </c>
    </row>
    <row r="30041" spans="1:2" x14ac:dyDescent="0.25">
      <c r="A30041">
        <v>62141000100</v>
      </c>
      <c r="B30041" t="s">
        <v>9118</v>
      </c>
    </row>
    <row r="30042" spans="1:2" x14ac:dyDescent="0.25">
      <c r="A30042">
        <v>62141000200</v>
      </c>
      <c r="B30042" t="s">
        <v>9119</v>
      </c>
    </row>
    <row r="30043" spans="1:2" x14ac:dyDescent="0.25">
      <c r="A30043">
        <v>62141000300</v>
      </c>
      <c r="B30043" t="s">
        <v>9120</v>
      </c>
    </row>
    <row r="30044" spans="1:2" x14ac:dyDescent="0.25">
      <c r="A30044">
        <v>62142000</v>
      </c>
      <c r="B30044" t="e">
        <f>- de lana o Pelo fino</f>
        <v>#NAME?</v>
      </c>
    </row>
    <row r="30045" spans="1:2" x14ac:dyDescent="0.25">
      <c r="A30045">
        <v>62142000100</v>
      </c>
      <c r="B30045" t="s">
        <v>9118</v>
      </c>
    </row>
    <row r="30046" spans="1:2" x14ac:dyDescent="0.25">
      <c r="A30046">
        <v>62142000200</v>
      </c>
      <c r="B30046" t="s">
        <v>9119</v>
      </c>
    </row>
    <row r="30047" spans="1:2" x14ac:dyDescent="0.25">
      <c r="A30047">
        <v>62142000300</v>
      </c>
      <c r="B30047" t="s">
        <v>9120</v>
      </c>
    </row>
    <row r="30048" spans="1:2" x14ac:dyDescent="0.25">
      <c r="A30048">
        <v>62143000</v>
      </c>
      <c r="B30048" t="e">
        <f>- de fibras sinteticas</f>
        <v>#NAME?</v>
      </c>
    </row>
    <row r="30049" spans="1:2" x14ac:dyDescent="0.25">
      <c r="A30049">
        <v>62143000100</v>
      </c>
      <c r="B30049" t="s">
        <v>9118</v>
      </c>
    </row>
    <row r="30050" spans="1:2" x14ac:dyDescent="0.25">
      <c r="A30050">
        <v>62143000200</v>
      </c>
      <c r="B30050" t="s">
        <v>9119</v>
      </c>
    </row>
    <row r="30051" spans="1:2" x14ac:dyDescent="0.25">
      <c r="A30051">
        <v>62143000300</v>
      </c>
      <c r="B30051" t="s">
        <v>9120</v>
      </c>
    </row>
    <row r="30052" spans="1:2" x14ac:dyDescent="0.25">
      <c r="A30052">
        <v>62144000</v>
      </c>
      <c r="B30052" t="e">
        <f>- de fibras artificiales</f>
        <v>#NAME?</v>
      </c>
    </row>
    <row r="30053" spans="1:2" x14ac:dyDescent="0.25">
      <c r="A30053">
        <v>62144000100</v>
      </c>
      <c r="B30053" t="s">
        <v>9118</v>
      </c>
    </row>
    <row r="30054" spans="1:2" x14ac:dyDescent="0.25">
      <c r="A30054">
        <v>62144000200</v>
      </c>
      <c r="B30054" t="s">
        <v>9119</v>
      </c>
    </row>
    <row r="30055" spans="1:2" x14ac:dyDescent="0.25">
      <c r="A30055">
        <v>62144000300</v>
      </c>
      <c r="B30055" t="s">
        <v>9120</v>
      </c>
    </row>
    <row r="30056" spans="1:2" x14ac:dyDescent="0.25">
      <c r="A30056">
        <v>621490</v>
      </c>
      <c r="B30056" t="e">
        <f>- de las demas materias textiles</f>
        <v>#NAME?</v>
      </c>
    </row>
    <row r="30057" spans="1:2" x14ac:dyDescent="0.25">
      <c r="A30057">
        <v>62149010</v>
      </c>
      <c r="B30057" t="s">
        <v>8805</v>
      </c>
    </row>
    <row r="30058" spans="1:2" x14ac:dyDescent="0.25">
      <c r="A30058">
        <v>62149010100</v>
      </c>
      <c r="B30058" t="s">
        <v>9118</v>
      </c>
    </row>
    <row r="30059" spans="1:2" x14ac:dyDescent="0.25">
      <c r="A30059">
        <v>62149010200</v>
      </c>
      <c r="B30059" t="s">
        <v>9119</v>
      </c>
    </row>
    <row r="30060" spans="1:2" x14ac:dyDescent="0.25">
      <c r="A30060">
        <v>62149010300</v>
      </c>
      <c r="B30060" t="s">
        <v>9120</v>
      </c>
    </row>
    <row r="30061" spans="1:2" x14ac:dyDescent="0.25">
      <c r="A30061">
        <v>62149090000</v>
      </c>
      <c r="B30061" t="s">
        <v>10</v>
      </c>
    </row>
    <row r="30062" spans="1:2" x14ac:dyDescent="0.25">
      <c r="A30062">
        <v>6215</v>
      </c>
      <c r="B30062" t="s">
        <v>9180</v>
      </c>
    </row>
    <row r="30063" spans="1:2" x14ac:dyDescent="0.25">
      <c r="A30063">
        <v>62151000000</v>
      </c>
      <c r="B30063" t="e">
        <f>-de seda o desperdicios de seda</f>
        <v>#NAME?</v>
      </c>
    </row>
    <row r="30064" spans="1:2" x14ac:dyDescent="0.25">
      <c r="A30064">
        <v>62152000000</v>
      </c>
      <c r="B30064" t="e">
        <f>-de fibras sinteticas o artificiales</f>
        <v>#NAME?</v>
      </c>
    </row>
    <row r="30065" spans="1:2" x14ac:dyDescent="0.25">
      <c r="A30065">
        <v>62159000000</v>
      </c>
      <c r="B30065" t="e">
        <f>-de las demas materias textiles</f>
        <v>#NAME?</v>
      </c>
    </row>
    <row r="30066" spans="1:2" x14ac:dyDescent="0.25">
      <c r="A30066">
        <v>62160000</v>
      </c>
      <c r="B30066" t="s">
        <v>9181</v>
      </c>
    </row>
    <row r="30067" spans="1:2" x14ac:dyDescent="0.25">
      <c r="A30067">
        <v>621600001</v>
      </c>
      <c r="B30067" t="s">
        <v>9182</v>
      </c>
    </row>
    <row r="30068" spans="1:2" x14ac:dyDescent="0.25">
      <c r="A30068">
        <v>62160000110</v>
      </c>
      <c r="B30068" t="s">
        <v>9108</v>
      </c>
    </row>
    <row r="30069" spans="1:2" x14ac:dyDescent="0.25">
      <c r="A30069">
        <v>62160000120</v>
      </c>
      <c r="B30069" t="s">
        <v>9109</v>
      </c>
    </row>
    <row r="30070" spans="1:2" x14ac:dyDescent="0.25">
      <c r="A30070">
        <v>62160000190</v>
      </c>
      <c r="B30070" t="s">
        <v>10</v>
      </c>
    </row>
    <row r="30071" spans="1:2" x14ac:dyDescent="0.25">
      <c r="A30071">
        <v>621600009</v>
      </c>
      <c r="B30071" t="s">
        <v>10</v>
      </c>
    </row>
    <row r="30072" spans="1:2" x14ac:dyDescent="0.25">
      <c r="A30072">
        <v>6216000091</v>
      </c>
      <c r="B30072" t="s">
        <v>8805</v>
      </c>
    </row>
    <row r="30073" spans="1:2" x14ac:dyDescent="0.25">
      <c r="A30073">
        <v>62160000911</v>
      </c>
      <c r="B30073" t="s">
        <v>9108</v>
      </c>
    </row>
    <row r="30074" spans="1:2" x14ac:dyDescent="0.25">
      <c r="A30074">
        <v>62160000912</v>
      </c>
      <c r="B30074" t="s">
        <v>9109</v>
      </c>
    </row>
    <row r="30075" spans="1:2" x14ac:dyDescent="0.25">
      <c r="A30075">
        <v>62160000919</v>
      </c>
      <c r="B30075" t="s">
        <v>10</v>
      </c>
    </row>
    <row r="30076" spans="1:2" x14ac:dyDescent="0.25">
      <c r="A30076">
        <v>6216000092</v>
      </c>
      <c r="B30076" t="s">
        <v>8898</v>
      </c>
    </row>
    <row r="30077" spans="1:2" x14ac:dyDescent="0.25">
      <c r="A30077">
        <v>62160000921</v>
      </c>
      <c r="B30077" t="s">
        <v>9108</v>
      </c>
    </row>
    <row r="30078" spans="1:2" x14ac:dyDescent="0.25">
      <c r="A30078">
        <v>62160000922</v>
      </c>
      <c r="B30078" t="s">
        <v>9109</v>
      </c>
    </row>
    <row r="30079" spans="1:2" x14ac:dyDescent="0.25">
      <c r="A30079">
        <v>62160000929</v>
      </c>
      <c r="B30079" t="s">
        <v>10</v>
      </c>
    </row>
    <row r="30080" spans="1:2" x14ac:dyDescent="0.25">
      <c r="A30080">
        <v>62160000990</v>
      </c>
      <c r="B30080" t="s">
        <v>8837</v>
      </c>
    </row>
    <row r="30081" spans="1:2" x14ac:dyDescent="0.25">
      <c r="A30081">
        <v>6217</v>
      </c>
      <c r="B30081" t="s">
        <v>9183</v>
      </c>
    </row>
    <row r="30082" spans="1:2" x14ac:dyDescent="0.25">
      <c r="A30082">
        <v>62171000</v>
      </c>
      <c r="B30082" t="e">
        <f>- complementos (accesorios) de vestir</f>
        <v>#NAME?</v>
      </c>
    </row>
    <row r="30083" spans="1:2" x14ac:dyDescent="0.25">
      <c r="A30083">
        <v>62171000100</v>
      </c>
      <c r="B30083" t="s">
        <v>8835</v>
      </c>
    </row>
    <row r="30084" spans="1:2" x14ac:dyDescent="0.25">
      <c r="A30084">
        <v>62171000200</v>
      </c>
      <c r="B30084" t="s">
        <v>8805</v>
      </c>
    </row>
    <row r="30085" spans="1:2" x14ac:dyDescent="0.25">
      <c r="A30085">
        <v>62171000300</v>
      </c>
      <c r="B30085" t="s">
        <v>8898</v>
      </c>
    </row>
    <row r="30086" spans="1:2" x14ac:dyDescent="0.25">
      <c r="A30086">
        <v>62171000900</v>
      </c>
      <c r="B30086" t="s">
        <v>8837</v>
      </c>
    </row>
    <row r="30087" spans="1:2" x14ac:dyDescent="0.25">
      <c r="A30087">
        <v>62179000</v>
      </c>
      <c r="B30087" t="e">
        <f>- partes</f>
        <v>#NAME?</v>
      </c>
    </row>
    <row r="30088" spans="1:2" x14ac:dyDescent="0.25">
      <c r="A30088">
        <v>621790001</v>
      </c>
      <c r="B30088" t="s">
        <v>8835</v>
      </c>
    </row>
    <row r="30089" spans="1:2" x14ac:dyDescent="0.25">
      <c r="A30089">
        <v>62179000110</v>
      </c>
      <c r="B30089" t="s">
        <v>9184</v>
      </c>
    </row>
    <row r="30090" spans="1:2" x14ac:dyDescent="0.25">
      <c r="A30090">
        <v>62179000120</v>
      </c>
      <c r="B30090" t="s">
        <v>9124</v>
      </c>
    </row>
    <row r="30091" spans="1:2" x14ac:dyDescent="0.25">
      <c r="A30091">
        <v>62179000130</v>
      </c>
      <c r="B30091" t="s">
        <v>9125</v>
      </c>
    </row>
    <row r="30092" spans="1:2" x14ac:dyDescent="0.25">
      <c r="A30092">
        <v>62179000190</v>
      </c>
      <c r="B30092" t="s">
        <v>57</v>
      </c>
    </row>
    <row r="30093" spans="1:2" x14ac:dyDescent="0.25">
      <c r="A30093">
        <v>621790002</v>
      </c>
      <c r="B30093" t="s">
        <v>8805</v>
      </c>
    </row>
    <row r="30094" spans="1:2" x14ac:dyDescent="0.25">
      <c r="A30094">
        <v>62179000210</v>
      </c>
      <c r="B30094" t="s">
        <v>9184</v>
      </c>
    </row>
    <row r="30095" spans="1:2" x14ac:dyDescent="0.25">
      <c r="A30095">
        <v>62179000220</v>
      </c>
      <c r="B30095" t="s">
        <v>9124</v>
      </c>
    </row>
    <row r="30096" spans="1:2" x14ac:dyDescent="0.25">
      <c r="A30096">
        <v>62179000230</v>
      </c>
      <c r="B30096" t="s">
        <v>9125</v>
      </c>
    </row>
    <row r="30097" spans="1:2" x14ac:dyDescent="0.25">
      <c r="A30097">
        <v>62179000290</v>
      </c>
      <c r="B30097" t="s">
        <v>57</v>
      </c>
    </row>
    <row r="30098" spans="1:2" x14ac:dyDescent="0.25">
      <c r="A30098">
        <v>621790003</v>
      </c>
      <c r="B30098" t="s">
        <v>8898</v>
      </c>
    </row>
    <row r="30099" spans="1:2" x14ac:dyDescent="0.25">
      <c r="A30099">
        <v>62179000310</v>
      </c>
      <c r="B30099" t="s">
        <v>9184</v>
      </c>
    </row>
    <row r="30100" spans="1:2" x14ac:dyDescent="0.25">
      <c r="A30100">
        <v>62179000320</v>
      </c>
      <c r="B30100" t="s">
        <v>9124</v>
      </c>
    </row>
    <row r="30101" spans="1:2" x14ac:dyDescent="0.25">
      <c r="A30101">
        <v>62179000330</v>
      </c>
      <c r="B30101" t="s">
        <v>9125</v>
      </c>
    </row>
    <row r="30102" spans="1:2" x14ac:dyDescent="0.25">
      <c r="A30102">
        <v>62179000390</v>
      </c>
      <c r="B30102" t="s">
        <v>57</v>
      </c>
    </row>
    <row r="30103" spans="1:2" x14ac:dyDescent="0.25">
      <c r="A30103">
        <v>621790009</v>
      </c>
      <c r="B30103" t="s">
        <v>8837</v>
      </c>
    </row>
    <row r="30104" spans="1:2" x14ac:dyDescent="0.25">
      <c r="A30104">
        <v>62179000910</v>
      </c>
      <c r="B30104" t="s">
        <v>9184</v>
      </c>
    </row>
    <row r="30105" spans="1:2" x14ac:dyDescent="0.25">
      <c r="A30105">
        <v>62179000920</v>
      </c>
      <c r="B30105" t="s">
        <v>9124</v>
      </c>
    </row>
    <row r="30106" spans="1:2" x14ac:dyDescent="0.25">
      <c r="A30106">
        <v>62179000930</v>
      </c>
      <c r="B30106" t="s">
        <v>9125</v>
      </c>
    </row>
    <row r="30107" spans="1:2" x14ac:dyDescent="0.25">
      <c r="A30107">
        <v>62179000990</v>
      </c>
      <c r="B30107" t="s">
        <v>57</v>
      </c>
    </row>
    <row r="30108" spans="1:2" x14ac:dyDescent="0.25">
      <c r="A30108">
        <v>6301</v>
      </c>
      <c r="B30108" t="s">
        <v>9185</v>
      </c>
    </row>
    <row r="30109" spans="1:2" x14ac:dyDescent="0.25">
      <c r="A30109">
        <v>63011000000</v>
      </c>
      <c r="B30109" t="e">
        <f>-Mantas electricas</f>
        <v>#NAME?</v>
      </c>
    </row>
    <row r="30110" spans="1:2" x14ac:dyDescent="0.25">
      <c r="A30110">
        <v>63012000</v>
      </c>
      <c r="B30110" t="e">
        <f>- Mantas de lana o Pelo fino (excepto las electricas)</f>
        <v>#NAME?</v>
      </c>
    </row>
    <row r="30111" spans="1:2" x14ac:dyDescent="0.25">
      <c r="A30111">
        <v>63012000100</v>
      </c>
      <c r="B30111" t="s">
        <v>9186</v>
      </c>
    </row>
    <row r="30112" spans="1:2" x14ac:dyDescent="0.25">
      <c r="A30112">
        <v>63012000200</v>
      </c>
      <c r="B30112" t="s">
        <v>9187</v>
      </c>
    </row>
    <row r="30113" spans="1:2" x14ac:dyDescent="0.25">
      <c r="A30113">
        <v>63012000300</v>
      </c>
      <c r="B30113" t="s">
        <v>9188</v>
      </c>
    </row>
    <row r="30114" spans="1:2" x14ac:dyDescent="0.25">
      <c r="A30114">
        <v>63012000400</v>
      </c>
      <c r="B30114" t="s">
        <v>9189</v>
      </c>
    </row>
    <row r="30115" spans="1:2" x14ac:dyDescent="0.25">
      <c r="A30115">
        <v>63012000900</v>
      </c>
      <c r="B30115" t="s">
        <v>10</v>
      </c>
    </row>
    <row r="30116" spans="1:2" x14ac:dyDescent="0.25">
      <c r="A30116">
        <v>63013000</v>
      </c>
      <c r="B30116" t="e">
        <f>- Mantas de algodon (excepto las electricas)</f>
        <v>#NAME?</v>
      </c>
    </row>
    <row r="30117" spans="1:2" x14ac:dyDescent="0.25">
      <c r="A30117">
        <v>63013000100</v>
      </c>
      <c r="B30117" t="s">
        <v>9186</v>
      </c>
    </row>
    <row r="30118" spans="1:2" x14ac:dyDescent="0.25">
      <c r="A30118">
        <v>63013000200</v>
      </c>
      <c r="B30118" t="s">
        <v>9187</v>
      </c>
    </row>
    <row r="30119" spans="1:2" x14ac:dyDescent="0.25">
      <c r="A30119">
        <v>63013000300</v>
      </c>
      <c r="B30119" t="s">
        <v>9188</v>
      </c>
    </row>
    <row r="30120" spans="1:2" x14ac:dyDescent="0.25">
      <c r="A30120">
        <v>63013000400</v>
      </c>
      <c r="B30120" t="s">
        <v>9189</v>
      </c>
    </row>
    <row r="30121" spans="1:2" x14ac:dyDescent="0.25">
      <c r="A30121">
        <v>63013000900</v>
      </c>
      <c r="B30121" t="s">
        <v>10</v>
      </c>
    </row>
    <row r="30122" spans="1:2" x14ac:dyDescent="0.25">
      <c r="A30122">
        <v>63014000</v>
      </c>
      <c r="B30122" t="e">
        <f>- Mantas de fibras sinteticas (excepto las electricas)</f>
        <v>#NAME?</v>
      </c>
    </row>
    <row r="30123" spans="1:2" x14ac:dyDescent="0.25">
      <c r="A30123">
        <v>63014000100</v>
      </c>
      <c r="B30123" t="s">
        <v>9186</v>
      </c>
    </row>
    <row r="30124" spans="1:2" x14ac:dyDescent="0.25">
      <c r="A30124">
        <v>63014000200</v>
      </c>
      <c r="B30124" t="s">
        <v>9187</v>
      </c>
    </row>
    <row r="30125" spans="1:2" x14ac:dyDescent="0.25">
      <c r="A30125">
        <v>63014000300</v>
      </c>
      <c r="B30125" t="s">
        <v>9188</v>
      </c>
    </row>
    <row r="30126" spans="1:2" x14ac:dyDescent="0.25">
      <c r="A30126">
        <v>63014000400</v>
      </c>
      <c r="B30126" t="s">
        <v>9189</v>
      </c>
    </row>
    <row r="30127" spans="1:2" x14ac:dyDescent="0.25">
      <c r="A30127">
        <v>63014000900</v>
      </c>
      <c r="B30127" t="s">
        <v>10</v>
      </c>
    </row>
    <row r="30128" spans="1:2" x14ac:dyDescent="0.25">
      <c r="A30128">
        <v>63019000</v>
      </c>
      <c r="B30128" t="e">
        <f>- las demas Mantas</f>
        <v>#NAME?</v>
      </c>
    </row>
    <row r="30129" spans="1:2" x14ac:dyDescent="0.25">
      <c r="A30129">
        <v>63019000100</v>
      </c>
      <c r="B30129" t="s">
        <v>9186</v>
      </c>
    </row>
    <row r="30130" spans="1:2" x14ac:dyDescent="0.25">
      <c r="A30130">
        <v>63019000200</v>
      </c>
      <c r="B30130" t="s">
        <v>9187</v>
      </c>
    </row>
    <row r="30131" spans="1:2" x14ac:dyDescent="0.25">
      <c r="A30131">
        <v>63019000300</v>
      </c>
      <c r="B30131" t="s">
        <v>9188</v>
      </c>
    </row>
    <row r="30132" spans="1:2" x14ac:dyDescent="0.25">
      <c r="A30132">
        <v>63019000400</v>
      </c>
      <c r="B30132" t="s">
        <v>9189</v>
      </c>
    </row>
    <row r="30133" spans="1:2" x14ac:dyDescent="0.25">
      <c r="A30133">
        <v>63019000900</v>
      </c>
      <c r="B30133" t="s">
        <v>10</v>
      </c>
    </row>
    <row r="30134" spans="1:2" x14ac:dyDescent="0.25">
      <c r="A30134">
        <v>6302</v>
      </c>
      <c r="B30134" t="s">
        <v>9190</v>
      </c>
    </row>
    <row r="30135" spans="1:2" x14ac:dyDescent="0.25">
      <c r="A30135">
        <v>63021000</v>
      </c>
      <c r="B30135" t="e">
        <f>- Ropa de cama. de punto</f>
        <v>#NAME?</v>
      </c>
    </row>
    <row r="30136" spans="1:2" x14ac:dyDescent="0.25">
      <c r="A30136">
        <v>630210001</v>
      </c>
      <c r="B30136" t="s">
        <v>9191</v>
      </c>
    </row>
    <row r="30137" spans="1:2" x14ac:dyDescent="0.25">
      <c r="A30137">
        <v>63021000110</v>
      </c>
      <c r="B30137" t="s">
        <v>8824</v>
      </c>
    </row>
    <row r="30138" spans="1:2" x14ac:dyDescent="0.25">
      <c r="A30138">
        <v>63021000120</v>
      </c>
      <c r="B30138" t="s">
        <v>8825</v>
      </c>
    </row>
    <row r="30139" spans="1:2" x14ac:dyDescent="0.25">
      <c r="A30139">
        <v>63021000190</v>
      </c>
      <c r="B30139" t="s">
        <v>57</v>
      </c>
    </row>
    <row r="30140" spans="1:2" x14ac:dyDescent="0.25">
      <c r="A30140">
        <v>63021000900</v>
      </c>
      <c r="B30140" t="s">
        <v>57</v>
      </c>
    </row>
    <row r="30141" spans="1:2" x14ac:dyDescent="0.25">
      <c r="A30141">
        <v>63022</v>
      </c>
      <c r="B30141" t="s">
        <v>9192</v>
      </c>
    </row>
    <row r="30142" spans="1:2" x14ac:dyDescent="0.25">
      <c r="A30142">
        <v>63022100</v>
      </c>
      <c r="B30142" t="e">
        <f>- - de algodon</f>
        <v>#NAME?</v>
      </c>
    </row>
    <row r="30143" spans="1:2" x14ac:dyDescent="0.25">
      <c r="A30143">
        <v>630221001</v>
      </c>
      <c r="B30143" t="s">
        <v>9193</v>
      </c>
    </row>
    <row r="30144" spans="1:2" x14ac:dyDescent="0.25">
      <c r="A30144">
        <v>63022100110</v>
      </c>
      <c r="B30144" t="s">
        <v>9187</v>
      </c>
    </row>
    <row r="30145" spans="1:2" x14ac:dyDescent="0.25">
      <c r="A30145">
        <v>63022100120</v>
      </c>
      <c r="B30145" t="s">
        <v>9194</v>
      </c>
    </row>
    <row r="30146" spans="1:2" x14ac:dyDescent="0.25">
      <c r="A30146">
        <v>63022100130</v>
      </c>
      <c r="B30146" t="s">
        <v>9189</v>
      </c>
    </row>
    <row r="30147" spans="1:2" x14ac:dyDescent="0.25">
      <c r="A30147">
        <v>63022100190</v>
      </c>
      <c r="B30147" t="s">
        <v>57</v>
      </c>
    </row>
    <row r="30148" spans="1:2" x14ac:dyDescent="0.25">
      <c r="A30148">
        <v>630221002</v>
      </c>
      <c r="B30148" t="s">
        <v>9195</v>
      </c>
    </row>
    <row r="30149" spans="1:2" x14ac:dyDescent="0.25">
      <c r="A30149">
        <v>63022100210</v>
      </c>
      <c r="B30149" t="s">
        <v>9187</v>
      </c>
    </row>
    <row r="30150" spans="1:2" x14ac:dyDescent="0.25">
      <c r="A30150">
        <v>63022100220</v>
      </c>
      <c r="B30150" t="s">
        <v>9188</v>
      </c>
    </row>
    <row r="30151" spans="1:2" x14ac:dyDescent="0.25">
      <c r="A30151">
        <v>63022100230</v>
      </c>
      <c r="B30151" t="s">
        <v>9189</v>
      </c>
    </row>
    <row r="30152" spans="1:2" x14ac:dyDescent="0.25">
      <c r="A30152">
        <v>63022100290</v>
      </c>
      <c r="B30152" t="s">
        <v>57</v>
      </c>
    </row>
    <row r="30153" spans="1:2" x14ac:dyDescent="0.25">
      <c r="A30153">
        <v>630221003</v>
      </c>
      <c r="B30153" t="s">
        <v>9196</v>
      </c>
    </row>
    <row r="30154" spans="1:2" x14ac:dyDescent="0.25">
      <c r="A30154">
        <v>63022100310</v>
      </c>
      <c r="B30154" t="s">
        <v>9187</v>
      </c>
    </row>
    <row r="30155" spans="1:2" x14ac:dyDescent="0.25">
      <c r="A30155">
        <v>63022100320</v>
      </c>
      <c r="B30155" t="s">
        <v>9188</v>
      </c>
    </row>
    <row r="30156" spans="1:2" x14ac:dyDescent="0.25">
      <c r="A30156">
        <v>63022100330</v>
      </c>
      <c r="B30156" t="s">
        <v>9189</v>
      </c>
    </row>
    <row r="30157" spans="1:2" x14ac:dyDescent="0.25">
      <c r="A30157">
        <v>63022100390</v>
      </c>
      <c r="B30157" t="s">
        <v>57</v>
      </c>
    </row>
    <row r="30158" spans="1:2" x14ac:dyDescent="0.25">
      <c r="A30158">
        <v>630221009</v>
      </c>
      <c r="B30158" t="s">
        <v>57</v>
      </c>
    </row>
    <row r="30159" spans="1:2" x14ac:dyDescent="0.25">
      <c r="A30159">
        <v>63022100910</v>
      </c>
      <c r="B30159" t="s">
        <v>8824</v>
      </c>
    </row>
    <row r="30160" spans="1:2" x14ac:dyDescent="0.25">
      <c r="A30160">
        <v>63022100920</v>
      </c>
      <c r="B30160" t="s">
        <v>8825</v>
      </c>
    </row>
    <row r="30161" spans="1:2" x14ac:dyDescent="0.25">
      <c r="A30161">
        <v>63022100990</v>
      </c>
      <c r="B30161" t="s">
        <v>57</v>
      </c>
    </row>
    <row r="30162" spans="1:2" x14ac:dyDescent="0.25">
      <c r="A30162">
        <v>63022200</v>
      </c>
      <c r="B30162" t="e">
        <f>- - de fibras sinteticas o artificiales</f>
        <v>#NAME?</v>
      </c>
    </row>
    <row r="30163" spans="1:2" x14ac:dyDescent="0.25">
      <c r="A30163">
        <v>630222001</v>
      </c>
      <c r="B30163" t="s">
        <v>9193</v>
      </c>
    </row>
    <row r="30164" spans="1:2" x14ac:dyDescent="0.25">
      <c r="A30164">
        <v>63022200110</v>
      </c>
      <c r="B30164" t="s">
        <v>9187</v>
      </c>
    </row>
    <row r="30165" spans="1:2" x14ac:dyDescent="0.25">
      <c r="A30165">
        <v>63022200120</v>
      </c>
      <c r="B30165" t="s">
        <v>9188</v>
      </c>
    </row>
    <row r="30166" spans="1:2" x14ac:dyDescent="0.25">
      <c r="A30166">
        <v>63022200130</v>
      </c>
      <c r="B30166" t="s">
        <v>9189</v>
      </c>
    </row>
    <row r="30167" spans="1:2" x14ac:dyDescent="0.25">
      <c r="A30167">
        <v>63022200190</v>
      </c>
      <c r="B30167" t="s">
        <v>57</v>
      </c>
    </row>
    <row r="30168" spans="1:2" x14ac:dyDescent="0.25">
      <c r="A30168">
        <v>630222002</v>
      </c>
      <c r="B30168" t="s">
        <v>9195</v>
      </c>
    </row>
    <row r="30169" spans="1:2" x14ac:dyDescent="0.25">
      <c r="A30169">
        <v>63022200210</v>
      </c>
      <c r="B30169" t="s">
        <v>9187</v>
      </c>
    </row>
    <row r="30170" spans="1:2" x14ac:dyDescent="0.25">
      <c r="A30170">
        <v>63022200220</v>
      </c>
      <c r="B30170" t="s">
        <v>9188</v>
      </c>
    </row>
    <row r="30171" spans="1:2" x14ac:dyDescent="0.25">
      <c r="A30171">
        <v>63022200230</v>
      </c>
      <c r="B30171" t="s">
        <v>9189</v>
      </c>
    </row>
    <row r="30172" spans="1:2" x14ac:dyDescent="0.25">
      <c r="A30172">
        <v>63022200290</v>
      </c>
      <c r="B30172" t="s">
        <v>57</v>
      </c>
    </row>
    <row r="30173" spans="1:2" x14ac:dyDescent="0.25">
      <c r="A30173">
        <v>630222003</v>
      </c>
      <c r="B30173" t="s">
        <v>9196</v>
      </c>
    </row>
    <row r="30174" spans="1:2" x14ac:dyDescent="0.25">
      <c r="A30174">
        <v>63022200310</v>
      </c>
      <c r="B30174" t="s">
        <v>9187</v>
      </c>
    </row>
    <row r="30175" spans="1:2" x14ac:dyDescent="0.25">
      <c r="A30175">
        <v>63022200320</v>
      </c>
      <c r="B30175" t="s">
        <v>9188</v>
      </c>
    </row>
    <row r="30176" spans="1:2" x14ac:dyDescent="0.25">
      <c r="A30176">
        <v>63022200330</v>
      </c>
      <c r="B30176" t="s">
        <v>9189</v>
      </c>
    </row>
    <row r="30177" spans="1:2" x14ac:dyDescent="0.25">
      <c r="A30177">
        <v>63022200390</v>
      </c>
      <c r="B30177" t="s">
        <v>57</v>
      </c>
    </row>
    <row r="30178" spans="1:2" x14ac:dyDescent="0.25">
      <c r="A30178">
        <v>630222009</v>
      </c>
      <c r="B30178" t="s">
        <v>57</v>
      </c>
    </row>
    <row r="30179" spans="1:2" x14ac:dyDescent="0.25">
      <c r="A30179">
        <v>63022200910</v>
      </c>
      <c r="B30179" t="s">
        <v>8824</v>
      </c>
    </row>
    <row r="30180" spans="1:2" x14ac:dyDescent="0.25">
      <c r="A30180">
        <v>63022200920</v>
      </c>
      <c r="B30180" t="s">
        <v>8825</v>
      </c>
    </row>
    <row r="30181" spans="1:2" x14ac:dyDescent="0.25">
      <c r="A30181">
        <v>63022200990</v>
      </c>
      <c r="B30181" t="s">
        <v>57</v>
      </c>
    </row>
    <row r="30182" spans="1:2" x14ac:dyDescent="0.25">
      <c r="A30182">
        <v>63022900</v>
      </c>
      <c r="B30182" t="e">
        <f>- - de las demas materias textiles</f>
        <v>#NAME?</v>
      </c>
    </row>
    <row r="30183" spans="1:2" x14ac:dyDescent="0.25">
      <c r="A30183">
        <v>630229001</v>
      </c>
      <c r="B30183" t="s">
        <v>9193</v>
      </c>
    </row>
    <row r="30184" spans="1:2" x14ac:dyDescent="0.25">
      <c r="A30184">
        <v>63022900110</v>
      </c>
      <c r="B30184" t="s">
        <v>9187</v>
      </c>
    </row>
    <row r="30185" spans="1:2" x14ac:dyDescent="0.25">
      <c r="A30185">
        <v>63022900120</v>
      </c>
      <c r="B30185" t="s">
        <v>9188</v>
      </c>
    </row>
    <row r="30186" spans="1:2" x14ac:dyDescent="0.25">
      <c r="A30186">
        <v>63022900130</v>
      </c>
      <c r="B30186" t="s">
        <v>9189</v>
      </c>
    </row>
    <row r="30187" spans="1:2" x14ac:dyDescent="0.25">
      <c r="A30187">
        <v>63022900190</v>
      </c>
      <c r="B30187" t="s">
        <v>57</v>
      </c>
    </row>
    <row r="30188" spans="1:2" x14ac:dyDescent="0.25">
      <c r="A30188">
        <v>630229002</v>
      </c>
      <c r="B30188" t="s">
        <v>9195</v>
      </c>
    </row>
    <row r="30189" spans="1:2" x14ac:dyDescent="0.25">
      <c r="A30189">
        <v>63022900210</v>
      </c>
      <c r="B30189" t="s">
        <v>9187</v>
      </c>
    </row>
    <row r="30190" spans="1:2" x14ac:dyDescent="0.25">
      <c r="A30190">
        <v>63022900220</v>
      </c>
      <c r="B30190" t="s">
        <v>9188</v>
      </c>
    </row>
    <row r="30191" spans="1:2" x14ac:dyDescent="0.25">
      <c r="A30191">
        <v>63022900230</v>
      </c>
      <c r="B30191" t="s">
        <v>9189</v>
      </c>
    </row>
    <row r="30192" spans="1:2" x14ac:dyDescent="0.25">
      <c r="A30192">
        <v>63022900290</v>
      </c>
      <c r="B30192" t="s">
        <v>57</v>
      </c>
    </row>
    <row r="30193" spans="1:2" x14ac:dyDescent="0.25">
      <c r="A30193">
        <v>630229003</v>
      </c>
      <c r="B30193" t="s">
        <v>9196</v>
      </c>
    </row>
    <row r="30194" spans="1:2" x14ac:dyDescent="0.25">
      <c r="A30194">
        <v>63022900310</v>
      </c>
      <c r="B30194" t="s">
        <v>9187</v>
      </c>
    </row>
    <row r="30195" spans="1:2" x14ac:dyDescent="0.25">
      <c r="A30195">
        <v>63022900320</v>
      </c>
      <c r="B30195" t="s">
        <v>9188</v>
      </c>
    </row>
    <row r="30196" spans="1:2" x14ac:dyDescent="0.25">
      <c r="A30196">
        <v>63022900330</v>
      </c>
      <c r="B30196" t="s">
        <v>9189</v>
      </c>
    </row>
    <row r="30197" spans="1:2" x14ac:dyDescent="0.25">
      <c r="A30197">
        <v>63022900390</v>
      </c>
      <c r="B30197" t="s">
        <v>57</v>
      </c>
    </row>
    <row r="30198" spans="1:2" x14ac:dyDescent="0.25">
      <c r="A30198">
        <v>630229009</v>
      </c>
      <c r="B30198" t="s">
        <v>57</v>
      </c>
    </row>
    <row r="30199" spans="1:2" x14ac:dyDescent="0.25">
      <c r="A30199">
        <v>63022900910</v>
      </c>
      <c r="B30199" t="s">
        <v>8824</v>
      </c>
    </row>
    <row r="30200" spans="1:2" x14ac:dyDescent="0.25">
      <c r="A30200">
        <v>63022900920</v>
      </c>
      <c r="B30200" t="s">
        <v>8825</v>
      </c>
    </row>
    <row r="30201" spans="1:2" x14ac:dyDescent="0.25">
      <c r="A30201">
        <v>63022900990</v>
      </c>
      <c r="B30201" t="s">
        <v>57</v>
      </c>
    </row>
    <row r="30202" spans="1:2" x14ac:dyDescent="0.25">
      <c r="A30202">
        <v>63023</v>
      </c>
      <c r="B30202" t="s">
        <v>9197</v>
      </c>
    </row>
    <row r="30203" spans="1:2" x14ac:dyDescent="0.25">
      <c r="A30203">
        <v>63023100</v>
      </c>
      <c r="B30203" t="e">
        <f>- - de algodon</f>
        <v>#NAME?</v>
      </c>
    </row>
    <row r="30204" spans="1:2" x14ac:dyDescent="0.25">
      <c r="A30204">
        <v>630231001</v>
      </c>
      <c r="B30204" t="s">
        <v>9193</v>
      </c>
    </row>
    <row r="30205" spans="1:2" x14ac:dyDescent="0.25">
      <c r="A30205">
        <v>63023100110</v>
      </c>
      <c r="B30205" t="s">
        <v>9187</v>
      </c>
    </row>
    <row r="30206" spans="1:2" x14ac:dyDescent="0.25">
      <c r="A30206">
        <v>63023100120</v>
      </c>
      <c r="B30206" t="s">
        <v>9188</v>
      </c>
    </row>
    <row r="30207" spans="1:2" x14ac:dyDescent="0.25">
      <c r="A30207">
        <v>63023100130</v>
      </c>
      <c r="B30207" t="s">
        <v>9189</v>
      </c>
    </row>
    <row r="30208" spans="1:2" x14ac:dyDescent="0.25">
      <c r="A30208">
        <v>63023100190</v>
      </c>
      <c r="B30208" t="s">
        <v>57</v>
      </c>
    </row>
    <row r="30209" spans="1:2" x14ac:dyDescent="0.25">
      <c r="A30209">
        <v>630231002</v>
      </c>
      <c r="B30209" t="s">
        <v>9195</v>
      </c>
    </row>
    <row r="30210" spans="1:2" x14ac:dyDescent="0.25">
      <c r="A30210">
        <v>63023100210</v>
      </c>
      <c r="B30210" t="s">
        <v>9187</v>
      </c>
    </row>
    <row r="30211" spans="1:2" x14ac:dyDescent="0.25">
      <c r="A30211">
        <v>63023100220</v>
      </c>
      <c r="B30211" t="s">
        <v>9188</v>
      </c>
    </row>
    <row r="30212" spans="1:2" x14ac:dyDescent="0.25">
      <c r="A30212">
        <v>63023100230</v>
      </c>
      <c r="B30212" t="s">
        <v>9189</v>
      </c>
    </row>
    <row r="30213" spans="1:2" x14ac:dyDescent="0.25">
      <c r="A30213">
        <v>63023100290</v>
      </c>
      <c r="B30213" t="s">
        <v>57</v>
      </c>
    </row>
    <row r="30214" spans="1:2" x14ac:dyDescent="0.25">
      <c r="A30214">
        <v>630231003</v>
      </c>
      <c r="B30214" t="s">
        <v>9196</v>
      </c>
    </row>
    <row r="30215" spans="1:2" x14ac:dyDescent="0.25">
      <c r="A30215">
        <v>63023100310</v>
      </c>
      <c r="B30215" t="s">
        <v>9187</v>
      </c>
    </row>
    <row r="30216" spans="1:2" x14ac:dyDescent="0.25">
      <c r="A30216">
        <v>63023100320</v>
      </c>
      <c r="B30216" t="s">
        <v>9188</v>
      </c>
    </row>
    <row r="30217" spans="1:2" x14ac:dyDescent="0.25">
      <c r="A30217">
        <v>63023100330</v>
      </c>
      <c r="B30217" t="s">
        <v>9189</v>
      </c>
    </row>
    <row r="30218" spans="1:2" x14ac:dyDescent="0.25">
      <c r="A30218">
        <v>63023100390</v>
      </c>
      <c r="B30218" t="s">
        <v>57</v>
      </c>
    </row>
    <row r="30219" spans="1:2" x14ac:dyDescent="0.25">
      <c r="A30219">
        <v>630231009</v>
      </c>
      <c r="B30219" t="s">
        <v>57</v>
      </c>
    </row>
    <row r="30220" spans="1:2" x14ac:dyDescent="0.25">
      <c r="A30220">
        <v>63023100910</v>
      </c>
      <c r="B30220" t="s">
        <v>8824</v>
      </c>
    </row>
    <row r="30221" spans="1:2" x14ac:dyDescent="0.25">
      <c r="A30221">
        <v>63023100920</v>
      </c>
      <c r="B30221" t="s">
        <v>8825</v>
      </c>
    </row>
    <row r="30222" spans="1:2" x14ac:dyDescent="0.25">
      <c r="A30222">
        <v>63023100990</v>
      </c>
      <c r="B30222" t="s">
        <v>57</v>
      </c>
    </row>
    <row r="30223" spans="1:2" x14ac:dyDescent="0.25">
      <c r="A30223">
        <v>63023200</v>
      </c>
      <c r="B30223" t="e">
        <f>- - de fibras sinteticas o artificiales</f>
        <v>#NAME?</v>
      </c>
    </row>
    <row r="30224" spans="1:2" x14ac:dyDescent="0.25">
      <c r="A30224">
        <v>630232001</v>
      </c>
      <c r="B30224" t="s">
        <v>9193</v>
      </c>
    </row>
    <row r="30225" spans="1:2" x14ac:dyDescent="0.25">
      <c r="A30225">
        <v>63023200110</v>
      </c>
      <c r="B30225" t="s">
        <v>9187</v>
      </c>
    </row>
    <row r="30226" spans="1:2" x14ac:dyDescent="0.25">
      <c r="A30226">
        <v>63023200120</v>
      </c>
      <c r="B30226" t="s">
        <v>9188</v>
      </c>
    </row>
    <row r="30227" spans="1:2" x14ac:dyDescent="0.25">
      <c r="A30227">
        <v>63023200130</v>
      </c>
      <c r="B30227" t="s">
        <v>9189</v>
      </c>
    </row>
    <row r="30228" spans="1:2" x14ac:dyDescent="0.25">
      <c r="A30228">
        <v>63023200190</v>
      </c>
      <c r="B30228" t="s">
        <v>57</v>
      </c>
    </row>
    <row r="30229" spans="1:2" x14ac:dyDescent="0.25">
      <c r="A30229">
        <v>630232002</v>
      </c>
      <c r="B30229" t="s">
        <v>9195</v>
      </c>
    </row>
    <row r="30230" spans="1:2" x14ac:dyDescent="0.25">
      <c r="A30230">
        <v>63023200210</v>
      </c>
      <c r="B30230" t="s">
        <v>9187</v>
      </c>
    </row>
    <row r="30231" spans="1:2" x14ac:dyDescent="0.25">
      <c r="A30231">
        <v>63023200220</v>
      </c>
      <c r="B30231" t="s">
        <v>9188</v>
      </c>
    </row>
    <row r="30232" spans="1:2" x14ac:dyDescent="0.25">
      <c r="A30232">
        <v>63023200230</v>
      </c>
      <c r="B30232" t="s">
        <v>9189</v>
      </c>
    </row>
    <row r="30233" spans="1:2" x14ac:dyDescent="0.25">
      <c r="A30233">
        <v>63023200290</v>
      </c>
      <c r="B30233" t="s">
        <v>57</v>
      </c>
    </row>
    <row r="30234" spans="1:2" x14ac:dyDescent="0.25">
      <c r="A30234">
        <v>630232003</v>
      </c>
      <c r="B30234" t="s">
        <v>9196</v>
      </c>
    </row>
    <row r="30235" spans="1:2" x14ac:dyDescent="0.25">
      <c r="A30235">
        <v>63023200310</v>
      </c>
      <c r="B30235" t="s">
        <v>9187</v>
      </c>
    </row>
    <row r="30236" spans="1:2" x14ac:dyDescent="0.25">
      <c r="A30236">
        <v>63023200320</v>
      </c>
      <c r="B30236" t="s">
        <v>9188</v>
      </c>
    </row>
    <row r="30237" spans="1:2" x14ac:dyDescent="0.25">
      <c r="A30237">
        <v>63023200330</v>
      </c>
      <c r="B30237" t="s">
        <v>9189</v>
      </c>
    </row>
    <row r="30238" spans="1:2" x14ac:dyDescent="0.25">
      <c r="A30238">
        <v>63023200390</v>
      </c>
      <c r="B30238" t="s">
        <v>57</v>
      </c>
    </row>
    <row r="30239" spans="1:2" x14ac:dyDescent="0.25">
      <c r="A30239">
        <v>630232009</v>
      </c>
      <c r="B30239" t="s">
        <v>57</v>
      </c>
    </row>
    <row r="30240" spans="1:2" x14ac:dyDescent="0.25">
      <c r="A30240">
        <v>63023200910</v>
      </c>
      <c r="B30240" t="s">
        <v>8824</v>
      </c>
    </row>
    <row r="30241" spans="1:2" x14ac:dyDescent="0.25">
      <c r="A30241">
        <v>63023200920</v>
      </c>
      <c r="B30241" t="s">
        <v>8825</v>
      </c>
    </row>
    <row r="30242" spans="1:2" x14ac:dyDescent="0.25">
      <c r="A30242">
        <v>63023200990</v>
      </c>
      <c r="B30242" t="s">
        <v>57</v>
      </c>
    </row>
    <row r="30243" spans="1:2" x14ac:dyDescent="0.25">
      <c r="A30243">
        <v>63023900</v>
      </c>
      <c r="B30243" t="e">
        <f>- - de las demas materias textiles</f>
        <v>#NAME?</v>
      </c>
    </row>
    <row r="30244" spans="1:2" x14ac:dyDescent="0.25">
      <c r="A30244">
        <v>630239001</v>
      </c>
      <c r="B30244" t="s">
        <v>9193</v>
      </c>
    </row>
    <row r="30245" spans="1:2" x14ac:dyDescent="0.25">
      <c r="A30245">
        <v>63023900110</v>
      </c>
      <c r="B30245" t="s">
        <v>9187</v>
      </c>
    </row>
    <row r="30246" spans="1:2" x14ac:dyDescent="0.25">
      <c r="A30246">
        <v>63023900120</v>
      </c>
      <c r="B30246" t="s">
        <v>9188</v>
      </c>
    </row>
    <row r="30247" spans="1:2" x14ac:dyDescent="0.25">
      <c r="A30247">
        <v>63023900130</v>
      </c>
      <c r="B30247" t="s">
        <v>9189</v>
      </c>
    </row>
    <row r="30248" spans="1:2" x14ac:dyDescent="0.25">
      <c r="A30248">
        <v>63023900190</v>
      </c>
      <c r="B30248" t="s">
        <v>57</v>
      </c>
    </row>
    <row r="30249" spans="1:2" x14ac:dyDescent="0.25">
      <c r="A30249">
        <v>630239002</v>
      </c>
      <c r="B30249" t="s">
        <v>9195</v>
      </c>
    </row>
    <row r="30250" spans="1:2" x14ac:dyDescent="0.25">
      <c r="A30250">
        <v>63023900210</v>
      </c>
      <c r="B30250" t="s">
        <v>9187</v>
      </c>
    </row>
    <row r="30251" spans="1:2" x14ac:dyDescent="0.25">
      <c r="A30251">
        <v>63023900220</v>
      </c>
      <c r="B30251" t="s">
        <v>9188</v>
      </c>
    </row>
    <row r="30252" spans="1:2" x14ac:dyDescent="0.25">
      <c r="A30252">
        <v>63023900230</v>
      </c>
      <c r="B30252" t="s">
        <v>9189</v>
      </c>
    </row>
    <row r="30253" spans="1:2" x14ac:dyDescent="0.25">
      <c r="A30253">
        <v>63023900290</v>
      </c>
      <c r="B30253" t="s">
        <v>57</v>
      </c>
    </row>
    <row r="30254" spans="1:2" x14ac:dyDescent="0.25">
      <c r="A30254">
        <v>630239003</v>
      </c>
      <c r="B30254" t="s">
        <v>9196</v>
      </c>
    </row>
    <row r="30255" spans="1:2" x14ac:dyDescent="0.25">
      <c r="A30255">
        <v>63023900310</v>
      </c>
      <c r="B30255" t="s">
        <v>9187</v>
      </c>
    </row>
    <row r="30256" spans="1:2" x14ac:dyDescent="0.25">
      <c r="A30256">
        <v>63023900320</v>
      </c>
      <c r="B30256" t="s">
        <v>9188</v>
      </c>
    </row>
    <row r="30257" spans="1:2" x14ac:dyDescent="0.25">
      <c r="A30257">
        <v>63023900330</v>
      </c>
      <c r="B30257" t="s">
        <v>9189</v>
      </c>
    </row>
    <row r="30258" spans="1:2" x14ac:dyDescent="0.25">
      <c r="A30258">
        <v>63023900390</v>
      </c>
      <c r="B30258" t="s">
        <v>57</v>
      </c>
    </row>
    <row r="30259" spans="1:2" x14ac:dyDescent="0.25">
      <c r="A30259">
        <v>630239009</v>
      </c>
      <c r="B30259" t="s">
        <v>57</v>
      </c>
    </row>
    <row r="30260" spans="1:2" x14ac:dyDescent="0.25">
      <c r="A30260">
        <v>63023900910</v>
      </c>
      <c r="B30260" t="s">
        <v>8832</v>
      </c>
    </row>
    <row r="30261" spans="1:2" x14ac:dyDescent="0.25">
      <c r="A30261">
        <v>63023900920</v>
      </c>
      <c r="B30261" t="s">
        <v>8825</v>
      </c>
    </row>
    <row r="30262" spans="1:2" x14ac:dyDescent="0.25">
      <c r="A30262">
        <v>63023900990</v>
      </c>
      <c r="B30262" t="s">
        <v>57</v>
      </c>
    </row>
    <row r="30263" spans="1:2" x14ac:dyDescent="0.25">
      <c r="A30263">
        <v>63024000</v>
      </c>
      <c r="B30263" t="e">
        <f>- Ropa de mesa. de punto</f>
        <v>#NAME?</v>
      </c>
    </row>
    <row r="30264" spans="1:2" x14ac:dyDescent="0.25">
      <c r="A30264">
        <v>63024000100</v>
      </c>
      <c r="B30264" t="s">
        <v>8113</v>
      </c>
    </row>
    <row r="30265" spans="1:2" x14ac:dyDescent="0.25">
      <c r="A30265">
        <v>63024000200</v>
      </c>
      <c r="B30265" t="s">
        <v>8164</v>
      </c>
    </row>
    <row r="30266" spans="1:2" x14ac:dyDescent="0.25">
      <c r="A30266">
        <v>63024000300</v>
      </c>
      <c r="B30266" t="s">
        <v>9198</v>
      </c>
    </row>
    <row r="30267" spans="1:2" x14ac:dyDescent="0.25">
      <c r="A30267">
        <v>63024000400</v>
      </c>
      <c r="B30267" t="s">
        <v>9199</v>
      </c>
    </row>
    <row r="30268" spans="1:2" x14ac:dyDescent="0.25">
      <c r="A30268">
        <v>63024000900</v>
      </c>
      <c r="B30268" t="s">
        <v>10</v>
      </c>
    </row>
    <row r="30269" spans="1:2" x14ac:dyDescent="0.25">
      <c r="A30269">
        <v>63025</v>
      </c>
      <c r="B30269" t="s">
        <v>9200</v>
      </c>
    </row>
    <row r="30270" spans="1:2" x14ac:dyDescent="0.25">
      <c r="A30270">
        <v>63025100</v>
      </c>
      <c r="B30270" t="e">
        <f>- - de algodon</f>
        <v>#NAME?</v>
      </c>
    </row>
    <row r="30271" spans="1:2" x14ac:dyDescent="0.25">
      <c r="A30271">
        <v>630251001</v>
      </c>
      <c r="B30271" t="s">
        <v>9201</v>
      </c>
    </row>
    <row r="30272" spans="1:2" x14ac:dyDescent="0.25">
      <c r="A30272">
        <v>63025100110</v>
      </c>
      <c r="B30272" t="s">
        <v>8113</v>
      </c>
    </row>
    <row r="30273" spans="1:2" x14ac:dyDescent="0.25">
      <c r="A30273">
        <v>63025100120</v>
      </c>
      <c r="B30273" t="s">
        <v>9202</v>
      </c>
    </row>
    <row r="30274" spans="1:2" x14ac:dyDescent="0.25">
      <c r="A30274">
        <v>63025100130</v>
      </c>
      <c r="B30274" t="s">
        <v>9203</v>
      </c>
    </row>
    <row r="30275" spans="1:2" x14ac:dyDescent="0.25">
      <c r="A30275">
        <v>63025100140</v>
      </c>
      <c r="B30275" t="s">
        <v>9204</v>
      </c>
    </row>
    <row r="30276" spans="1:2" x14ac:dyDescent="0.25">
      <c r="A30276">
        <v>63025100150</v>
      </c>
      <c r="B30276" t="s">
        <v>9205</v>
      </c>
    </row>
    <row r="30277" spans="1:2" x14ac:dyDescent="0.25">
      <c r="A30277">
        <v>63025100190</v>
      </c>
      <c r="B30277" t="s">
        <v>10</v>
      </c>
    </row>
    <row r="30278" spans="1:2" x14ac:dyDescent="0.25">
      <c r="A30278">
        <v>63025100200</v>
      </c>
      <c r="B30278" t="s">
        <v>8164</v>
      </c>
    </row>
    <row r="30279" spans="1:2" x14ac:dyDescent="0.25">
      <c r="A30279">
        <v>63025100300</v>
      </c>
      <c r="B30279" t="s">
        <v>9198</v>
      </c>
    </row>
    <row r="30280" spans="1:2" x14ac:dyDescent="0.25">
      <c r="A30280">
        <v>63025100400</v>
      </c>
      <c r="B30280" t="s">
        <v>9199</v>
      </c>
    </row>
    <row r="30281" spans="1:2" x14ac:dyDescent="0.25">
      <c r="A30281">
        <v>63025100500</v>
      </c>
      <c r="B30281" t="s">
        <v>8117</v>
      </c>
    </row>
    <row r="30282" spans="1:2" x14ac:dyDescent="0.25">
      <c r="A30282">
        <v>63025100900</v>
      </c>
      <c r="B30282" t="s">
        <v>57</v>
      </c>
    </row>
    <row r="30283" spans="1:2" x14ac:dyDescent="0.25">
      <c r="A30283">
        <v>63025300</v>
      </c>
      <c r="B30283" t="e">
        <f>- - de fibras sinteticas o artificiales</f>
        <v>#NAME?</v>
      </c>
    </row>
    <row r="30284" spans="1:2" x14ac:dyDescent="0.25">
      <c r="A30284">
        <v>630253001</v>
      </c>
      <c r="B30284" t="s">
        <v>9201</v>
      </c>
    </row>
    <row r="30285" spans="1:2" x14ac:dyDescent="0.25">
      <c r="A30285">
        <v>63025300110</v>
      </c>
      <c r="B30285" t="s">
        <v>8113</v>
      </c>
    </row>
    <row r="30286" spans="1:2" x14ac:dyDescent="0.25">
      <c r="A30286">
        <v>63025300120</v>
      </c>
      <c r="B30286" t="s">
        <v>9202</v>
      </c>
    </row>
    <row r="30287" spans="1:2" x14ac:dyDescent="0.25">
      <c r="A30287">
        <v>63025300130</v>
      </c>
      <c r="B30287" t="s">
        <v>9203</v>
      </c>
    </row>
    <row r="30288" spans="1:2" x14ac:dyDescent="0.25">
      <c r="A30288">
        <v>63025300140</v>
      </c>
      <c r="B30288" t="s">
        <v>9204</v>
      </c>
    </row>
    <row r="30289" spans="1:2" x14ac:dyDescent="0.25">
      <c r="A30289">
        <v>63025300150</v>
      </c>
      <c r="B30289" t="s">
        <v>9205</v>
      </c>
    </row>
    <row r="30290" spans="1:2" x14ac:dyDescent="0.25">
      <c r="A30290">
        <v>63025300190</v>
      </c>
      <c r="B30290" t="s">
        <v>10</v>
      </c>
    </row>
    <row r="30291" spans="1:2" x14ac:dyDescent="0.25">
      <c r="A30291">
        <v>63025300200</v>
      </c>
      <c r="B30291" t="s">
        <v>8164</v>
      </c>
    </row>
    <row r="30292" spans="1:2" x14ac:dyDescent="0.25">
      <c r="A30292">
        <v>63025300300</v>
      </c>
      <c r="B30292" t="s">
        <v>9198</v>
      </c>
    </row>
    <row r="30293" spans="1:2" x14ac:dyDescent="0.25">
      <c r="A30293">
        <v>63025300400</v>
      </c>
      <c r="B30293" t="s">
        <v>9199</v>
      </c>
    </row>
    <row r="30294" spans="1:2" x14ac:dyDescent="0.25">
      <c r="A30294">
        <v>63025300500</v>
      </c>
      <c r="B30294" t="s">
        <v>8117</v>
      </c>
    </row>
    <row r="30295" spans="1:2" x14ac:dyDescent="0.25">
      <c r="A30295">
        <v>63025300900</v>
      </c>
      <c r="B30295" t="s">
        <v>57</v>
      </c>
    </row>
    <row r="30296" spans="1:2" x14ac:dyDescent="0.25">
      <c r="A30296">
        <v>630259</v>
      </c>
      <c r="B30296" t="e">
        <f>- - de las demas materias textiles</f>
        <v>#NAME?</v>
      </c>
    </row>
    <row r="30297" spans="1:2" x14ac:dyDescent="0.25">
      <c r="A30297">
        <v>63025910</v>
      </c>
      <c r="B30297" t="s">
        <v>8896</v>
      </c>
    </row>
    <row r="30298" spans="1:2" x14ac:dyDescent="0.25">
      <c r="A30298">
        <v>630259101</v>
      </c>
      <c r="B30298" t="s">
        <v>9201</v>
      </c>
    </row>
    <row r="30299" spans="1:2" x14ac:dyDescent="0.25">
      <c r="A30299">
        <v>63025910110</v>
      </c>
      <c r="B30299" t="s">
        <v>8113</v>
      </c>
    </row>
    <row r="30300" spans="1:2" x14ac:dyDescent="0.25">
      <c r="A30300">
        <v>63025910120</v>
      </c>
      <c r="B30300" t="s">
        <v>9202</v>
      </c>
    </row>
    <row r="30301" spans="1:2" x14ac:dyDescent="0.25">
      <c r="A30301">
        <v>63025910130</v>
      </c>
      <c r="B30301" t="s">
        <v>9203</v>
      </c>
    </row>
    <row r="30302" spans="1:2" x14ac:dyDescent="0.25">
      <c r="A30302">
        <v>63025910140</v>
      </c>
      <c r="B30302" t="s">
        <v>9204</v>
      </c>
    </row>
    <row r="30303" spans="1:2" x14ac:dyDescent="0.25">
      <c r="A30303">
        <v>63025910150</v>
      </c>
      <c r="B30303" t="s">
        <v>9205</v>
      </c>
    </row>
    <row r="30304" spans="1:2" x14ac:dyDescent="0.25">
      <c r="A30304">
        <v>63025910190</v>
      </c>
      <c r="B30304" t="s">
        <v>10</v>
      </c>
    </row>
    <row r="30305" spans="1:2" x14ac:dyDescent="0.25">
      <c r="A30305">
        <v>63025910200</v>
      </c>
      <c r="B30305" t="s">
        <v>8164</v>
      </c>
    </row>
    <row r="30306" spans="1:2" x14ac:dyDescent="0.25">
      <c r="A30306">
        <v>63025910300</v>
      </c>
      <c r="B30306" t="s">
        <v>9198</v>
      </c>
    </row>
    <row r="30307" spans="1:2" x14ac:dyDescent="0.25">
      <c r="A30307">
        <v>63025910400</v>
      </c>
      <c r="B30307" t="s">
        <v>9199</v>
      </c>
    </row>
    <row r="30308" spans="1:2" x14ac:dyDescent="0.25">
      <c r="A30308">
        <v>63025910500</v>
      </c>
      <c r="B30308" t="s">
        <v>8117</v>
      </c>
    </row>
    <row r="30309" spans="1:2" x14ac:dyDescent="0.25">
      <c r="A30309">
        <v>63025910900</v>
      </c>
      <c r="B30309" t="s">
        <v>57</v>
      </c>
    </row>
    <row r="30310" spans="1:2" x14ac:dyDescent="0.25">
      <c r="A30310">
        <v>63025990</v>
      </c>
      <c r="B30310" t="s">
        <v>57</v>
      </c>
    </row>
    <row r="30311" spans="1:2" x14ac:dyDescent="0.25">
      <c r="A30311">
        <v>630259901</v>
      </c>
      <c r="B30311" t="s">
        <v>9201</v>
      </c>
    </row>
    <row r="30312" spans="1:2" x14ac:dyDescent="0.25">
      <c r="A30312">
        <v>63025990110</v>
      </c>
      <c r="B30312" t="s">
        <v>8113</v>
      </c>
    </row>
    <row r="30313" spans="1:2" x14ac:dyDescent="0.25">
      <c r="A30313">
        <v>63025990120</v>
      </c>
      <c r="B30313" t="s">
        <v>9202</v>
      </c>
    </row>
    <row r="30314" spans="1:2" x14ac:dyDescent="0.25">
      <c r="A30314">
        <v>63025990130</v>
      </c>
      <c r="B30314" t="s">
        <v>9203</v>
      </c>
    </row>
    <row r="30315" spans="1:2" x14ac:dyDescent="0.25">
      <c r="A30315">
        <v>63025990140</v>
      </c>
      <c r="B30315" t="s">
        <v>9204</v>
      </c>
    </row>
    <row r="30316" spans="1:2" x14ac:dyDescent="0.25">
      <c r="A30316">
        <v>63025990150</v>
      </c>
      <c r="B30316" t="s">
        <v>9205</v>
      </c>
    </row>
    <row r="30317" spans="1:2" x14ac:dyDescent="0.25">
      <c r="A30317">
        <v>63025990190</v>
      </c>
      <c r="B30317" t="s">
        <v>10</v>
      </c>
    </row>
    <row r="30318" spans="1:2" x14ac:dyDescent="0.25">
      <c r="A30318">
        <v>63025990200</v>
      </c>
      <c r="B30318" t="s">
        <v>8164</v>
      </c>
    </row>
    <row r="30319" spans="1:2" x14ac:dyDescent="0.25">
      <c r="A30319">
        <v>63025990300</v>
      </c>
      <c r="B30319" t="s">
        <v>9198</v>
      </c>
    </row>
    <row r="30320" spans="1:2" x14ac:dyDescent="0.25">
      <c r="A30320">
        <v>63025990400</v>
      </c>
      <c r="B30320" t="s">
        <v>9199</v>
      </c>
    </row>
    <row r="30321" spans="1:2" x14ac:dyDescent="0.25">
      <c r="A30321">
        <v>63025990500</v>
      </c>
      <c r="B30321" t="s">
        <v>8117</v>
      </c>
    </row>
    <row r="30322" spans="1:2" x14ac:dyDescent="0.25">
      <c r="A30322">
        <v>63025990900</v>
      </c>
      <c r="B30322" t="s">
        <v>57</v>
      </c>
    </row>
    <row r="30323" spans="1:2" x14ac:dyDescent="0.25">
      <c r="A30323">
        <v>63026000</v>
      </c>
      <c r="B30323" t="e">
        <f>- Ropa de tocador o cocina. de tejido Con bucles del tipo toalla. de algodon</f>
        <v>#NAME?</v>
      </c>
    </row>
    <row r="30324" spans="1:2" x14ac:dyDescent="0.25">
      <c r="A30324">
        <v>630260001</v>
      </c>
      <c r="B30324" t="s">
        <v>9206</v>
      </c>
    </row>
    <row r="30325" spans="1:2" x14ac:dyDescent="0.25">
      <c r="A30325">
        <v>63026000110</v>
      </c>
      <c r="B30325" t="s">
        <v>9207</v>
      </c>
    </row>
    <row r="30326" spans="1:2" x14ac:dyDescent="0.25">
      <c r="A30326">
        <v>63026000120</v>
      </c>
      <c r="B30326" t="s">
        <v>9208</v>
      </c>
    </row>
    <row r="30327" spans="1:2" x14ac:dyDescent="0.25">
      <c r="A30327">
        <v>63026000130</v>
      </c>
      <c r="B30327" t="s">
        <v>9209</v>
      </c>
    </row>
    <row r="30328" spans="1:2" x14ac:dyDescent="0.25">
      <c r="A30328">
        <v>63026000140</v>
      </c>
      <c r="B30328" t="s">
        <v>9210</v>
      </c>
    </row>
    <row r="30329" spans="1:2" x14ac:dyDescent="0.25">
      <c r="A30329">
        <v>63026000190</v>
      </c>
      <c r="B30329" t="s">
        <v>57</v>
      </c>
    </row>
    <row r="30330" spans="1:2" x14ac:dyDescent="0.25">
      <c r="A30330">
        <v>63026000900</v>
      </c>
      <c r="B30330" t="s">
        <v>57</v>
      </c>
    </row>
    <row r="30331" spans="1:2" x14ac:dyDescent="0.25">
      <c r="A30331">
        <v>63029</v>
      </c>
      <c r="B30331" t="s">
        <v>567</v>
      </c>
    </row>
    <row r="30332" spans="1:2" x14ac:dyDescent="0.25">
      <c r="A30332">
        <v>63029100</v>
      </c>
      <c r="B30332" t="e">
        <f>- - de algodon</f>
        <v>#NAME?</v>
      </c>
    </row>
    <row r="30333" spans="1:2" x14ac:dyDescent="0.25">
      <c r="A30333">
        <v>63029100100</v>
      </c>
      <c r="B30333" t="s">
        <v>8112</v>
      </c>
    </row>
    <row r="30334" spans="1:2" x14ac:dyDescent="0.25">
      <c r="A30334">
        <v>63029100200</v>
      </c>
      <c r="B30334" t="s">
        <v>9211</v>
      </c>
    </row>
    <row r="30335" spans="1:2" x14ac:dyDescent="0.25">
      <c r="A30335">
        <v>63029100900</v>
      </c>
      <c r="B30335" t="s">
        <v>57</v>
      </c>
    </row>
    <row r="30336" spans="1:2" x14ac:dyDescent="0.25">
      <c r="A30336">
        <v>63029300</v>
      </c>
      <c r="B30336" t="e">
        <f>- - de fibras sinteticas o artificiales</f>
        <v>#NAME?</v>
      </c>
    </row>
    <row r="30337" spans="1:2" x14ac:dyDescent="0.25">
      <c r="A30337">
        <v>630293001</v>
      </c>
      <c r="B30337" t="s">
        <v>9212</v>
      </c>
    </row>
    <row r="30338" spans="1:2" x14ac:dyDescent="0.25">
      <c r="A30338">
        <v>6302930011</v>
      </c>
      <c r="B30338" t="s">
        <v>5932</v>
      </c>
    </row>
    <row r="30339" spans="1:2" x14ac:dyDescent="0.25">
      <c r="A30339">
        <v>63029300111</v>
      </c>
      <c r="B30339" t="s">
        <v>9207</v>
      </c>
    </row>
    <row r="30340" spans="1:2" x14ac:dyDescent="0.25">
      <c r="A30340">
        <v>63029300112</v>
      </c>
      <c r="B30340" t="s">
        <v>9208</v>
      </c>
    </row>
    <row r="30341" spans="1:2" x14ac:dyDescent="0.25">
      <c r="A30341">
        <v>63029300113</v>
      </c>
      <c r="B30341" t="s">
        <v>9209</v>
      </c>
    </row>
    <row r="30342" spans="1:2" x14ac:dyDescent="0.25">
      <c r="A30342">
        <v>63029300114</v>
      </c>
      <c r="B30342" t="s">
        <v>9210</v>
      </c>
    </row>
    <row r="30343" spans="1:2" x14ac:dyDescent="0.25">
      <c r="A30343">
        <v>63029300119</v>
      </c>
      <c r="B30343" t="s">
        <v>57</v>
      </c>
    </row>
    <row r="30344" spans="1:2" x14ac:dyDescent="0.25">
      <c r="A30344">
        <v>63029300190</v>
      </c>
      <c r="B30344" t="s">
        <v>10</v>
      </c>
    </row>
    <row r="30345" spans="1:2" x14ac:dyDescent="0.25">
      <c r="A30345">
        <v>63029300200</v>
      </c>
      <c r="B30345" t="s">
        <v>9211</v>
      </c>
    </row>
    <row r="30346" spans="1:2" x14ac:dyDescent="0.25">
      <c r="A30346">
        <v>630293009</v>
      </c>
      <c r="B30346" t="s">
        <v>57</v>
      </c>
    </row>
    <row r="30347" spans="1:2" x14ac:dyDescent="0.25">
      <c r="A30347">
        <v>63029300910</v>
      </c>
      <c r="B30347" t="s">
        <v>9213</v>
      </c>
    </row>
    <row r="30348" spans="1:2" x14ac:dyDescent="0.25">
      <c r="A30348">
        <v>63029300990</v>
      </c>
      <c r="B30348" t="s">
        <v>10</v>
      </c>
    </row>
    <row r="30349" spans="1:2" x14ac:dyDescent="0.25">
      <c r="A30349">
        <v>630299</v>
      </c>
      <c r="B30349" t="e">
        <f>- - de las demas materias textiles</f>
        <v>#NAME?</v>
      </c>
    </row>
    <row r="30350" spans="1:2" x14ac:dyDescent="0.25">
      <c r="A30350">
        <v>63029910</v>
      </c>
      <c r="B30350" t="s">
        <v>8896</v>
      </c>
    </row>
    <row r="30351" spans="1:2" x14ac:dyDescent="0.25">
      <c r="A30351">
        <v>63029910100</v>
      </c>
      <c r="B30351" t="s">
        <v>8112</v>
      </c>
    </row>
    <row r="30352" spans="1:2" x14ac:dyDescent="0.25">
      <c r="A30352">
        <v>63029910200</v>
      </c>
      <c r="B30352" t="s">
        <v>9211</v>
      </c>
    </row>
    <row r="30353" spans="1:2" x14ac:dyDescent="0.25">
      <c r="A30353">
        <v>63029910900</v>
      </c>
      <c r="B30353" t="s">
        <v>57</v>
      </c>
    </row>
    <row r="30354" spans="1:2" x14ac:dyDescent="0.25">
      <c r="A30354">
        <v>63029990</v>
      </c>
      <c r="B30354" t="s">
        <v>57</v>
      </c>
    </row>
    <row r="30355" spans="1:2" x14ac:dyDescent="0.25">
      <c r="A30355">
        <v>63029990100</v>
      </c>
      <c r="B30355" t="s">
        <v>8112</v>
      </c>
    </row>
    <row r="30356" spans="1:2" x14ac:dyDescent="0.25">
      <c r="A30356">
        <v>63029990200</v>
      </c>
      <c r="B30356" t="s">
        <v>9211</v>
      </c>
    </row>
    <row r="30357" spans="1:2" x14ac:dyDescent="0.25">
      <c r="A30357">
        <v>63029990900</v>
      </c>
      <c r="B30357" t="s">
        <v>57</v>
      </c>
    </row>
    <row r="30358" spans="1:2" x14ac:dyDescent="0.25">
      <c r="A30358">
        <v>6303</v>
      </c>
      <c r="B30358" t="s">
        <v>9214</v>
      </c>
    </row>
    <row r="30359" spans="1:2" x14ac:dyDescent="0.25">
      <c r="A30359">
        <v>63031</v>
      </c>
      <c r="B30359" t="s">
        <v>9215</v>
      </c>
    </row>
    <row r="30360" spans="1:2" x14ac:dyDescent="0.25">
      <c r="A30360">
        <v>63031200000</v>
      </c>
      <c r="B30360" t="e">
        <f>--de fibras sinteticas</f>
        <v>#NAME?</v>
      </c>
    </row>
    <row r="30361" spans="1:2" x14ac:dyDescent="0.25">
      <c r="A30361">
        <v>630319</v>
      </c>
      <c r="B30361" t="e">
        <f>- - de las demas materias textiles</f>
        <v>#NAME?</v>
      </c>
    </row>
    <row r="30362" spans="1:2" x14ac:dyDescent="0.25">
      <c r="A30362">
        <v>63031910000</v>
      </c>
      <c r="B30362" t="s">
        <v>8805</v>
      </c>
    </row>
    <row r="30363" spans="1:2" x14ac:dyDescent="0.25">
      <c r="A30363">
        <v>63031990000</v>
      </c>
      <c r="B30363" t="s">
        <v>10</v>
      </c>
    </row>
    <row r="30364" spans="1:2" x14ac:dyDescent="0.25">
      <c r="A30364">
        <v>63039</v>
      </c>
      <c r="B30364" t="s">
        <v>28</v>
      </c>
    </row>
    <row r="30365" spans="1:2" x14ac:dyDescent="0.25">
      <c r="A30365">
        <v>63039100000</v>
      </c>
      <c r="B30365" t="e">
        <f>--de algodon</f>
        <v>#NAME?</v>
      </c>
    </row>
    <row r="30366" spans="1:2" x14ac:dyDescent="0.25">
      <c r="A30366">
        <v>63039200000</v>
      </c>
      <c r="B30366" t="e">
        <f>--de fibras sinteticas</f>
        <v>#NAME?</v>
      </c>
    </row>
    <row r="30367" spans="1:2" x14ac:dyDescent="0.25">
      <c r="A30367">
        <v>63039900000</v>
      </c>
      <c r="B30367" t="e">
        <f>--de las demas materias textiles</f>
        <v>#NAME?</v>
      </c>
    </row>
    <row r="30368" spans="1:2" x14ac:dyDescent="0.25">
      <c r="A30368">
        <v>6304</v>
      </c>
      <c r="B30368" t="s">
        <v>9216</v>
      </c>
    </row>
    <row r="30369" spans="1:2" x14ac:dyDescent="0.25">
      <c r="A30369">
        <v>63041</v>
      </c>
      <c r="B30369" t="s">
        <v>9217</v>
      </c>
    </row>
    <row r="30370" spans="1:2" x14ac:dyDescent="0.25">
      <c r="A30370">
        <v>63041100000</v>
      </c>
      <c r="B30370" t="e">
        <f>--de punto</f>
        <v>#NAME?</v>
      </c>
    </row>
    <row r="30371" spans="1:2" x14ac:dyDescent="0.25">
      <c r="A30371">
        <v>630419</v>
      </c>
      <c r="B30371" t="e">
        <f>- - las demas</f>
        <v>#NAME?</v>
      </c>
    </row>
    <row r="30372" spans="1:2" x14ac:dyDescent="0.25">
      <c r="A30372">
        <v>63041910000</v>
      </c>
      <c r="B30372" t="s">
        <v>8805</v>
      </c>
    </row>
    <row r="30373" spans="1:2" x14ac:dyDescent="0.25">
      <c r="A30373">
        <v>63041990000</v>
      </c>
      <c r="B30373" t="s">
        <v>8837</v>
      </c>
    </row>
    <row r="30374" spans="1:2" x14ac:dyDescent="0.25">
      <c r="A30374">
        <v>63042000000</v>
      </c>
      <c r="B30374" t="s">
        <v>9218</v>
      </c>
    </row>
    <row r="30375" spans="1:2" x14ac:dyDescent="0.25">
      <c r="A30375">
        <v>63049</v>
      </c>
      <c r="B30375" t="s">
        <v>28</v>
      </c>
    </row>
    <row r="30376" spans="1:2" x14ac:dyDescent="0.25">
      <c r="A30376">
        <v>63049100000</v>
      </c>
      <c r="B30376" t="e">
        <f>--de punto</f>
        <v>#NAME?</v>
      </c>
    </row>
    <row r="30377" spans="1:2" x14ac:dyDescent="0.25">
      <c r="A30377">
        <v>63049200000</v>
      </c>
      <c r="B30377" t="e">
        <f>--de algodon. excepto de punto</f>
        <v>#NAME?</v>
      </c>
    </row>
    <row r="30378" spans="1:2" x14ac:dyDescent="0.25">
      <c r="A30378">
        <v>63049300000</v>
      </c>
      <c r="B30378" t="e">
        <f>--de fibras sinteticas. excepto de punto</f>
        <v>#NAME?</v>
      </c>
    </row>
    <row r="30379" spans="1:2" x14ac:dyDescent="0.25">
      <c r="A30379">
        <v>63049900000</v>
      </c>
      <c r="B30379" t="e">
        <f>--de las demas materias textiles. excepto de punto</f>
        <v>#NAME?</v>
      </c>
    </row>
    <row r="30380" spans="1:2" x14ac:dyDescent="0.25">
      <c r="A30380">
        <v>6305</v>
      </c>
      <c r="B30380" t="s">
        <v>9219</v>
      </c>
    </row>
    <row r="30381" spans="1:2" x14ac:dyDescent="0.25">
      <c r="A30381">
        <v>63051000000</v>
      </c>
      <c r="B30381" t="s">
        <v>9220</v>
      </c>
    </row>
    <row r="30382" spans="1:2" x14ac:dyDescent="0.25">
      <c r="A30382">
        <v>63052000000</v>
      </c>
      <c r="B30382" t="e">
        <f>-de algodon</f>
        <v>#NAME?</v>
      </c>
    </row>
    <row r="30383" spans="1:2" x14ac:dyDescent="0.25">
      <c r="A30383">
        <v>63053</v>
      </c>
      <c r="B30383" t="s">
        <v>9221</v>
      </c>
    </row>
    <row r="30384" spans="1:2" x14ac:dyDescent="0.25">
      <c r="A30384">
        <v>63053200000</v>
      </c>
      <c r="B30384" t="e">
        <f>--Continentes intermedios flexibles para Productos a granel</f>
        <v>#NAME?</v>
      </c>
    </row>
    <row r="30385" spans="1:2" x14ac:dyDescent="0.25">
      <c r="A30385">
        <v>630533</v>
      </c>
      <c r="B30385" t="e">
        <f>- - Los demas. de tiras o formas similares. de Polietileno o Polipropileno</f>
        <v>#NAME?</v>
      </c>
    </row>
    <row r="30386" spans="1:2" x14ac:dyDescent="0.25">
      <c r="A30386">
        <v>63053310000</v>
      </c>
      <c r="B30386" t="s">
        <v>8875</v>
      </c>
    </row>
    <row r="30387" spans="1:2" x14ac:dyDescent="0.25">
      <c r="A30387">
        <v>63053390</v>
      </c>
      <c r="B30387" t="s">
        <v>10</v>
      </c>
    </row>
    <row r="30388" spans="1:2" x14ac:dyDescent="0.25">
      <c r="A30388">
        <v>630533901</v>
      </c>
      <c r="B30388" t="s">
        <v>9222</v>
      </c>
    </row>
    <row r="30389" spans="1:2" x14ac:dyDescent="0.25">
      <c r="A30389">
        <v>6305339011</v>
      </c>
      <c r="B30389" t="s">
        <v>9223</v>
      </c>
    </row>
    <row r="30390" spans="1:2" x14ac:dyDescent="0.25">
      <c r="A30390">
        <v>63053390111</v>
      </c>
      <c r="B30390" t="s">
        <v>8892</v>
      </c>
    </row>
    <row r="30391" spans="1:2" x14ac:dyDescent="0.25">
      <c r="A30391">
        <v>63053390112</v>
      </c>
      <c r="B30391" t="s">
        <v>8893</v>
      </c>
    </row>
    <row r="30392" spans="1:2" x14ac:dyDescent="0.25">
      <c r="A30392">
        <v>63053390119</v>
      </c>
      <c r="B30392" t="s">
        <v>10</v>
      </c>
    </row>
    <row r="30393" spans="1:2" x14ac:dyDescent="0.25">
      <c r="A30393">
        <v>6305339012</v>
      </c>
      <c r="B30393" t="s">
        <v>9224</v>
      </c>
    </row>
    <row r="30394" spans="1:2" x14ac:dyDescent="0.25">
      <c r="A30394">
        <v>63053390121</v>
      </c>
      <c r="B30394" t="s">
        <v>9225</v>
      </c>
    </row>
    <row r="30395" spans="1:2" x14ac:dyDescent="0.25">
      <c r="A30395">
        <v>63053390122</v>
      </c>
      <c r="B30395" t="s">
        <v>9226</v>
      </c>
    </row>
    <row r="30396" spans="1:2" x14ac:dyDescent="0.25">
      <c r="A30396">
        <v>63053390123</v>
      </c>
      <c r="B30396" t="s">
        <v>9227</v>
      </c>
    </row>
    <row r="30397" spans="1:2" x14ac:dyDescent="0.25">
      <c r="A30397">
        <v>63053390129</v>
      </c>
      <c r="B30397" t="s">
        <v>10</v>
      </c>
    </row>
    <row r="30398" spans="1:2" x14ac:dyDescent="0.25">
      <c r="A30398">
        <v>6305339019</v>
      </c>
      <c r="B30398" t="s">
        <v>10</v>
      </c>
    </row>
    <row r="30399" spans="1:2" x14ac:dyDescent="0.25">
      <c r="A30399">
        <v>63053390191</v>
      </c>
      <c r="B30399" t="s">
        <v>9225</v>
      </c>
    </row>
    <row r="30400" spans="1:2" x14ac:dyDescent="0.25">
      <c r="A30400">
        <v>63053390192</v>
      </c>
      <c r="B30400" t="s">
        <v>9228</v>
      </c>
    </row>
    <row r="30401" spans="1:2" x14ac:dyDescent="0.25">
      <c r="A30401">
        <v>63053390193</v>
      </c>
      <c r="B30401" t="s">
        <v>9227</v>
      </c>
    </row>
    <row r="30402" spans="1:2" x14ac:dyDescent="0.25">
      <c r="A30402">
        <v>63053390199</v>
      </c>
      <c r="B30402" t="s">
        <v>10</v>
      </c>
    </row>
    <row r="30403" spans="1:2" x14ac:dyDescent="0.25">
      <c r="A30403">
        <v>630533909</v>
      </c>
      <c r="B30403" t="s">
        <v>10</v>
      </c>
    </row>
    <row r="30404" spans="1:2" x14ac:dyDescent="0.25">
      <c r="A30404">
        <v>63053390910</v>
      </c>
      <c r="B30404" t="s">
        <v>9229</v>
      </c>
    </row>
    <row r="30405" spans="1:2" x14ac:dyDescent="0.25">
      <c r="A30405">
        <v>63053390920</v>
      </c>
      <c r="B30405" t="s">
        <v>9230</v>
      </c>
    </row>
    <row r="30406" spans="1:2" x14ac:dyDescent="0.25">
      <c r="A30406">
        <v>63053390990</v>
      </c>
      <c r="B30406" t="s">
        <v>10</v>
      </c>
    </row>
    <row r="30407" spans="1:2" x14ac:dyDescent="0.25">
      <c r="A30407">
        <v>63053900000</v>
      </c>
      <c r="B30407" t="e">
        <f>--Los demas</f>
        <v>#NAME?</v>
      </c>
    </row>
    <row r="30408" spans="1:2" x14ac:dyDescent="0.25">
      <c r="A30408">
        <v>63059000000</v>
      </c>
      <c r="B30408" t="e">
        <f>-de las demas materias textiles</f>
        <v>#NAME?</v>
      </c>
    </row>
    <row r="30409" spans="1:2" x14ac:dyDescent="0.25">
      <c r="A30409">
        <v>6306</v>
      </c>
      <c r="B30409" t="s">
        <v>9231</v>
      </c>
    </row>
    <row r="30410" spans="1:2" x14ac:dyDescent="0.25">
      <c r="A30410">
        <v>63061</v>
      </c>
      <c r="B30410" t="s">
        <v>9232</v>
      </c>
    </row>
    <row r="30411" spans="1:2" x14ac:dyDescent="0.25">
      <c r="A30411">
        <v>63061200000</v>
      </c>
      <c r="B30411" t="e">
        <f>--de fibras sinteticas</f>
        <v>#NAME?</v>
      </c>
    </row>
    <row r="30412" spans="1:2" x14ac:dyDescent="0.25">
      <c r="A30412">
        <v>630619</v>
      </c>
      <c r="B30412" t="e">
        <f>- - de las demas materias textiles</f>
        <v>#NAME?</v>
      </c>
    </row>
    <row r="30413" spans="1:2" x14ac:dyDescent="0.25">
      <c r="A30413">
        <v>63061910000</v>
      </c>
      <c r="B30413" t="s">
        <v>8805</v>
      </c>
    </row>
    <row r="30414" spans="1:2" x14ac:dyDescent="0.25">
      <c r="A30414">
        <v>63061990000</v>
      </c>
      <c r="B30414" t="s">
        <v>10</v>
      </c>
    </row>
    <row r="30415" spans="1:2" x14ac:dyDescent="0.25">
      <c r="A30415">
        <v>63062</v>
      </c>
      <c r="B30415" t="s">
        <v>9233</v>
      </c>
    </row>
    <row r="30416" spans="1:2" x14ac:dyDescent="0.25">
      <c r="A30416">
        <v>63062200</v>
      </c>
      <c r="B30416" t="e">
        <f>- - de fibras sinteticas</f>
        <v>#NAME?</v>
      </c>
    </row>
    <row r="30417" spans="1:2" x14ac:dyDescent="0.25">
      <c r="A30417">
        <v>63062200100</v>
      </c>
      <c r="B30417" t="s">
        <v>9234</v>
      </c>
    </row>
    <row r="30418" spans="1:2" x14ac:dyDescent="0.25">
      <c r="A30418">
        <v>63062200200</v>
      </c>
      <c r="B30418" t="s">
        <v>9235</v>
      </c>
    </row>
    <row r="30419" spans="1:2" x14ac:dyDescent="0.25">
      <c r="A30419">
        <v>63062200300</v>
      </c>
      <c r="B30419" t="s">
        <v>9236</v>
      </c>
    </row>
    <row r="30420" spans="1:2" x14ac:dyDescent="0.25">
      <c r="A30420">
        <v>63062200400</v>
      </c>
      <c r="B30420" t="s">
        <v>9237</v>
      </c>
    </row>
    <row r="30421" spans="1:2" x14ac:dyDescent="0.25">
      <c r="A30421">
        <v>63062200500</v>
      </c>
      <c r="B30421" t="s">
        <v>9238</v>
      </c>
    </row>
    <row r="30422" spans="1:2" x14ac:dyDescent="0.25">
      <c r="A30422">
        <v>63062200600</v>
      </c>
      <c r="B30422" t="s">
        <v>9239</v>
      </c>
    </row>
    <row r="30423" spans="1:2" x14ac:dyDescent="0.25">
      <c r="A30423">
        <v>63062200900</v>
      </c>
      <c r="B30423" t="s">
        <v>57</v>
      </c>
    </row>
    <row r="30424" spans="1:2" x14ac:dyDescent="0.25">
      <c r="A30424">
        <v>630629</v>
      </c>
      <c r="B30424" t="e">
        <f>- - de las demas materias textiles</f>
        <v>#NAME?</v>
      </c>
    </row>
    <row r="30425" spans="1:2" x14ac:dyDescent="0.25">
      <c r="A30425">
        <v>63062910</v>
      </c>
      <c r="B30425" t="s">
        <v>8805</v>
      </c>
    </row>
    <row r="30426" spans="1:2" x14ac:dyDescent="0.25">
      <c r="A30426">
        <v>63062910100</v>
      </c>
      <c r="B30426" t="s">
        <v>9234</v>
      </c>
    </row>
    <row r="30427" spans="1:2" x14ac:dyDescent="0.25">
      <c r="A30427">
        <v>63062910200</v>
      </c>
      <c r="B30427" t="s">
        <v>9235</v>
      </c>
    </row>
    <row r="30428" spans="1:2" x14ac:dyDescent="0.25">
      <c r="A30428">
        <v>63062910300</v>
      </c>
      <c r="B30428" t="s">
        <v>9236</v>
      </c>
    </row>
    <row r="30429" spans="1:2" x14ac:dyDescent="0.25">
      <c r="A30429">
        <v>63062910400</v>
      </c>
      <c r="B30429" t="s">
        <v>9237</v>
      </c>
    </row>
    <row r="30430" spans="1:2" x14ac:dyDescent="0.25">
      <c r="A30430">
        <v>63062910900</v>
      </c>
      <c r="B30430" t="s">
        <v>57</v>
      </c>
    </row>
    <row r="30431" spans="1:2" x14ac:dyDescent="0.25">
      <c r="A30431">
        <v>63062990000</v>
      </c>
      <c r="B30431" t="s">
        <v>10</v>
      </c>
    </row>
    <row r="30432" spans="1:2" x14ac:dyDescent="0.25">
      <c r="A30432">
        <v>630630</v>
      </c>
      <c r="B30432" t="e">
        <f>- Velas</f>
        <v>#NAME?</v>
      </c>
    </row>
    <row r="30433" spans="1:2" x14ac:dyDescent="0.25">
      <c r="A30433">
        <v>63063010000</v>
      </c>
      <c r="B30433" t="s">
        <v>8808</v>
      </c>
    </row>
    <row r="30434" spans="1:2" x14ac:dyDescent="0.25">
      <c r="A30434">
        <v>63063090000</v>
      </c>
      <c r="B30434" t="s">
        <v>8837</v>
      </c>
    </row>
    <row r="30435" spans="1:2" x14ac:dyDescent="0.25">
      <c r="A30435">
        <v>630640</v>
      </c>
      <c r="B30435" t="e">
        <f>- Colchones Neumaticos</f>
        <v>#NAME?</v>
      </c>
    </row>
    <row r="30436" spans="1:2" x14ac:dyDescent="0.25">
      <c r="A30436">
        <v>63064010000</v>
      </c>
      <c r="B30436" t="s">
        <v>8805</v>
      </c>
    </row>
    <row r="30437" spans="1:2" x14ac:dyDescent="0.25">
      <c r="A30437">
        <v>63064090000</v>
      </c>
      <c r="B30437" t="s">
        <v>8837</v>
      </c>
    </row>
    <row r="30438" spans="1:2" x14ac:dyDescent="0.25">
      <c r="A30438">
        <v>63069000000</v>
      </c>
      <c r="B30438" t="e">
        <f>-Los demas</f>
        <v>#NAME?</v>
      </c>
    </row>
    <row r="30439" spans="1:2" x14ac:dyDescent="0.25">
      <c r="A30439">
        <v>6307</v>
      </c>
      <c r="B30439" t="s">
        <v>9240</v>
      </c>
    </row>
    <row r="30440" spans="1:2" x14ac:dyDescent="0.25">
      <c r="A30440">
        <v>63071000</v>
      </c>
      <c r="B30440" t="s">
        <v>9241</v>
      </c>
    </row>
    <row r="30441" spans="1:2" x14ac:dyDescent="0.25">
      <c r="A30441">
        <v>63071000100</v>
      </c>
      <c r="B30441" t="s">
        <v>9242</v>
      </c>
    </row>
    <row r="30442" spans="1:2" x14ac:dyDescent="0.25">
      <c r="A30442">
        <v>63071000200</v>
      </c>
      <c r="B30442" t="s">
        <v>9243</v>
      </c>
    </row>
    <row r="30443" spans="1:2" x14ac:dyDescent="0.25">
      <c r="A30443">
        <v>63071000900</v>
      </c>
      <c r="B30443" t="s">
        <v>10</v>
      </c>
    </row>
    <row r="30444" spans="1:2" x14ac:dyDescent="0.25">
      <c r="A30444">
        <v>63072000000</v>
      </c>
      <c r="B30444" t="e">
        <f>-cinturones y chalecos salvavidas</f>
        <v>#NAME?</v>
      </c>
    </row>
    <row r="30445" spans="1:2" x14ac:dyDescent="0.25">
      <c r="A30445">
        <v>630790</v>
      </c>
      <c r="B30445" t="e">
        <f>- Los demas</f>
        <v>#NAME?</v>
      </c>
    </row>
    <row r="30446" spans="1:2" x14ac:dyDescent="0.25">
      <c r="A30446">
        <v>63079010</v>
      </c>
      <c r="B30446" t="s">
        <v>9244</v>
      </c>
    </row>
    <row r="30447" spans="1:2" x14ac:dyDescent="0.25">
      <c r="A30447">
        <v>63079010100</v>
      </c>
      <c r="B30447" t="s">
        <v>9245</v>
      </c>
    </row>
    <row r="30448" spans="1:2" x14ac:dyDescent="0.25">
      <c r="A30448">
        <v>63079010200</v>
      </c>
      <c r="B30448" t="s">
        <v>6648</v>
      </c>
    </row>
    <row r="30449" spans="1:2" x14ac:dyDescent="0.25">
      <c r="A30449">
        <v>63079010900</v>
      </c>
      <c r="B30449" t="s">
        <v>57</v>
      </c>
    </row>
    <row r="30450" spans="1:2" x14ac:dyDescent="0.25">
      <c r="A30450">
        <v>63079020000</v>
      </c>
      <c r="B30450" t="s">
        <v>9246</v>
      </c>
    </row>
    <row r="30451" spans="1:2" x14ac:dyDescent="0.25">
      <c r="A30451">
        <v>63079090</v>
      </c>
      <c r="B30451" t="s">
        <v>10</v>
      </c>
    </row>
    <row r="30452" spans="1:2" x14ac:dyDescent="0.25">
      <c r="A30452">
        <v>63079090100</v>
      </c>
      <c r="B30452" t="s">
        <v>9247</v>
      </c>
    </row>
    <row r="30453" spans="1:2" x14ac:dyDescent="0.25">
      <c r="A30453">
        <v>630790902</v>
      </c>
      <c r="B30453" t="s">
        <v>9248</v>
      </c>
    </row>
    <row r="30454" spans="1:2" x14ac:dyDescent="0.25">
      <c r="A30454">
        <v>6307909021</v>
      </c>
      <c r="B30454" t="s">
        <v>8905</v>
      </c>
    </row>
    <row r="30455" spans="1:2" x14ac:dyDescent="0.25">
      <c r="A30455">
        <v>63079090211</v>
      </c>
      <c r="B30455" t="s">
        <v>8567</v>
      </c>
    </row>
    <row r="30456" spans="1:2" x14ac:dyDescent="0.25">
      <c r="A30456">
        <v>63079090212</v>
      </c>
      <c r="B30456" t="s">
        <v>626</v>
      </c>
    </row>
    <row r="30457" spans="1:2" x14ac:dyDescent="0.25">
      <c r="A30457">
        <v>63079090213</v>
      </c>
      <c r="B30457" t="s">
        <v>8560</v>
      </c>
    </row>
    <row r="30458" spans="1:2" x14ac:dyDescent="0.25">
      <c r="A30458">
        <v>63079090214</v>
      </c>
      <c r="B30458" t="s">
        <v>8561</v>
      </c>
    </row>
    <row r="30459" spans="1:2" x14ac:dyDescent="0.25">
      <c r="A30459">
        <v>6307909022</v>
      </c>
      <c r="B30459" t="s">
        <v>8634</v>
      </c>
    </row>
    <row r="30460" spans="1:2" x14ac:dyDescent="0.25">
      <c r="A30460">
        <v>63079090221</v>
      </c>
      <c r="B30460" t="s">
        <v>8567</v>
      </c>
    </row>
    <row r="30461" spans="1:2" x14ac:dyDescent="0.25">
      <c r="A30461">
        <v>63079090222</v>
      </c>
      <c r="B30461" t="s">
        <v>626</v>
      </c>
    </row>
    <row r="30462" spans="1:2" x14ac:dyDescent="0.25">
      <c r="A30462">
        <v>63079090223</v>
      </c>
      <c r="B30462" t="s">
        <v>8560</v>
      </c>
    </row>
    <row r="30463" spans="1:2" x14ac:dyDescent="0.25">
      <c r="A30463">
        <v>63079090224</v>
      </c>
      <c r="B30463" t="s">
        <v>8561</v>
      </c>
    </row>
    <row r="30464" spans="1:2" x14ac:dyDescent="0.25">
      <c r="A30464">
        <v>63079090300</v>
      </c>
      <c r="B30464" t="s">
        <v>9249</v>
      </c>
    </row>
    <row r="30465" spans="1:2" x14ac:dyDescent="0.25">
      <c r="A30465">
        <v>63079090400</v>
      </c>
      <c r="B30465" t="s">
        <v>5635</v>
      </c>
    </row>
    <row r="30466" spans="1:2" x14ac:dyDescent="0.25">
      <c r="A30466">
        <v>63079090500</v>
      </c>
      <c r="B30466" t="s">
        <v>6648</v>
      </c>
    </row>
    <row r="30467" spans="1:2" x14ac:dyDescent="0.25">
      <c r="A30467">
        <v>63079090900</v>
      </c>
      <c r="B30467" t="s">
        <v>10</v>
      </c>
    </row>
    <row r="30468" spans="1:2" x14ac:dyDescent="0.25">
      <c r="A30468">
        <v>63080000000</v>
      </c>
      <c r="B30468" t="s">
        <v>9250</v>
      </c>
    </row>
    <row r="30469" spans="1:2" x14ac:dyDescent="0.25">
      <c r="A30469">
        <v>630900</v>
      </c>
      <c r="B30469" t="s">
        <v>9251</v>
      </c>
    </row>
    <row r="30470" spans="1:2" x14ac:dyDescent="0.25">
      <c r="A30470">
        <v>63090010000</v>
      </c>
      <c r="B30470" t="s">
        <v>9252</v>
      </c>
    </row>
    <row r="30471" spans="1:2" x14ac:dyDescent="0.25">
      <c r="A30471">
        <v>63090090000</v>
      </c>
      <c r="B30471" t="s">
        <v>10</v>
      </c>
    </row>
    <row r="30472" spans="1:2" x14ac:dyDescent="0.25">
      <c r="A30472">
        <v>6310</v>
      </c>
      <c r="B30472" t="s">
        <v>9253</v>
      </c>
    </row>
    <row r="30473" spans="1:2" x14ac:dyDescent="0.25">
      <c r="A30473">
        <v>63101000000</v>
      </c>
      <c r="B30473" t="e">
        <f>-Clasificados</f>
        <v>#NAME?</v>
      </c>
    </row>
    <row r="30474" spans="1:2" x14ac:dyDescent="0.25">
      <c r="A30474">
        <v>63109000000</v>
      </c>
      <c r="B30474" t="e">
        <f>-Los demas</f>
        <v>#NAME?</v>
      </c>
    </row>
    <row r="30475" spans="1:2" x14ac:dyDescent="0.25">
      <c r="A30475">
        <v>6401</v>
      </c>
      <c r="B30475" t="s">
        <v>9254</v>
      </c>
    </row>
    <row r="30476" spans="1:2" x14ac:dyDescent="0.25">
      <c r="A30476">
        <v>64011000</v>
      </c>
      <c r="B30476" t="e">
        <f>- calzado Con puntera metalica de proteccion</f>
        <v>#NAME?</v>
      </c>
    </row>
    <row r="30477" spans="1:2" x14ac:dyDescent="0.25">
      <c r="A30477">
        <v>64011000100</v>
      </c>
      <c r="B30477" t="s">
        <v>9255</v>
      </c>
    </row>
    <row r="30478" spans="1:2" x14ac:dyDescent="0.25">
      <c r="A30478">
        <v>64011000200</v>
      </c>
      <c r="B30478" t="s">
        <v>9256</v>
      </c>
    </row>
    <row r="30479" spans="1:2" x14ac:dyDescent="0.25">
      <c r="A30479">
        <v>64019</v>
      </c>
      <c r="B30479" t="s">
        <v>9257</v>
      </c>
    </row>
    <row r="30480" spans="1:2" x14ac:dyDescent="0.25">
      <c r="A30480">
        <v>64019200</v>
      </c>
      <c r="B30480" t="e">
        <f>- - que cubran el tobillo sin cubrir la rodilla</f>
        <v>#NAME?</v>
      </c>
    </row>
    <row r="30481" spans="1:2" x14ac:dyDescent="0.25">
      <c r="A30481">
        <v>640192001</v>
      </c>
      <c r="B30481" t="s">
        <v>9255</v>
      </c>
    </row>
    <row r="30482" spans="1:2" x14ac:dyDescent="0.25">
      <c r="A30482">
        <v>64019200110</v>
      </c>
      <c r="B30482" t="s">
        <v>9258</v>
      </c>
    </row>
    <row r="30483" spans="1:2" x14ac:dyDescent="0.25">
      <c r="A30483">
        <v>64019200120</v>
      </c>
      <c r="B30483" t="s">
        <v>9259</v>
      </c>
    </row>
    <row r="30484" spans="1:2" x14ac:dyDescent="0.25">
      <c r="A30484">
        <v>64019200130</v>
      </c>
      <c r="B30484" t="s">
        <v>9260</v>
      </c>
    </row>
    <row r="30485" spans="1:2" x14ac:dyDescent="0.25">
      <c r="A30485">
        <v>64019200140</v>
      </c>
      <c r="B30485" t="s">
        <v>9261</v>
      </c>
    </row>
    <row r="30486" spans="1:2" x14ac:dyDescent="0.25">
      <c r="A30486">
        <v>64019200190</v>
      </c>
      <c r="B30486" t="s">
        <v>10</v>
      </c>
    </row>
    <row r="30487" spans="1:2" x14ac:dyDescent="0.25">
      <c r="A30487">
        <v>640192002</v>
      </c>
      <c r="B30487" t="s">
        <v>7612</v>
      </c>
    </row>
    <row r="30488" spans="1:2" x14ac:dyDescent="0.25">
      <c r="A30488">
        <v>64019200210</v>
      </c>
      <c r="B30488" t="s">
        <v>9258</v>
      </c>
    </row>
    <row r="30489" spans="1:2" x14ac:dyDescent="0.25">
      <c r="A30489">
        <v>64019200220</v>
      </c>
      <c r="B30489" t="s">
        <v>9259</v>
      </c>
    </row>
    <row r="30490" spans="1:2" x14ac:dyDescent="0.25">
      <c r="A30490">
        <v>64019200230</v>
      </c>
      <c r="B30490" t="s">
        <v>9260</v>
      </c>
    </row>
    <row r="30491" spans="1:2" x14ac:dyDescent="0.25">
      <c r="A30491">
        <v>64019200240</v>
      </c>
      <c r="B30491" t="s">
        <v>9261</v>
      </c>
    </row>
    <row r="30492" spans="1:2" x14ac:dyDescent="0.25">
      <c r="A30492">
        <v>64019200290</v>
      </c>
      <c r="B30492" t="s">
        <v>10</v>
      </c>
    </row>
    <row r="30493" spans="1:2" x14ac:dyDescent="0.25">
      <c r="A30493">
        <v>640199</v>
      </c>
      <c r="B30493" t="e">
        <f>- - Los demas</f>
        <v>#NAME?</v>
      </c>
    </row>
    <row r="30494" spans="1:2" x14ac:dyDescent="0.25">
      <c r="A30494">
        <v>64019910</v>
      </c>
      <c r="B30494" t="s">
        <v>9262</v>
      </c>
    </row>
    <row r="30495" spans="1:2" x14ac:dyDescent="0.25">
      <c r="A30495">
        <v>640199101</v>
      </c>
      <c r="B30495" t="s">
        <v>9255</v>
      </c>
    </row>
    <row r="30496" spans="1:2" x14ac:dyDescent="0.25">
      <c r="A30496">
        <v>64019910110</v>
      </c>
      <c r="B30496" t="s">
        <v>9263</v>
      </c>
    </row>
    <row r="30497" spans="1:2" x14ac:dyDescent="0.25">
      <c r="A30497">
        <v>64019910190</v>
      </c>
      <c r="B30497" t="s">
        <v>10</v>
      </c>
    </row>
    <row r="30498" spans="1:2" x14ac:dyDescent="0.25">
      <c r="A30498">
        <v>640199102</v>
      </c>
      <c r="B30498" t="s">
        <v>7612</v>
      </c>
    </row>
    <row r="30499" spans="1:2" x14ac:dyDescent="0.25">
      <c r="A30499">
        <v>64019910210</v>
      </c>
      <c r="B30499" t="s">
        <v>9263</v>
      </c>
    </row>
    <row r="30500" spans="1:2" x14ac:dyDescent="0.25">
      <c r="A30500">
        <v>64019910290</v>
      </c>
      <c r="B30500" t="s">
        <v>10</v>
      </c>
    </row>
    <row r="30501" spans="1:2" x14ac:dyDescent="0.25">
      <c r="A30501">
        <v>64019990</v>
      </c>
      <c r="B30501" t="s">
        <v>10</v>
      </c>
    </row>
    <row r="30502" spans="1:2" x14ac:dyDescent="0.25">
      <c r="A30502">
        <v>640199901</v>
      </c>
      <c r="B30502" t="s">
        <v>9255</v>
      </c>
    </row>
    <row r="30503" spans="1:2" x14ac:dyDescent="0.25">
      <c r="A30503">
        <v>64019990110</v>
      </c>
      <c r="B30503" t="s">
        <v>9258</v>
      </c>
    </row>
    <row r="30504" spans="1:2" x14ac:dyDescent="0.25">
      <c r="A30504">
        <v>64019990120</v>
      </c>
      <c r="B30504" t="s">
        <v>9264</v>
      </c>
    </row>
    <row r="30505" spans="1:2" x14ac:dyDescent="0.25">
      <c r="A30505">
        <v>64019990130</v>
      </c>
      <c r="B30505" t="s">
        <v>9260</v>
      </c>
    </row>
    <row r="30506" spans="1:2" x14ac:dyDescent="0.25">
      <c r="A30506">
        <v>64019990140</v>
      </c>
      <c r="B30506" t="s">
        <v>9261</v>
      </c>
    </row>
    <row r="30507" spans="1:2" x14ac:dyDescent="0.25">
      <c r="A30507">
        <v>64019990190</v>
      </c>
      <c r="B30507" t="s">
        <v>10</v>
      </c>
    </row>
    <row r="30508" spans="1:2" x14ac:dyDescent="0.25">
      <c r="A30508">
        <v>640199902</v>
      </c>
      <c r="B30508" t="s">
        <v>7612</v>
      </c>
    </row>
    <row r="30509" spans="1:2" x14ac:dyDescent="0.25">
      <c r="A30509">
        <v>64019990210</v>
      </c>
      <c r="B30509" t="s">
        <v>9258</v>
      </c>
    </row>
    <row r="30510" spans="1:2" x14ac:dyDescent="0.25">
      <c r="A30510">
        <v>64019990220</v>
      </c>
      <c r="B30510" t="s">
        <v>9259</v>
      </c>
    </row>
    <row r="30511" spans="1:2" x14ac:dyDescent="0.25">
      <c r="A30511">
        <v>64019990230</v>
      </c>
      <c r="B30511" t="s">
        <v>9260</v>
      </c>
    </row>
    <row r="30512" spans="1:2" x14ac:dyDescent="0.25">
      <c r="A30512">
        <v>64019990240</v>
      </c>
      <c r="B30512" t="s">
        <v>9261</v>
      </c>
    </row>
    <row r="30513" spans="1:2" x14ac:dyDescent="0.25">
      <c r="A30513">
        <v>64019990290</v>
      </c>
      <c r="B30513" t="s">
        <v>10</v>
      </c>
    </row>
    <row r="30514" spans="1:2" x14ac:dyDescent="0.25">
      <c r="A30514">
        <v>6402</v>
      </c>
      <c r="B30514" t="s">
        <v>9265</v>
      </c>
    </row>
    <row r="30515" spans="1:2" x14ac:dyDescent="0.25">
      <c r="A30515">
        <v>64021</v>
      </c>
      <c r="B30515" t="s">
        <v>9266</v>
      </c>
    </row>
    <row r="30516" spans="1:2" x14ac:dyDescent="0.25">
      <c r="A30516">
        <v>64021200</v>
      </c>
      <c r="B30516" t="s">
        <v>9267</v>
      </c>
    </row>
    <row r="30517" spans="1:2" x14ac:dyDescent="0.25">
      <c r="A30517">
        <v>640212001</v>
      </c>
      <c r="B30517" t="s">
        <v>9268</v>
      </c>
    </row>
    <row r="30518" spans="1:2" x14ac:dyDescent="0.25">
      <c r="A30518">
        <v>6402120011</v>
      </c>
      <c r="B30518" t="s">
        <v>9269</v>
      </c>
    </row>
    <row r="30519" spans="1:2" x14ac:dyDescent="0.25">
      <c r="A30519">
        <v>64021200111</v>
      </c>
      <c r="B30519" t="s">
        <v>9270</v>
      </c>
    </row>
    <row r="30520" spans="1:2" x14ac:dyDescent="0.25">
      <c r="A30520">
        <v>64021200112</v>
      </c>
      <c r="B30520" t="s">
        <v>9271</v>
      </c>
    </row>
    <row r="30521" spans="1:2" x14ac:dyDescent="0.25">
      <c r="A30521">
        <v>64021200113</v>
      </c>
      <c r="B30521" t="s">
        <v>9261</v>
      </c>
    </row>
    <row r="30522" spans="1:2" x14ac:dyDescent="0.25">
      <c r="A30522">
        <v>64021200119</v>
      </c>
      <c r="B30522" t="s">
        <v>10</v>
      </c>
    </row>
    <row r="30523" spans="1:2" x14ac:dyDescent="0.25">
      <c r="A30523">
        <v>6402120012</v>
      </c>
      <c r="B30523" t="s">
        <v>9272</v>
      </c>
    </row>
    <row r="30524" spans="1:2" x14ac:dyDescent="0.25">
      <c r="A30524">
        <v>64021200121</v>
      </c>
      <c r="B30524" t="s">
        <v>9270</v>
      </c>
    </row>
    <row r="30525" spans="1:2" x14ac:dyDescent="0.25">
      <c r="A30525">
        <v>64021200122</v>
      </c>
      <c r="B30525" t="s">
        <v>9271</v>
      </c>
    </row>
    <row r="30526" spans="1:2" x14ac:dyDescent="0.25">
      <c r="A30526">
        <v>64021200123</v>
      </c>
      <c r="B30526" t="s">
        <v>9261</v>
      </c>
    </row>
    <row r="30527" spans="1:2" x14ac:dyDescent="0.25">
      <c r="A30527">
        <v>64021200129</v>
      </c>
      <c r="B30527" t="s">
        <v>10</v>
      </c>
    </row>
    <row r="30528" spans="1:2" x14ac:dyDescent="0.25">
      <c r="A30528">
        <v>6402120019</v>
      </c>
      <c r="B30528" t="s">
        <v>10</v>
      </c>
    </row>
    <row r="30529" spans="1:2" x14ac:dyDescent="0.25">
      <c r="A30529">
        <v>64021200191</v>
      </c>
      <c r="B30529" t="s">
        <v>9270</v>
      </c>
    </row>
    <row r="30530" spans="1:2" x14ac:dyDescent="0.25">
      <c r="A30530">
        <v>64021200192</v>
      </c>
      <c r="B30530" t="s">
        <v>9271</v>
      </c>
    </row>
    <row r="30531" spans="1:2" x14ac:dyDescent="0.25">
      <c r="A30531">
        <v>64021200193</v>
      </c>
      <c r="B30531" t="s">
        <v>9261</v>
      </c>
    </row>
    <row r="30532" spans="1:2" x14ac:dyDescent="0.25">
      <c r="A30532">
        <v>64021200199</v>
      </c>
      <c r="B30532" t="s">
        <v>10</v>
      </c>
    </row>
    <row r="30533" spans="1:2" x14ac:dyDescent="0.25">
      <c r="A30533">
        <v>640212002</v>
      </c>
      <c r="B30533" t="s">
        <v>9273</v>
      </c>
    </row>
    <row r="30534" spans="1:2" x14ac:dyDescent="0.25">
      <c r="A30534">
        <v>6402120021</v>
      </c>
      <c r="B30534" t="s">
        <v>9269</v>
      </c>
    </row>
    <row r="30535" spans="1:2" x14ac:dyDescent="0.25">
      <c r="A30535">
        <v>64021200211</v>
      </c>
      <c r="B30535" t="s">
        <v>9270</v>
      </c>
    </row>
    <row r="30536" spans="1:2" x14ac:dyDescent="0.25">
      <c r="A30536">
        <v>64021200212</v>
      </c>
      <c r="B30536" t="s">
        <v>9271</v>
      </c>
    </row>
    <row r="30537" spans="1:2" x14ac:dyDescent="0.25">
      <c r="A30537">
        <v>64021200213</v>
      </c>
      <c r="B30537" t="s">
        <v>9261</v>
      </c>
    </row>
    <row r="30538" spans="1:2" x14ac:dyDescent="0.25">
      <c r="A30538">
        <v>64021200219</v>
      </c>
      <c r="B30538" t="s">
        <v>10</v>
      </c>
    </row>
    <row r="30539" spans="1:2" x14ac:dyDescent="0.25">
      <c r="A30539">
        <v>6402120022</v>
      </c>
      <c r="B30539" t="s">
        <v>9272</v>
      </c>
    </row>
    <row r="30540" spans="1:2" x14ac:dyDescent="0.25">
      <c r="A30540">
        <v>64021200221</v>
      </c>
      <c r="B30540" t="s">
        <v>9270</v>
      </c>
    </row>
    <row r="30541" spans="1:2" x14ac:dyDescent="0.25">
      <c r="A30541">
        <v>64021200222</v>
      </c>
      <c r="B30541" t="s">
        <v>9271</v>
      </c>
    </row>
    <row r="30542" spans="1:2" x14ac:dyDescent="0.25">
      <c r="A30542">
        <v>64021200223</v>
      </c>
      <c r="B30542" t="s">
        <v>9261</v>
      </c>
    </row>
    <row r="30543" spans="1:2" x14ac:dyDescent="0.25">
      <c r="A30543">
        <v>64021200229</v>
      </c>
      <c r="B30543" t="s">
        <v>10</v>
      </c>
    </row>
    <row r="30544" spans="1:2" x14ac:dyDescent="0.25">
      <c r="A30544">
        <v>6402120029</v>
      </c>
      <c r="B30544" t="s">
        <v>10</v>
      </c>
    </row>
    <row r="30545" spans="1:2" x14ac:dyDescent="0.25">
      <c r="A30545">
        <v>64021200291</v>
      </c>
      <c r="B30545" t="s">
        <v>9270</v>
      </c>
    </row>
    <row r="30546" spans="1:2" x14ac:dyDescent="0.25">
      <c r="A30546">
        <v>64021200292</v>
      </c>
      <c r="B30546" t="s">
        <v>9271</v>
      </c>
    </row>
    <row r="30547" spans="1:2" x14ac:dyDescent="0.25">
      <c r="A30547">
        <v>64021200293</v>
      </c>
      <c r="B30547" t="s">
        <v>9261</v>
      </c>
    </row>
    <row r="30548" spans="1:2" x14ac:dyDescent="0.25">
      <c r="A30548">
        <v>64021200299</v>
      </c>
      <c r="B30548" t="s">
        <v>10</v>
      </c>
    </row>
    <row r="30549" spans="1:2" x14ac:dyDescent="0.25">
      <c r="A30549">
        <v>64021900</v>
      </c>
      <c r="B30549" t="e">
        <f>- - Los demas</f>
        <v>#NAME?</v>
      </c>
    </row>
    <row r="30550" spans="1:2" x14ac:dyDescent="0.25">
      <c r="A30550">
        <v>640219001</v>
      </c>
      <c r="B30550" t="s">
        <v>9274</v>
      </c>
    </row>
    <row r="30551" spans="1:2" x14ac:dyDescent="0.25">
      <c r="A30551">
        <v>64021900110</v>
      </c>
      <c r="B30551" t="s">
        <v>9275</v>
      </c>
    </row>
    <row r="30552" spans="1:2" x14ac:dyDescent="0.25">
      <c r="A30552">
        <v>64021900190</v>
      </c>
      <c r="B30552" t="s">
        <v>10</v>
      </c>
    </row>
    <row r="30553" spans="1:2" x14ac:dyDescent="0.25">
      <c r="A30553">
        <v>640219002</v>
      </c>
      <c r="B30553" t="s">
        <v>9276</v>
      </c>
    </row>
    <row r="30554" spans="1:2" x14ac:dyDescent="0.25">
      <c r="A30554">
        <v>64021900210</v>
      </c>
      <c r="B30554" t="s">
        <v>9275</v>
      </c>
    </row>
    <row r="30555" spans="1:2" x14ac:dyDescent="0.25">
      <c r="A30555">
        <v>64021900280</v>
      </c>
      <c r="B30555" t="s">
        <v>9277</v>
      </c>
    </row>
    <row r="30556" spans="1:2" x14ac:dyDescent="0.25">
      <c r="A30556">
        <v>64021900290</v>
      </c>
      <c r="B30556" t="s">
        <v>10</v>
      </c>
    </row>
    <row r="30557" spans="1:2" x14ac:dyDescent="0.25">
      <c r="A30557">
        <v>640219003</v>
      </c>
      <c r="B30557" t="s">
        <v>7628</v>
      </c>
    </row>
    <row r="30558" spans="1:2" x14ac:dyDescent="0.25">
      <c r="A30558">
        <v>6402190031</v>
      </c>
      <c r="B30558" t="s">
        <v>9278</v>
      </c>
    </row>
    <row r="30559" spans="1:2" x14ac:dyDescent="0.25">
      <c r="A30559">
        <v>64021900311</v>
      </c>
      <c r="B30559" t="s">
        <v>9275</v>
      </c>
    </row>
    <row r="30560" spans="1:2" x14ac:dyDescent="0.25">
      <c r="A30560">
        <v>64021900318</v>
      </c>
      <c r="B30560" t="s">
        <v>9279</v>
      </c>
    </row>
    <row r="30561" spans="1:2" x14ac:dyDescent="0.25">
      <c r="A30561">
        <v>64021900319</v>
      </c>
      <c r="B30561" t="s">
        <v>10</v>
      </c>
    </row>
    <row r="30562" spans="1:2" x14ac:dyDescent="0.25">
      <c r="A30562">
        <v>6402190032</v>
      </c>
      <c r="B30562" t="s">
        <v>9280</v>
      </c>
    </row>
    <row r="30563" spans="1:2" x14ac:dyDescent="0.25">
      <c r="A30563">
        <v>64021900321</v>
      </c>
      <c r="B30563" t="s">
        <v>9275</v>
      </c>
    </row>
    <row r="30564" spans="1:2" x14ac:dyDescent="0.25">
      <c r="A30564">
        <v>64021900328</v>
      </c>
      <c r="B30564" t="s">
        <v>9279</v>
      </c>
    </row>
    <row r="30565" spans="1:2" x14ac:dyDescent="0.25">
      <c r="A30565">
        <v>64021900329</v>
      </c>
      <c r="B30565" t="s">
        <v>10</v>
      </c>
    </row>
    <row r="30566" spans="1:2" x14ac:dyDescent="0.25">
      <c r="A30566">
        <v>640219004</v>
      </c>
      <c r="B30566" t="s">
        <v>9281</v>
      </c>
    </row>
    <row r="30567" spans="1:2" x14ac:dyDescent="0.25">
      <c r="A30567">
        <v>6402190041</v>
      </c>
      <c r="B30567" t="s">
        <v>9278</v>
      </c>
    </row>
    <row r="30568" spans="1:2" x14ac:dyDescent="0.25">
      <c r="A30568">
        <v>64021900411</v>
      </c>
      <c r="B30568" t="s">
        <v>9275</v>
      </c>
    </row>
    <row r="30569" spans="1:2" x14ac:dyDescent="0.25">
      <c r="A30569">
        <v>64021900418</v>
      </c>
      <c r="B30569" t="s">
        <v>9279</v>
      </c>
    </row>
    <row r="30570" spans="1:2" x14ac:dyDescent="0.25">
      <c r="A30570">
        <v>64021900419</v>
      </c>
      <c r="B30570" t="s">
        <v>10</v>
      </c>
    </row>
    <row r="30571" spans="1:2" x14ac:dyDescent="0.25">
      <c r="A30571">
        <v>6402190042</v>
      </c>
      <c r="B30571" t="s">
        <v>9280</v>
      </c>
    </row>
    <row r="30572" spans="1:2" x14ac:dyDescent="0.25">
      <c r="A30572">
        <v>64021900421</v>
      </c>
      <c r="B30572" t="s">
        <v>9275</v>
      </c>
    </row>
    <row r="30573" spans="1:2" x14ac:dyDescent="0.25">
      <c r="A30573">
        <v>64021900428</v>
      </c>
      <c r="B30573" t="s">
        <v>9279</v>
      </c>
    </row>
    <row r="30574" spans="1:2" x14ac:dyDescent="0.25">
      <c r="A30574">
        <v>64021900429</v>
      </c>
      <c r="B30574" t="s">
        <v>10</v>
      </c>
    </row>
    <row r="30575" spans="1:2" x14ac:dyDescent="0.25">
      <c r="A30575">
        <v>640219005</v>
      </c>
      <c r="B30575" t="s">
        <v>9282</v>
      </c>
    </row>
    <row r="30576" spans="1:2" x14ac:dyDescent="0.25">
      <c r="A30576">
        <v>6402190051</v>
      </c>
      <c r="B30576" t="s">
        <v>9283</v>
      </c>
    </row>
    <row r="30577" spans="1:2" x14ac:dyDescent="0.25">
      <c r="A30577">
        <v>64021900511</v>
      </c>
      <c r="B30577" t="s">
        <v>9275</v>
      </c>
    </row>
    <row r="30578" spans="1:2" x14ac:dyDescent="0.25">
      <c r="A30578">
        <v>64021900518</v>
      </c>
      <c r="B30578" t="s">
        <v>9279</v>
      </c>
    </row>
    <row r="30579" spans="1:2" x14ac:dyDescent="0.25">
      <c r="A30579">
        <v>64021900519</v>
      </c>
      <c r="B30579" t="s">
        <v>10</v>
      </c>
    </row>
    <row r="30580" spans="1:2" x14ac:dyDescent="0.25">
      <c r="A30580">
        <v>6402190059</v>
      </c>
      <c r="B30580" t="s">
        <v>10</v>
      </c>
    </row>
    <row r="30581" spans="1:2" x14ac:dyDescent="0.25">
      <c r="A30581">
        <v>64021900591</v>
      </c>
      <c r="B30581" t="s">
        <v>9275</v>
      </c>
    </row>
    <row r="30582" spans="1:2" x14ac:dyDescent="0.25">
      <c r="A30582">
        <v>64021900598</v>
      </c>
      <c r="B30582" t="s">
        <v>9279</v>
      </c>
    </row>
    <row r="30583" spans="1:2" x14ac:dyDescent="0.25">
      <c r="A30583">
        <v>64021900599</v>
      </c>
      <c r="B30583" t="s">
        <v>10</v>
      </c>
    </row>
    <row r="30584" spans="1:2" x14ac:dyDescent="0.25">
      <c r="A30584">
        <v>640219009</v>
      </c>
      <c r="B30584" t="s">
        <v>10</v>
      </c>
    </row>
    <row r="30585" spans="1:2" x14ac:dyDescent="0.25">
      <c r="A30585">
        <v>6402190091</v>
      </c>
      <c r="B30585" t="s">
        <v>9284</v>
      </c>
    </row>
    <row r="30586" spans="1:2" x14ac:dyDescent="0.25">
      <c r="A30586">
        <v>64021900911</v>
      </c>
      <c r="B30586" t="s">
        <v>9275</v>
      </c>
    </row>
    <row r="30587" spans="1:2" x14ac:dyDescent="0.25">
      <c r="A30587">
        <v>64021900918</v>
      </c>
      <c r="B30587" t="s">
        <v>9279</v>
      </c>
    </row>
    <row r="30588" spans="1:2" x14ac:dyDescent="0.25">
      <c r="A30588">
        <v>64021900919</v>
      </c>
      <c r="B30588" t="s">
        <v>10</v>
      </c>
    </row>
    <row r="30589" spans="1:2" x14ac:dyDescent="0.25">
      <c r="A30589">
        <v>6402190099</v>
      </c>
      <c r="B30589" t="s">
        <v>10</v>
      </c>
    </row>
    <row r="30590" spans="1:2" x14ac:dyDescent="0.25">
      <c r="A30590">
        <v>64021900991</v>
      </c>
      <c r="B30590" t="s">
        <v>9275</v>
      </c>
    </row>
    <row r="30591" spans="1:2" x14ac:dyDescent="0.25">
      <c r="A30591">
        <v>64021900998</v>
      </c>
      <c r="B30591" t="s">
        <v>9279</v>
      </c>
    </row>
    <row r="30592" spans="1:2" x14ac:dyDescent="0.25">
      <c r="A30592">
        <v>64021900999</v>
      </c>
      <c r="B30592" t="s">
        <v>10</v>
      </c>
    </row>
    <row r="30593" spans="1:2" x14ac:dyDescent="0.25">
      <c r="A30593">
        <v>64022000</v>
      </c>
      <c r="B30593" t="e">
        <f>- calzado Con la parte superior de tiras o bridas fijas a la suela por tetones (espigas)</f>
        <v>#NAME?</v>
      </c>
    </row>
    <row r="30594" spans="1:2" x14ac:dyDescent="0.25">
      <c r="A30594">
        <v>640220001</v>
      </c>
      <c r="B30594" t="s">
        <v>9258</v>
      </c>
    </row>
    <row r="30595" spans="1:2" x14ac:dyDescent="0.25">
      <c r="A30595">
        <v>64022000110</v>
      </c>
      <c r="B30595" t="s">
        <v>9285</v>
      </c>
    </row>
    <row r="30596" spans="1:2" x14ac:dyDescent="0.25">
      <c r="A30596">
        <v>64022000120</v>
      </c>
      <c r="B30596" t="s">
        <v>3484</v>
      </c>
    </row>
    <row r="30597" spans="1:2" x14ac:dyDescent="0.25">
      <c r="A30597">
        <v>640220002</v>
      </c>
      <c r="B30597" t="s">
        <v>9259</v>
      </c>
    </row>
    <row r="30598" spans="1:2" x14ac:dyDescent="0.25">
      <c r="A30598">
        <v>64022000210</v>
      </c>
      <c r="B30598" t="s">
        <v>9285</v>
      </c>
    </row>
    <row r="30599" spans="1:2" x14ac:dyDescent="0.25">
      <c r="A30599">
        <v>64022000220</v>
      </c>
      <c r="B30599" t="s">
        <v>10</v>
      </c>
    </row>
    <row r="30600" spans="1:2" x14ac:dyDescent="0.25">
      <c r="A30600">
        <v>640220003</v>
      </c>
      <c r="B30600" t="s">
        <v>9260</v>
      </c>
    </row>
    <row r="30601" spans="1:2" x14ac:dyDescent="0.25">
      <c r="A30601">
        <v>64022000310</v>
      </c>
      <c r="B30601" t="s">
        <v>9285</v>
      </c>
    </row>
    <row r="30602" spans="1:2" x14ac:dyDescent="0.25">
      <c r="A30602">
        <v>64022000320</v>
      </c>
      <c r="B30602" t="s">
        <v>10</v>
      </c>
    </row>
    <row r="30603" spans="1:2" x14ac:dyDescent="0.25">
      <c r="A30603">
        <v>640220004</v>
      </c>
      <c r="B30603" t="s">
        <v>9261</v>
      </c>
    </row>
    <row r="30604" spans="1:2" x14ac:dyDescent="0.25">
      <c r="A30604">
        <v>64022000410</v>
      </c>
      <c r="B30604" t="s">
        <v>9285</v>
      </c>
    </row>
    <row r="30605" spans="1:2" x14ac:dyDescent="0.25">
      <c r="A30605">
        <v>64022000420</v>
      </c>
      <c r="B30605" t="s">
        <v>10</v>
      </c>
    </row>
    <row r="30606" spans="1:2" x14ac:dyDescent="0.25">
      <c r="A30606">
        <v>640220009</v>
      </c>
      <c r="B30606" t="s">
        <v>10</v>
      </c>
    </row>
    <row r="30607" spans="1:2" x14ac:dyDescent="0.25">
      <c r="A30607">
        <v>64022000910</v>
      </c>
      <c r="B30607" t="s">
        <v>9286</v>
      </c>
    </row>
    <row r="30608" spans="1:2" x14ac:dyDescent="0.25">
      <c r="A30608">
        <v>64022000920</v>
      </c>
      <c r="B30608" t="s">
        <v>10</v>
      </c>
    </row>
    <row r="30609" spans="1:2" x14ac:dyDescent="0.25">
      <c r="A30609">
        <v>64029</v>
      </c>
      <c r="B30609" t="s">
        <v>9257</v>
      </c>
    </row>
    <row r="30610" spans="1:2" x14ac:dyDescent="0.25">
      <c r="A30610">
        <v>640291</v>
      </c>
      <c r="B30610" t="e">
        <f>- - que cubran el tobillo</f>
        <v>#NAME?</v>
      </c>
    </row>
    <row r="30611" spans="1:2" x14ac:dyDescent="0.25">
      <c r="A30611">
        <v>64029110</v>
      </c>
      <c r="B30611" t="s">
        <v>9287</v>
      </c>
    </row>
    <row r="30612" spans="1:2" x14ac:dyDescent="0.25">
      <c r="A30612">
        <v>64029110100</v>
      </c>
      <c r="B30612" t="s">
        <v>9270</v>
      </c>
    </row>
    <row r="30613" spans="1:2" x14ac:dyDescent="0.25">
      <c r="A30613">
        <v>64029110200</v>
      </c>
      <c r="B30613" t="s">
        <v>9260</v>
      </c>
    </row>
    <row r="30614" spans="1:2" x14ac:dyDescent="0.25">
      <c r="A30614">
        <v>64029110300</v>
      </c>
      <c r="B30614" t="s">
        <v>9261</v>
      </c>
    </row>
    <row r="30615" spans="1:2" x14ac:dyDescent="0.25">
      <c r="A30615">
        <v>64029110900</v>
      </c>
      <c r="B30615" t="s">
        <v>10</v>
      </c>
    </row>
    <row r="30616" spans="1:2" x14ac:dyDescent="0.25">
      <c r="A30616">
        <v>64029190</v>
      </c>
      <c r="B30616" t="s">
        <v>10</v>
      </c>
    </row>
    <row r="30617" spans="1:2" x14ac:dyDescent="0.25">
      <c r="A30617">
        <v>640291901</v>
      </c>
      <c r="B30617" t="s">
        <v>9288</v>
      </c>
    </row>
    <row r="30618" spans="1:2" x14ac:dyDescent="0.25">
      <c r="A30618">
        <v>6402919011</v>
      </c>
      <c r="B30618" t="s">
        <v>9289</v>
      </c>
    </row>
    <row r="30619" spans="1:2" x14ac:dyDescent="0.25">
      <c r="A30619">
        <v>64029190111</v>
      </c>
      <c r="B30619" t="s">
        <v>9275</v>
      </c>
    </row>
    <row r="30620" spans="1:2" x14ac:dyDescent="0.25">
      <c r="A30620">
        <v>64029190118</v>
      </c>
      <c r="B30620" t="s">
        <v>9279</v>
      </c>
    </row>
    <row r="30621" spans="1:2" x14ac:dyDescent="0.25">
      <c r="A30621">
        <v>64029190119</v>
      </c>
      <c r="B30621" t="s">
        <v>10</v>
      </c>
    </row>
    <row r="30622" spans="1:2" x14ac:dyDescent="0.25">
      <c r="A30622">
        <v>6402919018</v>
      </c>
      <c r="B30622" t="s">
        <v>9279</v>
      </c>
    </row>
    <row r="30623" spans="1:2" x14ac:dyDescent="0.25">
      <c r="A30623">
        <v>64029190181</v>
      </c>
      <c r="B30623" t="s">
        <v>9290</v>
      </c>
    </row>
    <row r="30624" spans="1:2" x14ac:dyDescent="0.25">
      <c r="A30624">
        <v>64029190182</v>
      </c>
      <c r="B30624" t="s">
        <v>9259</v>
      </c>
    </row>
    <row r="30625" spans="1:2" x14ac:dyDescent="0.25">
      <c r="A30625">
        <v>64029190183</v>
      </c>
      <c r="B30625" t="s">
        <v>9260</v>
      </c>
    </row>
    <row r="30626" spans="1:2" x14ac:dyDescent="0.25">
      <c r="A30626">
        <v>64029190184</v>
      </c>
      <c r="B30626" t="s">
        <v>9261</v>
      </c>
    </row>
    <row r="30627" spans="1:2" x14ac:dyDescent="0.25">
      <c r="A30627">
        <v>64029190189</v>
      </c>
      <c r="B30627" t="s">
        <v>10</v>
      </c>
    </row>
    <row r="30628" spans="1:2" x14ac:dyDescent="0.25">
      <c r="A30628">
        <v>6402919019</v>
      </c>
      <c r="B30628" t="s">
        <v>10</v>
      </c>
    </row>
    <row r="30629" spans="1:2" x14ac:dyDescent="0.25">
      <c r="A30629">
        <v>64029190191</v>
      </c>
      <c r="B30629" t="s">
        <v>9258</v>
      </c>
    </row>
    <row r="30630" spans="1:2" x14ac:dyDescent="0.25">
      <c r="A30630">
        <v>64029190192</v>
      </c>
      <c r="B30630" t="s">
        <v>9259</v>
      </c>
    </row>
    <row r="30631" spans="1:2" x14ac:dyDescent="0.25">
      <c r="A30631">
        <v>64029190193</v>
      </c>
      <c r="B30631" t="s">
        <v>9260</v>
      </c>
    </row>
    <row r="30632" spans="1:2" x14ac:dyDescent="0.25">
      <c r="A30632">
        <v>64029190194</v>
      </c>
      <c r="B30632" t="s">
        <v>9261</v>
      </c>
    </row>
    <row r="30633" spans="1:2" x14ac:dyDescent="0.25">
      <c r="A30633">
        <v>64029190199</v>
      </c>
      <c r="B30633" t="s">
        <v>10</v>
      </c>
    </row>
    <row r="30634" spans="1:2" x14ac:dyDescent="0.25">
      <c r="A30634">
        <v>640291902</v>
      </c>
      <c r="B30634" t="s">
        <v>9291</v>
      </c>
    </row>
    <row r="30635" spans="1:2" x14ac:dyDescent="0.25">
      <c r="A30635">
        <v>6402919021</v>
      </c>
      <c r="B30635" t="s">
        <v>9258</v>
      </c>
    </row>
    <row r="30636" spans="1:2" x14ac:dyDescent="0.25">
      <c r="A30636">
        <v>64029190211</v>
      </c>
      <c r="B30636" t="s">
        <v>9285</v>
      </c>
    </row>
    <row r="30637" spans="1:2" x14ac:dyDescent="0.25">
      <c r="A30637">
        <v>64029190212</v>
      </c>
      <c r="B30637" t="s">
        <v>10</v>
      </c>
    </row>
    <row r="30638" spans="1:2" x14ac:dyDescent="0.25">
      <c r="A30638">
        <v>6402919022</v>
      </c>
      <c r="B30638" t="s">
        <v>9259</v>
      </c>
    </row>
    <row r="30639" spans="1:2" x14ac:dyDescent="0.25">
      <c r="A30639">
        <v>64029190221</v>
      </c>
      <c r="B30639" t="s">
        <v>9285</v>
      </c>
    </row>
    <row r="30640" spans="1:2" x14ac:dyDescent="0.25">
      <c r="A30640">
        <v>64029190222</v>
      </c>
      <c r="B30640" t="s">
        <v>10</v>
      </c>
    </row>
    <row r="30641" spans="1:2" x14ac:dyDescent="0.25">
      <c r="A30641">
        <v>6402919023</v>
      </c>
      <c r="B30641" t="s">
        <v>9260</v>
      </c>
    </row>
    <row r="30642" spans="1:2" x14ac:dyDescent="0.25">
      <c r="A30642">
        <v>64029190231</v>
      </c>
      <c r="B30642" t="s">
        <v>9285</v>
      </c>
    </row>
    <row r="30643" spans="1:2" x14ac:dyDescent="0.25">
      <c r="A30643">
        <v>64029190232</v>
      </c>
      <c r="B30643" t="s">
        <v>10</v>
      </c>
    </row>
    <row r="30644" spans="1:2" x14ac:dyDescent="0.25">
      <c r="A30644">
        <v>6402919024</v>
      </c>
      <c r="B30644" t="s">
        <v>9261</v>
      </c>
    </row>
    <row r="30645" spans="1:2" x14ac:dyDescent="0.25">
      <c r="A30645">
        <v>64029190241</v>
      </c>
      <c r="B30645" t="s">
        <v>9285</v>
      </c>
    </row>
    <row r="30646" spans="1:2" x14ac:dyDescent="0.25">
      <c r="A30646">
        <v>64029190242</v>
      </c>
      <c r="B30646" t="s">
        <v>10</v>
      </c>
    </row>
    <row r="30647" spans="1:2" x14ac:dyDescent="0.25">
      <c r="A30647">
        <v>6402919029</v>
      </c>
      <c r="B30647" t="s">
        <v>10</v>
      </c>
    </row>
    <row r="30648" spans="1:2" x14ac:dyDescent="0.25">
      <c r="A30648">
        <v>64029190291</v>
      </c>
      <c r="B30648" t="s">
        <v>9285</v>
      </c>
    </row>
    <row r="30649" spans="1:2" x14ac:dyDescent="0.25">
      <c r="A30649">
        <v>64029190292</v>
      </c>
      <c r="B30649" t="s">
        <v>10</v>
      </c>
    </row>
    <row r="30650" spans="1:2" x14ac:dyDescent="0.25">
      <c r="A30650">
        <v>640291903</v>
      </c>
      <c r="B30650" t="s">
        <v>9292</v>
      </c>
    </row>
    <row r="30651" spans="1:2" x14ac:dyDescent="0.25">
      <c r="A30651">
        <v>64029190310</v>
      </c>
      <c r="B30651" t="s">
        <v>9258</v>
      </c>
    </row>
    <row r="30652" spans="1:2" x14ac:dyDescent="0.25">
      <c r="A30652">
        <v>64029190320</v>
      </c>
      <c r="B30652" t="s">
        <v>9259</v>
      </c>
    </row>
    <row r="30653" spans="1:2" x14ac:dyDescent="0.25">
      <c r="A30653">
        <v>64029190330</v>
      </c>
      <c r="B30653" t="s">
        <v>9260</v>
      </c>
    </row>
    <row r="30654" spans="1:2" x14ac:dyDescent="0.25">
      <c r="A30654">
        <v>64029190340</v>
      </c>
      <c r="B30654" t="s">
        <v>9261</v>
      </c>
    </row>
    <row r="30655" spans="1:2" x14ac:dyDescent="0.25">
      <c r="A30655">
        <v>64029190390</v>
      </c>
      <c r="B30655" t="s">
        <v>10</v>
      </c>
    </row>
    <row r="30656" spans="1:2" x14ac:dyDescent="0.25">
      <c r="A30656">
        <v>640291909</v>
      </c>
      <c r="B30656" t="s">
        <v>10</v>
      </c>
    </row>
    <row r="30657" spans="1:2" x14ac:dyDescent="0.25">
      <c r="A30657">
        <v>64029190910</v>
      </c>
      <c r="B30657" t="s">
        <v>9258</v>
      </c>
    </row>
    <row r="30658" spans="1:2" x14ac:dyDescent="0.25">
      <c r="A30658">
        <v>64029190920</v>
      </c>
      <c r="B30658" t="s">
        <v>9259</v>
      </c>
    </row>
    <row r="30659" spans="1:2" x14ac:dyDescent="0.25">
      <c r="A30659">
        <v>64029190930</v>
      </c>
      <c r="B30659" t="s">
        <v>9260</v>
      </c>
    </row>
    <row r="30660" spans="1:2" x14ac:dyDescent="0.25">
      <c r="A30660">
        <v>64029190940</v>
      </c>
      <c r="B30660" t="s">
        <v>9261</v>
      </c>
    </row>
    <row r="30661" spans="1:2" x14ac:dyDescent="0.25">
      <c r="A30661">
        <v>64029190990</v>
      </c>
      <c r="B30661" t="s">
        <v>10</v>
      </c>
    </row>
    <row r="30662" spans="1:2" x14ac:dyDescent="0.25">
      <c r="A30662">
        <v>640299</v>
      </c>
      <c r="B30662" t="e">
        <f>- - Los demas</f>
        <v>#NAME?</v>
      </c>
    </row>
    <row r="30663" spans="1:2" x14ac:dyDescent="0.25">
      <c r="A30663">
        <v>64029910</v>
      </c>
      <c r="B30663" t="s">
        <v>9287</v>
      </c>
    </row>
    <row r="30664" spans="1:2" x14ac:dyDescent="0.25">
      <c r="A30664">
        <v>64029910100</v>
      </c>
      <c r="B30664" t="s">
        <v>9270</v>
      </c>
    </row>
    <row r="30665" spans="1:2" x14ac:dyDescent="0.25">
      <c r="A30665">
        <v>64029910200</v>
      </c>
      <c r="B30665" t="s">
        <v>9260</v>
      </c>
    </row>
    <row r="30666" spans="1:2" x14ac:dyDescent="0.25">
      <c r="A30666">
        <v>64029910300</v>
      </c>
      <c r="B30666" t="s">
        <v>9261</v>
      </c>
    </row>
    <row r="30667" spans="1:2" x14ac:dyDescent="0.25">
      <c r="A30667">
        <v>64029910900</v>
      </c>
      <c r="B30667" t="s">
        <v>10</v>
      </c>
    </row>
    <row r="30668" spans="1:2" x14ac:dyDescent="0.25">
      <c r="A30668">
        <v>64029990</v>
      </c>
      <c r="B30668" t="s">
        <v>10</v>
      </c>
    </row>
    <row r="30669" spans="1:2" x14ac:dyDescent="0.25">
      <c r="A30669">
        <v>640299901</v>
      </c>
      <c r="B30669" t="s">
        <v>9293</v>
      </c>
    </row>
    <row r="30670" spans="1:2" x14ac:dyDescent="0.25">
      <c r="A30670">
        <v>6402999011</v>
      </c>
      <c r="B30670" t="s">
        <v>9258</v>
      </c>
    </row>
    <row r="30671" spans="1:2" x14ac:dyDescent="0.25">
      <c r="A30671">
        <v>64029990111</v>
      </c>
      <c r="B30671" t="s">
        <v>9285</v>
      </c>
    </row>
    <row r="30672" spans="1:2" x14ac:dyDescent="0.25">
      <c r="A30672">
        <v>64029990112</v>
      </c>
      <c r="B30672" t="s">
        <v>10</v>
      </c>
    </row>
    <row r="30673" spans="1:2" x14ac:dyDescent="0.25">
      <c r="A30673">
        <v>6402999012</v>
      </c>
      <c r="B30673" t="s">
        <v>9259</v>
      </c>
    </row>
    <row r="30674" spans="1:2" x14ac:dyDescent="0.25">
      <c r="A30674">
        <v>64029990121</v>
      </c>
      <c r="B30674" t="s">
        <v>9285</v>
      </c>
    </row>
    <row r="30675" spans="1:2" x14ac:dyDescent="0.25">
      <c r="A30675">
        <v>64029990122</v>
      </c>
      <c r="B30675" t="s">
        <v>10</v>
      </c>
    </row>
    <row r="30676" spans="1:2" x14ac:dyDescent="0.25">
      <c r="A30676">
        <v>6402999013</v>
      </c>
      <c r="B30676" t="s">
        <v>9260</v>
      </c>
    </row>
    <row r="30677" spans="1:2" x14ac:dyDescent="0.25">
      <c r="A30677">
        <v>64029990131</v>
      </c>
      <c r="B30677" t="s">
        <v>9285</v>
      </c>
    </row>
    <row r="30678" spans="1:2" x14ac:dyDescent="0.25">
      <c r="A30678">
        <v>64029990132</v>
      </c>
      <c r="B30678" t="s">
        <v>10</v>
      </c>
    </row>
    <row r="30679" spans="1:2" x14ac:dyDescent="0.25">
      <c r="A30679">
        <v>6402999014</v>
      </c>
      <c r="B30679" t="s">
        <v>9261</v>
      </c>
    </row>
    <row r="30680" spans="1:2" x14ac:dyDescent="0.25">
      <c r="A30680">
        <v>64029990141</v>
      </c>
      <c r="B30680" t="s">
        <v>9285</v>
      </c>
    </row>
    <row r="30681" spans="1:2" x14ac:dyDescent="0.25">
      <c r="A30681">
        <v>64029990142</v>
      </c>
      <c r="B30681" t="s">
        <v>10</v>
      </c>
    </row>
    <row r="30682" spans="1:2" x14ac:dyDescent="0.25">
      <c r="A30682">
        <v>6402999019</v>
      </c>
      <c r="B30682" t="s">
        <v>10</v>
      </c>
    </row>
    <row r="30683" spans="1:2" x14ac:dyDescent="0.25">
      <c r="A30683">
        <v>64029990191</v>
      </c>
      <c r="B30683" t="s">
        <v>9285</v>
      </c>
    </row>
    <row r="30684" spans="1:2" x14ac:dyDescent="0.25">
      <c r="A30684">
        <v>64029990192</v>
      </c>
      <c r="B30684" t="s">
        <v>10</v>
      </c>
    </row>
    <row r="30685" spans="1:2" x14ac:dyDescent="0.25">
      <c r="A30685">
        <v>640299902</v>
      </c>
      <c r="B30685" t="s">
        <v>9289</v>
      </c>
    </row>
    <row r="30686" spans="1:2" x14ac:dyDescent="0.25">
      <c r="A30686">
        <v>64029990210</v>
      </c>
      <c r="B30686" t="s">
        <v>9275</v>
      </c>
    </row>
    <row r="30687" spans="1:2" x14ac:dyDescent="0.25">
      <c r="A30687">
        <v>64029990280</v>
      </c>
      <c r="B30687" t="s">
        <v>9279</v>
      </c>
    </row>
    <row r="30688" spans="1:2" x14ac:dyDescent="0.25">
      <c r="A30688">
        <v>64029990290</v>
      </c>
      <c r="B30688" t="s">
        <v>10</v>
      </c>
    </row>
    <row r="30689" spans="1:2" x14ac:dyDescent="0.25">
      <c r="A30689">
        <v>640299903</v>
      </c>
      <c r="B30689" t="s">
        <v>9294</v>
      </c>
    </row>
    <row r="30690" spans="1:2" x14ac:dyDescent="0.25">
      <c r="A30690">
        <v>6402999031</v>
      </c>
      <c r="B30690" t="s">
        <v>9295</v>
      </c>
    </row>
    <row r="30691" spans="1:2" x14ac:dyDescent="0.25">
      <c r="A30691">
        <v>64029990311</v>
      </c>
      <c r="B30691" t="s">
        <v>9258</v>
      </c>
    </row>
    <row r="30692" spans="1:2" x14ac:dyDescent="0.25">
      <c r="A30692">
        <v>64029990312</v>
      </c>
      <c r="B30692" t="s">
        <v>9259</v>
      </c>
    </row>
    <row r="30693" spans="1:2" x14ac:dyDescent="0.25">
      <c r="A30693">
        <v>64029990313</v>
      </c>
      <c r="B30693" t="s">
        <v>9260</v>
      </c>
    </row>
    <row r="30694" spans="1:2" x14ac:dyDescent="0.25">
      <c r="A30694">
        <v>64029990314</v>
      </c>
      <c r="B30694" t="s">
        <v>9261</v>
      </c>
    </row>
    <row r="30695" spans="1:2" x14ac:dyDescent="0.25">
      <c r="A30695">
        <v>64029990318</v>
      </c>
      <c r="B30695" t="s">
        <v>9296</v>
      </c>
    </row>
    <row r="30696" spans="1:2" x14ac:dyDescent="0.25">
      <c r="A30696">
        <v>64029990319</v>
      </c>
      <c r="B30696" t="s">
        <v>10</v>
      </c>
    </row>
    <row r="30697" spans="1:2" x14ac:dyDescent="0.25">
      <c r="A30697">
        <v>6402999039</v>
      </c>
      <c r="B30697" t="s">
        <v>10</v>
      </c>
    </row>
    <row r="30698" spans="1:2" x14ac:dyDescent="0.25">
      <c r="A30698">
        <v>64029990391</v>
      </c>
      <c r="B30698" t="s">
        <v>9258</v>
      </c>
    </row>
    <row r="30699" spans="1:2" x14ac:dyDescent="0.25">
      <c r="A30699">
        <v>64029990392</v>
      </c>
      <c r="B30699" t="s">
        <v>9259</v>
      </c>
    </row>
    <row r="30700" spans="1:2" x14ac:dyDescent="0.25">
      <c r="A30700">
        <v>64029990393</v>
      </c>
      <c r="B30700" t="s">
        <v>9260</v>
      </c>
    </row>
    <row r="30701" spans="1:2" x14ac:dyDescent="0.25">
      <c r="A30701">
        <v>64029990394</v>
      </c>
      <c r="B30701" t="s">
        <v>9261</v>
      </c>
    </row>
    <row r="30702" spans="1:2" x14ac:dyDescent="0.25">
      <c r="A30702">
        <v>64029990398</v>
      </c>
      <c r="B30702" t="s">
        <v>9279</v>
      </c>
    </row>
    <row r="30703" spans="1:2" x14ac:dyDescent="0.25">
      <c r="A30703">
        <v>64029990399</v>
      </c>
      <c r="B30703" t="s">
        <v>10</v>
      </c>
    </row>
    <row r="30704" spans="1:2" x14ac:dyDescent="0.25">
      <c r="A30704">
        <v>640299909</v>
      </c>
      <c r="B30704" t="s">
        <v>10</v>
      </c>
    </row>
    <row r="30705" spans="1:2" x14ac:dyDescent="0.25">
      <c r="A30705">
        <v>6402999091</v>
      </c>
      <c r="B30705" t="s">
        <v>9258</v>
      </c>
    </row>
    <row r="30706" spans="1:2" x14ac:dyDescent="0.25">
      <c r="A30706">
        <v>64029990911</v>
      </c>
      <c r="B30706" t="s">
        <v>9285</v>
      </c>
    </row>
    <row r="30707" spans="1:2" x14ac:dyDescent="0.25">
      <c r="A30707">
        <v>64029990912</v>
      </c>
      <c r="B30707" t="s">
        <v>10</v>
      </c>
    </row>
    <row r="30708" spans="1:2" x14ac:dyDescent="0.25">
      <c r="A30708">
        <v>6402999092</v>
      </c>
      <c r="B30708" t="s">
        <v>9259</v>
      </c>
    </row>
    <row r="30709" spans="1:2" x14ac:dyDescent="0.25">
      <c r="A30709">
        <v>64029990921</v>
      </c>
      <c r="B30709" t="s">
        <v>9285</v>
      </c>
    </row>
    <row r="30710" spans="1:2" x14ac:dyDescent="0.25">
      <c r="A30710">
        <v>64029990922</v>
      </c>
      <c r="B30710" t="s">
        <v>10</v>
      </c>
    </row>
    <row r="30711" spans="1:2" x14ac:dyDescent="0.25">
      <c r="A30711">
        <v>6402999093</v>
      </c>
      <c r="B30711" t="s">
        <v>9260</v>
      </c>
    </row>
    <row r="30712" spans="1:2" x14ac:dyDescent="0.25">
      <c r="A30712">
        <v>64029990931</v>
      </c>
      <c r="B30712" t="s">
        <v>9285</v>
      </c>
    </row>
    <row r="30713" spans="1:2" x14ac:dyDescent="0.25">
      <c r="A30713">
        <v>64029990932</v>
      </c>
      <c r="B30713" t="s">
        <v>10</v>
      </c>
    </row>
    <row r="30714" spans="1:2" x14ac:dyDescent="0.25">
      <c r="A30714">
        <v>6402999094</v>
      </c>
      <c r="B30714" t="s">
        <v>9261</v>
      </c>
    </row>
    <row r="30715" spans="1:2" x14ac:dyDescent="0.25">
      <c r="A30715">
        <v>64029990941</v>
      </c>
      <c r="B30715" t="s">
        <v>9285</v>
      </c>
    </row>
    <row r="30716" spans="1:2" x14ac:dyDescent="0.25">
      <c r="A30716">
        <v>64029990942</v>
      </c>
      <c r="B30716" t="s">
        <v>10</v>
      </c>
    </row>
    <row r="30717" spans="1:2" x14ac:dyDescent="0.25">
      <c r="A30717">
        <v>6402999099</v>
      </c>
      <c r="B30717" t="s">
        <v>10</v>
      </c>
    </row>
    <row r="30718" spans="1:2" x14ac:dyDescent="0.25">
      <c r="A30718">
        <v>64029990991</v>
      </c>
      <c r="B30718" t="s">
        <v>9285</v>
      </c>
    </row>
    <row r="30719" spans="1:2" x14ac:dyDescent="0.25">
      <c r="A30719">
        <v>64029990992</v>
      </c>
      <c r="B30719" t="s">
        <v>10</v>
      </c>
    </row>
    <row r="30720" spans="1:2" x14ac:dyDescent="0.25">
      <c r="A30720">
        <v>6403</v>
      </c>
      <c r="B30720" t="s">
        <v>9297</v>
      </c>
    </row>
    <row r="30721" spans="1:2" x14ac:dyDescent="0.25">
      <c r="A30721">
        <v>64031</v>
      </c>
      <c r="B30721" t="s">
        <v>9266</v>
      </c>
    </row>
    <row r="30722" spans="1:2" x14ac:dyDescent="0.25">
      <c r="A30722">
        <v>64031200</v>
      </c>
      <c r="B30722" t="s">
        <v>9267</v>
      </c>
    </row>
    <row r="30723" spans="1:2" x14ac:dyDescent="0.25">
      <c r="A30723">
        <v>640312001</v>
      </c>
      <c r="B30723" t="s">
        <v>9268</v>
      </c>
    </row>
    <row r="30724" spans="1:2" x14ac:dyDescent="0.25">
      <c r="A30724">
        <v>6403120011</v>
      </c>
      <c r="B30724" t="s">
        <v>9298</v>
      </c>
    </row>
    <row r="30725" spans="1:2" x14ac:dyDescent="0.25">
      <c r="A30725">
        <v>64031200111</v>
      </c>
      <c r="B30725" t="s">
        <v>9270</v>
      </c>
    </row>
    <row r="30726" spans="1:2" x14ac:dyDescent="0.25">
      <c r="A30726">
        <v>64031200112</v>
      </c>
      <c r="B30726" t="s">
        <v>9260</v>
      </c>
    </row>
    <row r="30727" spans="1:2" x14ac:dyDescent="0.25">
      <c r="A30727">
        <v>64031200113</v>
      </c>
      <c r="B30727" t="s">
        <v>9261</v>
      </c>
    </row>
    <row r="30728" spans="1:2" x14ac:dyDescent="0.25">
      <c r="A30728">
        <v>64031200119</v>
      </c>
      <c r="B30728" t="s">
        <v>10</v>
      </c>
    </row>
    <row r="30729" spans="1:2" x14ac:dyDescent="0.25">
      <c r="A30729">
        <v>6403120012</v>
      </c>
      <c r="B30729" t="s">
        <v>9299</v>
      </c>
    </row>
    <row r="30730" spans="1:2" x14ac:dyDescent="0.25">
      <c r="A30730">
        <v>64031200121</v>
      </c>
      <c r="B30730" t="s">
        <v>9270</v>
      </c>
    </row>
    <row r="30731" spans="1:2" x14ac:dyDescent="0.25">
      <c r="A30731">
        <v>64031200122</v>
      </c>
      <c r="B30731" t="s">
        <v>9260</v>
      </c>
    </row>
    <row r="30732" spans="1:2" x14ac:dyDescent="0.25">
      <c r="A30732">
        <v>64031200123</v>
      </c>
      <c r="B30732" t="s">
        <v>9261</v>
      </c>
    </row>
    <row r="30733" spans="1:2" x14ac:dyDescent="0.25">
      <c r="A30733">
        <v>64031200129</v>
      </c>
      <c r="B30733" t="s">
        <v>10</v>
      </c>
    </row>
    <row r="30734" spans="1:2" x14ac:dyDescent="0.25">
      <c r="A30734">
        <v>6403120019</v>
      </c>
      <c r="B30734" t="s">
        <v>10</v>
      </c>
    </row>
    <row r="30735" spans="1:2" x14ac:dyDescent="0.25">
      <c r="A30735">
        <v>64031200191</v>
      </c>
      <c r="B30735" t="s">
        <v>9270</v>
      </c>
    </row>
    <row r="30736" spans="1:2" x14ac:dyDescent="0.25">
      <c r="A30736">
        <v>64031200192</v>
      </c>
      <c r="B30736" t="s">
        <v>9260</v>
      </c>
    </row>
    <row r="30737" spans="1:2" x14ac:dyDescent="0.25">
      <c r="A30737">
        <v>64031200193</v>
      </c>
      <c r="B30737" t="s">
        <v>9261</v>
      </c>
    </row>
    <row r="30738" spans="1:2" x14ac:dyDescent="0.25">
      <c r="A30738">
        <v>64031200199</v>
      </c>
      <c r="B30738" t="s">
        <v>10</v>
      </c>
    </row>
    <row r="30739" spans="1:2" x14ac:dyDescent="0.25">
      <c r="A30739">
        <v>640312002</v>
      </c>
      <c r="B30739" t="s">
        <v>9273</v>
      </c>
    </row>
    <row r="30740" spans="1:2" x14ac:dyDescent="0.25">
      <c r="A30740">
        <v>6403120021</v>
      </c>
      <c r="B30740" t="s">
        <v>9298</v>
      </c>
    </row>
    <row r="30741" spans="1:2" x14ac:dyDescent="0.25">
      <c r="A30741">
        <v>64031200211</v>
      </c>
      <c r="B30741" t="s">
        <v>9270</v>
      </c>
    </row>
    <row r="30742" spans="1:2" x14ac:dyDescent="0.25">
      <c r="A30742">
        <v>64031200212</v>
      </c>
      <c r="B30742" t="s">
        <v>9260</v>
      </c>
    </row>
    <row r="30743" spans="1:2" x14ac:dyDescent="0.25">
      <c r="A30743">
        <v>64031200213</v>
      </c>
      <c r="B30743" t="s">
        <v>9261</v>
      </c>
    </row>
    <row r="30744" spans="1:2" x14ac:dyDescent="0.25">
      <c r="A30744">
        <v>64031200219</v>
      </c>
      <c r="B30744" t="s">
        <v>10</v>
      </c>
    </row>
    <row r="30745" spans="1:2" x14ac:dyDescent="0.25">
      <c r="A30745">
        <v>6403120022</v>
      </c>
      <c r="B30745" t="s">
        <v>9299</v>
      </c>
    </row>
    <row r="30746" spans="1:2" x14ac:dyDescent="0.25">
      <c r="A30746">
        <v>64031200221</v>
      </c>
      <c r="B30746" t="s">
        <v>9270</v>
      </c>
    </row>
    <row r="30747" spans="1:2" x14ac:dyDescent="0.25">
      <c r="A30747">
        <v>64031200222</v>
      </c>
      <c r="B30747" t="s">
        <v>9260</v>
      </c>
    </row>
    <row r="30748" spans="1:2" x14ac:dyDescent="0.25">
      <c r="A30748">
        <v>64031200223</v>
      </c>
      <c r="B30748" t="s">
        <v>9261</v>
      </c>
    </row>
    <row r="30749" spans="1:2" x14ac:dyDescent="0.25">
      <c r="A30749">
        <v>64031200229</v>
      </c>
      <c r="B30749" t="s">
        <v>10</v>
      </c>
    </row>
    <row r="30750" spans="1:2" x14ac:dyDescent="0.25">
      <c r="A30750">
        <v>6403120029</v>
      </c>
      <c r="B30750" t="s">
        <v>10</v>
      </c>
    </row>
    <row r="30751" spans="1:2" x14ac:dyDescent="0.25">
      <c r="A30751">
        <v>64031200291</v>
      </c>
      <c r="B30751" t="s">
        <v>9270</v>
      </c>
    </row>
    <row r="30752" spans="1:2" x14ac:dyDescent="0.25">
      <c r="A30752">
        <v>64031200292</v>
      </c>
      <c r="B30752" t="s">
        <v>9260</v>
      </c>
    </row>
    <row r="30753" spans="1:2" x14ac:dyDescent="0.25">
      <c r="A30753">
        <v>64031200293</v>
      </c>
      <c r="B30753" t="s">
        <v>9261</v>
      </c>
    </row>
    <row r="30754" spans="1:2" x14ac:dyDescent="0.25">
      <c r="A30754">
        <v>64031200299</v>
      </c>
      <c r="B30754" t="s">
        <v>10</v>
      </c>
    </row>
    <row r="30755" spans="1:2" x14ac:dyDescent="0.25">
      <c r="A30755">
        <v>64031900</v>
      </c>
      <c r="B30755" t="e">
        <f>- - Los demas</f>
        <v>#NAME?</v>
      </c>
    </row>
    <row r="30756" spans="1:2" x14ac:dyDescent="0.25">
      <c r="A30756">
        <v>640319001</v>
      </c>
      <c r="B30756" t="s">
        <v>9274</v>
      </c>
    </row>
    <row r="30757" spans="1:2" x14ac:dyDescent="0.25">
      <c r="A30757">
        <v>64031900110</v>
      </c>
      <c r="B30757" t="s">
        <v>9275</v>
      </c>
    </row>
    <row r="30758" spans="1:2" x14ac:dyDescent="0.25">
      <c r="A30758">
        <v>64031900190</v>
      </c>
      <c r="B30758" t="s">
        <v>10</v>
      </c>
    </row>
    <row r="30759" spans="1:2" x14ac:dyDescent="0.25">
      <c r="A30759">
        <v>640319002</v>
      </c>
      <c r="B30759" t="s">
        <v>9276</v>
      </c>
    </row>
    <row r="30760" spans="1:2" x14ac:dyDescent="0.25">
      <c r="A30760">
        <v>64031900210</v>
      </c>
      <c r="B30760" t="s">
        <v>9275</v>
      </c>
    </row>
    <row r="30761" spans="1:2" x14ac:dyDescent="0.25">
      <c r="A30761">
        <v>64031900280</v>
      </c>
      <c r="B30761" t="s">
        <v>9279</v>
      </c>
    </row>
    <row r="30762" spans="1:2" x14ac:dyDescent="0.25">
      <c r="A30762">
        <v>64031900290</v>
      </c>
      <c r="B30762" t="s">
        <v>10</v>
      </c>
    </row>
    <row r="30763" spans="1:2" x14ac:dyDescent="0.25">
      <c r="A30763">
        <v>640319003</v>
      </c>
      <c r="B30763" t="s">
        <v>7628</v>
      </c>
    </row>
    <row r="30764" spans="1:2" x14ac:dyDescent="0.25">
      <c r="A30764">
        <v>6403190031</v>
      </c>
      <c r="B30764" t="s">
        <v>9278</v>
      </c>
    </row>
    <row r="30765" spans="1:2" x14ac:dyDescent="0.25">
      <c r="A30765">
        <v>64031900311</v>
      </c>
      <c r="B30765" t="s">
        <v>9275</v>
      </c>
    </row>
    <row r="30766" spans="1:2" x14ac:dyDescent="0.25">
      <c r="A30766">
        <v>64031900318</v>
      </c>
      <c r="B30766" t="s">
        <v>9279</v>
      </c>
    </row>
    <row r="30767" spans="1:2" x14ac:dyDescent="0.25">
      <c r="A30767">
        <v>64031900319</v>
      </c>
      <c r="B30767" t="s">
        <v>10</v>
      </c>
    </row>
    <row r="30768" spans="1:2" x14ac:dyDescent="0.25">
      <c r="A30768">
        <v>6403190032</v>
      </c>
      <c r="B30768" t="s">
        <v>9280</v>
      </c>
    </row>
    <row r="30769" spans="1:2" x14ac:dyDescent="0.25">
      <c r="A30769">
        <v>64031900321</v>
      </c>
      <c r="B30769" t="s">
        <v>9275</v>
      </c>
    </row>
    <row r="30770" spans="1:2" x14ac:dyDescent="0.25">
      <c r="A30770">
        <v>64031900328</v>
      </c>
      <c r="B30770" t="s">
        <v>9279</v>
      </c>
    </row>
    <row r="30771" spans="1:2" x14ac:dyDescent="0.25">
      <c r="A30771">
        <v>64031900329</v>
      </c>
      <c r="B30771" t="s">
        <v>10</v>
      </c>
    </row>
    <row r="30772" spans="1:2" x14ac:dyDescent="0.25">
      <c r="A30772">
        <v>640319004</v>
      </c>
      <c r="B30772" t="s">
        <v>9281</v>
      </c>
    </row>
    <row r="30773" spans="1:2" x14ac:dyDescent="0.25">
      <c r="A30773">
        <v>6403190041</v>
      </c>
      <c r="B30773" t="s">
        <v>9278</v>
      </c>
    </row>
    <row r="30774" spans="1:2" x14ac:dyDescent="0.25">
      <c r="A30774">
        <v>64031900411</v>
      </c>
      <c r="B30774" t="s">
        <v>9275</v>
      </c>
    </row>
    <row r="30775" spans="1:2" x14ac:dyDescent="0.25">
      <c r="A30775">
        <v>64031900418</v>
      </c>
      <c r="B30775" t="s">
        <v>9279</v>
      </c>
    </row>
    <row r="30776" spans="1:2" x14ac:dyDescent="0.25">
      <c r="A30776">
        <v>64031900419</v>
      </c>
      <c r="B30776" t="s">
        <v>10</v>
      </c>
    </row>
    <row r="30777" spans="1:2" x14ac:dyDescent="0.25">
      <c r="A30777">
        <v>6403190042</v>
      </c>
      <c r="B30777" t="s">
        <v>9280</v>
      </c>
    </row>
    <row r="30778" spans="1:2" x14ac:dyDescent="0.25">
      <c r="A30778">
        <v>64031900421</v>
      </c>
      <c r="B30778" t="s">
        <v>9275</v>
      </c>
    </row>
    <row r="30779" spans="1:2" x14ac:dyDescent="0.25">
      <c r="A30779">
        <v>64031900428</v>
      </c>
      <c r="B30779" t="s">
        <v>9279</v>
      </c>
    </row>
    <row r="30780" spans="1:2" x14ac:dyDescent="0.25">
      <c r="A30780">
        <v>64031900429</v>
      </c>
      <c r="B30780" t="s">
        <v>10</v>
      </c>
    </row>
    <row r="30781" spans="1:2" x14ac:dyDescent="0.25">
      <c r="A30781">
        <v>640319005</v>
      </c>
      <c r="B30781" t="s">
        <v>9300</v>
      </c>
    </row>
    <row r="30782" spans="1:2" x14ac:dyDescent="0.25">
      <c r="A30782">
        <v>6403190051</v>
      </c>
      <c r="B30782" t="s">
        <v>9283</v>
      </c>
    </row>
    <row r="30783" spans="1:2" x14ac:dyDescent="0.25">
      <c r="A30783">
        <v>64031900511</v>
      </c>
      <c r="B30783" t="s">
        <v>9275</v>
      </c>
    </row>
    <row r="30784" spans="1:2" x14ac:dyDescent="0.25">
      <c r="A30784">
        <v>64031900518</v>
      </c>
      <c r="B30784" t="s">
        <v>9279</v>
      </c>
    </row>
    <row r="30785" spans="1:2" x14ac:dyDescent="0.25">
      <c r="A30785">
        <v>64031900519</v>
      </c>
      <c r="B30785" t="s">
        <v>10</v>
      </c>
    </row>
    <row r="30786" spans="1:2" x14ac:dyDescent="0.25">
      <c r="A30786">
        <v>6403190059</v>
      </c>
      <c r="B30786" t="s">
        <v>10</v>
      </c>
    </row>
    <row r="30787" spans="1:2" x14ac:dyDescent="0.25">
      <c r="A30787">
        <v>64031900591</v>
      </c>
      <c r="B30787" t="s">
        <v>9275</v>
      </c>
    </row>
    <row r="30788" spans="1:2" x14ac:dyDescent="0.25">
      <c r="A30788">
        <v>64031900598</v>
      </c>
      <c r="B30788" t="s">
        <v>9279</v>
      </c>
    </row>
    <row r="30789" spans="1:2" x14ac:dyDescent="0.25">
      <c r="A30789">
        <v>64031900599</v>
      </c>
      <c r="B30789" t="s">
        <v>10</v>
      </c>
    </row>
    <row r="30790" spans="1:2" x14ac:dyDescent="0.25">
      <c r="A30790">
        <v>640319009</v>
      </c>
      <c r="B30790" t="s">
        <v>10</v>
      </c>
    </row>
    <row r="30791" spans="1:2" x14ac:dyDescent="0.25">
      <c r="A30791">
        <v>6403190091</v>
      </c>
      <c r="B30791" t="s">
        <v>9284</v>
      </c>
    </row>
    <row r="30792" spans="1:2" x14ac:dyDescent="0.25">
      <c r="A30792">
        <v>64031900911</v>
      </c>
      <c r="B30792" t="s">
        <v>9275</v>
      </c>
    </row>
    <row r="30793" spans="1:2" x14ac:dyDescent="0.25">
      <c r="A30793">
        <v>64031900919</v>
      </c>
      <c r="B30793" t="s">
        <v>10</v>
      </c>
    </row>
    <row r="30794" spans="1:2" x14ac:dyDescent="0.25">
      <c r="A30794">
        <v>6403190099</v>
      </c>
      <c r="B30794" t="s">
        <v>10</v>
      </c>
    </row>
    <row r="30795" spans="1:2" x14ac:dyDescent="0.25">
      <c r="A30795">
        <v>64031900991</v>
      </c>
      <c r="B30795" t="s">
        <v>9275</v>
      </c>
    </row>
    <row r="30796" spans="1:2" x14ac:dyDescent="0.25">
      <c r="A30796">
        <v>64031900999</v>
      </c>
      <c r="B30796" t="s">
        <v>10</v>
      </c>
    </row>
    <row r="30797" spans="1:2" x14ac:dyDescent="0.25">
      <c r="A30797">
        <v>64032000</v>
      </c>
      <c r="B30797" t="e">
        <f>- calzado Con suela de cuero natural y parte superior de tiras de cuero natural que pasan por el empeine y rodean el dedo gordo</f>
        <v>#NAME?</v>
      </c>
    </row>
    <row r="30798" spans="1:2" x14ac:dyDescent="0.25">
      <c r="A30798">
        <v>64032000100</v>
      </c>
      <c r="B30798" t="s">
        <v>9298</v>
      </c>
    </row>
    <row r="30799" spans="1:2" x14ac:dyDescent="0.25">
      <c r="A30799">
        <v>64032000200</v>
      </c>
      <c r="B30799" t="s">
        <v>9301</v>
      </c>
    </row>
    <row r="30800" spans="1:2" x14ac:dyDescent="0.25">
      <c r="A30800">
        <v>64032000300</v>
      </c>
      <c r="B30800" t="s">
        <v>9302</v>
      </c>
    </row>
    <row r="30801" spans="1:2" x14ac:dyDescent="0.25">
      <c r="A30801">
        <v>64032000900</v>
      </c>
      <c r="B30801" t="s">
        <v>10</v>
      </c>
    </row>
    <row r="30802" spans="1:2" x14ac:dyDescent="0.25">
      <c r="A30802">
        <v>64034000</v>
      </c>
      <c r="B30802" t="e">
        <f>- Los demas calzados. Con puntera metalica de proteccion</f>
        <v>#NAME?</v>
      </c>
    </row>
    <row r="30803" spans="1:2" x14ac:dyDescent="0.25">
      <c r="A30803">
        <v>640340001</v>
      </c>
      <c r="B30803" t="s">
        <v>9303</v>
      </c>
    </row>
    <row r="30804" spans="1:2" x14ac:dyDescent="0.25">
      <c r="A30804">
        <v>6403400011</v>
      </c>
      <c r="B30804" t="s">
        <v>9298</v>
      </c>
    </row>
    <row r="30805" spans="1:2" x14ac:dyDescent="0.25">
      <c r="A30805">
        <v>64034000111</v>
      </c>
      <c r="B30805" t="s">
        <v>9270</v>
      </c>
    </row>
    <row r="30806" spans="1:2" x14ac:dyDescent="0.25">
      <c r="A30806">
        <v>64034000112</v>
      </c>
      <c r="B30806" t="s">
        <v>9260</v>
      </c>
    </row>
    <row r="30807" spans="1:2" x14ac:dyDescent="0.25">
      <c r="A30807">
        <v>64034000113</v>
      </c>
      <c r="B30807" t="s">
        <v>9261</v>
      </c>
    </row>
    <row r="30808" spans="1:2" x14ac:dyDescent="0.25">
      <c r="A30808">
        <v>64034000119</v>
      </c>
      <c r="B30808" t="s">
        <v>10</v>
      </c>
    </row>
    <row r="30809" spans="1:2" x14ac:dyDescent="0.25">
      <c r="A30809">
        <v>6403400012</v>
      </c>
      <c r="B30809" t="s">
        <v>9299</v>
      </c>
    </row>
    <row r="30810" spans="1:2" x14ac:dyDescent="0.25">
      <c r="A30810">
        <v>64034000121</v>
      </c>
      <c r="B30810" t="s">
        <v>9270</v>
      </c>
    </row>
    <row r="30811" spans="1:2" x14ac:dyDescent="0.25">
      <c r="A30811">
        <v>64034000122</v>
      </c>
      <c r="B30811" t="s">
        <v>9260</v>
      </c>
    </row>
    <row r="30812" spans="1:2" x14ac:dyDescent="0.25">
      <c r="A30812">
        <v>64034000123</v>
      </c>
      <c r="B30812" t="s">
        <v>9261</v>
      </c>
    </row>
    <row r="30813" spans="1:2" x14ac:dyDescent="0.25">
      <c r="A30813">
        <v>64034000129</v>
      </c>
      <c r="B30813" t="s">
        <v>10</v>
      </c>
    </row>
    <row r="30814" spans="1:2" x14ac:dyDescent="0.25">
      <c r="A30814">
        <v>6403400019</v>
      </c>
      <c r="B30814" t="s">
        <v>10</v>
      </c>
    </row>
    <row r="30815" spans="1:2" x14ac:dyDescent="0.25">
      <c r="A30815">
        <v>64034000191</v>
      </c>
      <c r="B30815" t="s">
        <v>9270</v>
      </c>
    </row>
    <row r="30816" spans="1:2" x14ac:dyDescent="0.25">
      <c r="A30816">
        <v>64034000192</v>
      </c>
      <c r="B30816" t="s">
        <v>9260</v>
      </c>
    </row>
    <row r="30817" spans="1:2" x14ac:dyDescent="0.25">
      <c r="A30817">
        <v>64034000193</v>
      </c>
      <c r="B30817" t="s">
        <v>9261</v>
      </c>
    </row>
    <row r="30818" spans="1:2" x14ac:dyDescent="0.25">
      <c r="A30818">
        <v>64034000199</v>
      </c>
      <c r="B30818" t="s">
        <v>10</v>
      </c>
    </row>
    <row r="30819" spans="1:2" x14ac:dyDescent="0.25">
      <c r="A30819">
        <v>640340009</v>
      </c>
      <c r="B30819" t="s">
        <v>10</v>
      </c>
    </row>
    <row r="30820" spans="1:2" x14ac:dyDescent="0.25">
      <c r="A30820">
        <v>6403400091</v>
      </c>
      <c r="B30820" t="s">
        <v>9298</v>
      </c>
    </row>
    <row r="30821" spans="1:2" x14ac:dyDescent="0.25">
      <c r="A30821">
        <v>64034000911</v>
      </c>
      <c r="B30821" t="s">
        <v>9270</v>
      </c>
    </row>
    <row r="30822" spans="1:2" x14ac:dyDescent="0.25">
      <c r="A30822">
        <v>64034000912</v>
      </c>
      <c r="B30822" t="s">
        <v>9260</v>
      </c>
    </row>
    <row r="30823" spans="1:2" x14ac:dyDescent="0.25">
      <c r="A30823">
        <v>64034000913</v>
      </c>
      <c r="B30823" t="s">
        <v>9261</v>
      </c>
    </row>
    <row r="30824" spans="1:2" x14ac:dyDescent="0.25">
      <c r="A30824">
        <v>64034000919</v>
      </c>
      <c r="B30824" t="s">
        <v>10</v>
      </c>
    </row>
    <row r="30825" spans="1:2" x14ac:dyDescent="0.25">
      <c r="A30825">
        <v>6403400092</v>
      </c>
      <c r="B30825" t="s">
        <v>9299</v>
      </c>
    </row>
    <row r="30826" spans="1:2" x14ac:dyDescent="0.25">
      <c r="A30826">
        <v>64034000921</v>
      </c>
      <c r="B30826" t="s">
        <v>9270</v>
      </c>
    </row>
    <row r="30827" spans="1:2" x14ac:dyDescent="0.25">
      <c r="A30827">
        <v>64034000922</v>
      </c>
      <c r="B30827" t="s">
        <v>9260</v>
      </c>
    </row>
    <row r="30828" spans="1:2" x14ac:dyDescent="0.25">
      <c r="A30828">
        <v>64034000923</v>
      </c>
      <c r="B30828" t="s">
        <v>9261</v>
      </c>
    </row>
    <row r="30829" spans="1:2" x14ac:dyDescent="0.25">
      <c r="A30829">
        <v>64034000929</v>
      </c>
      <c r="B30829" t="s">
        <v>10</v>
      </c>
    </row>
    <row r="30830" spans="1:2" x14ac:dyDescent="0.25">
      <c r="A30830">
        <v>6403400093</v>
      </c>
      <c r="B30830" t="s">
        <v>9301</v>
      </c>
    </row>
    <row r="30831" spans="1:2" x14ac:dyDescent="0.25">
      <c r="A30831">
        <v>64034000931</v>
      </c>
      <c r="B30831" t="s">
        <v>9270</v>
      </c>
    </row>
    <row r="30832" spans="1:2" x14ac:dyDescent="0.25">
      <c r="A30832">
        <v>64034000932</v>
      </c>
      <c r="B30832" t="s">
        <v>9260</v>
      </c>
    </row>
    <row r="30833" spans="1:2" x14ac:dyDescent="0.25">
      <c r="A30833">
        <v>64034000933</v>
      </c>
      <c r="B30833" t="s">
        <v>9261</v>
      </c>
    </row>
    <row r="30834" spans="1:2" x14ac:dyDescent="0.25">
      <c r="A30834">
        <v>64034000939</v>
      </c>
      <c r="B30834" t="s">
        <v>10</v>
      </c>
    </row>
    <row r="30835" spans="1:2" x14ac:dyDescent="0.25">
      <c r="A30835">
        <v>6403400099</v>
      </c>
      <c r="B30835" t="s">
        <v>10</v>
      </c>
    </row>
    <row r="30836" spans="1:2" x14ac:dyDescent="0.25">
      <c r="A30836">
        <v>64034000991</v>
      </c>
      <c r="B30836" t="s">
        <v>9270</v>
      </c>
    </row>
    <row r="30837" spans="1:2" x14ac:dyDescent="0.25">
      <c r="A30837">
        <v>64034000992</v>
      </c>
      <c r="B30837" t="s">
        <v>9260</v>
      </c>
    </row>
    <row r="30838" spans="1:2" x14ac:dyDescent="0.25">
      <c r="A30838">
        <v>64034000993</v>
      </c>
      <c r="B30838" t="s">
        <v>9261</v>
      </c>
    </row>
    <row r="30839" spans="1:2" x14ac:dyDescent="0.25">
      <c r="A30839">
        <v>64034000999</v>
      </c>
      <c r="B30839" t="s">
        <v>10</v>
      </c>
    </row>
    <row r="30840" spans="1:2" x14ac:dyDescent="0.25">
      <c r="A30840">
        <v>64035</v>
      </c>
      <c r="B30840" t="s">
        <v>9304</v>
      </c>
    </row>
    <row r="30841" spans="1:2" x14ac:dyDescent="0.25">
      <c r="A30841">
        <v>640351</v>
      </c>
      <c r="B30841" t="e">
        <f>- - que cubran el tobillo</f>
        <v>#NAME?</v>
      </c>
    </row>
    <row r="30842" spans="1:2" x14ac:dyDescent="0.25">
      <c r="A30842">
        <v>64035110</v>
      </c>
      <c r="B30842" t="s">
        <v>9305</v>
      </c>
    </row>
    <row r="30843" spans="1:2" x14ac:dyDescent="0.25">
      <c r="A30843">
        <v>64035110100</v>
      </c>
      <c r="B30843" t="s">
        <v>9298</v>
      </c>
    </row>
    <row r="30844" spans="1:2" x14ac:dyDescent="0.25">
      <c r="A30844">
        <v>64035110200</v>
      </c>
      <c r="B30844" t="s">
        <v>9301</v>
      </c>
    </row>
    <row r="30845" spans="1:2" x14ac:dyDescent="0.25">
      <c r="A30845">
        <v>64035110300</v>
      </c>
      <c r="B30845" t="s">
        <v>9302</v>
      </c>
    </row>
    <row r="30846" spans="1:2" x14ac:dyDescent="0.25">
      <c r="A30846">
        <v>64035110900</v>
      </c>
      <c r="B30846" t="s">
        <v>10</v>
      </c>
    </row>
    <row r="30847" spans="1:2" x14ac:dyDescent="0.25">
      <c r="A30847">
        <v>64035190</v>
      </c>
      <c r="B30847" t="s">
        <v>10</v>
      </c>
    </row>
    <row r="30848" spans="1:2" x14ac:dyDescent="0.25">
      <c r="A30848">
        <v>640351901</v>
      </c>
      <c r="B30848" t="s">
        <v>9298</v>
      </c>
    </row>
    <row r="30849" spans="1:2" x14ac:dyDescent="0.25">
      <c r="A30849">
        <v>64035190110</v>
      </c>
      <c r="B30849" t="s">
        <v>9258</v>
      </c>
    </row>
    <row r="30850" spans="1:2" x14ac:dyDescent="0.25">
      <c r="A30850">
        <v>64035190120</v>
      </c>
      <c r="B30850" t="s">
        <v>9259</v>
      </c>
    </row>
    <row r="30851" spans="1:2" x14ac:dyDescent="0.25">
      <c r="A30851">
        <v>64035190130</v>
      </c>
      <c r="B30851" t="s">
        <v>9260</v>
      </c>
    </row>
    <row r="30852" spans="1:2" x14ac:dyDescent="0.25">
      <c r="A30852">
        <v>64035190140</v>
      </c>
      <c r="B30852" t="s">
        <v>9261</v>
      </c>
    </row>
    <row r="30853" spans="1:2" x14ac:dyDescent="0.25">
      <c r="A30853">
        <v>64035190190</v>
      </c>
      <c r="B30853" t="s">
        <v>10</v>
      </c>
    </row>
    <row r="30854" spans="1:2" x14ac:dyDescent="0.25">
      <c r="A30854">
        <v>640351902</v>
      </c>
      <c r="B30854" t="s">
        <v>9301</v>
      </c>
    </row>
    <row r="30855" spans="1:2" x14ac:dyDescent="0.25">
      <c r="A30855">
        <v>64035190210</v>
      </c>
      <c r="B30855" t="s">
        <v>9258</v>
      </c>
    </row>
    <row r="30856" spans="1:2" x14ac:dyDescent="0.25">
      <c r="A30856">
        <v>64035190220</v>
      </c>
      <c r="B30856" t="s">
        <v>9259</v>
      </c>
    </row>
    <row r="30857" spans="1:2" x14ac:dyDescent="0.25">
      <c r="A30857">
        <v>64035190230</v>
      </c>
      <c r="B30857" t="s">
        <v>9260</v>
      </c>
    </row>
    <row r="30858" spans="1:2" x14ac:dyDescent="0.25">
      <c r="A30858">
        <v>64035190240</v>
      </c>
      <c r="B30858" t="s">
        <v>9261</v>
      </c>
    </row>
    <row r="30859" spans="1:2" x14ac:dyDescent="0.25">
      <c r="A30859">
        <v>64035190290</v>
      </c>
      <c r="B30859" t="s">
        <v>10</v>
      </c>
    </row>
    <row r="30860" spans="1:2" x14ac:dyDescent="0.25">
      <c r="A30860">
        <v>640351903</v>
      </c>
      <c r="B30860" t="s">
        <v>9302</v>
      </c>
    </row>
    <row r="30861" spans="1:2" x14ac:dyDescent="0.25">
      <c r="A30861">
        <v>64035190310</v>
      </c>
      <c r="B30861" t="s">
        <v>9258</v>
      </c>
    </row>
    <row r="30862" spans="1:2" x14ac:dyDescent="0.25">
      <c r="A30862">
        <v>64035190320</v>
      </c>
      <c r="B30862" t="s">
        <v>9259</v>
      </c>
    </row>
    <row r="30863" spans="1:2" x14ac:dyDescent="0.25">
      <c r="A30863">
        <v>64035190330</v>
      </c>
      <c r="B30863" t="s">
        <v>9260</v>
      </c>
    </row>
    <row r="30864" spans="1:2" x14ac:dyDescent="0.25">
      <c r="A30864">
        <v>64035190340</v>
      </c>
      <c r="B30864" t="s">
        <v>9261</v>
      </c>
    </row>
    <row r="30865" spans="1:2" x14ac:dyDescent="0.25">
      <c r="A30865">
        <v>64035190390</v>
      </c>
      <c r="B30865" t="s">
        <v>10</v>
      </c>
    </row>
    <row r="30866" spans="1:2" x14ac:dyDescent="0.25">
      <c r="A30866">
        <v>640351909</v>
      </c>
      <c r="B30866" t="s">
        <v>10</v>
      </c>
    </row>
    <row r="30867" spans="1:2" x14ac:dyDescent="0.25">
      <c r="A30867">
        <v>64035190910</v>
      </c>
      <c r="B30867" t="s">
        <v>9258</v>
      </c>
    </row>
    <row r="30868" spans="1:2" x14ac:dyDescent="0.25">
      <c r="A30868">
        <v>64035190920</v>
      </c>
      <c r="B30868" t="s">
        <v>9259</v>
      </c>
    </row>
    <row r="30869" spans="1:2" x14ac:dyDescent="0.25">
      <c r="A30869">
        <v>64035190930</v>
      </c>
      <c r="B30869" t="s">
        <v>9260</v>
      </c>
    </row>
    <row r="30870" spans="1:2" x14ac:dyDescent="0.25">
      <c r="A30870">
        <v>64035190940</v>
      </c>
      <c r="B30870" t="s">
        <v>9261</v>
      </c>
    </row>
    <row r="30871" spans="1:2" x14ac:dyDescent="0.25">
      <c r="A30871">
        <v>64035190990</v>
      </c>
      <c r="B30871" t="s">
        <v>10</v>
      </c>
    </row>
    <row r="30872" spans="1:2" x14ac:dyDescent="0.25">
      <c r="A30872">
        <v>640359</v>
      </c>
      <c r="B30872" t="e">
        <f>- - Los demas</f>
        <v>#NAME?</v>
      </c>
    </row>
    <row r="30873" spans="1:2" x14ac:dyDescent="0.25">
      <c r="A30873">
        <v>64035910</v>
      </c>
      <c r="B30873" t="s">
        <v>9305</v>
      </c>
    </row>
    <row r="30874" spans="1:2" x14ac:dyDescent="0.25">
      <c r="A30874">
        <v>64035910100</v>
      </c>
      <c r="B30874" t="s">
        <v>9298</v>
      </c>
    </row>
    <row r="30875" spans="1:2" x14ac:dyDescent="0.25">
      <c r="A30875">
        <v>64035910200</v>
      </c>
      <c r="B30875" t="s">
        <v>9301</v>
      </c>
    </row>
    <row r="30876" spans="1:2" x14ac:dyDescent="0.25">
      <c r="A30876">
        <v>64035910300</v>
      </c>
      <c r="B30876" t="s">
        <v>9302</v>
      </c>
    </row>
    <row r="30877" spans="1:2" x14ac:dyDescent="0.25">
      <c r="A30877">
        <v>64035910900</v>
      </c>
      <c r="B30877" t="s">
        <v>10</v>
      </c>
    </row>
    <row r="30878" spans="1:2" x14ac:dyDescent="0.25">
      <c r="A30878">
        <v>64035990</v>
      </c>
      <c r="B30878" t="s">
        <v>10</v>
      </c>
    </row>
    <row r="30879" spans="1:2" x14ac:dyDescent="0.25">
      <c r="A30879">
        <v>640359901</v>
      </c>
      <c r="B30879" t="s">
        <v>9293</v>
      </c>
    </row>
    <row r="30880" spans="1:2" x14ac:dyDescent="0.25">
      <c r="A30880">
        <v>6403599011</v>
      </c>
      <c r="B30880" t="s">
        <v>9298</v>
      </c>
    </row>
    <row r="30881" spans="1:2" x14ac:dyDescent="0.25">
      <c r="A30881">
        <v>64035990111</v>
      </c>
      <c r="B30881" t="s">
        <v>9258</v>
      </c>
    </row>
    <row r="30882" spans="1:2" x14ac:dyDescent="0.25">
      <c r="A30882">
        <v>64035990112</v>
      </c>
      <c r="B30882" t="s">
        <v>9259</v>
      </c>
    </row>
    <row r="30883" spans="1:2" x14ac:dyDescent="0.25">
      <c r="A30883">
        <v>64035990113</v>
      </c>
      <c r="B30883" t="s">
        <v>9260</v>
      </c>
    </row>
    <row r="30884" spans="1:2" x14ac:dyDescent="0.25">
      <c r="A30884">
        <v>64035990114</v>
      </c>
      <c r="B30884" t="s">
        <v>9261</v>
      </c>
    </row>
    <row r="30885" spans="1:2" x14ac:dyDescent="0.25">
      <c r="A30885">
        <v>64035990119</v>
      </c>
      <c r="B30885" t="s">
        <v>10</v>
      </c>
    </row>
    <row r="30886" spans="1:2" x14ac:dyDescent="0.25">
      <c r="A30886">
        <v>6403599012</v>
      </c>
      <c r="B30886" t="s">
        <v>9301</v>
      </c>
    </row>
    <row r="30887" spans="1:2" x14ac:dyDescent="0.25">
      <c r="A30887">
        <v>64035990121</v>
      </c>
      <c r="B30887" t="s">
        <v>9258</v>
      </c>
    </row>
    <row r="30888" spans="1:2" x14ac:dyDescent="0.25">
      <c r="A30888">
        <v>64035990122</v>
      </c>
      <c r="B30888" t="s">
        <v>9259</v>
      </c>
    </row>
    <row r="30889" spans="1:2" x14ac:dyDescent="0.25">
      <c r="A30889">
        <v>64035990123</v>
      </c>
      <c r="B30889" t="s">
        <v>9260</v>
      </c>
    </row>
    <row r="30890" spans="1:2" x14ac:dyDescent="0.25">
      <c r="A30890">
        <v>64035990124</v>
      </c>
      <c r="B30890" t="s">
        <v>9261</v>
      </c>
    </row>
    <row r="30891" spans="1:2" x14ac:dyDescent="0.25">
      <c r="A30891">
        <v>64035990129</v>
      </c>
      <c r="B30891" t="s">
        <v>10</v>
      </c>
    </row>
    <row r="30892" spans="1:2" x14ac:dyDescent="0.25">
      <c r="A30892">
        <v>6403599013</v>
      </c>
      <c r="B30892" t="s">
        <v>9302</v>
      </c>
    </row>
    <row r="30893" spans="1:2" x14ac:dyDescent="0.25">
      <c r="A30893">
        <v>64035990131</v>
      </c>
      <c r="B30893" t="s">
        <v>9258</v>
      </c>
    </row>
    <row r="30894" spans="1:2" x14ac:dyDescent="0.25">
      <c r="A30894">
        <v>64035990132</v>
      </c>
      <c r="B30894" t="s">
        <v>9259</v>
      </c>
    </row>
    <row r="30895" spans="1:2" x14ac:dyDescent="0.25">
      <c r="A30895">
        <v>64035990133</v>
      </c>
      <c r="B30895" t="s">
        <v>9260</v>
      </c>
    </row>
    <row r="30896" spans="1:2" x14ac:dyDescent="0.25">
      <c r="A30896">
        <v>64035990134</v>
      </c>
      <c r="B30896" t="s">
        <v>9261</v>
      </c>
    </row>
    <row r="30897" spans="1:2" x14ac:dyDescent="0.25">
      <c r="A30897">
        <v>64035990139</v>
      </c>
      <c r="B30897" t="s">
        <v>10</v>
      </c>
    </row>
    <row r="30898" spans="1:2" x14ac:dyDescent="0.25">
      <c r="A30898">
        <v>6403599019</v>
      </c>
      <c r="B30898" t="s">
        <v>10</v>
      </c>
    </row>
    <row r="30899" spans="1:2" x14ac:dyDescent="0.25">
      <c r="A30899">
        <v>64035990191</v>
      </c>
      <c r="B30899" t="s">
        <v>9258</v>
      </c>
    </row>
    <row r="30900" spans="1:2" x14ac:dyDescent="0.25">
      <c r="A30900">
        <v>64035990192</v>
      </c>
      <c r="B30900" t="s">
        <v>9259</v>
      </c>
    </row>
    <row r="30901" spans="1:2" x14ac:dyDescent="0.25">
      <c r="A30901">
        <v>64035990193</v>
      </c>
      <c r="B30901" t="s">
        <v>9260</v>
      </c>
    </row>
    <row r="30902" spans="1:2" x14ac:dyDescent="0.25">
      <c r="A30902">
        <v>64035990194</v>
      </c>
      <c r="B30902" t="s">
        <v>9261</v>
      </c>
    </row>
    <row r="30903" spans="1:2" x14ac:dyDescent="0.25">
      <c r="A30903">
        <v>64035990199</v>
      </c>
      <c r="B30903" t="s">
        <v>10</v>
      </c>
    </row>
    <row r="30904" spans="1:2" x14ac:dyDescent="0.25">
      <c r="A30904">
        <v>640359909</v>
      </c>
      <c r="B30904" t="s">
        <v>10</v>
      </c>
    </row>
    <row r="30905" spans="1:2" x14ac:dyDescent="0.25">
      <c r="A30905">
        <v>6403599091</v>
      </c>
      <c r="B30905" t="s">
        <v>9298</v>
      </c>
    </row>
    <row r="30906" spans="1:2" x14ac:dyDescent="0.25">
      <c r="A30906">
        <v>64035990911</v>
      </c>
      <c r="B30906" t="s">
        <v>9258</v>
      </c>
    </row>
    <row r="30907" spans="1:2" x14ac:dyDescent="0.25">
      <c r="A30907">
        <v>64035990912</v>
      </c>
      <c r="B30907" t="s">
        <v>9259</v>
      </c>
    </row>
    <row r="30908" spans="1:2" x14ac:dyDescent="0.25">
      <c r="A30908">
        <v>64035990913</v>
      </c>
      <c r="B30908" t="s">
        <v>9260</v>
      </c>
    </row>
    <row r="30909" spans="1:2" x14ac:dyDescent="0.25">
      <c r="A30909">
        <v>64035990914</v>
      </c>
      <c r="B30909" t="s">
        <v>9261</v>
      </c>
    </row>
    <row r="30910" spans="1:2" x14ac:dyDescent="0.25">
      <c r="A30910">
        <v>64035990919</v>
      </c>
      <c r="B30910" t="s">
        <v>10</v>
      </c>
    </row>
    <row r="30911" spans="1:2" x14ac:dyDescent="0.25">
      <c r="A30911">
        <v>6403599092</v>
      </c>
      <c r="B30911" t="s">
        <v>9301</v>
      </c>
    </row>
    <row r="30912" spans="1:2" x14ac:dyDescent="0.25">
      <c r="A30912">
        <v>64035990921</v>
      </c>
      <c r="B30912" t="s">
        <v>9258</v>
      </c>
    </row>
    <row r="30913" spans="1:2" x14ac:dyDescent="0.25">
      <c r="A30913">
        <v>64035990922</v>
      </c>
      <c r="B30913" t="s">
        <v>9259</v>
      </c>
    </row>
    <row r="30914" spans="1:2" x14ac:dyDescent="0.25">
      <c r="A30914">
        <v>64035990923</v>
      </c>
      <c r="B30914" t="s">
        <v>9260</v>
      </c>
    </row>
    <row r="30915" spans="1:2" x14ac:dyDescent="0.25">
      <c r="A30915">
        <v>64035990924</v>
      </c>
      <c r="B30915" t="s">
        <v>9261</v>
      </c>
    </row>
    <row r="30916" spans="1:2" x14ac:dyDescent="0.25">
      <c r="A30916">
        <v>64035990929</v>
      </c>
      <c r="B30916" t="s">
        <v>10</v>
      </c>
    </row>
    <row r="30917" spans="1:2" x14ac:dyDescent="0.25">
      <c r="A30917">
        <v>6403599093</v>
      </c>
      <c r="B30917" t="s">
        <v>9302</v>
      </c>
    </row>
    <row r="30918" spans="1:2" x14ac:dyDescent="0.25">
      <c r="A30918">
        <v>64035990931</v>
      </c>
      <c r="B30918" t="s">
        <v>9258</v>
      </c>
    </row>
    <row r="30919" spans="1:2" x14ac:dyDescent="0.25">
      <c r="A30919">
        <v>64035990932</v>
      </c>
      <c r="B30919" t="s">
        <v>9259</v>
      </c>
    </row>
    <row r="30920" spans="1:2" x14ac:dyDescent="0.25">
      <c r="A30920">
        <v>64035990933</v>
      </c>
      <c r="B30920" t="s">
        <v>9260</v>
      </c>
    </row>
    <row r="30921" spans="1:2" x14ac:dyDescent="0.25">
      <c r="A30921">
        <v>64035990934</v>
      </c>
      <c r="B30921" t="s">
        <v>9261</v>
      </c>
    </row>
    <row r="30922" spans="1:2" x14ac:dyDescent="0.25">
      <c r="A30922">
        <v>64035990939</v>
      </c>
      <c r="B30922" t="s">
        <v>10</v>
      </c>
    </row>
    <row r="30923" spans="1:2" x14ac:dyDescent="0.25">
      <c r="A30923">
        <v>6403599099</v>
      </c>
      <c r="B30923" t="s">
        <v>10</v>
      </c>
    </row>
    <row r="30924" spans="1:2" x14ac:dyDescent="0.25">
      <c r="A30924">
        <v>64035990991</v>
      </c>
      <c r="B30924" t="s">
        <v>9258</v>
      </c>
    </row>
    <row r="30925" spans="1:2" x14ac:dyDescent="0.25">
      <c r="A30925">
        <v>64035990992</v>
      </c>
      <c r="B30925" t="s">
        <v>9259</v>
      </c>
    </row>
    <row r="30926" spans="1:2" x14ac:dyDescent="0.25">
      <c r="A30926">
        <v>64035990993</v>
      </c>
      <c r="B30926" t="s">
        <v>9260</v>
      </c>
    </row>
    <row r="30927" spans="1:2" x14ac:dyDescent="0.25">
      <c r="A30927">
        <v>64035990994</v>
      </c>
      <c r="B30927" t="s">
        <v>9261</v>
      </c>
    </row>
    <row r="30928" spans="1:2" x14ac:dyDescent="0.25">
      <c r="A30928">
        <v>64035990999</v>
      </c>
      <c r="B30928" t="s">
        <v>10</v>
      </c>
    </row>
    <row r="30929" spans="1:2" x14ac:dyDescent="0.25">
      <c r="A30929">
        <v>64039</v>
      </c>
      <c r="B30929" t="s">
        <v>9257</v>
      </c>
    </row>
    <row r="30930" spans="1:2" x14ac:dyDescent="0.25">
      <c r="A30930">
        <v>640391</v>
      </c>
      <c r="B30930" t="e">
        <f>- - que cubran el tobillo</f>
        <v>#NAME?</v>
      </c>
    </row>
    <row r="30931" spans="1:2" x14ac:dyDescent="0.25">
      <c r="A30931">
        <v>64039110</v>
      </c>
      <c r="B30931" t="s">
        <v>9305</v>
      </c>
    </row>
    <row r="30932" spans="1:2" x14ac:dyDescent="0.25">
      <c r="A30932">
        <v>64039110100</v>
      </c>
      <c r="B30932" t="s">
        <v>9298</v>
      </c>
    </row>
    <row r="30933" spans="1:2" x14ac:dyDescent="0.25">
      <c r="A30933">
        <v>64039110200</v>
      </c>
      <c r="B30933" t="s">
        <v>9301</v>
      </c>
    </row>
    <row r="30934" spans="1:2" x14ac:dyDescent="0.25">
      <c r="A30934">
        <v>64039110300</v>
      </c>
      <c r="B30934" t="s">
        <v>9302</v>
      </c>
    </row>
    <row r="30935" spans="1:2" x14ac:dyDescent="0.25">
      <c r="A30935">
        <v>64039110900</v>
      </c>
      <c r="B30935" t="s">
        <v>10</v>
      </c>
    </row>
    <row r="30936" spans="1:2" x14ac:dyDescent="0.25">
      <c r="A30936">
        <v>64039190</v>
      </c>
      <c r="B30936" t="s">
        <v>10</v>
      </c>
    </row>
    <row r="30937" spans="1:2" x14ac:dyDescent="0.25">
      <c r="A30937">
        <v>640391901</v>
      </c>
      <c r="B30937" t="s">
        <v>9289</v>
      </c>
    </row>
    <row r="30938" spans="1:2" x14ac:dyDescent="0.25">
      <c r="A30938">
        <v>6403919011</v>
      </c>
      <c r="B30938" t="s">
        <v>9298</v>
      </c>
    </row>
    <row r="30939" spans="1:2" x14ac:dyDescent="0.25">
      <c r="A30939">
        <v>64039190111</v>
      </c>
      <c r="B30939" t="s">
        <v>9275</v>
      </c>
    </row>
    <row r="30940" spans="1:2" x14ac:dyDescent="0.25">
      <c r="A30940">
        <v>64039190118</v>
      </c>
      <c r="B30940" t="s">
        <v>9279</v>
      </c>
    </row>
    <row r="30941" spans="1:2" x14ac:dyDescent="0.25">
      <c r="A30941">
        <v>64039190119</v>
      </c>
      <c r="B30941" t="s">
        <v>10</v>
      </c>
    </row>
    <row r="30942" spans="1:2" x14ac:dyDescent="0.25">
      <c r="A30942">
        <v>6403919012</v>
      </c>
      <c r="B30942" t="s">
        <v>9299</v>
      </c>
    </row>
    <row r="30943" spans="1:2" x14ac:dyDescent="0.25">
      <c r="A30943">
        <v>64039190121</v>
      </c>
      <c r="B30943" t="s">
        <v>9275</v>
      </c>
    </row>
    <row r="30944" spans="1:2" x14ac:dyDescent="0.25">
      <c r="A30944">
        <v>64039190128</v>
      </c>
      <c r="B30944" t="s">
        <v>9279</v>
      </c>
    </row>
    <row r="30945" spans="1:2" x14ac:dyDescent="0.25">
      <c r="A30945">
        <v>64039190129</v>
      </c>
      <c r="B30945" t="s">
        <v>10</v>
      </c>
    </row>
    <row r="30946" spans="1:2" x14ac:dyDescent="0.25">
      <c r="A30946">
        <v>6403919019</v>
      </c>
      <c r="B30946" t="s">
        <v>10</v>
      </c>
    </row>
    <row r="30947" spans="1:2" x14ac:dyDescent="0.25">
      <c r="A30947">
        <v>64039190191</v>
      </c>
      <c r="B30947" t="s">
        <v>9275</v>
      </c>
    </row>
    <row r="30948" spans="1:2" x14ac:dyDescent="0.25">
      <c r="A30948">
        <v>64039190198</v>
      </c>
      <c r="B30948" t="s">
        <v>9279</v>
      </c>
    </row>
    <row r="30949" spans="1:2" x14ac:dyDescent="0.25">
      <c r="A30949">
        <v>64039190199</v>
      </c>
      <c r="B30949" t="s">
        <v>10</v>
      </c>
    </row>
    <row r="30950" spans="1:2" x14ac:dyDescent="0.25">
      <c r="A30950">
        <v>640391902</v>
      </c>
      <c r="B30950" t="s">
        <v>9306</v>
      </c>
    </row>
    <row r="30951" spans="1:2" x14ac:dyDescent="0.25">
      <c r="A30951">
        <v>6403919021</v>
      </c>
      <c r="B30951" t="s">
        <v>9298</v>
      </c>
    </row>
    <row r="30952" spans="1:2" x14ac:dyDescent="0.25">
      <c r="A30952">
        <v>64039190211</v>
      </c>
      <c r="B30952" t="s">
        <v>9258</v>
      </c>
    </row>
    <row r="30953" spans="1:2" x14ac:dyDescent="0.25">
      <c r="A30953">
        <v>64039190212</v>
      </c>
      <c r="B30953" t="s">
        <v>9259</v>
      </c>
    </row>
    <row r="30954" spans="1:2" x14ac:dyDescent="0.25">
      <c r="A30954">
        <v>64039190213</v>
      </c>
      <c r="B30954" t="s">
        <v>9260</v>
      </c>
    </row>
    <row r="30955" spans="1:2" x14ac:dyDescent="0.25">
      <c r="A30955">
        <v>64039190214</v>
      </c>
      <c r="B30955" t="s">
        <v>9261</v>
      </c>
    </row>
    <row r="30956" spans="1:2" x14ac:dyDescent="0.25">
      <c r="A30956">
        <v>64039190219</v>
      </c>
      <c r="B30956" t="s">
        <v>10</v>
      </c>
    </row>
    <row r="30957" spans="1:2" x14ac:dyDescent="0.25">
      <c r="A30957">
        <v>6403919022</v>
      </c>
      <c r="B30957" t="s">
        <v>9301</v>
      </c>
    </row>
    <row r="30958" spans="1:2" x14ac:dyDescent="0.25">
      <c r="A30958">
        <v>64039190221</v>
      </c>
      <c r="B30958" t="s">
        <v>9258</v>
      </c>
    </row>
    <row r="30959" spans="1:2" x14ac:dyDescent="0.25">
      <c r="A30959">
        <v>64039190222</v>
      </c>
      <c r="B30959" t="s">
        <v>9259</v>
      </c>
    </row>
    <row r="30960" spans="1:2" x14ac:dyDescent="0.25">
      <c r="A30960">
        <v>64039190223</v>
      </c>
      <c r="B30960" t="s">
        <v>9260</v>
      </c>
    </row>
    <row r="30961" spans="1:2" x14ac:dyDescent="0.25">
      <c r="A30961">
        <v>64039190224</v>
      </c>
      <c r="B30961" t="s">
        <v>9261</v>
      </c>
    </row>
    <row r="30962" spans="1:2" x14ac:dyDescent="0.25">
      <c r="A30962">
        <v>64039190229</v>
      </c>
      <c r="B30962" t="s">
        <v>10</v>
      </c>
    </row>
    <row r="30963" spans="1:2" x14ac:dyDescent="0.25">
      <c r="A30963">
        <v>6403919023</v>
      </c>
      <c r="B30963" t="s">
        <v>9302</v>
      </c>
    </row>
    <row r="30964" spans="1:2" x14ac:dyDescent="0.25">
      <c r="A30964">
        <v>64039190231</v>
      </c>
      <c r="B30964" t="s">
        <v>9258</v>
      </c>
    </row>
    <row r="30965" spans="1:2" x14ac:dyDescent="0.25">
      <c r="A30965">
        <v>64039190232</v>
      </c>
      <c r="B30965" t="s">
        <v>9259</v>
      </c>
    </row>
    <row r="30966" spans="1:2" x14ac:dyDescent="0.25">
      <c r="A30966">
        <v>64039190233</v>
      </c>
      <c r="B30966" t="s">
        <v>9260</v>
      </c>
    </row>
    <row r="30967" spans="1:2" x14ac:dyDescent="0.25">
      <c r="A30967">
        <v>64039190234</v>
      </c>
      <c r="B30967" t="s">
        <v>9261</v>
      </c>
    </row>
    <row r="30968" spans="1:2" x14ac:dyDescent="0.25">
      <c r="A30968">
        <v>64039190239</v>
      </c>
      <c r="B30968" t="s">
        <v>10</v>
      </c>
    </row>
    <row r="30969" spans="1:2" x14ac:dyDescent="0.25">
      <c r="A30969">
        <v>6403919029</v>
      </c>
      <c r="B30969" t="s">
        <v>10</v>
      </c>
    </row>
    <row r="30970" spans="1:2" x14ac:dyDescent="0.25">
      <c r="A30970">
        <v>64039190291</v>
      </c>
      <c r="B30970" t="s">
        <v>9258</v>
      </c>
    </row>
    <row r="30971" spans="1:2" x14ac:dyDescent="0.25">
      <c r="A30971">
        <v>64039190292</v>
      </c>
      <c r="B30971" t="s">
        <v>9259</v>
      </c>
    </row>
    <row r="30972" spans="1:2" x14ac:dyDescent="0.25">
      <c r="A30972">
        <v>64039190293</v>
      </c>
      <c r="B30972" t="s">
        <v>9260</v>
      </c>
    </row>
    <row r="30973" spans="1:2" x14ac:dyDescent="0.25">
      <c r="A30973">
        <v>64039190294</v>
      </c>
      <c r="B30973" t="s">
        <v>9261</v>
      </c>
    </row>
    <row r="30974" spans="1:2" x14ac:dyDescent="0.25">
      <c r="A30974">
        <v>64039190299</v>
      </c>
      <c r="B30974" t="s">
        <v>10</v>
      </c>
    </row>
    <row r="30975" spans="1:2" x14ac:dyDescent="0.25">
      <c r="A30975">
        <v>640391908</v>
      </c>
      <c r="B30975" t="s">
        <v>9279</v>
      </c>
    </row>
    <row r="30976" spans="1:2" x14ac:dyDescent="0.25">
      <c r="A30976">
        <v>6403919081</v>
      </c>
      <c r="B30976" t="s">
        <v>9298</v>
      </c>
    </row>
    <row r="30977" spans="1:2" x14ac:dyDescent="0.25">
      <c r="A30977">
        <v>64039190811</v>
      </c>
      <c r="B30977" t="s">
        <v>9258</v>
      </c>
    </row>
    <row r="30978" spans="1:2" x14ac:dyDescent="0.25">
      <c r="A30978">
        <v>64039190812</v>
      </c>
      <c r="B30978" t="s">
        <v>9259</v>
      </c>
    </row>
    <row r="30979" spans="1:2" x14ac:dyDescent="0.25">
      <c r="A30979">
        <v>64039190813</v>
      </c>
      <c r="B30979" t="s">
        <v>9260</v>
      </c>
    </row>
    <row r="30980" spans="1:2" x14ac:dyDescent="0.25">
      <c r="A30980">
        <v>64039190814</v>
      </c>
      <c r="B30980" t="s">
        <v>9261</v>
      </c>
    </row>
    <row r="30981" spans="1:2" x14ac:dyDescent="0.25">
      <c r="A30981">
        <v>64039190819</v>
      </c>
      <c r="B30981" t="s">
        <v>10</v>
      </c>
    </row>
    <row r="30982" spans="1:2" x14ac:dyDescent="0.25">
      <c r="A30982">
        <v>6403919083</v>
      </c>
      <c r="B30982" t="s">
        <v>9302</v>
      </c>
    </row>
    <row r="30983" spans="1:2" x14ac:dyDescent="0.25">
      <c r="A30983">
        <v>64039190831</v>
      </c>
      <c r="B30983" t="s">
        <v>9258</v>
      </c>
    </row>
    <row r="30984" spans="1:2" x14ac:dyDescent="0.25">
      <c r="A30984">
        <v>64039190832</v>
      </c>
      <c r="B30984" t="s">
        <v>9259</v>
      </c>
    </row>
    <row r="30985" spans="1:2" x14ac:dyDescent="0.25">
      <c r="A30985">
        <v>64039190833</v>
      </c>
      <c r="B30985" t="s">
        <v>9260</v>
      </c>
    </row>
    <row r="30986" spans="1:2" x14ac:dyDescent="0.25">
      <c r="A30986">
        <v>64039190834</v>
      </c>
      <c r="B30986" t="s">
        <v>9307</v>
      </c>
    </row>
    <row r="30987" spans="1:2" x14ac:dyDescent="0.25">
      <c r="A30987">
        <v>64039190839</v>
      </c>
      <c r="B30987" t="s">
        <v>10</v>
      </c>
    </row>
    <row r="30988" spans="1:2" x14ac:dyDescent="0.25">
      <c r="A30988">
        <v>64039190890</v>
      </c>
      <c r="B30988" t="s">
        <v>10</v>
      </c>
    </row>
    <row r="30989" spans="1:2" x14ac:dyDescent="0.25">
      <c r="A30989">
        <v>640391909</v>
      </c>
      <c r="B30989" t="s">
        <v>10</v>
      </c>
    </row>
    <row r="30990" spans="1:2" x14ac:dyDescent="0.25">
      <c r="A30990">
        <v>6403919091</v>
      </c>
      <c r="B30990" t="s">
        <v>9298</v>
      </c>
    </row>
    <row r="30991" spans="1:2" x14ac:dyDescent="0.25">
      <c r="A30991">
        <v>64039190911</v>
      </c>
      <c r="B30991" t="s">
        <v>9258</v>
      </c>
    </row>
    <row r="30992" spans="1:2" x14ac:dyDescent="0.25">
      <c r="A30992">
        <v>64039190912</v>
      </c>
      <c r="B30992" t="s">
        <v>9259</v>
      </c>
    </row>
    <row r="30993" spans="1:2" x14ac:dyDescent="0.25">
      <c r="A30993">
        <v>64039190913</v>
      </c>
      <c r="B30993" t="s">
        <v>9260</v>
      </c>
    </row>
    <row r="30994" spans="1:2" x14ac:dyDescent="0.25">
      <c r="A30994">
        <v>64039190914</v>
      </c>
      <c r="B30994" t="s">
        <v>9261</v>
      </c>
    </row>
    <row r="30995" spans="1:2" x14ac:dyDescent="0.25">
      <c r="A30995">
        <v>64039190919</v>
      </c>
      <c r="B30995" t="s">
        <v>10</v>
      </c>
    </row>
    <row r="30996" spans="1:2" x14ac:dyDescent="0.25">
      <c r="A30996">
        <v>6403919092</v>
      </c>
      <c r="B30996" t="s">
        <v>9301</v>
      </c>
    </row>
    <row r="30997" spans="1:2" x14ac:dyDescent="0.25">
      <c r="A30997">
        <v>64039190921</v>
      </c>
      <c r="B30997" t="s">
        <v>9258</v>
      </c>
    </row>
    <row r="30998" spans="1:2" x14ac:dyDescent="0.25">
      <c r="A30998">
        <v>64039190922</v>
      </c>
      <c r="B30998" t="s">
        <v>9259</v>
      </c>
    </row>
    <row r="30999" spans="1:2" x14ac:dyDescent="0.25">
      <c r="A30999">
        <v>64039190923</v>
      </c>
      <c r="B30999" t="s">
        <v>9260</v>
      </c>
    </row>
    <row r="31000" spans="1:2" x14ac:dyDescent="0.25">
      <c r="A31000">
        <v>64039190924</v>
      </c>
      <c r="B31000" t="s">
        <v>9261</v>
      </c>
    </row>
    <row r="31001" spans="1:2" x14ac:dyDescent="0.25">
      <c r="A31001">
        <v>64039190929</v>
      </c>
      <c r="B31001" t="s">
        <v>10</v>
      </c>
    </row>
    <row r="31002" spans="1:2" x14ac:dyDescent="0.25">
      <c r="A31002">
        <v>6403919093</v>
      </c>
      <c r="B31002" t="s">
        <v>9302</v>
      </c>
    </row>
    <row r="31003" spans="1:2" x14ac:dyDescent="0.25">
      <c r="A31003">
        <v>64039190931</v>
      </c>
      <c r="B31003" t="s">
        <v>9258</v>
      </c>
    </row>
    <row r="31004" spans="1:2" x14ac:dyDescent="0.25">
      <c r="A31004">
        <v>64039190932</v>
      </c>
      <c r="B31004" t="s">
        <v>9259</v>
      </c>
    </row>
    <row r="31005" spans="1:2" x14ac:dyDescent="0.25">
      <c r="A31005">
        <v>64039190933</v>
      </c>
      <c r="B31005" t="s">
        <v>9260</v>
      </c>
    </row>
    <row r="31006" spans="1:2" x14ac:dyDescent="0.25">
      <c r="A31006">
        <v>64039190934</v>
      </c>
      <c r="B31006" t="s">
        <v>9261</v>
      </c>
    </row>
    <row r="31007" spans="1:2" x14ac:dyDescent="0.25">
      <c r="A31007">
        <v>64039190939</v>
      </c>
      <c r="B31007" t="s">
        <v>10</v>
      </c>
    </row>
    <row r="31008" spans="1:2" x14ac:dyDescent="0.25">
      <c r="A31008">
        <v>6403919099</v>
      </c>
      <c r="B31008" t="s">
        <v>10</v>
      </c>
    </row>
    <row r="31009" spans="1:2" x14ac:dyDescent="0.25">
      <c r="A31009">
        <v>64039190991</v>
      </c>
      <c r="B31009" t="s">
        <v>9258</v>
      </c>
    </row>
    <row r="31010" spans="1:2" x14ac:dyDescent="0.25">
      <c r="A31010">
        <v>64039190992</v>
      </c>
      <c r="B31010" t="s">
        <v>9259</v>
      </c>
    </row>
    <row r="31011" spans="1:2" x14ac:dyDescent="0.25">
      <c r="A31011">
        <v>64039190993</v>
      </c>
      <c r="B31011" t="s">
        <v>9260</v>
      </c>
    </row>
    <row r="31012" spans="1:2" x14ac:dyDescent="0.25">
      <c r="A31012">
        <v>64039190994</v>
      </c>
      <c r="B31012" t="s">
        <v>9261</v>
      </c>
    </row>
    <row r="31013" spans="1:2" x14ac:dyDescent="0.25">
      <c r="A31013">
        <v>64039190999</v>
      </c>
      <c r="B31013" t="s">
        <v>10</v>
      </c>
    </row>
    <row r="31014" spans="1:2" x14ac:dyDescent="0.25">
      <c r="A31014">
        <v>640399</v>
      </c>
      <c r="B31014" t="e">
        <f>- - Los demas</f>
        <v>#NAME?</v>
      </c>
    </row>
    <row r="31015" spans="1:2" x14ac:dyDescent="0.25">
      <c r="A31015">
        <v>64039910</v>
      </c>
      <c r="B31015" t="s">
        <v>9305</v>
      </c>
    </row>
    <row r="31016" spans="1:2" x14ac:dyDescent="0.25">
      <c r="A31016">
        <v>64039910100</v>
      </c>
      <c r="B31016" t="s">
        <v>9298</v>
      </c>
    </row>
    <row r="31017" spans="1:2" x14ac:dyDescent="0.25">
      <c r="A31017">
        <v>64039910200</v>
      </c>
      <c r="B31017" t="s">
        <v>9301</v>
      </c>
    </row>
    <row r="31018" spans="1:2" x14ac:dyDescent="0.25">
      <c r="A31018">
        <v>64039910300</v>
      </c>
      <c r="B31018" t="s">
        <v>9302</v>
      </c>
    </row>
    <row r="31019" spans="1:2" x14ac:dyDescent="0.25">
      <c r="A31019">
        <v>64039910900</v>
      </c>
      <c r="B31019" t="s">
        <v>10</v>
      </c>
    </row>
    <row r="31020" spans="1:2" x14ac:dyDescent="0.25">
      <c r="A31020">
        <v>64039990</v>
      </c>
      <c r="B31020" t="s">
        <v>10</v>
      </c>
    </row>
    <row r="31021" spans="1:2" x14ac:dyDescent="0.25">
      <c r="A31021">
        <v>640399901</v>
      </c>
      <c r="B31021" t="s">
        <v>9293</v>
      </c>
    </row>
    <row r="31022" spans="1:2" x14ac:dyDescent="0.25">
      <c r="A31022">
        <v>6403999011</v>
      </c>
      <c r="B31022" t="s">
        <v>9308</v>
      </c>
    </row>
    <row r="31023" spans="1:2" x14ac:dyDescent="0.25">
      <c r="A31023">
        <v>64039990111</v>
      </c>
      <c r="B31023" t="s">
        <v>9258</v>
      </c>
    </row>
    <row r="31024" spans="1:2" x14ac:dyDescent="0.25">
      <c r="A31024">
        <v>64039990112</v>
      </c>
      <c r="B31024" t="s">
        <v>9259</v>
      </c>
    </row>
    <row r="31025" spans="1:2" x14ac:dyDescent="0.25">
      <c r="A31025">
        <v>64039990113</v>
      </c>
      <c r="B31025" t="s">
        <v>9260</v>
      </c>
    </row>
    <row r="31026" spans="1:2" x14ac:dyDescent="0.25">
      <c r="A31026">
        <v>64039990114</v>
      </c>
      <c r="B31026" t="s">
        <v>9261</v>
      </c>
    </row>
    <row r="31027" spans="1:2" x14ac:dyDescent="0.25">
      <c r="A31027">
        <v>64039990119</v>
      </c>
      <c r="B31027" t="s">
        <v>10</v>
      </c>
    </row>
    <row r="31028" spans="1:2" x14ac:dyDescent="0.25">
      <c r="A31028">
        <v>6403999012</v>
      </c>
      <c r="B31028" t="s">
        <v>9301</v>
      </c>
    </row>
    <row r="31029" spans="1:2" x14ac:dyDescent="0.25">
      <c r="A31029">
        <v>64039990121</v>
      </c>
      <c r="B31029" t="s">
        <v>9258</v>
      </c>
    </row>
    <row r="31030" spans="1:2" x14ac:dyDescent="0.25">
      <c r="A31030">
        <v>64039990122</v>
      </c>
      <c r="B31030" t="s">
        <v>9259</v>
      </c>
    </row>
    <row r="31031" spans="1:2" x14ac:dyDescent="0.25">
      <c r="A31031">
        <v>64039990123</v>
      </c>
      <c r="B31031" t="s">
        <v>9260</v>
      </c>
    </row>
    <row r="31032" spans="1:2" x14ac:dyDescent="0.25">
      <c r="A31032">
        <v>64039990124</v>
      </c>
      <c r="B31032" t="s">
        <v>9261</v>
      </c>
    </row>
    <row r="31033" spans="1:2" x14ac:dyDescent="0.25">
      <c r="A31033">
        <v>64039990129</v>
      </c>
      <c r="B31033" t="s">
        <v>10</v>
      </c>
    </row>
    <row r="31034" spans="1:2" x14ac:dyDescent="0.25">
      <c r="A31034">
        <v>6403999013</v>
      </c>
      <c r="B31034" t="s">
        <v>9309</v>
      </c>
    </row>
    <row r="31035" spans="1:2" x14ac:dyDescent="0.25">
      <c r="A31035">
        <v>64039990131</v>
      </c>
      <c r="B31035" t="s">
        <v>9258</v>
      </c>
    </row>
    <row r="31036" spans="1:2" x14ac:dyDescent="0.25">
      <c r="A31036">
        <v>64039990132</v>
      </c>
      <c r="B31036" t="s">
        <v>9259</v>
      </c>
    </row>
    <row r="31037" spans="1:2" x14ac:dyDescent="0.25">
      <c r="A31037">
        <v>64039990133</v>
      </c>
      <c r="B31037" t="s">
        <v>9260</v>
      </c>
    </row>
    <row r="31038" spans="1:2" x14ac:dyDescent="0.25">
      <c r="A31038">
        <v>64039990134</v>
      </c>
      <c r="B31038" t="s">
        <v>9261</v>
      </c>
    </row>
    <row r="31039" spans="1:2" x14ac:dyDescent="0.25">
      <c r="A31039">
        <v>64039990139</v>
      </c>
      <c r="B31039" t="s">
        <v>10</v>
      </c>
    </row>
    <row r="31040" spans="1:2" x14ac:dyDescent="0.25">
      <c r="A31040">
        <v>6403999014</v>
      </c>
      <c r="B31040" t="s">
        <v>9310</v>
      </c>
    </row>
    <row r="31041" spans="1:2" x14ac:dyDescent="0.25">
      <c r="A31041">
        <v>64039990141</v>
      </c>
      <c r="B31041" t="s">
        <v>9258</v>
      </c>
    </row>
    <row r="31042" spans="1:2" x14ac:dyDescent="0.25">
      <c r="A31042">
        <v>64039990142</v>
      </c>
      <c r="B31042" t="s">
        <v>9259</v>
      </c>
    </row>
    <row r="31043" spans="1:2" x14ac:dyDescent="0.25">
      <c r="A31043">
        <v>64039990143</v>
      </c>
      <c r="B31043" t="s">
        <v>9260</v>
      </c>
    </row>
    <row r="31044" spans="1:2" x14ac:dyDescent="0.25">
      <c r="A31044">
        <v>64039990144</v>
      </c>
      <c r="B31044" t="s">
        <v>9261</v>
      </c>
    </row>
    <row r="31045" spans="1:2" x14ac:dyDescent="0.25">
      <c r="A31045">
        <v>64039990149</v>
      </c>
      <c r="B31045" t="s">
        <v>10</v>
      </c>
    </row>
    <row r="31046" spans="1:2" x14ac:dyDescent="0.25">
      <c r="A31046">
        <v>6403999016</v>
      </c>
      <c r="B31046" t="s">
        <v>9311</v>
      </c>
    </row>
    <row r="31047" spans="1:2" x14ac:dyDescent="0.25">
      <c r="A31047">
        <v>64039990161</v>
      </c>
      <c r="B31047" t="s">
        <v>9258</v>
      </c>
    </row>
    <row r="31048" spans="1:2" x14ac:dyDescent="0.25">
      <c r="A31048">
        <v>64039990162</v>
      </c>
      <c r="B31048" t="s">
        <v>9259</v>
      </c>
    </row>
    <row r="31049" spans="1:2" x14ac:dyDescent="0.25">
      <c r="A31049">
        <v>64039990163</v>
      </c>
      <c r="B31049" t="s">
        <v>9260</v>
      </c>
    </row>
    <row r="31050" spans="1:2" x14ac:dyDescent="0.25">
      <c r="A31050">
        <v>64039990164</v>
      </c>
      <c r="B31050" t="s">
        <v>9261</v>
      </c>
    </row>
    <row r="31051" spans="1:2" x14ac:dyDescent="0.25">
      <c r="A31051">
        <v>64039990169</v>
      </c>
      <c r="B31051" t="s">
        <v>10</v>
      </c>
    </row>
    <row r="31052" spans="1:2" x14ac:dyDescent="0.25">
      <c r="A31052">
        <v>6403999019</v>
      </c>
      <c r="B31052" t="s">
        <v>10</v>
      </c>
    </row>
    <row r="31053" spans="1:2" x14ac:dyDescent="0.25">
      <c r="A31053">
        <v>64039990191</v>
      </c>
      <c r="B31053" t="s">
        <v>9258</v>
      </c>
    </row>
    <row r="31054" spans="1:2" x14ac:dyDescent="0.25">
      <c r="A31054">
        <v>64039990192</v>
      </c>
      <c r="B31054" t="s">
        <v>9259</v>
      </c>
    </row>
    <row r="31055" spans="1:2" x14ac:dyDescent="0.25">
      <c r="A31055">
        <v>64039990193</v>
      </c>
      <c r="B31055" t="s">
        <v>9260</v>
      </c>
    </row>
    <row r="31056" spans="1:2" x14ac:dyDescent="0.25">
      <c r="A31056">
        <v>64039990194</v>
      </c>
      <c r="B31056" t="s">
        <v>9261</v>
      </c>
    </row>
    <row r="31057" spans="1:2" x14ac:dyDescent="0.25">
      <c r="A31057">
        <v>64039990199</v>
      </c>
      <c r="B31057" t="s">
        <v>10</v>
      </c>
    </row>
    <row r="31058" spans="1:2" x14ac:dyDescent="0.25">
      <c r="A31058">
        <v>640399902</v>
      </c>
      <c r="B31058" t="s">
        <v>9289</v>
      </c>
    </row>
    <row r="31059" spans="1:2" x14ac:dyDescent="0.25">
      <c r="A31059">
        <v>6403999021</v>
      </c>
      <c r="B31059" t="s">
        <v>9298</v>
      </c>
    </row>
    <row r="31060" spans="1:2" x14ac:dyDescent="0.25">
      <c r="A31060">
        <v>64039990211</v>
      </c>
      <c r="B31060" t="s">
        <v>9275</v>
      </c>
    </row>
    <row r="31061" spans="1:2" x14ac:dyDescent="0.25">
      <c r="A31061">
        <v>64039990218</v>
      </c>
      <c r="B31061" t="s">
        <v>9279</v>
      </c>
    </row>
    <row r="31062" spans="1:2" x14ac:dyDescent="0.25">
      <c r="A31062">
        <v>64039990219</v>
      </c>
      <c r="B31062" t="s">
        <v>10</v>
      </c>
    </row>
    <row r="31063" spans="1:2" x14ac:dyDescent="0.25">
      <c r="A31063">
        <v>6403999022</v>
      </c>
      <c r="B31063" t="s">
        <v>9299</v>
      </c>
    </row>
    <row r="31064" spans="1:2" x14ac:dyDescent="0.25">
      <c r="A31064">
        <v>64039990221</v>
      </c>
      <c r="B31064" t="s">
        <v>9275</v>
      </c>
    </row>
    <row r="31065" spans="1:2" x14ac:dyDescent="0.25">
      <c r="A31065">
        <v>64039990228</v>
      </c>
      <c r="B31065" t="s">
        <v>9279</v>
      </c>
    </row>
    <row r="31066" spans="1:2" x14ac:dyDescent="0.25">
      <c r="A31066">
        <v>64039990229</v>
      </c>
      <c r="B31066" t="s">
        <v>10</v>
      </c>
    </row>
    <row r="31067" spans="1:2" x14ac:dyDescent="0.25">
      <c r="A31067">
        <v>6403999029</v>
      </c>
      <c r="B31067" t="s">
        <v>10</v>
      </c>
    </row>
    <row r="31068" spans="1:2" x14ac:dyDescent="0.25">
      <c r="A31068">
        <v>64039990291</v>
      </c>
      <c r="B31068" t="s">
        <v>9275</v>
      </c>
    </row>
    <row r="31069" spans="1:2" x14ac:dyDescent="0.25">
      <c r="A31069">
        <v>64039990298</v>
      </c>
      <c r="B31069" t="s">
        <v>9279</v>
      </c>
    </row>
    <row r="31070" spans="1:2" x14ac:dyDescent="0.25">
      <c r="A31070">
        <v>64039990299</v>
      </c>
      <c r="B31070" t="s">
        <v>10</v>
      </c>
    </row>
    <row r="31071" spans="1:2" x14ac:dyDescent="0.25">
      <c r="A31071">
        <v>640399903</v>
      </c>
      <c r="B31071" t="s">
        <v>9294</v>
      </c>
    </row>
    <row r="31072" spans="1:2" x14ac:dyDescent="0.25">
      <c r="A31072">
        <v>6403999031</v>
      </c>
      <c r="B31072" t="s">
        <v>9298</v>
      </c>
    </row>
    <row r="31073" spans="1:2" x14ac:dyDescent="0.25">
      <c r="A31073">
        <v>64039990311</v>
      </c>
      <c r="B31073" t="s">
        <v>9258</v>
      </c>
    </row>
    <row r="31074" spans="1:2" x14ac:dyDescent="0.25">
      <c r="A31074">
        <v>64039990312</v>
      </c>
      <c r="B31074" t="s">
        <v>9259</v>
      </c>
    </row>
    <row r="31075" spans="1:2" x14ac:dyDescent="0.25">
      <c r="A31075">
        <v>64039990313</v>
      </c>
      <c r="B31075" t="s">
        <v>9260</v>
      </c>
    </row>
    <row r="31076" spans="1:2" x14ac:dyDescent="0.25">
      <c r="A31076">
        <v>64039990314</v>
      </c>
      <c r="B31076" t="s">
        <v>9261</v>
      </c>
    </row>
    <row r="31077" spans="1:2" x14ac:dyDescent="0.25">
      <c r="A31077">
        <v>64039990319</v>
      </c>
      <c r="B31077" t="s">
        <v>10</v>
      </c>
    </row>
    <row r="31078" spans="1:2" x14ac:dyDescent="0.25">
      <c r="A31078">
        <v>6403999032</v>
      </c>
      <c r="B31078" t="s">
        <v>9301</v>
      </c>
    </row>
    <row r="31079" spans="1:2" x14ac:dyDescent="0.25">
      <c r="A31079">
        <v>64039990321</v>
      </c>
      <c r="B31079" t="s">
        <v>9258</v>
      </c>
    </row>
    <row r="31080" spans="1:2" x14ac:dyDescent="0.25">
      <c r="A31080">
        <v>64039990322</v>
      </c>
      <c r="B31080" t="s">
        <v>9259</v>
      </c>
    </row>
    <row r="31081" spans="1:2" x14ac:dyDescent="0.25">
      <c r="A31081">
        <v>64039990323</v>
      </c>
      <c r="B31081" t="s">
        <v>9260</v>
      </c>
    </row>
    <row r="31082" spans="1:2" x14ac:dyDescent="0.25">
      <c r="A31082">
        <v>64039990324</v>
      </c>
      <c r="B31082" t="s">
        <v>9261</v>
      </c>
    </row>
    <row r="31083" spans="1:2" x14ac:dyDescent="0.25">
      <c r="A31083">
        <v>64039990329</v>
      </c>
      <c r="B31083" t="s">
        <v>10</v>
      </c>
    </row>
    <row r="31084" spans="1:2" x14ac:dyDescent="0.25">
      <c r="A31084">
        <v>6403999033</v>
      </c>
      <c r="B31084" t="s">
        <v>9302</v>
      </c>
    </row>
    <row r="31085" spans="1:2" x14ac:dyDescent="0.25">
      <c r="A31085">
        <v>64039990331</v>
      </c>
      <c r="B31085" t="s">
        <v>9258</v>
      </c>
    </row>
    <row r="31086" spans="1:2" x14ac:dyDescent="0.25">
      <c r="A31086">
        <v>64039990332</v>
      </c>
      <c r="B31086" t="s">
        <v>9259</v>
      </c>
    </row>
    <row r="31087" spans="1:2" x14ac:dyDescent="0.25">
      <c r="A31087">
        <v>64039990333</v>
      </c>
      <c r="B31087" t="s">
        <v>9260</v>
      </c>
    </row>
    <row r="31088" spans="1:2" x14ac:dyDescent="0.25">
      <c r="A31088">
        <v>64039990334</v>
      </c>
      <c r="B31088" t="s">
        <v>9261</v>
      </c>
    </row>
    <row r="31089" spans="1:2" x14ac:dyDescent="0.25">
      <c r="A31089">
        <v>64039990339</v>
      </c>
      <c r="B31089" t="s">
        <v>10</v>
      </c>
    </row>
    <row r="31090" spans="1:2" x14ac:dyDescent="0.25">
      <c r="A31090">
        <v>6403999039</v>
      </c>
      <c r="B31090" t="s">
        <v>10</v>
      </c>
    </row>
    <row r="31091" spans="1:2" x14ac:dyDescent="0.25">
      <c r="A31091">
        <v>64039990391</v>
      </c>
      <c r="B31091" t="s">
        <v>9258</v>
      </c>
    </row>
    <row r="31092" spans="1:2" x14ac:dyDescent="0.25">
      <c r="A31092">
        <v>64039990392</v>
      </c>
      <c r="B31092" t="s">
        <v>9259</v>
      </c>
    </row>
    <row r="31093" spans="1:2" x14ac:dyDescent="0.25">
      <c r="A31093">
        <v>64039990393</v>
      </c>
      <c r="B31093" t="s">
        <v>9260</v>
      </c>
    </row>
    <row r="31094" spans="1:2" x14ac:dyDescent="0.25">
      <c r="A31094">
        <v>64039990394</v>
      </c>
      <c r="B31094" t="s">
        <v>9261</v>
      </c>
    </row>
    <row r="31095" spans="1:2" x14ac:dyDescent="0.25">
      <c r="A31095">
        <v>64039990399</v>
      </c>
      <c r="B31095" t="s">
        <v>10</v>
      </c>
    </row>
    <row r="31096" spans="1:2" x14ac:dyDescent="0.25">
      <c r="A31096">
        <v>640399908</v>
      </c>
      <c r="B31096" t="s">
        <v>9279</v>
      </c>
    </row>
    <row r="31097" spans="1:2" x14ac:dyDescent="0.25">
      <c r="A31097">
        <v>6403999081</v>
      </c>
      <c r="B31097" t="s">
        <v>9298</v>
      </c>
    </row>
    <row r="31098" spans="1:2" x14ac:dyDescent="0.25">
      <c r="A31098">
        <v>64039990811</v>
      </c>
      <c r="B31098" t="s">
        <v>9258</v>
      </c>
    </row>
    <row r="31099" spans="1:2" x14ac:dyDescent="0.25">
      <c r="A31099">
        <v>64039990812</v>
      </c>
      <c r="B31099" t="s">
        <v>9259</v>
      </c>
    </row>
    <row r="31100" spans="1:2" x14ac:dyDescent="0.25">
      <c r="A31100">
        <v>64039990813</v>
      </c>
      <c r="B31100" t="s">
        <v>9260</v>
      </c>
    </row>
    <row r="31101" spans="1:2" x14ac:dyDescent="0.25">
      <c r="A31101">
        <v>64039990814</v>
      </c>
      <c r="B31101" t="s">
        <v>9261</v>
      </c>
    </row>
    <row r="31102" spans="1:2" x14ac:dyDescent="0.25">
      <c r="A31102">
        <v>64039990819</v>
      </c>
      <c r="B31102" t="s">
        <v>10</v>
      </c>
    </row>
    <row r="31103" spans="1:2" x14ac:dyDescent="0.25">
      <c r="A31103">
        <v>6403999083</v>
      </c>
      <c r="B31103" t="s">
        <v>9302</v>
      </c>
    </row>
    <row r="31104" spans="1:2" x14ac:dyDescent="0.25">
      <c r="A31104">
        <v>64039990831</v>
      </c>
      <c r="B31104" t="s">
        <v>9258</v>
      </c>
    </row>
    <row r="31105" spans="1:2" x14ac:dyDescent="0.25">
      <c r="A31105">
        <v>64039990832</v>
      </c>
      <c r="B31105" t="s">
        <v>9259</v>
      </c>
    </row>
    <row r="31106" spans="1:2" x14ac:dyDescent="0.25">
      <c r="A31106">
        <v>64039990833</v>
      </c>
      <c r="B31106" t="s">
        <v>9260</v>
      </c>
    </row>
    <row r="31107" spans="1:2" x14ac:dyDescent="0.25">
      <c r="A31107">
        <v>64039990834</v>
      </c>
      <c r="B31107" t="s">
        <v>9261</v>
      </c>
    </row>
    <row r="31108" spans="1:2" x14ac:dyDescent="0.25">
      <c r="A31108">
        <v>64039990839</v>
      </c>
      <c r="B31108" t="s">
        <v>10</v>
      </c>
    </row>
    <row r="31109" spans="1:2" x14ac:dyDescent="0.25">
      <c r="A31109">
        <v>6403999089</v>
      </c>
      <c r="B31109" t="s">
        <v>10</v>
      </c>
    </row>
    <row r="31110" spans="1:2" x14ac:dyDescent="0.25">
      <c r="A31110">
        <v>64039990891</v>
      </c>
      <c r="B31110" t="s">
        <v>9258</v>
      </c>
    </row>
    <row r="31111" spans="1:2" x14ac:dyDescent="0.25">
      <c r="A31111">
        <v>64039990892</v>
      </c>
      <c r="B31111" t="s">
        <v>9259</v>
      </c>
    </row>
    <row r="31112" spans="1:2" x14ac:dyDescent="0.25">
      <c r="A31112">
        <v>64039990893</v>
      </c>
      <c r="B31112" t="s">
        <v>9260</v>
      </c>
    </row>
    <row r="31113" spans="1:2" x14ac:dyDescent="0.25">
      <c r="A31113">
        <v>64039990894</v>
      </c>
      <c r="B31113" t="s">
        <v>9261</v>
      </c>
    </row>
    <row r="31114" spans="1:2" x14ac:dyDescent="0.25">
      <c r="A31114">
        <v>64039990899</v>
      </c>
      <c r="B31114" t="s">
        <v>10</v>
      </c>
    </row>
    <row r="31115" spans="1:2" x14ac:dyDescent="0.25">
      <c r="A31115">
        <v>640399909</v>
      </c>
      <c r="B31115" t="s">
        <v>10</v>
      </c>
    </row>
    <row r="31116" spans="1:2" x14ac:dyDescent="0.25">
      <c r="A31116">
        <v>6403999091</v>
      </c>
      <c r="B31116" t="s">
        <v>9298</v>
      </c>
    </row>
    <row r="31117" spans="1:2" x14ac:dyDescent="0.25">
      <c r="A31117">
        <v>64039990911</v>
      </c>
      <c r="B31117" t="s">
        <v>9258</v>
      </c>
    </row>
    <row r="31118" spans="1:2" x14ac:dyDescent="0.25">
      <c r="A31118">
        <v>64039990912</v>
      </c>
      <c r="B31118" t="s">
        <v>9259</v>
      </c>
    </row>
    <row r="31119" spans="1:2" x14ac:dyDescent="0.25">
      <c r="A31119">
        <v>64039990913</v>
      </c>
      <c r="B31119" t="s">
        <v>9260</v>
      </c>
    </row>
    <row r="31120" spans="1:2" x14ac:dyDescent="0.25">
      <c r="A31120">
        <v>64039990914</v>
      </c>
      <c r="B31120" t="s">
        <v>9261</v>
      </c>
    </row>
    <row r="31121" spans="1:2" x14ac:dyDescent="0.25">
      <c r="A31121">
        <v>64039990919</v>
      </c>
      <c r="B31121" t="s">
        <v>10</v>
      </c>
    </row>
    <row r="31122" spans="1:2" x14ac:dyDescent="0.25">
      <c r="A31122">
        <v>6403999092</v>
      </c>
      <c r="B31122" t="s">
        <v>9301</v>
      </c>
    </row>
    <row r="31123" spans="1:2" x14ac:dyDescent="0.25">
      <c r="A31123">
        <v>64039990921</v>
      </c>
      <c r="B31123" t="s">
        <v>9258</v>
      </c>
    </row>
    <row r="31124" spans="1:2" x14ac:dyDescent="0.25">
      <c r="A31124">
        <v>64039990922</v>
      </c>
      <c r="B31124" t="s">
        <v>9259</v>
      </c>
    </row>
    <row r="31125" spans="1:2" x14ac:dyDescent="0.25">
      <c r="A31125">
        <v>64039990923</v>
      </c>
      <c r="B31125" t="s">
        <v>9260</v>
      </c>
    </row>
    <row r="31126" spans="1:2" x14ac:dyDescent="0.25">
      <c r="A31126">
        <v>64039990924</v>
      </c>
      <c r="B31126" t="s">
        <v>9261</v>
      </c>
    </row>
    <row r="31127" spans="1:2" x14ac:dyDescent="0.25">
      <c r="A31127">
        <v>64039990929</v>
      </c>
      <c r="B31127" t="s">
        <v>10</v>
      </c>
    </row>
    <row r="31128" spans="1:2" x14ac:dyDescent="0.25">
      <c r="A31128">
        <v>6403999093</v>
      </c>
      <c r="B31128" t="s">
        <v>9302</v>
      </c>
    </row>
    <row r="31129" spans="1:2" x14ac:dyDescent="0.25">
      <c r="A31129">
        <v>64039990931</v>
      </c>
      <c r="B31129" t="s">
        <v>9258</v>
      </c>
    </row>
    <row r="31130" spans="1:2" x14ac:dyDescent="0.25">
      <c r="A31130">
        <v>64039990932</v>
      </c>
      <c r="B31130" t="s">
        <v>9259</v>
      </c>
    </row>
    <row r="31131" spans="1:2" x14ac:dyDescent="0.25">
      <c r="A31131">
        <v>64039990933</v>
      </c>
      <c r="B31131" t="s">
        <v>9260</v>
      </c>
    </row>
    <row r="31132" spans="1:2" x14ac:dyDescent="0.25">
      <c r="A31132">
        <v>64039990934</v>
      </c>
      <c r="B31132" t="s">
        <v>9261</v>
      </c>
    </row>
    <row r="31133" spans="1:2" x14ac:dyDescent="0.25">
      <c r="A31133">
        <v>64039990939</v>
      </c>
      <c r="B31133" t="s">
        <v>10</v>
      </c>
    </row>
    <row r="31134" spans="1:2" x14ac:dyDescent="0.25">
      <c r="A31134">
        <v>6403999099</v>
      </c>
      <c r="B31134" t="s">
        <v>10</v>
      </c>
    </row>
    <row r="31135" spans="1:2" x14ac:dyDescent="0.25">
      <c r="A31135">
        <v>64039990991</v>
      </c>
      <c r="B31135" t="s">
        <v>9258</v>
      </c>
    </row>
    <row r="31136" spans="1:2" x14ac:dyDescent="0.25">
      <c r="A31136">
        <v>64039990992</v>
      </c>
      <c r="B31136" t="s">
        <v>9259</v>
      </c>
    </row>
    <row r="31137" spans="1:2" x14ac:dyDescent="0.25">
      <c r="A31137">
        <v>64039990993</v>
      </c>
      <c r="B31137" t="s">
        <v>9260</v>
      </c>
    </row>
    <row r="31138" spans="1:2" x14ac:dyDescent="0.25">
      <c r="A31138">
        <v>64039990994</v>
      </c>
      <c r="B31138" t="s">
        <v>9261</v>
      </c>
    </row>
    <row r="31139" spans="1:2" x14ac:dyDescent="0.25">
      <c r="A31139">
        <v>64039990999</v>
      </c>
      <c r="B31139" t="s">
        <v>10</v>
      </c>
    </row>
    <row r="31140" spans="1:2" x14ac:dyDescent="0.25">
      <c r="A31140">
        <v>6404</v>
      </c>
      <c r="B31140" t="s">
        <v>9312</v>
      </c>
    </row>
    <row r="31141" spans="1:2" x14ac:dyDescent="0.25">
      <c r="A31141">
        <v>64041</v>
      </c>
      <c r="B31141" t="s">
        <v>9313</v>
      </c>
    </row>
    <row r="31142" spans="1:2" x14ac:dyDescent="0.25">
      <c r="A31142">
        <v>64041100</v>
      </c>
      <c r="B31142" t="e">
        <f>- - calzado de deporte, calzado de tenis. baloncesto. gimnasia. entrenamiento y calzados similares</f>
        <v>#NAME?</v>
      </c>
    </row>
    <row r="31143" spans="1:2" x14ac:dyDescent="0.25">
      <c r="A31143">
        <v>640411001</v>
      </c>
      <c r="B31143" t="s">
        <v>9314</v>
      </c>
    </row>
    <row r="31144" spans="1:2" x14ac:dyDescent="0.25">
      <c r="A31144">
        <v>6404110011</v>
      </c>
      <c r="B31144" t="s">
        <v>9274</v>
      </c>
    </row>
    <row r="31145" spans="1:2" x14ac:dyDescent="0.25">
      <c r="A31145">
        <v>64041100111</v>
      </c>
      <c r="B31145" t="s">
        <v>9275</v>
      </c>
    </row>
    <row r="31146" spans="1:2" x14ac:dyDescent="0.25">
      <c r="A31146">
        <v>64041100119</v>
      </c>
      <c r="B31146" t="s">
        <v>10</v>
      </c>
    </row>
    <row r="31147" spans="1:2" x14ac:dyDescent="0.25">
      <c r="A31147">
        <v>6404110012</v>
      </c>
      <c r="B31147" t="s">
        <v>9276</v>
      </c>
    </row>
    <row r="31148" spans="1:2" x14ac:dyDescent="0.25">
      <c r="A31148">
        <v>64041100121</v>
      </c>
      <c r="B31148" t="s">
        <v>9275</v>
      </c>
    </row>
    <row r="31149" spans="1:2" x14ac:dyDescent="0.25">
      <c r="A31149">
        <v>64041100128</v>
      </c>
      <c r="B31149" t="s">
        <v>9279</v>
      </c>
    </row>
    <row r="31150" spans="1:2" x14ac:dyDescent="0.25">
      <c r="A31150">
        <v>64041100129</v>
      </c>
      <c r="B31150" t="s">
        <v>10</v>
      </c>
    </row>
    <row r="31151" spans="1:2" x14ac:dyDescent="0.25">
      <c r="A31151">
        <v>6404110013</v>
      </c>
      <c r="B31151" t="s">
        <v>9281</v>
      </c>
    </row>
    <row r="31152" spans="1:2" x14ac:dyDescent="0.25">
      <c r="A31152">
        <v>64041100131</v>
      </c>
      <c r="B31152" t="s">
        <v>9275</v>
      </c>
    </row>
    <row r="31153" spans="1:2" x14ac:dyDescent="0.25">
      <c r="A31153">
        <v>64041100138</v>
      </c>
      <c r="B31153" t="s">
        <v>9279</v>
      </c>
    </row>
    <row r="31154" spans="1:2" x14ac:dyDescent="0.25">
      <c r="A31154">
        <v>64041100139</v>
      </c>
      <c r="B31154" t="s">
        <v>10</v>
      </c>
    </row>
    <row r="31155" spans="1:2" x14ac:dyDescent="0.25">
      <c r="A31155">
        <v>6404110019</v>
      </c>
      <c r="B31155" t="s">
        <v>10</v>
      </c>
    </row>
    <row r="31156" spans="1:2" x14ac:dyDescent="0.25">
      <c r="A31156">
        <v>64041100191</v>
      </c>
      <c r="B31156" t="s">
        <v>9275</v>
      </c>
    </row>
    <row r="31157" spans="1:2" x14ac:dyDescent="0.25">
      <c r="A31157">
        <v>64041100198</v>
      </c>
      <c r="B31157" t="s">
        <v>9279</v>
      </c>
    </row>
    <row r="31158" spans="1:2" x14ac:dyDescent="0.25">
      <c r="A31158">
        <v>64041100199</v>
      </c>
      <c r="B31158" t="s">
        <v>10</v>
      </c>
    </row>
    <row r="31159" spans="1:2" x14ac:dyDescent="0.25">
      <c r="A31159">
        <v>640411002</v>
      </c>
      <c r="B31159" t="s">
        <v>9289</v>
      </c>
    </row>
    <row r="31160" spans="1:2" x14ac:dyDescent="0.25">
      <c r="A31160">
        <v>64041100210</v>
      </c>
      <c r="B31160" t="s">
        <v>9275</v>
      </c>
    </row>
    <row r="31161" spans="1:2" x14ac:dyDescent="0.25">
      <c r="A31161">
        <v>64041100280</v>
      </c>
      <c r="B31161" t="s">
        <v>9279</v>
      </c>
    </row>
    <row r="31162" spans="1:2" x14ac:dyDescent="0.25">
      <c r="A31162">
        <v>64041100290</v>
      </c>
      <c r="B31162" t="s">
        <v>10</v>
      </c>
    </row>
    <row r="31163" spans="1:2" x14ac:dyDescent="0.25">
      <c r="A31163">
        <v>64041900</v>
      </c>
      <c r="B31163" t="e">
        <f>- - Los demas</f>
        <v>#NAME?</v>
      </c>
    </row>
    <row r="31164" spans="1:2" x14ac:dyDescent="0.25">
      <c r="A31164">
        <v>640419001</v>
      </c>
      <c r="B31164" t="s">
        <v>9293</v>
      </c>
    </row>
    <row r="31165" spans="1:2" x14ac:dyDescent="0.25">
      <c r="A31165">
        <v>6404190011</v>
      </c>
      <c r="B31165" t="s">
        <v>9315</v>
      </c>
    </row>
    <row r="31166" spans="1:2" x14ac:dyDescent="0.25">
      <c r="A31166">
        <v>64041900111</v>
      </c>
      <c r="B31166" t="s">
        <v>9258</v>
      </c>
    </row>
    <row r="31167" spans="1:2" x14ac:dyDescent="0.25">
      <c r="A31167">
        <v>64041900112</v>
      </c>
      <c r="B31167" t="s">
        <v>9259</v>
      </c>
    </row>
    <row r="31168" spans="1:2" x14ac:dyDescent="0.25">
      <c r="A31168">
        <v>64041900113</v>
      </c>
      <c r="B31168" t="s">
        <v>9260</v>
      </c>
    </row>
    <row r="31169" spans="1:2" x14ac:dyDescent="0.25">
      <c r="A31169">
        <v>64041900114</v>
      </c>
      <c r="B31169" t="s">
        <v>9261</v>
      </c>
    </row>
    <row r="31170" spans="1:2" x14ac:dyDescent="0.25">
      <c r="A31170">
        <v>64041900119</v>
      </c>
      <c r="B31170" t="s">
        <v>10</v>
      </c>
    </row>
    <row r="31171" spans="1:2" x14ac:dyDescent="0.25">
      <c r="A31171">
        <v>6404190012</v>
      </c>
      <c r="B31171" t="s">
        <v>9316</v>
      </c>
    </row>
    <row r="31172" spans="1:2" x14ac:dyDescent="0.25">
      <c r="A31172">
        <v>64041900121</v>
      </c>
      <c r="B31172" t="s">
        <v>9258</v>
      </c>
    </row>
    <row r="31173" spans="1:2" x14ac:dyDescent="0.25">
      <c r="A31173">
        <v>64041900122</v>
      </c>
      <c r="B31173" t="s">
        <v>9259</v>
      </c>
    </row>
    <row r="31174" spans="1:2" x14ac:dyDescent="0.25">
      <c r="A31174">
        <v>64041900123</v>
      </c>
      <c r="B31174" t="s">
        <v>9260</v>
      </c>
    </row>
    <row r="31175" spans="1:2" x14ac:dyDescent="0.25">
      <c r="A31175">
        <v>64041900124</v>
      </c>
      <c r="B31175" t="s">
        <v>9261</v>
      </c>
    </row>
    <row r="31176" spans="1:2" x14ac:dyDescent="0.25">
      <c r="A31176">
        <v>64041900129</v>
      </c>
      <c r="B31176" t="s">
        <v>10</v>
      </c>
    </row>
    <row r="31177" spans="1:2" x14ac:dyDescent="0.25">
      <c r="A31177">
        <v>6404190013</v>
      </c>
      <c r="B31177" t="s">
        <v>9317</v>
      </c>
    </row>
    <row r="31178" spans="1:2" x14ac:dyDescent="0.25">
      <c r="A31178">
        <v>64041900131</v>
      </c>
      <c r="B31178" t="s">
        <v>9258</v>
      </c>
    </row>
    <row r="31179" spans="1:2" x14ac:dyDescent="0.25">
      <c r="A31179">
        <v>64041900132</v>
      </c>
      <c r="B31179" t="s">
        <v>9259</v>
      </c>
    </row>
    <row r="31180" spans="1:2" x14ac:dyDescent="0.25">
      <c r="A31180">
        <v>64041900133</v>
      </c>
      <c r="B31180" t="s">
        <v>9260</v>
      </c>
    </row>
    <row r="31181" spans="1:2" x14ac:dyDescent="0.25">
      <c r="A31181">
        <v>64041900134</v>
      </c>
      <c r="B31181" t="s">
        <v>9261</v>
      </c>
    </row>
    <row r="31182" spans="1:2" x14ac:dyDescent="0.25">
      <c r="A31182">
        <v>64041900139</v>
      </c>
      <c r="B31182" t="s">
        <v>10</v>
      </c>
    </row>
    <row r="31183" spans="1:2" x14ac:dyDescent="0.25">
      <c r="A31183">
        <v>6404190014</v>
      </c>
      <c r="B31183" t="s">
        <v>9318</v>
      </c>
    </row>
    <row r="31184" spans="1:2" x14ac:dyDescent="0.25">
      <c r="A31184">
        <v>64041900141</v>
      </c>
      <c r="B31184" t="s">
        <v>9258</v>
      </c>
    </row>
    <row r="31185" spans="1:2" x14ac:dyDescent="0.25">
      <c r="A31185">
        <v>64041900142</v>
      </c>
      <c r="B31185" t="s">
        <v>9259</v>
      </c>
    </row>
    <row r="31186" spans="1:2" x14ac:dyDescent="0.25">
      <c r="A31186">
        <v>64041900143</v>
      </c>
      <c r="B31186" t="s">
        <v>9260</v>
      </c>
    </row>
    <row r="31187" spans="1:2" x14ac:dyDescent="0.25">
      <c r="A31187">
        <v>64041900144</v>
      </c>
      <c r="B31187" t="s">
        <v>9261</v>
      </c>
    </row>
    <row r="31188" spans="1:2" x14ac:dyDescent="0.25">
      <c r="A31188">
        <v>64041900149</v>
      </c>
      <c r="B31188" t="s">
        <v>10</v>
      </c>
    </row>
    <row r="31189" spans="1:2" x14ac:dyDescent="0.25">
      <c r="A31189">
        <v>640419002</v>
      </c>
      <c r="B31189" t="s">
        <v>9294</v>
      </c>
    </row>
    <row r="31190" spans="1:2" x14ac:dyDescent="0.25">
      <c r="A31190">
        <v>6404190021</v>
      </c>
      <c r="B31190" t="s">
        <v>9319</v>
      </c>
    </row>
    <row r="31191" spans="1:2" x14ac:dyDescent="0.25">
      <c r="A31191">
        <v>64041900211</v>
      </c>
      <c r="B31191" t="s">
        <v>9258</v>
      </c>
    </row>
    <row r="31192" spans="1:2" x14ac:dyDescent="0.25">
      <c r="A31192">
        <v>64041900212</v>
      </c>
      <c r="B31192" t="s">
        <v>9259</v>
      </c>
    </row>
    <row r="31193" spans="1:2" x14ac:dyDescent="0.25">
      <c r="A31193">
        <v>64041900213</v>
      </c>
      <c r="B31193" t="s">
        <v>9260</v>
      </c>
    </row>
    <row r="31194" spans="1:2" x14ac:dyDescent="0.25">
      <c r="A31194">
        <v>64041900214</v>
      </c>
      <c r="B31194" t="s">
        <v>9261</v>
      </c>
    </row>
    <row r="31195" spans="1:2" x14ac:dyDescent="0.25">
      <c r="A31195">
        <v>64041900219</v>
      </c>
      <c r="B31195" t="s">
        <v>10</v>
      </c>
    </row>
    <row r="31196" spans="1:2" x14ac:dyDescent="0.25">
      <c r="A31196">
        <v>6404190029</v>
      </c>
      <c r="B31196" t="s">
        <v>10</v>
      </c>
    </row>
    <row r="31197" spans="1:2" x14ac:dyDescent="0.25">
      <c r="A31197">
        <v>64041900291</v>
      </c>
      <c r="B31197" t="s">
        <v>9258</v>
      </c>
    </row>
    <row r="31198" spans="1:2" x14ac:dyDescent="0.25">
      <c r="A31198">
        <v>64041900292</v>
      </c>
      <c r="B31198" t="s">
        <v>9259</v>
      </c>
    </row>
    <row r="31199" spans="1:2" x14ac:dyDescent="0.25">
      <c r="A31199">
        <v>64041900293</v>
      </c>
      <c r="B31199" t="s">
        <v>9260</v>
      </c>
    </row>
    <row r="31200" spans="1:2" x14ac:dyDescent="0.25">
      <c r="A31200">
        <v>64041900294</v>
      </c>
      <c r="B31200" t="s">
        <v>9261</v>
      </c>
    </row>
    <row r="31201" spans="1:2" x14ac:dyDescent="0.25">
      <c r="A31201">
        <v>64041900299</v>
      </c>
      <c r="B31201" t="s">
        <v>10</v>
      </c>
    </row>
    <row r="31202" spans="1:2" x14ac:dyDescent="0.25">
      <c r="A31202">
        <v>640419009</v>
      </c>
      <c r="B31202" t="s">
        <v>10</v>
      </c>
    </row>
    <row r="31203" spans="1:2" x14ac:dyDescent="0.25">
      <c r="A31203">
        <v>6404190091</v>
      </c>
      <c r="B31203" t="s">
        <v>9258</v>
      </c>
    </row>
    <row r="31204" spans="1:2" x14ac:dyDescent="0.25">
      <c r="A31204">
        <v>64041900911</v>
      </c>
      <c r="B31204" t="s">
        <v>9285</v>
      </c>
    </row>
    <row r="31205" spans="1:2" x14ac:dyDescent="0.25">
      <c r="A31205">
        <v>64041900912</v>
      </c>
      <c r="B31205" t="s">
        <v>10</v>
      </c>
    </row>
    <row r="31206" spans="1:2" x14ac:dyDescent="0.25">
      <c r="A31206">
        <v>6404190092</v>
      </c>
      <c r="B31206" t="s">
        <v>9259</v>
      </c>
    </row>
    <row r="31207" spans="1:2" x14ac:dyDescent="0.25">
      <c r="A31207">
        <v>64041900921</v>
      </c>
      <c r="B31207" t="s">
        <v>9285</v>
      </c>
    </row>
    <row r="31208" spans="1:2" x14ac:dyDescent="0.25">
      <c r="A31208">
        <v>64041900922</v>
      </c>
      <c r="B31208" t="s">
        <v>10</v>
      </c>
    </row>
    <row r="31209" spans="1:2" x14ac:dyDescent="0.25">
      <c r="A31209">
        <v>6404190093</v>
      </c>
      <c r="B31209" t="s">
        <v>9260</v>
      </c>
    </row>
    <row r="31210" spans="1:2" x14ac:dyDescent="0.25">
      <c r="A31210">
        <v>64041900931</v>
      </c>
      <c r="B31210" t="s">
        <v>9285</v>
      </c>
    </row>
    <row r="31211" spans="1:2" x14ac:dyDescent="0.25">
      <c r="A31211">
        <v>64041900932</v>
      </c>
      <c r="B31211" t="s">
        <v>10</v>
      </c>
    </row>
    <row r="31212" spans="1:2" x14ac:dyDescent="0.25">
      <c r="A31212">
        <v>6404190094</v>
      </c>
      <c r="B31212" t="s">
        <v>9261</v>
      </c>
    </row>
    <row r="31213" spans="1:2" x14ac:dyDescent="0.25">
      <c r="A31213">
        <v>64041900941</v>
      </c>
      <c r="B31213" t="s">
        <v>9285</v>
      </c>
    </row>
    <row r="31214" spans="1:2" x14ac:dyDescent="0.25">
      <c r="A31214">
        <v>64041900942</v>
      </c>
      <c r="B31214" t="s">
        <v>10</v>
      </c>
    </row>
    <row r="31215" spans="1:2" x14ac:dyDescent="0.25">
      <c r="A31215">
        <v>6404190099</v>
      </c>
      <c r="B31215" t="s">
        <v>10</v>
      </c>
    </row>
    <row r="31216" spans="1:2" x14ac:dyDescent="0.25">
      <c r="A31216">
        <v>64041900991</v>
      </c>
      <c r="B31216" t="s">
        <v>9285</v>
      </c>
    </row>
    <row r="31217" spans="1:2" x14ac:dyDescent="0.25">
      <c r="A31217">
        <v>64041900992</v>
      </c>
      <c r="B31217" t="s">
        <v>10</v>
      </c>
    </row>
    <row r="31218" spans="1:2" x14ac:dyDescent="0.25">
      <c r="A31218">
        <v>64042000</v>
      </c>
      <c r="B31218" t="e">
        <f>- calzado Con suela de cuero natural o regenerado</f>
        <v>#NAME?</v>
      </c>
    </row>
    <row r="31219" spans="1:2" x14ac:dyDescent="0.25">
      <c r="A31219">
        <v>640420001</v>
      </c>
      <c r="B31219" t="s">
        <v>9320</v>
      </c>
    </row>
    <row r="31220" spans="1:2" x14ac:dyDescent="0.25">
      <c r="A31220">
        <v>6404200011</v>
      </c>
      <c r="B31220" t="s">
        <v>9321</v>
      </c>
    </row>
    <row r="31221" spans="1:2" x14ac:dyDescent="0.25">
      <c r="A31221">
        <v>64042000111</v>
      </c>
      <c r="B31221" t="s">
        <v>9258</v>
      </c>
    </row>
    <row r="31222" spans="1:2" x14ac:dyDescent="0.25">
      <c r="A31222">
        <v>64042000112</v>
      </c>
      <c r="B31222" t="s">
        <v>9259</v>
      </c>
    </row>
    <row r="31223" spans="1:2" x14ac:dyDescent="0.25">
      <c r="A31223">
        <v>64042000113</v>
      </c>
      <c r="B31223" t="s">
        <v>9260</v>
      </c>
    </row>
    <row r="31224" spans="1:2" x14ac:dyDescent="0.25">
      <c r="A31224">
        <v>64042000114</v>
      </c>
      <c r="B31224" t="s">
        <v>9261</v>
      </c>
    </row>
    <row r="31225" spans="1:2" x14ac:dyDescent="0.25">
      <c r="A31225">
        <v>64042000119</v>
      </c>
      <c r="B31225" t="s">
        <v>10</v>
      </c>
    </row>
    <row r="31226" spans="1:2" x14ac:dyDescent="0.25">
      <c r="A31226">
        <v>6404200012</v>
      </c>
      <c r="B31226" t="s">
        <v>9322</v>
      </c>
    </row>
    <row r="31227" spans="1:2" x14ac:dyDescent="0.25">
      <c r="A31227">
        <v>64042000121</v>
      </c>
      <c r="B31227" t="s">
        <v>9258</v>
      </c>
    </row>
    <row r="31228" spans="1:2" x14ac:dyDescent="0.25">
      <c r="A31228">
        <v>64042000122</v>
      </c>
      <c r="B31228" t="s">
        <v>9259</v>
      </c>
    </row>
    <row r="31229" spans="1:2" x14ac:dyDescent="0.25">
      <c r="A31229">
        <v>64042000123</v>
      </c>
      <c r="B31229" t="s">
        <v>9260</v>
      </c>
    </row>
    <row r="31230" spans="1:2" x14ac:dyDescent="0.25">
      <c r="A31230">
        <v>64042000124</v>
      </c>
      <c r="B31230" t="s">
        <v>9261</v>
      </c>
    </row>
    <row r="31231" spans="1:2" x14ac:dyDescent="0.25">
      <c r="A31231">
        <v>64042000129</v>
      </c>
      <c r="B31231" t="s">
        <v>10</v>
      </c>
    </row>
    <row r="31232" spans="1:2" x14ac:dyDescent="0.25">
      <c r="A31232">
        <v>640420002</v>
      </c>
      <c r="B31232" t="s">
        <v>9294</v>
      </c>
    </row>
    <row r="31233" spans="1:2" x14ac:dyDescent="0.25">
      <c r="A31233">
        <v>6404200021</v>
      </c>
      <c r="B31233" t="s">
        <v>9319</v>
      </c>
    </row>
    <row r="31234" spans="1:2" x14ac:dyDescent="0.25">
      <c r="A31234">
        <v>64042000211</v>
      </c>
      <c r="B31234" t="s">
        <v>9258</v>
      </c>
    </row>
    <row r="31235" spans="1:2" x14ac:dyDescent="0.25">
      <c r="A31235">
        <v>64042000212</v>
      </c>
      <c r="B31235" t="s">
        <v>9259</v>
      </c>
    </row>
    <row r="31236" spans="1:2" x14ac:dyDescent="0.25">
      <c r="A31236">
        <v>64042000213</v>
      </c>
      <c r="B31236" t="s">
        <v>9260</v>
      </c>
    </row>
    <row r="31237" spans="1:2" x14ac:dyDescent="0.25">
      <c r="A31237">
        <v>64042000214</v>
      </c>
      <c r="B31237" t="s">
        <v>9261</v>
      </c>
    </row>
    <row r="31238" spans="1:2" x14ac:dyDescent="0.25">
      <c r="A31238">
        <v>64042000219</v>
      </c>
      <c r="B31238" t="s">
        <v>10</v>
      </c>
    </row>
    <row r="31239" spans="1:2" x14ac:dyDescent="0.25">
      <c r="A31239">
        <v>6404200029</v>
      </c>
      <c r="B31239" t="s">
        <v>10</v>
      </c>
    </row>
    <row r="31240" spans="1:2" x14ac:dyDescent="0.25">
      <c r="A31240">
        <v>64042000291</v>
      </c>
      <c r="B31240" t="s">
        <v>9258</v>
      </c>
    </row>
    <row r="31241" spans="1:2" x14ac:dyDescent="0.25">
      <c r="A31241">
        <v>64042000292</v>
      </c>
      <c r="B31241" t="s">
        <v>9259</v>
      </c>
    </row>
    <row r="31242" spans="1:2" x14ac:dyDescent="0.25">
      <c r="A31242">
        <v>64042000293</v>
      </c>
      <c r="B31242" t="s">
        <v>9260</v>
      </c>
    </row>
    <row r="31243" spans="1:2" x14ac:dyDescent="0.25">
      <c r="A31243">
        <v>64042000294</v>
      </c>
      <c r="B31243" t="s">
        <v>9261</v>
      </c>
    </row>
    <row r="31244" spans="1:2" x14ac:dyDescent="0.25">
      <c r="A31244">
        <v>64042000299</v>
      </c>
      <c r="B31244" t="s">
        <v>10</v>
      </c>
    </row>
    <row r="31245" spans="1:2" x14ac:dyDescent="0.25">
      <c r="A31245">
        <v>640420009</v>
      </c>
      <c r="B31245" t="s">
        <v>10</v>
      </c>
    </row>
    <row r="31246" spans="1:2" x14ac:dyDescent="0.25">
      <c r="A31246">
        <v>64042000910</v>
      </c>
      <c r="B31246" t="s">
        <v>9258</v>
      </c>
    </row>
    <row r="31247" spans="1:2" x14ac:dyDescent="0.25">
      <c r="A31247">
        <v>64042000920</v>
      </c>
      <c r="B31247" t="s">
        <v>9259</v>
      </c>
    </row>
    <row r="31248" spans="1:2" x14ac:dyDescent="0.25">
      <c r="A31248">
        <v>64042000930</v>
      </c>
      <c r="B31248" t="s">
        <v>9260</v>
      </c>
    </row>
    <row r="31249" spans="1:2" x14ac:dyDescent="0.25">
      <c r="A31249">
        <v>64042000940</v>
      </c>
      <c r="B31249" t="s">
        <v>9261</v>
      </c>
    </row>
    <row r="31250" spans="1:2" x14ac:dyDescent="0.25">
      <c r="A31250">
        <v>64042000990</v>
      </c>
      <c r="B31250" t="s">
        <v>10</v>
      </c>
    </row>
    <row r="31251" spans="1:2" x14ac:dyDescent="0.25">
      <c r="A31251">
        <v>6405</v>
      </c>
      <c r="B31251" t="s">
        <v>9323</v>
      </c>
    </row>
    <row r="31252" spans="1:2" x14ac:dyDescent="0.25">
      <c r="A31252">
        <v>640510</v>
      </c>
      <c r="B31252" t="e">
        <f>- Con la parte superior de cuero natural o regenerado</f>
        <v>#NAME?</v>
      </c>
    </row>
    <row r="31253" spans="1:2" x14ac:dyDescent="0.25">
      <c r="A31253">
        <v>64051010</v>
      </c>
      <c r="B31253" t="s">
        <v>9324</v>
      </c>
    </row>
    <row r="31254" spans="1:2" x14ac:dyDescent="0.25">
      <c r="A31254">
        <v>64051010100</v>
      </c>
      <c r="B31254" t="s">
        <v>9258</v>
      </c>
    </row>
    <row r="31255" spans="1:2" x14ac:dyDescent="0.25">
      <c r="A31255">
        <v>64051010200</v>
      </c>
      <c r="B31255" t="s">
        <v>9259</v>
      </c>
    </row>
    <row r="31256" spans="1:2" x14ac:dyDescent="0.25">
      <c r="A31256">
        <v>64051010300</v>
      </c>
      <c r="B31256" t="s">
        <v>9260</v>
      </c>
    </row>
    <row r="31257" spans="1:2" x14ac:dyDescent="0.25">
      <c r="A31257">
        <v>64051010400</v>
      </c>
      <c r="B31257" t="s">
        <v>9261</v>
      </c>
    </row>
    <row r="31258" spans="1:2" x14ac:dyDescent="0.25">
      <c r="A31258">
        <v>64051010900</v>
      </c>
      <c r="B31258" t="s">
        <v>10</v>
      </c>
    </row>
    <row r="31259" spans="1:2" x14ac:dyDescent="0.25">
      <c r="A31259">
        <v>64051020</v>
      </c>
      <c r="B31259" t="s">
        <v>9325</v>
      </c>
    </row>
    <row r="31260" spans="1:2" x14ac:dyDescent="0.25">
      <c r="A31260">
        <v>64051020100</v>
      </c>
      <c r="B31260" t="s">
        <v>9258</v>
      </c>
    </row>
    <row r="31261" spans="1:2" x14ac:dyDescent="0.25">
      <c r="A31261">
        <v>64051020200</v>
      </c>
      <c r="B31261" t="s">
        <v>9259</v>
      </c>
    </row>
    <row r="31262" spans="1:2" x14ac:dyDescent="0.25">
      <c r="A31262">
        <v>64051020300</v>
      </c>
      <c r="B31262" t="s">
        <v>9260</v>
      </c>
    </row>
    <row r="31263" spans="1:2" x14ac:dyDescent="0.25">
      <c r="A31263">
        <v>64051020400</v>
      </c>
      <c r="B31263" t="s">
        <v>9261</v>
      </c>
    </row>
    <row r="31264" spans="1:2" x14ac:dyDescent="0.25">
      <c r="A31264">
        <v>64051020900</v>
      </c>
      <c r="B31264" t="s">
        <v>10</v>
      </c>
    </row>
    <row r="31265" spans="1:2" x14ac:dyDescent="0.25">
      <c r="A31265">
        <v>64051090</v>
      </c>
      <c r="B31265" t="s">
        <v>10</v>
      </c>
    </row>
    <row r="31266" spans="1:2" x14ac:dyDescent="0.25">
      <c r="A31266">
        <v>640510901</v>
      </c>
      <c r="B31266" t="s">
        <v>9326</v>
      </c>
    </row>
    <row r="31267" spans="1:2" x14ac:dyDescent="0.25">
      <c r="A31267">
        <v>6405109011</v>
      </c>
      <c r="B31267" t="s">
        <v>9298</v>
      </c>
    </row>
    <row r="31268" spans="1:2" x14ac:dyDescent="0.25">
      <c r="A31268">
        <v>64051090111</v>
      </c>
      <c r="B31268" t="s">
        <v>9258</v>
      </c>
    </row>
    <row r="31269" spans="1:2" x14ac:dyDescent="0.25">
      <c r="A31269">
        <v>64051090112</v>
      </c>
      <c r="B31269" t="s">
        <v>9259</v>
      </c>
    </row>
    <row r="31270" spans="1:2" x14ac:dyDescent="0.25">
      <c r="A31270">
        <v>64051090113</v>
      </c>
      <c r="B31270" t="s">
        <v>9260</v>
      </c>
    </row>
    <row r="31271" spans="1:2" x14ac:dyDescent="0.25">
      <c r="A31271">
        <v>64051090114</v>
      </c>
      <c r="B31271" t="s">
        <v>9261</v>
      </c>
    </row>
    <row r="31272" spans="1:2" x14ac:dyDescent="0.25">
      <c r="A31272">
        <v>64051090119</v>
      </c>
      <c r="B31272" t="s">
        <v>10</v>
      </c>
    </row>
    <row r="31273" spans="1:2" x14ac:dyDescent="0.25">
      <c r="A31273">
        <v>6405109012</v>
      </c>
      <c r="B31273" t="s">
        <v>9301</v>
      </c>
    </row>
    <row r="31274" spans="1:2" x14ac:dyDescent="0.25">
      <c r="A31274">
        <v>64051090121</v>
      </c>
      <c r="B31274" t="s">
        <v>9258</v>
      </c>
    </row>
    <row r="31275" spans="1:2" x14ac:dyDescent="0.25">
      <c r="A31275">
        <v>64051090122</v>
      </c>
      <c r="B31275" t="s">
        <v>9259</v>
      </c>
    </row>
    <row r="31276" spans="1:2" x14ac:dyDescent="0.25">
      <c r="A31276">
        <v>64051090123</v>
      </c>
      <c r="B31276" t="s">
        <v>9260</v>
      </c>
    </row>
    <row r="31277" spans="1:2" x14ac:dyDescent="0.25">
      <c r="A31277">
        <v>64051090124</v>
      </c>
      <c r="B31277" t="s">
        <v>9261</v>
      </c>
    </row>
    <row r="31278" spans="1:2" x14ac:dyDescent="0.25">
      <c r="A31278">
        <v>64051090129</v>
      </c>
      <c r="B31278" t="s">
        <v>10</v>
      </c>
    </row>
    <row r="31279" spans="1:2" x14ac:dyDescent="0.25">
      <c r="A31279">
        <v>6405109013</v>
      </c>
      <c r="B31279" t="s">
        <v>9302</v>
      </c>
    </row>
    <row r="31280" spans="1:2" x14ac:dyDescent="0.25">
      <c r="A31280">
        <v>64051090131</v>
      </c>
      <c r="B31280" t="s">
        <v>9258</v>
      </c>
    </row>
    <row r="31281" spans="1:2" x14ac:dyDescent="0.25">
      <c r="A31281">
        <v>64051090132</v>
      </c>
      <c r="B31281" t="s">
        <v>9259</v>
      </c>
    </row>
    <row r="31282" spans="1:2" x14ac:dyDescent="0.25">
      <c r="A31282">
        <v>64051090133</v>
      </c>
      <c r="B31282" t="s">
        <v>9260</v>
      </c>
    </row>
    <row r="31283" spans="1:2" x14ac:dyDescent="0.25">
      <c r="A31283">
        <v>64051090134</v>
      </c>
      <c r="B31283" t="s">
        <v>9261</v>
      </c>
    </row>
    <row r="31284" spans="1:2" x14ac:dyDescent="0.25">
      <c r="A31284">
        <v>64051090139</v>
      </c>
      <c r="B31284" t="s">
        <v>10</v>
      </c>
    </row>
    <row r="31285" spans="1:2" x14ac:dyDescent="0.25">
      <c r="A31285">
        <v>6405109019</v>
      </c>
      <c r="B31285" t="s">
        <v>10</v>
      </c>
    </row>
    <row r="31286" spans="1:2" x14ac:dyDescent="0.25">
      <c r="A31286">
        <v>64051090191</v>
      </c>
      <c r="B31286" t="s">
        <v>9258</v>
      </c>
    </row>
    <row r="31287" spans="1:2" x14ac:dyDescent="0.25">
      <c r="A31287">
        <v>64051090192</v>
      </c>
      <c r="B31287" t="s">
        <v>9259</v>
      </c>
    </row>
    <row r="31288" spans="1:2" x14ac:dyDescent="0.25">
      <c r="A31288">
        <v>64051090193</v>
      </c>
      <c r="B31288" t="s">
        <v>9260</v>
      </c>
    </row>
    <row r="31289" spans="1:2" x14ac:dyDescent="0.25">
      <c r="A31289">
        <v>64051090194</v>
      </c>
      <c r="B31289" t="s">
        <v>9327</v>
      </c>
    </row>
    <row r="31290" spans="1:2" x14ac:dyDescent="0.25">
      <c r="A31290">
        <v>64051090199</v>
      </c>
      <c r="B31290" t="s">
        <v>10</v>
      </c>
    </row>
    <row r="31291" spans="1:2" x14ac:dyDescent="0.25">
      <c r="A31291">
        <v>640510902</v>
      </c>
      <c r="B31291" t="s">
        <v>9328</v>
      </c>
    </row>
    <row r="31292" spans="1:2" x14ac:dyDescent="0.25">
      <c r="A31292">
        <v>6405109021</v>
      </c>
      <c r="B31292" t="s">
        <v>9298</v>
      </c>
    </row>
    <row r="31293" spans="1:2" x14ac:dyDescent="0.25">
      <c r="A31293">
        <v>64051090211</v>
      </c>
      <c r="B31293" t="s">
        <v>9258</v>
      </c>
    </row>
    <row r="31294" spans="1:2" x14ac:dyDescent="0.25">
      <c r="A31294">
        <v>64051090212</v>
      </c>
      <c r="B31294" t="s">
        <v>9259</v>
      </c>
    </row>
    <row r="31295" spans="1:2" x14ac:dyDescent="0.25">
      <c r="A31295">
        <v>64051090213</v>
      </c>
      <c r="B31295" t="s">
        <v>9260</v>
      </c>
    </row>
    <row r="31296" spans="1:2" x14ac:dyDescent="0.25">
      <c r="A31296">
        <v>64051090214</v>
      </c>
      <c r="B31296" t="s">
        <v>9261</v>
      </c>
    </row>
    <row r="31297" spans="1:2" x14ac:dyDescent="0.25">
      <c r="A31297">
        <v>64051090219</v>
      </c>
      <c r="B31297" t="s">
        <v>10</v>
      </c>
    </row>
    <row r="31298" spans="1:2" x14ac:dyDescent="0.25">
      <c r="A31298">
        <v>6405109022</v>
      </c>
      <c r="B31298" t="s">
        <v>9301</v>
      </c>
    </row>
    <row r="31299" spans="1:2" x14ac:dyDescent="0.25">
      <c r="A31299">
        <v>64051090221</v>
      </c>
      <c r="B31299" t="s">
        <v>9258</v>
      </c>
    </row>
    <row r="31300" spans="1:2" x14ac:dyDescent="0.25">
      <c r="A31300">
        <v>64051090222</v>
      </c>
      <c r="B31300" t="s">
        <v>9259</v>
      </c>
    </row>
    <row r="31301" spans="1:2" x14ac:dyDescent="0.25">
      <c r="A31301">
        <v>64051090223</v>
      </c>
      <c r="B31301" t="s">
        <v>9260</v>
      </c>
    </row>
    <row r="31302" spans="1:2" x14ac:dyDescent="0.25">
      <c r="A31302">
        <v>64051090224</v>
      </c>
      <c r="B31302" t="s">
        <v>9261</v>
      </c>
    </row>
    <row r="31303" spans="1:2" x14ac:dyDescent="0.25">
      <c r="A31303">
        <v>64051090229</v>
      </c>
      <c r="B31303" t="s">
        <v>10</v>
      </c>
    </row>
    <row r="31304" spans="1:2" x14ac:dyDescent="0.25">
      <c r="A31304">
        <v>6405109023</v>
      </c>
      <c r="B31304" t="s">
        <v>9302</v>
      </c>
    </row>
    <row r="31305" spans="1:2" x14ac:dyDescent="0.25">
      <c r="A31305">
        <v>64051090231</v>
      </c>
      <c r="B31305" t="s">
        <v>9258</v>
      </c>
    </row>
    <row r="31306" spans="1:2" x14ac:dyDescent="0.25">
      <c r="A31306">
        <v>64051090232</v>
      </c>
      <c r="B31306" t="s">
        <v>9259</v>
      </c>
    </row>
    <row r="31307" spans="1:2" x14ac:dyDescent="0.25">
      <c r="A31307">
        <v>64051090233</v>
      </c>
      <c r="B31307" t="s">
        <v>9260</v>
      </c>
    </row>
    <row r="31308" spans="1:2" x14ac:dyDescent="0.25">
      <c r="A31308">
        <v>64051090234</v>
      </c>
      <c r="B31308" t="s">
        <v>9261</v>
      </c>
    </row>
    <row r="31309" spans="1:2" x14ac:dyDescent="0.25">
      <c r="A31309">
        <v>64051090239</v>
      </c>
      <c r="B31309" t="s">
        <v>10</v>
      </c>
    </row>
    <row r="31310" spans="1:2" x14ac:dyDescent="0.25">
      <c r="A31310">
        <v>6405109029</v>
      </c>
      <c r="B31310" t="s">
        <v>10</v>
      </c>
    </row>
    <row r="31311" spans="1:2" x14ac:dyDescent="0.25">
      <c r="A31311">
        <v>64051090291</v>
      </c>
      <c r="B31311" t="s">
        <v>9258</v>
      </c>
    </row>
    <row r="31312" spans="1:2" x14ac:dyDescent="0.25">
      <c r="A31312">
        <v>64051090292</v>
      </c>
      <c r="B31312" t="s">
        <v>9259</v>
      </c>
    </row>
    <row r="31313" spans="1:2" x14ac:dyDescent="0.25">
      <c r="A31313">
        <v>64051090293</v>
      </c>
      <c r="B31313" t="s">
        <v>9260</v>
      </c>
    </row>
    <row r="31314" spans="1:2" x14ac:dyDescent="0.25">
      <c r="A31314">
        <v>64051090294</v>
      </c>
      <c r="B31314" t="s">
        <v>9261</v>
      </c>
    </row>
    <row r="31315" spans="1:2" x14ac:dyDescent="0.25">
      <c r="A31315">
        <v>64051090299</v>
      </c>
      <c r="B31315" t="s">
        <v>10</v>
      </c>
    </row>
    <row r="31316" spans="1:2" x14ac:dyDescent="0.25">
      <c r="A31316">
        <v>640510903</v>
      </c>
      <c r="B31316" t="s">
        <v>9329</v>
      </c>
    </row>
    <row r="31317" spans="1:2" x14ac:dyDescent="0.25">
      <c r="A31317">
        <v>6405109031</v>
      </c>
      <c r="B31317" t="s">
        <v>9276</v>
      </c>
    </row>
    <row r="31318" spans="1:2" x14ac:dyDescent="0.25">
      <c r="A31318">
        <v>64051090311</v>
      </c>
      <c r="B31318" t="s">
        <v>9270</v>
      </c>
    </row>
    <row r="31319" spans="1:2" x14ac:dyDescent="0.25">
      <c r="A31319">
        <v>64051090312</v>
      </c>
      <c r="B31319" t="s">
        <v>9330</v>
      </c>
    </row>
    <row r="31320" spans="1:2" x14ac:dyDescent="0.25">
      <c r="A31320">
        <v>64051090313</v>
      </c>
      <c r="B31320" t="s">
        <v>9261</v>
      </c>
    </row>
    <row r="31321" spans="1:2" x14ac:dyDescent="0.25">
      <c r="A31321">
        <v>64051090319</v>
      </c>
      <c r="B31321" t="s">
        <v>10</v>
      </c>
    </row>
    <row r="31322" spans="1:2" x14ac:dyDescent="0.25">
      <c r="A31322">
        <v>6405109039</v>
      </c>
      <c r="B31322" t="s">
        <v>10</v>
      </c>
    </row>
    <row r="31323" spans="1:2" x14ac:dyDescent="0.25">
      <c r="A31323">
        <v>64051090391</v>
      </c>
      <c r="B31323" t="s">
        <v>9270</v>
      </c>
    </row>
    <row r="31324" spans="1:2" x14ac:dyDescent="0.25">
      <c r="A31324">
        <v>64051090392</v>
      </c>
      <c r="B31324" t="s">
        <v>9260</v>
      </c>
    </row>
    <row r="31325" spans="1:2" x14ac:dyDescent="0.25">
      <c r="A31325">
        <v>64051090393</v>
      </c>
      <c r="B31325" t="s">
        <v>9261</v>
      </c>
    </row>
    <row r="31326" spans="1:2" x14ac:dyDescent="0.25">
      <c r="A31326">
        <v>64051090399</v>
      </c>
      <c r="B31326" t="s">
        <v>10</v>
      </c>
    </row>
    <row r="31327" spans="1:2" x14ac:dyDescent="0.25">
      <c r="A31327">
        <v>640510909</v>
      </c>
      <c r="B31327" t="s">
        <v>10</v>
      </c>
    </row>
    <row r="31328" spans="1:2" x14ac:dyDescent="0.25">
      <c r="A31328">
        <v>6405109091</v>
      </c>
      <c r="B31328" t="s">
        <v>9298</v>
      </c>
    </row>
    <row r="31329" spans="1:2" x14ac:dyDescent="0.25">
      <c r="A31329">
        <v>64051090911</v>
      </c>
      <c r="B31329" t="s">
        <v>9258</v>
      </c>
    </row>
    <row r="31330" spans="1:2" x14ac:dyDescent="0.25">
      <c r="A31330">
        <v>64051090912</v>
      </c>
      <c r="B31330" t="s">
        <v>9259</v>
      </c>
    </row>
    <row r="31331" spans="1:2" x14ac:dyDescent="0.25">
      <c r="A31331">
        <v>64051090913</v>
      </c>
      <c r="B31331" t="s">
        <v>9260</v>
      </c>
    </row>
    <row r="31332" spans="1:2" x14ac:dyDescent="0.25">
      <c r="A31332">
        <v>64051090914</v>
      </c>
      <c r="B31332" t="s">
        <v>9261</v>
      </c>
    </row>
    <row r="31333" spans="1:2" x14ac:dyDescent="0.25">
      <c r="A31333">
        <v>64051090919</v>
      </c>
      <c r="B31333" t="s">
        <v>10</v>
      </c>
    </row>
    <row r="31334" spans="1:2" x14ac:dyDescent="0.25">
      <c r="A31334">
        <v>6405109092</v>
      </c>
      <c r="B31334" t="s">
        <v>9301</v>
      </c>
    </row>
    <row r="31335" spans="1:2" x14ac:dyDescent="0.25">
      <c r="A31335">
        <v>64051090921</v>
      </c>
      <c r="B31335" t="s">
        <v>9258</v>
      </c>
    </row>
    <row r="31336" spans="1:2" x14ac:dyDescent="0.25">
      <c r="A31336">
        <v>64051090922</v>
      </c>
      <c r="B31336" t="s">
        <v>9259</v>
      </c>
    </row>
    <row r="31337" spans="1:2" x14ac:dyDescent="0.25">
      <c r="A31337">
        <v>64051090923</v>
      </c>
      <c r="B31337" t="s">
        <v>9260</v>
      </c>
    </row>
    <row r="31338" spans="1:2" x14ac:dyDescent="0.25">
      <c r="A31338">
        <v>64051090924</v>
      </c>
      <c r="B31338" t="s">
        <v>9261</v>
      </c>
    </row>
    <row r="31339" spans="1:2" x14ac:dyDescent="0.25">
      <c r="A31339">
        <v>64051090929</v>
      </c>
      <c r="B31339" t="s">
        <v>10</v>
      </c>
    </row>
    <row r="31340" spans="1:2" x14ac:dyDescent="0.25">
      <c r="A31340">
        <v>6405109093</v>
      </c>
      <c r="B31340" t="s">
        <v>9331</v>
      </c>
    </row>
    <row r="31341" spans="1:2" x14ac:dyDescent="0.25">
      <c r="A31341">
        <v>64051090931</v>
      </c>
      <c r="B31341" t="s">
        <v>9258</v>
      </c>
    </row>
    <row r="31342" spans="1:2" x14ac:dyDescent="0.25">
      <c r="A31342">
        <v>64051090932</v>
      </c>
      <c r="B31342" t="s">
        <v>9259</v>
      </c>
    </row>
    <row r="31343" spans="1:2" x14ac:dyDescent="0.25">
      <c r="A31343">
        <v>64051090933</v>
      </c>
      <c r="B31343" t="s">
        <v>9260</v>
      </c>
    </row>
    <row r="31344" spans="1:2" x14ac:dyDescent="0.25">
      <c r="A31344">
        <v>64051090934</v>
      </c>
      <c r="B31344" t="s">
        <v>9261</v>
      </c>
    </row>
    <row r="31345" spans="1:2" x14ac:dyDescent="0.25">
      <c r="A31345">
        <v>64051090939</v>
      </c>
      <c r="B31345" t="s">
        <v>10</v>
      </c>
    </row>
    <row r="31346" spans="1:2" x14ac:dyDescent="0.25">
      <c r="A31346">
        <v>6405109099</v>
      </c>
      <c r="B31346" t="s">
        <v>10</v>
      </c>
    </row>
    <row r="31347" spans="1:2" x14ac:dyDescent="0.25">
      <c r="A31347">
        <v>64051090991</v>
      </c>
      <c r="B31347" t="s">
        <v>9258</v>
      </c>
    </row>
    <row r="31348" spans="1:2" x14ac:dyDescent="0.25">
      <c r="A31348">
        <v>64051090992</v>
      </c>
      <c r="B31348" t="s">
        <v>9259</v>
      </c>
    </row>
    <row r="31349" spans="1:2" x14ac:dyDescent="0.25">
      <c r="A31349">
        <v>64051090993</v>
      </c>
      <c r="B31349" t="s">
        <v>9260</v>
      </c>
    </row>
    <row r="31350" spans="1:2" x14ac:dyDescent="0.25">
      <c r="A31350">
        <v>64051090994</v>
      </c>
      <c r="B31350" t="s">
        <v>9261</v>
      </c>
    </row>
    <row r="31351" spans="1:2" x14ac:dyDescent="0.25">
      <c r="A31351">
        <v>64051090999</v>
      </c>
      <c r="B31351" t="s">
        <v>10</v>
      </c>
    </row>
    <row r="31352" spans="1:2" x14ac:dyDescent="0.25">
      <c r="A31352">
        <v>64052000</v>
      </c>
      <c r="B31352" t="e">
        <f>- Con la parte superior de materia textil</f>
        <v>#NAME?</v>
      </c>
    </row>
    <row r="31353" spans="1:2" x14ac:dyDescent="0.25">
      <c r="A31353">
        <v>640520001</v>
      </c>
      <c r="B31353" t="s">
        <v>9332</v>
      </c>
    </row>
    <row r="31354" spans="1:2" x14ac:dyDescent="0.25">
      <c r="A31354">
        <v>64052000110</v>
      </c>
      <c r="B31354" t="s">
        <v>9258</v>
      </c>
    </row>
    <row r="31355" spans="1:2" x14ac:dyDescent="0.25">
      <c r="A31355">
        <v>64052000120</v>
      </c>
      <c r="B31355" t="s">
        <v>9259</v>
      </c>
    </row>
    <row r="31356" spans="1:2" x14ac:dyDescent="0.25">
      <c r="A31356">
        <v>64052000130</v>
      </c>
      <c r="B31356" t="s">
        <v>9260</v>
      </c>
    </row>
    <row r="31357" spans="1:2" x14ac:dyDescent="0.25">
      <c r="A31357">
        <v>64052000140</v>
      </c>
      <c r="B31357" t="s">
        <v>9261</v>
      </c>
    </row>
    <row r="31358" spans="1:2" x14ac:dyDescent="0.25">
      <c r="A31358">
        <v>64052000190</v>
      </c>
      <c r="B31358" t="s">
        <v>10</v>
      </c>
    </row>
    <row r="31359" spans="1:2" x14ac:dyDescent="0.25">
      <c r="A31359">
        <v>640520002</v>
      </c>
      <c r="B31359" t="s">
        <v>9326</v>
      </c>
    </row>
    <row r="31360" spans="1:2" x14ac:dyDescent="0.25">
      <c r="A31360">
        <v>64052000210</v>
      </c>
      <c r="B31360" t="s">
        <v>9258</v>
      </c>
    </row>
    <row r="31361" spans="1:2" x14ac:dyDescent="0.25">
      <c r="A31361">
        <v>64052000220</v>
      </c>
      <c r="B31361" t="s">
        <v>9259</v>
      </c>
    </row>
    <row r="31362" spans="1:2" x14ac:dyDescent="0.25">
      <c r="A31362">
        <v>64052000230</v>
      </c>
      <c r="B31362" t="s">
        <v>9260</v>
      </c>
    </row>
    <row r="31363" spans="1:2" x14ac:dyDescent="0.25">
      <c r="A31363">
        <v>64052000240</v>
      </c>
      <c r="B31363" t="s">
        <v>9261</v>
      </c>
    </row>
    <row r="31364" spans="1:2" x14ac:dyDescent="0.25">
      <c r="A31364">
        <v>64052000290</v>
      </c>
      <c r="B31364" t="s">
        <v>10</v>
      </c>
    </row>
    <row r="31365" spans="1:2" x14ac:dyDescent="0.25">
      <c r="A31365">
        <v>640520003</v>
      </c>
      <c r="B31365" t="s">
        <v>9333</v>
      </c>
    </row>
    <row r="31366" spans="1:2" x14ac:dyDescent="0.25">
      <c r="A31366">
        <v>64052000310</v>
      </c>
      <c r="B31366" t="s">
        <v>9258</v>
      </c>
    </row>
    <row r="31367" spans="1:2" x14ac:dyDescent="0.25">
      <c r="A31367">
        <v>64052000320</v>
      </c>
      <c r="B31367" t="s">
        <v>9259</v>
      </c>
    </row>
    <row r="31368" spans="1:2" x14ac:dyDescent="0.25">
      <c r="A31368">
        <v>64052000330</v>
      </c>
      <c r="B31368" t="s">
        <v>9260</v>
      </c>
    </row>
    <row r="31369" spans="1:2" x14ac:dyDescent="0.25">
      <c r="A31369">
        <v>64052000340</v>
      </c>
      <c r="B31369" t="s">
        <v>9261</v>
      </c>
    </row>
    <row r="31370" spans="1:2" x14ac:dyDescent="0.25">
      <c r="A31370">
        <v>64052000390</v>
      </c>
      <c r="B31370" t="s">
        <v>3484</v>
      </c>
    </row>
    <row r="31371" spans="1:2" x14ac:dyDescent="0.25">
      <c r="A31371">
        <v>640520004</v>
      </c>
      <c r="B31371" t="s">
        <v>9334</v>
      </c>
    </row>
    <row r="31372" spans="1:2" x14ac:dyDescent="0.25">
      <c r="A31372">
        <v>6405200041</v>
      </c>
      <c r="B31372" t="s">
        <v>9322</v>
      </c>
    </row>
    <row r="31373" spans="1:2" x14ac:dyDescent="0.25">
      <c r="A31373">
        <v>64052000411</v>
      </c>
      <c r="B31373" t="s">
        <v>9258</v>
      </c>
    </row>
    <row r="31374" spans="1:2" x14ac:dyDescent="0.25">
      <c r="A31374">
        <v>64052000412</v>
      </c>
      <c r="B31374" t="s">
        <v>9259</v>
      </c>
    </row>
    <row r="31375" spans="1:2" x14ac:dyDescent="0.25">
      <c r="A31375">
        <v>64052000413</v>
      </c>
      <c r="B31375" t="s">
        <v>9260</v>
      </c>
    </row>
    <row r="31376" spans="1:2" x14ac:dyDescent="0.25">
      <c r="A31376">
        <v>64052000414</v>
      </c>
      <c r="B31376" t="s">
        <v>9261</v>
      </c>
    </row>
    <row r="31377" spans="1:2" x14ac:dyDescent="0.25">
      <c r="A31377">
        <v>64052000419</v>
      </c>
      <c r="B31377" t="s">
        <v>10</v>
      </c>
    </row>
    <row r="31378" spans="1:2" x14ac:dyDescent="0.25">
      <c r="A31378">
        <v>6405200049</v>
      </c>
      <c r="B31378" t="s">
        <v>10</v>
      </c>
    </row>
    <row r="31379" spans="1:2" x14ac:dyDescent="0.25">
      <c r="A31379">
        <v>64052000491</v>
      </c>
      <c r="B31379" t="s">
        <v>9258</v>
      </c>
    </row>
    <row r="31380" spans="1:2" x14ac:dyDescent="0.25">
      <c r="A31380">
        <v>64052000492</v>
      </c>
      <c r="B31380" t="s">
        <v>9259</v>
      </c>
    </row>
    <row r="31381" spans="1:2" x14ac:dyDescent="0.25">
      <c r="A31381">
        <v>64052000493</v>
      </c>
      <c r="B31381" t="s">
        <v>9260</v>
      </c>
    </row>
    <row r="31382" spans="1:2" x14ac:dyDescent="0.25">
      <c r="A31382">
        <v>64052000494</v>
      </c>
      <c r="B31382" t="s">
        <v>9261</v>
      </c>
    </row>
    <row r="31383" spans="1:2" x14ac:dyDescent="0.25">
      <c r="A31383">
        <v>64052000499</v>
      </c>
      <c r="B31383" t="s">
        <v>10</v>
      </c>
    </row>
    <row r="31384" spans="1:2" x14ac:dyDescent="0.25">
      <c r="A31384">
        <v>640520009</v>
      </c>
      <c r="B31384" t="s">
        <v>10</v>
      </c>
    </row>
    <row r="31385" spans="1:2" x14ac:dyDescent="0.25">
      <c r="A31385">
        <v>64052000910</v>
      </c>
      <c r="B31385" t="s">
        <v>9258</v>
      </c>
    </row>
    <row r="31386" spans="1:2" x14ac:dyDescent="0.25">
      <c r="A31386">
        <v>64052000920</v>
      </c>
      <c r="B31386" t="s">
        <v>9259</v>
      </c>
    </row>
    <row r="31387" spans="1:2" x14ac:dyDescent="0.25">
      <c r="A31387">
        <v>64052000930</v>
      </c>
      <c r="B31387" t="s">
        <v>9260</v>
      </c>
    </row>
    <row r="31388" spans="1:2" x14ac:dyDescent="0.25">
      <c r="A31388">
        <v>64052000940</v>
      </c>
      <c r="B31388" t="s">
        <v>9261</v>
      </c>
    </row>
    <row r="31389" spans="1:2" x14ac:dyDescent="0.25">
      <c r="A31389">
        <v>64052000990</v>
      </c>
      <c r="B31389" t="s">
        <v>10</v>
      </c>
    </row>
    <row r="31390" spans="1:2" x14ac:dyDescent="0.25">
      <c r="A31390">
        <v>64059000</v>
      </c>
      <c r="B31390" t="e">
        <f>- Los demas</f>
        <v>#NAME?</v>
      </c>
    </row>
    <row r="31391" spans="1:2" x14ac:dyDescent="0.25">
      <c r="A31391">
        <v>640590001</v>
      </c>
      <c r="B31391" t="s">
        <v>9335</v>
      </c>
    </row>
    <row r="31392" spans="1:2" x14ac:dyDescent="0.25">
      <c r="A31392">
        <v>6405900011</v>
      </c>
      <c r="B31392" t="s">
        <v>9336</v>
      </c>
    </row>
    <row r="31393" spans="1:2" x14ac:dyDescent="0.25">
      <c r="A31393">
        <v>64059000111</v>
      </c>
      <c r="B31393" t="s">
        <v>9270</v>
      </c>
    </row>
    <row r="31394" spans="1:2" x14ac:dyDescent="0.25">
      <c r="A31394">
        <v>64059000112</v>
      </c>
      <c r="B31394" t="s">
        <v>9260</v>
      </c>
    </row>
    <row r="31395" spans="1:2" x14ac:dyDescent="0.25">
      <c r="A31395">
        <v>64059000113</v>
      </c>
      <c r="B31395" t="s">
        <v>9261</v>
      </c>
    </row>
    <row r="31396" spans="1:2" x14ac:dyDescent="0.25">
      <c r="A31396">
        <v>64059000119</v>
      </c>
      <c r="B31396" t="s">
        <v>10</v>
      </c>
    </row>
    <row r="31397" spans="1:2" x14ac:dyDescent="0.25">
      <c r="A31397">
        <v>6405900019</v>
      </c>
      <c r="B31397" t="s">
        <v>10</v>
      </c>
    </row>
    <row r="31398" spans="1:2" x14ac:dyDescent="0.25">
      <c r="A31398">
        <v>64059000191</v>
      </c>
      <c r="B31398" t="s">
        <v>9258</v>
      </c>
    </row>
    <row r="31399" spans="1:2" x14ac:dyDescent="0.25">
      <c r="A31399">
        <v>64059000192</v>
      </c>
      <c r="B31399" t="s">
        <v>9259</v>
      </c>
    </row>
    <row r="31400" spans="1:2" x14ac:dyDescent="0.25">
      <c r="A31400">
        <v>64059000193</v>
      </c>
      <c r="B31400" t="s">
        <v>9260</v>
      </c>
    </row>
    <row r="31401" spans="1:2" x14ac:dyDescent="0.25">
      <c r="A31401">
        <v>64059000194</v>
      </c>
      <c r="B31401" t="s">
        <v>9261</v>
      </c>
    </row>
    <row r="31402" spans="1:2" x14ac:dyDescent="0.25">
      <c r="A31402">
        <v>64059000199</v>
      </c>
      <c r="B31402" t="s">
        <v>10</v>
      </c>
    </row>
    <row r="31403" spans="1:2" x14ac:dyDescent="0.25">
      <c r="A31403">
        <v>640590009</v>
      </c>
      <c r="B31403" t="s">
        <v>10</v>
      </c>
    </row>
    <row r="31404" spans="1:2" x14ac:dyDescent="0.25">
      <c r="A31404">
        <v>6405900091</v>
      </c>
      <c r="B31404" t="s">
        <v>9337</v>
      </c>
    </row>
    <row r="31405" spans="1:2" x14ac:dyDescent="0.25">
      <c r="A31405">
        <v>64059000911</v>
      </c>
      <c r="B31405" t="s">
        <v>9338</v>
      </c>
    </row>
    <row r="31406" spans="1:2" x14ac:dyDescent="0.25">
      <c r="A31406">
        <v>64059000912</v>
      </c>
      <c r="B31406" t="s">
        <v>9259</v>
      </c>
    </row>
    <row r="31407" spans="1:2" x14ac:dyDescent="0.25">
      <c r="A31407">
        <v>64059000913</v>
      </c>
      <c r="B31407" t="s">
        <v>9260</v>
      </c>
    </row>
    <row r="31408" spans="1:2" x14ac:dyDescent="0.25">
      <c r="A31408">
        <v>64059000914</v>
      </c>
      <c r="B31408" t="s">
        <v>9261</v>
      </c>
    </row>
    <row r="31409" spans="1:2" x14ac:dyDescent="0.25">
      <c r="A31409">
        <v>64059000919</v>
      </c>
      <c r="B31409" t="s">
        <v>10</v>
      </c>
    </row>
    <row r="31410" spans="1:2" x14ac:dyDescent="0.25">
      <c r="A31410">
        <v>6405900099</v>
      </c>
      <c r="B31410" t="s">
        <v>10</v>
      </c>
    </row>
    <row r="31411" spans="1:2" x14ac:dyDescent="0.25">
      <c r="A31411">
        <v>64059000991</v>
      </c>
      <c r="B31411" t="s">
        <v>9338</v>
      </c>
    </row>
    <row r="31412" spans="1:2" x14ac:dyDescent="0.25">
      <c r="A31412">
        <v>64059000992</v>
      </c>
      <c r="B31412" t="s">
        <v>9259</v>
      </c>
    </row>
    <row r="31413" spans="1:2" x14ac:dyDescent="0.25">
      <c r="A31413">
        <v>64059000993</v>
      </c>
      <c r="B31413" t="s">
        <v>9260</v>
      </c>
    </row>
    <row r="31414" spans="1:2" x14ac:dyDescent="0.25">
      <c r="A31414">
        <v>64059000994</v>
      </c>
      <c r="B31414" t="s">
        <v>9261</v>
      </c>
    </row>
    <row r="31415" spans="1:2" x14ac:dyDescent="0.25">
      <c r="A31415">
        <v>64059000999</v>
      </c>
      <c r="B31415" t="s">
        <v>10</v>
      </c>
    </row>
    <row r="31416" spans="1:2" x14ac:dyDescent="0.25">
      <c r="A31416">
        <v>6406</v>
      </c>
      <c r="B31416" t="s">
        <v>9339</v>
      </c>
    </row>
    <row r="31417" spans="1:2" x14ac:dyDescent="0.25">
      <c r="A31417">
        <v>64061000</v>
      </c>
      <c r="B31417" t="e">
        <f>- partes superiores de calzado y sus partes. excepto Los contrafuertes y punteras duras</f>
        <v>#NAME?</v>
      </c>
    </row>
    <row r="31418" spans="1:2" x14ac:dyDescent="0.25">
      <c r="A31418">
        <v>640610001</v>
      </c>
      <c r="B31418" t="s">
        <v>9340</v>
      </c>
    </row>
    <row r="31419" spans="1:2" x14ac:dyDescent="0.25">
      <c r="A31419">
        <v>6406100011</v>
      </c>
      <c r="B31419" t="s">
        <v>9341</v>
      </c>
    </row>
    <row r="31420" spans="1:2" x14ac:dyDescent="0.25">
      <c r="A31420">
        <v>64061000111</v>
      </c>
      <c r="B31420" t="s">
        <v>9342</v>
      </c>
    </row>
    <row r="31421" spans="1:2" x14ac:dyDescent="0.25">
      <c r="A31421">
        <v>64061000112</v>
      </c>
      <c r="B31421" t="s">
        <v>9259</v>
      </c>
    </row>
    <row r="31422" spans="1:2" x14ac:dyDescent="0.25">
      <c r="A31422">
        <v>64061000113</v>
      </c>
      <c r="B31422" t="s">
        <v>9260</v>
      </c>
    </row>
    <row r="31423" spans="1:2" x14ac:dyDescent="0.25">
      <c r="A31423">
        <v>64061000114</v>
      </c>
      <c r="B31423" t="s">
        <v>9261</v>
      </c>
    </row>
    <row r="31424" spans="1:2" x14ac:dyDescent="0.25">
      <c r="A31424">
        <v>64061000119</v>
      </c>
      <c r="B31424" t="s">
        <v>10</v>
      </c>
    </row>
    <row r="31425" spans="1:2" x14ac:dyDescent="0.25">
      <c r="A31425">
        <v>6406100012</v>
      </c>
      <c r="B31425" t="s">
        <v>9343</v>
      </c>
    </row>
    <row r="31426" spans="1:2" x14ac:dyDescent="0.25">
      <c r="A31426">
        <v>64061000121</v>
      </c>
      <c r="B31426" t="s">
        <v>9258</v>
      </c>
    </row>
    <row r="31427" spans="1:2" x14ac:dyDescent="0.25">
      <c r="A31427">
        <v>64061000122</v>
      </c>
      <c r="B31427" t="s">
        <v>9259</v>
      </c>
    </row>
    <row r="31428" spans="1:2" x14ac:dyDescent="0.25">
      <c r="A31428">
        <v>64061000123</v>
      </c>
      <c r="B31428" t="s">
        <v>9260</v>
      </c>
    </row>
    <row r="31429" spans="1:2" x14ac:dyDescent="0.25">
      <c r="A31429">
        <v>64061000124</v>
      </c>
      <c r="B31429" t="s">
        <v>9261</v>
      </c>
    </row>
    <row r="31430" spans="1:2" x14ac:dyDescent="0.25">
      <c r="A31430">
        <v>64061000129</v>
      </c>
      <c r="B31430" t="s">
        <v>10</v>
      </c>
    </row>
    <row r="31431" spans="1:2" x14ac:dyDescent="0.25">
      <c r="A31431">
        <v>6406100013</v>
      </c>
      <c r="B31431" t="s">
        <v>9344</v>
      </c>
    </row>
    <row r="31432" spans="1:2" x14ac:dyDescent="0.25">
      <c r="A31432">
        <v>64061000131</v>
      </c>
      <c r="B31432" t="s">
        <v>9258</v>
      </c>
    </row>
    <row r="31433" spans="1:2" x14ac:dyDescent="0.25">
      <c r="A31433">
        <v>64061000132</v>
      </c>
      <c r="B31433" t="s">
        <v>9345</v>
      </c>
    </row>
    <row r="31434" spans="1:2" x14ac:dyDescent="0.25">
      <c r="A31434">
        <v>64061000133</v>
      </c>
      <c r="B31434" t="s">
        <v>9346</v>
      </c>
    </row>
    <row r="31435" spans="1:2" x14ac:dyDescent="0.25">
      <c r="A31435">
        <v>64061000134</v>
      </c>
      <c r="B31435" t="s">
        <v>9347</v>
      </c>
    </row>
    <row r="31436" spans="1:2" x14ac:dyDescent="0.25">
      <c r="A31436">
        <v>64061000139</v>
      </c>
      <c r="B31436" t="s">
        <v>10</v>
      </c>
    </row>
    <row r="31437" spans="1:2" x14ac:dyDescent="0.25">
      <c r="A31437">
        <v>6406100014</v>
      </c>
      <c r="B31437" t="s">
        <v>9348</v>
      </c>
    </row>
    <row r="31438" spans="1:2" x14ac:dyDescent="0.25">
      <c r="A31438">
        <v>64061000141</v>
      </c>
      <c r="B31438" t="s">
        <v>9258</v>
      </c>
    </row>
    <row r="31439" spans="1:2" x14ac:dyDescent="0.25">
      <c r="A31439">
        <v>64061000142</v>
      </c>
      <c r="B31439" t="s">
        <v>9259</v>
      </c>
    </row>
    <row r="31440" spans="1:2" x14ac:dyDescent="0.25">
      <c r="A31440">
        <v>64061000143</v>
      </c>
      <c r="B31440" t="s">
        <v>9260</v>
      </c>
    </row>
    <row r="31441" spans="1:2" x14ac:dyDescent="0.25">
      <c r="A31441">
        <v>64061000144</v>
      </c>
      <c r="B31441" t="s">
        <v>9261</v>
      </c>
    </row>
    <row r="31442" spans="1:2" x14ac:dyDescent="0.25">
      <c r="A31442">
        <v>64061000149</v>
      </c>
      <c r="B31442" t="s">
        <v>10</v>
      </c>
    </row>
    <row r="31443" spans="1:2" x14ac:dyDescent="0.25">
      <c r="A31443">
        <v>6406100015</v>
      </c>
      <c r="B31443" t="s">
        <v>9349</v>
      </c>
    </row>
    <row r="31444" spans="1:2" x14ac:dyDescent="0.25">
      <c r="A31444">
        <v>64061000151</v>
      </c>
      <c r="B31444" t="s">
        <v>9258</v>
      </c>
    </row>
    <row r="31445" spans="1:2" x14ac:dyDescent="0.25">
      <c r="A31445">
        <v>64061000152</v>
      </c>
      <c r="B31445" t="s">
        <v>9259</v>
      </c>
    </row>
    <row r="31446" spans="1:2" x14ac:dyDescent="0.25">
      <c r="A31446">
        <v>64061000153</v>
      </c>
      <c r="B31446" t="s">
        <v>9260</v>
      </c>
    </row>
    <row r="31447" spans="1:2" x14ac:dyDescent="0.25">
      <c r="A31447">
        <v>64061000154</v>
      </c>
      <c r="B31447" t="s">
        <v>9261</v>
      </c>
    </row>
    <row r="31448" spans="1:2" x14ac:dyDescent="0.25">
      <c r="A31448">
        <v>64061000159</v>
      </c>
      <c r="B31448" t="s">
        <v>10</v>
      </c>
    </row>
    <row r="31449" spans="1:2" x14ac:dyDescent="0.25">
      <c r="A31449">
        <v>6406100016</v>
      </c>
      <c r="B31449" t="s">
        <v>9350</v>
      </c>
    </row>
    <row r="31450" spans="1:2" x14ac:dyDescent="0.25">
      <c r="A31450">
        <v>64061000161</v>
      </c>
      <c r="B31450" t="s">
        <v>9258</v>
      </c>
    </row>
    <row r="31451" spans="1:2" x14ac:dyDescent="0.25">
      <c r="A31451">
        <v>64061000162</v>
      </c>
      <c r="B31451" t="s">
        <v>9259</v>
      </c>
    </row>
    <row r="31452" spans="1:2" x14ac:dyDescent="0.25">
      <c r="A31452">
        <v>64061000163</v>
      </c>
      <c r="B31452" t="s">
        <v>9260</v>
      </c>
    </row>
    <row r="31453" spans="1:2" x14ac:dyDescent="0.25">
      <c r="A31453">
        <v>64061000164</v>
      </c>
      <c r="B31453" t="s">
        <v>9261</v>
      </c>
    </row>
    <row r="31454" spans="1:2" x14ac:dyDescent="0.25">
      <c r="A31454">
        <v>64061000169</v>
      </c>
      <c r="B31454" t="s">
        <v>10</v>
      </c>
    </row>
    <row r="31455" spans="1:2" x14ac:dyDescent="0.25">
      <c r="A31455">
        <v>6406100019</v>
      </c>
      <c r="B31455" t="s">
        <v>9351</v>
      </c>
    </row>
    <row r="31456" spans="1:2" x14ac:dyDescent="0.25">
      <c r="A31456">
        <v>64061000191</v>
      </c>
      <c r="B31456" t="s">
        <v>9258</v>
      </c>
    </row>
    <row r="31457" spans="1:2" x14ac:dyDescent="0.25">
      <c r="A31457">
        <v>64061000192</v>
      </c>
      <c r="B31457" t="s">
        <v>9259</v>
      </c>
    </row>
    <row r="31458" spans="1:2" x14ac:dyDescent="0.25">
      <c r="A31458">
        <v>64061000193</v>
      </c>
      <c r="B31458" t="s">
        <v>9260</v>
      </c>
    </row>
    <row r="31459" spans="1:2" x14ac:dyDescent="0.25">
      <c r="A31459">
        <v>64061000194</v>
      </c>
      <c r="B31459" t="s">
        <v>9261</v>
      </c>
    </row>
    <row r="31460" spans="1:2" x14ac:dyDescent="0.25">
      <c r="A31460">
        <v>64061000199</v>
      </c>
      <c r="B31460" t="s">
        <v>10</v>
      </c>
    </row>
    <row r="31461" spans="1:2" x14ac:dyDescent="0.25">
      <c r="A31461">
        <v>640610002</v>
      </c>
      <c r="B31461" t="s">
        <v>9352</v>
      </c>
    </row>
    <row r="31462" spans="1:2" x14ac:dyDescent="0.25">
      <c r="A31462">
        <v>6406100021</v>
      </c>
      <c r="B31462" t="s">
        <v>9341</v>
      </c>
    </row>
    <row r="31463" spans="1:2" x14ac:dyDescent="0.25">
      <c r="A31463">
        <v>64061000211</v>
      </c>
      <c r="B31463" t="s">
        <v>9353</v>
      </c>
    </row>
    <row r="31464" spans="1:2" x14ac:dyDescent="0.25">
      <c r="A31464">
        <v>64061000212</v>
      </c>
      <c r="B31464" t="s">
        <v>9354</v>
      </c>
    </row>
    <row r="31465" spans="1:2" x14ac:dyDescent="0.25">
      <c r="A31465">
        <v>64061000213</v>
      </c>
      <c r="B31465" t="s">
        <v>9355</v>
      </c>
    </row>
    <row r="31466" spans="1:2" x14ac:dyDescent="0.25">
      <c r="A31466">
        <v>64061000219</v>
      </c>
      <c r="B31466" t="s">
        <v>57</v>
      </c>
    </row>
    <row r="31467" spans="1:2" x14ac:dyDescent="0.25">
      <c r="A31467">
        <v>6406100022</v>
      </c>
      <c r="B31467" t="s">
        <v>9343</v>
      </c>
    </row>
    <row r="31468" spans="1:2" x14ac:dyDescent="0.25">
      <c r="A31468">
        <v>64061000221</v>
      </c>
      <c r="B31468" t="s">
        <v>9353</v>
      </c>
    </row>
    <row r="31469" spans="1:2" x14ac:dyDescent="0.25">
      <c r="A31469">
        <v>64061000222</v>
      </c>
      <c r="B31469" t="s">
        <v>9354</v>
      </c>
    </row>
    <row r="31470" spans="1:2" x14ac:dyDescent="0.25">
      <c r="A31470">
        <v>64061000223</v>
      </c>
      <c r="B31470" t="s">
        <v>9355</v>
      </c>
    </row>
    <row r="31471" spans="1:2" x14ac:dyDescent="0.25">
      <c r="A31471">
        <v>64061000229</v>
      </c>
      <c r="B31471" t="s">
        <v>57</v>
      </c>
    </row>
    <row r="31472" spans="1:2" x14ac:dyDescent="0.25">
      <c r="A31472">
        <v>6406100023</v>
      </c>
      <c r="B31472" t="s">
        <v>9344</v>
      </c>
    </row>
    <row r="31473" spans="1:2" x14ac:dyDescent="0.25">
      <c r="A31473">
        <v>64061000231</v>
      </c>
      <c r="B31473" t="s">
        <v>9353</v>
      </c>
    </row>
    <row r="31474" spans="1:2" x14ac:dyDescent="0.25">
      <c r="A31474">
        <v>64061000232</v>
      </c>
      <c r="B31474" t="s">
        <v>9354</v>
      </c>
    </row>
    <row r="31475" spans="1:2" x14ac:dyDescent="0.25">
      <c r="A31475">
        <v>64061000233</v>
      </c>
      <c r="B31475" t="s">
        <v>9355</v>
      </c>
    </row>
    <row r="31476" spans="1:2" x14ac:dyDescent="0.25">
      <c r="A31476">
        <v>64061000239</v>
      </c>
      <c r="B31476" t="s">
        <v>57</v>
      </c>
    </row>
    <row r="31477" spans="1:2" x14ac:dyDescent="0.25">
      <c r="A31477">
        <v>6406100024</v>
      </c>
      <c r="B31477" t="s">
        <v>9348</v>
      </c>
    </row>
    <row r="31478" spans="1:2" x14ac:dyDescent="0.25">
      <c r="A31478">
        <v>64061000241</v>
      </c>
      <c r="B31478" t="s">
        <v>9353</v>
      </c>
    </row>
    <row r="31479" spans="1:2" x14ac:dyDescent="0.25">
      <c r="A31479">
        <v>64061000242</v>
      </c>
      <c r="B31479" t="s">
        <v>9354</v>
      </c>
    </row>
    <row r="31480" spans="1:2" x14ac:dyDescent="0.25">
      <c r="A31480">
        <v>64061000243</v>
      </c>
      <c r="B31480" t="s">
        <v>9355</v>
      </c>
    </row>
    <row r="31481" spans="1:2" x14ac:dyDescent="0.25">
      <c r="A31481">
        <v>64061000249</v>
      </c>
      <c r="B31481" t="s">
        <v>57</v>
      </c>
    </row>
    <row r="31482" spans="1:2" x14ac:dyDescent="0.25">
      <c r="A31482">
        <v>6406100025</v>
      </c>
      <c r="B31482" t="s">
        <v>9356</v>
      </c>
    </row>
    <row r="31483" spans="1:2" x14ac:dyDescent="0.25">
      <c r="A31483">
        <v>64061000251</v>
      </c>
      <c r="B31483" t="s">
        <v>9353</v>
      </c>
    </row>
    <row r="31484" spans="1:2" x14ac:dyDescent="0.25">
      <c r="A31484">
        <v>64061000252</v>
      </c>
      <c r="B31484" t="s">
        <v>9354</v>
      </c>
    </row>
    <row r="31485" spans="1:2" x14ac:dyDescent="0.25">
      <c r="A31485">
        <v>64061000253</v>
      </c>
      <c r="B31485" t="s">
        <v>9355</v>
      </c>
    </row>
    <row r="31486" spans="1:2" x14ac:dyDescent="0.25">
      <c r="A31486">
        <v>64061000259</v>
      </c>
      <c r="B31486" t="s">
        <v>57</v>
      </c>
    </row>
    <row r="31487" spans="1:2" x14ac:dyDescent="0.25">
      <c r="A31487">
        <v>6406100026</v>
      </c>
      <c r="B31487" t="s">
        <v>9350</v>
      </c>
    </row>
    <row r="31488" spans="1:2" x14ac:dyDescent="0.25">
      <c r="A31488">
        <v>64061000261</v>
      </c>
      <c r="B31488" t="s">
        <v>9353</v>
      </c>
    </row>
    <row r="31489" spans="1:2" x14ac:dyDescent="0.25">
      <c r="A31489">
        <v>64061000262</v>
      </c>
      <c r="B31489" t="s">
        <v>9354</v>
      </c>
    </row>
    <row r="31490" spans="1:2" x14ac:dyDescent="0.25">
      <c r="A31490">
        <v>64061000263</v>
      </c>
      <c r="B31490" t="s">
        <v>9355</v>
      </c>
    </row>
    <row r="31491" spans="1:2" x14ac:dyDescent="0.25">
      <c r="A31491">
        <v>64061000269</v>
      </c>
      <c r="B31491" t="s">
        <v>57</v>
      </c>
    </row>
    <row r="31492" spans="1:2" x14ac:dyDescent="0.25">
      <c r="A31492">
        <v>6406100029</v>
      </c>
      <c r="B31492" t="s">
        <v>9351</v>
      </c>
    </row>
    <row r="31493" spans="1:2" x14ac:dyDescent="0.25">
      <c r="A31493">
        <v>64061000291</v>
      </c>
      <c r="B31493" t="s">
        <v>9353</v>
      </c>
    </row>
    <row r="31494" spans="1:2" x14ac:dyDescent="0.25">
      <c r="A31494">
        <v>64061000292</v>
      </c>
      <c r="B31494" t="s">
        <v>9354</v>
      </c>
    </row>
    <row r="31495" spans="1:2" x14ac:dyDescent="0.25">
      <c r="A31495">
        <v>64061000293</v>
      </c>
      <c r="B31495" t="s">
        <v>9355</v>
      </c>
    </row>
    <row r="31496" spans="1:2" x14ac:dyDescent="0.25">
      <c r="A31496">
        <v>64061000299</v>
      </c>
      <c r="B31496" t="s">
        <v>57</v>
      </c>
    </row>
    <row r="31497" spans="1:2" x14ac:dyDescent="0.25">
      <c r="A31497">
        <v>64062000</v>
      </c>
      <c r="B31497" t="s">
        <v>9357</v>
      </c>
    </row>
    <row r="31498" spans="1:2" x14ac:dyDescent="0.25">
      <c r="A31498">
        <v>640620001</v>
      </c>
      <c r="B31498" t="s">
        <v>9358</v>
      </c>
    </row>
    <row r="31499" spans="1:2" x14ac:dyDescent="0.25">
      <c r="A31499">
        <v>64062000110</v>
      </c>
      <c r="B31499" t="s">
        <v>486</v>
      </c>
    </row>
    <row r="31500" spans="1:2" x14ac:dyDescent="0.25">
      <c r="A31500">
        <v>64062000190</v>
      </c>
      <c r="B31500" t="s">
        <v>57</v>
      </c>
    </row>
    <row r="31501" spans="1:2" x14ac:dyDescent="0.25">
      <c r="A31501">
        <v>64062000200</v>
      </c>
      <c r="B31501" t="s">
        <v>9359</v>
      </c>
    </row>
    <row r="31502" spans="1:2" x14ac:dyDescent="0.25">
      <c r="A31502">
        <v>64062000900</v>
      </c>
      <c r="B31502" t="s">
        <v>10</v>
      </c>
    </row>
    <row r="31503" spans="1:2" x14ac:dyDescent="0.25">
      <c r="A31503">
        <v>640690</v>
      </c>
      <c r="B31503" t="e">
        <f>- Los demas</f>
        <v>#NAME?</v>
      </c>
    </row>
    <row r="31504" spans="1:2" x14ac:dyDescent="0.25">
      <c r="A31504">
        <v>64069010</v>
      </c>
      <c r="B31504" t="s">
        <v>9360</v>
      </c>
    </row>
    <row r="31505" spans="1:2" x14ac:dyDescent="0.25">
      <c r="A31505">
        <v>640690101</v>
      </c>
      <c r="B31505" t="s">
        <v>9358</v>
      </c>
    </row>
    <row r="31506" spans="1:2" x14ac:dyDescent="0.25">
      <c r="A31506">
        <v>64069010110</v>
      </c>
      <c r="B31506" t="s">
        <v>486</v>
      </c>
    </row>
    <row r="31507" spans="1:2" x14ac:dyDescent="0.25">
      <c r="A31507">
        <v>64069010190</v>
      </c>
      <c r="B31507" t="s">
        <v>57</v>
      </c>
    </row>
    <row r="31508" spans="1:2" x14ac:dyDescent="0.25">
      <c r="A31508">
        <v>64069010200</v>
      </c>
      <c r="B31508" t="s">
        <v>9359</v>
      </c>
    </row>
    <row r="31509" spans="1:2" x14ac:dyDescent="0.25">
      <c r="A31509">
        <v>64069010900</v>
      </c>
      <c r="B31509" t="s">
        <v>10</v>
      </c>
    </row>
    <row r="31510" spans="1:2" x14ac:dyDescent="0.25">
      <c r="A31510">
        <v>64069020</v>
      </c>
      <c r="B31510" t="s">
        <v>9361</v>
      </c>
    </row>
    <row r="31511" spans="1:2" x14ac:dyDescent="0.25">
      <c r="A31511">
        <v>64069020100</v>
      </c>
      <c r="B31511" t="s">
        <v>9362</v>
      </c>
    </row>
    <row r="31512" spans="1:2" x14ac:dyDescent="0.25">
      <c r="A31512">
        <v>64069020900</v>
      </c>
      <c r="B31512" t="s">
        <v>57</v>
      </c>
    </row>
    <row r="31513" spans="1:2" x14ac:dyDescent="0.25">
      <c r="A31513">
        <v>64069090</v>
      </c>
      <c r="B31513" t="s">
        <v>10</v>
      </c>
    </row>
    <row r="31514" spans="1:2" x14ac:dyDescent="0.25">
      <c r="A31514">
        <v>640690901</v>
      </c>
      <c r="B31514" t="s">
        <v>9363</v>
      </c>
    </row>
    <row r="31515" spans="1:2" x14ac:dyDescent="0.25">
      <c r="A31515">
        <v>6406909011</v>
      </c>
      <c r="B31515" t="s">
        <v>7605</v>
      </c>
    </row>
    <row r="31516" spans="1:2" x14ac:dyDescent="0.25">
      <c r="A31516">
        <v>64069090111</v>
      </c>
      <c r="B31516" t="s">
        <v>9364</v>
      </c>
    </row>
    <row r="31517" spans="1:2" x14ac:dyDescent="0.25">
      <c r="A31517">
        <v>64069090112</v>
      </c>
      <c r="B31517" t="s">
        <v>9365</v>
      </c>
    </row>
    <row r="31518" spans="1:2" x14ac:dyDescent="0.25">
      <c r="A31518">
        <v>64069090113</v>
      </c>
      <c r="B31518" t="s">
        <v>9366</v>
      </c>
    </row>
    <row r="31519" spans="1:2" x14ac:dyDescent="0.25">
      <c r="A31519">
        <v>64069090119</v>
      </c>
      <c r="B31519" t="s">
        <v>10</v>
      </c>
    </row>
    <row r="31520" spans="1:2" x14ac:dyDescent="0.25">
      <c r="A31520">
        <v>6406909012</v>
      </c>
      <c r="B31520" t="s">
        <v>7611</v>
      </c>
    </row>
    <row r="31521" spans="1:2" x14ac:dyDescent="0.25">
      <c r="A31521">
        <v>64069090121</v>
      </c>
      <c r="B31521" t="s">
        <v>9366</v>
      </c>
    </row>
    <row r="31522" spans="1:2" x14ac:dyDescent="0.25">
      <c r="A31522">
        <v>64069090129</v>
      </c>
      <c r="B31522" t="s">
        <v>10</v>
      </c>
    </row>
    <row r="31523" spans="1:2" x14ac:dyDescent="0.25">
      <c r="A31523">
        <v>64069090200</v>
      </c>
      <c r="B31523" t="s">
        <v>7614</v>
      </c>
    </row>
    <row r="31524" spans="1:2" x14ac:dyDescent="0.25">
      <c r="A31524">
        <v>640690909</v>
      </c>
      <c r="B31524" t="s">
        <v>10</v>
      </c>
    </row>
    <row r="31525" spans="1:2" x14ac:dyDescent="0.25">
      <c r="A31525">
        <v>64069090910</v>
      </c>
      <c r="B31525" t="s">
        <v>9367</v>
      </c>
    </row>
    <row r="31526" spans="1:2" x14ac:dyDescent="0.25">
      <c r="A31526">
        <v>64069090920</v>
      </c>
      <c r="B31526" t="s">
        <v>9368</v>
      </c>
    </row>
    <row r="31527" spans="1:2" x14ac:dyDescent="0.25">
      <c r="A31527">
        <v>64069090930</v>
      </c>
      <c r="B31527" t="s">
        <v>9364</v>
      </c>
    </row>
    <row r="31528" spans="1:2" x14ac:dyDescent="0.25">
      <c r="A31528">
        <v>64069090940</v>
      </c>
      <c r="B31528" t="s">
        <v>9366</v>
      </c>
    </row>
    <row r="31529" spans="1:2" x14ac:dyDescent="0.25">
      <c r="A31529">
        <v>64069090990</v>
      </c>
      <c r="B31529" t="s">
        <v>10</v>
      </c>
    </row>
    <row r="31530" spans="1:2" x14ac:dyDescent="0.25">
      <c r="A31530">
        <v>65010000</v>
      </c>
      <c r="B31530" t="s">
        <v>9369</v>
      </c>
    </row>
    <row r="31531" spans="1:2" x14ac:dyDescent="0.25">
      <c r="A31531">
        <v>650100001</v>
      </c>
      <c r="B31531" t="s">
        <v>9370</v>
      </c>
    </row>
    <row r="31532" spans="1:2" x14ac:dyDescent="0.25">
      <c r="A31532">
        <v>6501000011</v>
      </c>
      <c r="B31532" t="s">
        <v>8344</v>
      </c>
    </row>
    <row r="31533" spans="1:2" x14ac:dyDescent="0.25">
      <c r="A31533">
        <v>65010000111</v>
      </c>
      <c r="B31533" t="s">
        <v>626</v>
      </c>
    </row>
    <row r="31534" spans="1:2" x14ac:dyDescent="0.25">
      <c r="A31534">
        <v>65010000119</v>
      </c>
      <c r="B31534" t="s">
        <v>10</v>
      </c>
    </row>
    <row r="31535" spans="1:2" x14ac:dyDescent="0.25">
      <c r="A31535">
        <v>6501000012</v>
      </c>
      <c r="B31535" t="s">
        <v>8345</v>
      </c>
    </row>
    <row r="31536" spans="1:2" x14ac:dyDescent="0.25">
      <c r="A31536">
        <v>65010000121</v>
      </c>
      <c r="B31536" t="s">
        <v>626</v>
      </c>
    </row>
    <row r="31537" spans="1:2" x14ac:dyDescent="0.25">
      <c r="A31537">
        <v>65010000129</v>
      </c>
      <c r="B31537" t="s">
        <v>10</v>
      </c>
    </row>
    <row r="31538" spans="1:2" x14ac:dyDescent="0.25">
      <c r="A31538">
        <v>6501000019</v>
      </c>
      <c r="B31538" t="s">
        <v>9351</v>
      </c>
    </row>
    <row r="31539" spans="1:2" x14ac:dyDescent="0.25">
      <c r="A31539">
        <v>65010000191</v>
      </c>
      <c r="B31539" t="s">
        <v>626</v>
      </c>
    </row>
    <row r="31540" spans="1:2" x14ac:dyDescent="0.25">
      <c r="A31540">
        <v>65010000199</v>
      </c>
      <c r="B31540" t="s">
        <v>10</v>
      </c>
    </row>
    <row r="31541" spans="1:2" x14ac:dyDescent="0.25">
      <c r="A31541">
        <v>650100002</v>
      </c>
      <c r="B31541" t="s">
        <v>9371</v>
      </c>
    </row>
    <row r="31542" spans="1:2" x14ac:dyDescent="0.25">
      <c r="A31542">
        <v>6501000021</v>
      </c>
      <c r="B31542" t="s">
        <v>8344</v>
      </c>
    </row>
    <row r="31543" spans="1:2" x14ac:dyDescent="0.25">
      <c r="A31543">
        <v>65010000211</v>
      </c>
      <c r="B31543" t="s">
        <v>626</v>
      </c>
    </row>
    <row r="31544" spans="1:2" x14ac:dyDescent="0.25">
      <c r="A31544">
        <v>65010000219</v>
      </c>
      <c r="B31544" t="s">
        <v>10</v>
      </c>
    </row>
    <row r="31545" spans="1:2" x14ac:dyDescent="0.25">
      <c r="A31545">
        <v>6501000022</v>
      </c>
      <c r="B31545" t="s">
        <v>8345</v>
      </c>
    </row>
    <row r="31546" spans="1:2" x14ac:dyDescent="0.25">
      <c r="A31546">
        <v>65010000221</v>
      </c>
      <c r="B31546" t="s">
        <v>626</v>
      </c>
    </row>
    <row r="31547" spans="1:2" x14ac:dyDescent="0.25">
      <c r="A31547">
        <v>65010000229</v>
      </c>
      <c r="B31547" t="s">
        <v>10</v>
      </c>
    </row>
    <row r="31548" spans="1:2" x14ac:dyDescent="0.25">
      <c r="A31548">
        <v>6501000029</v>
      </c>
      <c r="B31548" t="s">
        <v>9351</v>
      </c>
    </row>
    <row r="31549" spans="1:2" x14ac:dyDescent="0.25">
      <c r="A31549">
        <v>65010000291</v>
      </c>
      <c r="B31549" t="s">
        <v>626</v>
      </c>
    </row>
    <row r="31550" spans="1:2" x14ac:dyDescent="0.25">
      <c r="A31550">
        <v>65010000299</v>
      </c>
      <c r="B31550" t="s">
        <v>10</v>
      </c>
    </row>
    <row r="31551" spans="1:2" x14ac:dyDescent="0.25">
      <c r="A31551">
        <v>650100003</v>
      </c>
      <c r="B31551" t="s">
        <v>9372</v>
      </c>
    </row>
    <row r="31552" spans="1:2" x14ac:dyDescent="0.25">
      <c r="A31552">
        <v>6501000031</v>
      </c>
      <c r="B31552" t="s">
        <v>8344</v>
      </c>
    </row>
    <row r="31553" spans="1:2" x14ac:dyDescent="0.25">
      <c r="A31553">
        <v>65010000311</v>
      </c>
      <c r="B31553" t="s">
        <v>626</v>
      </c>
    </row>
    <row r="31554" spans="1:2" x14ac:dyDescent="0.25">
      <c r="A31554">
        <v>65010000319</v>
      </c>
      <c r="B31554" t="s">
        <v>10</v>
      </c>
    </row>
    <row r="31555" spans="1:2" x14ac:dyDescent="0.25">
      <c r="A31555">
        <v>6501000032</v>
      </c>
      <c r="B31555" t="s">
        <v>8345</v>
      </c>
    </row>
    <row r="31556" spans="1:2" x14ac:dyDescent="0.25">
      <c r="A31556">
        <v>65010000321</v>
      </c>
      <c r="B31556" t="s">
        <v>626</v>
      </c>
    </row>
    <row r="31557" spans="1:2" x14ac:dyDescent="0.25">
      <c r="A31557">
        <v>65010000329</v>
      </c>
      <c r="B31557" t="s">
        <v>10</v>
      </c>
    </row>
    <row r="31558" spans="1:2" x14ac:dyDescent="0.25">
      <c r="A31558">
        <v>6501000039</v>
      </c>
      <c r="B31558" t="s">
        <v>9351</v>
      </c>
    </row>
    <row r="31559" spans="1:2" x14ac:dyDescent="0.25">
      <c r="A31559">
        <v>65010000391</v>
      </c>
      <c r="B31559" t="s">
        <v>626</v>
      </c>
    </row>
    <row r="31560" spans="1:2" x14ac:dyDescent="0.25">
      <c r="A31560">
        <v>65010000399</v>
      </c>
      <c r="B31560" t="s">
        <v>10</v>
      </c>
    </row>
    <row r="31561" spans="1:2" x14ac:dyDescent="0.25">
      <c r="A31561">
        <v>650200</v>
      </c>
      <c r="B31561" t="s">
        <v>9373</v>
      </c>
    </row>
    <row r="31562" spans="1:2" x14ac:dyDescent="0.25">
      <c r="A31562">
        <v>65020010</v>
      </c>
      <c r="B31562" t="s">
        <v>9374</v>
      </c>
    </row>
    <row r="31563" spans="1:2" x14ac:dyDescent="0.25">
      <c r="A31563">
        <v>650200101</v>
      </c>
      <c r="B31563" t="s">
        <v>626</v>
      </c>
    </row>
    <row r="31564" spans="1:2" x14ac:dyDescent="0.25">
      <c r="A31564">
        <v>65020010110</v>
      </c>
      <c r="B31564" t="s">
        <v>9375</v>
      </c>
    </row>
    <row r="31565" spans="1:2" x14ac:dyDescent="0.25">
      <c r="A31565">
        <v>65020010190</v>
      </c>
      <c r="B31565" t="s">
        <v>10</v>
      </c>
    </row>
    <row r="31566" spans="1:2" x14ac:dyDescent="0.25">
      <c r="A31566">
        <v>650200109</v>
      </c>
      <c r="B31566" t="s">
        <v>10</v>
      </c>
    </row>
    <row r="31567" spans="1:2" x14ac:dyDescent="0.25">
      <c r="A31567">
        <v>65020010910</v>
      </c>
      <c r="B31567" t="s">
        <v>9375</v>
      </c>
    </row>
    <row r="31568" spans="1:2" x14ac:dyDescent="0.25">
      <c r="A31568">
        <v>65020010990</v>
      </c>
      <c r="B31568" t="s">
        <v>10</v>
      </c>
    </row>
    <row r="31569" spans="1:2" x14ac:dyDescent="0.25">
      <c r="A31569">
        <v>65020090</v>
      </c>
      <c r="B31569" t="s">
        <v>10</v>
      </c>
    </row>
    <row r="31570" spans="1:2" x14ac:dyDescent="0.25">
      <c r="A31570">
        <v>650200901</v>
      </c>
      <c r="B31570" t="s">
        <v>9376</v>
      </c>
    </row>
    <row r="31571" spans="1:2" x14ac:dyDescent="0.25">
      <c r="A31571">
        <v>6502009011</v>
      </c>
      <c r="B31571" t="s">
        <v>7605</v>
      </c>
    </row>
    <row r="31572" spans="1:2" x14ac:dyDescent="0.25">
      <c r="A31572">
        <v>65020090111</v>
      </c>
      <c r="B31572" t="s">
        <v>626</v>
      </c>
    </row>
    <row r="31573" spans="1:2" x14ac:dyDescent="0.25">
      <c r="A31573">
        <v>65020090119</v>
      </c>
      <c r="B31573" t="s">
        <v>10</v>
      </c>
    </row>
    <row r="31574" spans="1:2" x14ac:dyDescent="0.25">
      <c r="A31574">
        <v>6502009012</v>
      </c>
      <c r="B31574" t="s">
        <v>9377</v>
      </c>
    </row>
    <row r="31575" spans="1:2" x14ac:dyDescent="0.25">
      <c r="A31575">
        <v>65020090121</v>
      </c>
      <c r="B31575" t="s">
        <v>626</v>
      </c>
    </row>
    <row r="31576" spans="1:2" x14ac:dyDescent="0.25">
      <c r="A31576">
        <v>65020090129</v>
      </c>
      <c r="B31576" t="s">
        <v>10</v>
      </c>
    </row>
    <row r="31577" spans="1:2" x14ac:dyDescent="0.25">
      <c r="A31577">
        <v>6502009013</v>
      </c>
      <c r="B31577" t="s">
        <v>9378</v>
      </c>
    </row>
    <row r="31578" spans="1:2" x14ac:dyDescent="0.25">
      <c r="A31578">
        <v>65020090131</v>
      </c>
      <c r="B31578" t="s">
        <v>626</v>
      </c>
    </row>
    <row r="31579" spans="1:2" x14ac:dyDescent="0.25">
      <c r="A31579">
        <v>65020090139</v>
      </c>
      <c r="B31579" t="s">
        <v>10</v>
      </c>
    </row>
    <row r="31580" spans="1:2" x14ac:dyDescent="0.25">
      <c r="A31580">
        <v>6502009014</v>
      </c>
      <c r="B31580" t="s">
        <v>9379</v>
      </c>
    </row>
    <row r="31581" spans="1:2" x14ac:dyDescent="0.25">
      <c r="A31581">
        <v>65020090141</v>
      </c>
      <c r="B31581" t="s">
        <v>626</v>
      </c>
    </row>
    <row r="31582" spans="1:2" x14ac:dyDescent="0.25">
      <c r="A31582">
        <v>65020090149</v>
      </c>
      <c r="B31582" t="s">
        <v>10</v>
      </c>
    </row>
    <row r="31583" spans="1:2" x14ac:dyDescent="0.25">
      <c r="A31583">
        <v>6502009015</v>
      </c>
      <c r="B31583" t="s">
        <v>9380</v>
      </c>
    </row>
    <row r="31584" spans="1:2" x14ac:dyDescent="0.25">
      <c r="A31584">
        <v>65020090151</v>
      </c>
      <c r="B31584" t="s">
        <v>626</v>
      </c>
    </row>
    <row r="31585" spans="1:2" x14ac:dyDescent="0.25">
      <c r="A31585">
        <v>65020090159</v>
      </c>
      <c r="B31585" t="s">
        <v>10</v>
      </c>
    </row>
    <row r="31586" spans="1:2" x14ac:dyDescent="0.25">
      <c r="A31586">
        <v>6502009016</v>
      </c>
      <c r="B31586" t="s">
        <v>9381</v>
      </c>
    </row>
    <row r="31587" spans="1:2" x14ac:dyDescent="0.25">
      <c r="A31587">
        <v>65020090161</v>
      </c>
      <c r="B31587" t="s">
        <v>626</v>
      </c>
    </row>
    <row r="31588" spans="1:2" x14ac:dyDescent="0.25">
      <c r="A31588">
        <v>65020090169</v>
      </c>
      <c r="B31588" t="s">
        <v>10</v>
      </c>
    </row>
    <row r="31589" spans="1:2" x14ac:dyDescent="0.25">
      <c r="A31589">
        <v>6502009019</v>
      </c>
      <c r="B31589" t="s">
        <v>9351</v>
      </c>
    </row>
    <row r="31590" spans="1:2" x14ac:dyDescent="0.25">
      <c r="A31590">
        <v>65020090191</v>
      </c>
      <c r="B31590" t="s">
        <v>626</v>
      </c>
    </row>
    <row r="31591" spans="1:2" x14ac:dyDescent="0.25">
      <c r="A31591">
        <v>65020090199</v>
      </c>
      <c r="B31591" t="s">
        <v>10</v>
      </c>
    </row>
    <row r="31592" spans="1:2" x14ac:dyDescent="0.25">
      <c r="A31592">
        <v>650200902</v>
      </c>
      <c r="B31592" t="s">
        <v>9382</v>
      </c>
    </row>
    <row r="31593" spans="1:2" x14ac:dyDescent="0.25">
      <c r="A31593">
        <v>6502009021</v>
      </c>
      <c r="B31593" t="s">
        <v>9350</v>
      </c>
    </row>
    <row r="31594" spans="1:2" x14ac:dyDescent="0.25">
      <c r="A31594">
        <v>65020090211</v>
      </c>
      <c r="B31594" t="s">
        <v>626</v>
      </c>
    </row>
    <row r="31595" spans="1:2" x14ac:dyDescent="0.25">
      <c r="A31595">
        <v>65020090219</v>
      </c>
      <c r="B31595" t="s">
        <v>10</v>
      </c>
    </row>
    <row r="31596" spans="1:2" x14ac:dyDescent="0.25">
      <c r="A31596">
        <v>6502009029</v>
      </c>
      <c r="B31596" t="s">
        <v>9351</v>
      </c>
    </row>
    <row r="31597" spans="1:2" x14ac:dyDescent="0.25">
      <c r="A31597">
        <v>65020090291</v>
      </c>
      <c r="B31597" t="s">
        <v>626</v>
      </c>
    </row>
    <row r="31598" spans="1:2" x14ac:dyDescent="0.25">
      <c r="A31598">
        <v>65020090299</v>
      </c>
      <c r="B31598" t="s">
        <v>10</v>
      </c>
    </row>
    <row r="31599" spans="1:2" x14ac:dyDescent="0.25">
      <c r="A31599">
        <v>650400</v>
      </c>
      <c r="B31599" t="s">
        <v>9383</v>
      </c>
    </row>
    <row r="31600" spans="1:2" x14ac:dyDescent="0.25">
      <c r="A31600">
        <v>65040010</v>
      </c>
      <c r="B31600" t="s">
        <v>9374</v>
      </c>
    </row>
    <row r="31601" spans="1:2" x14ac:dyDescent="0.25">
      <c r="A31601">
        <v>650400101</v>
      </c>
      <c r="B31601" t="s">
        <v>9384</v>
      </c>
    </row>
    <row r="31602" spans="1:2" x14ac:dyDescent="0.25">
      <c r="A31602">
        <v>6504001011</v>
      </c>
      <c r="B31602" t="s">
        <v>9385</v>
      </c>
    </row>
    <row r="31603" spans="1:2" x14ac:dyDescent="0.25">
      <c r="A31603">
        <v>65040010111</v>
      </c>
      <c r="B31603" t="s">
        <v>626</v>
      </c>
    </row>
    <row r="31604" spans="1:2" x14ac:dyDescent="0.25">
      <c r="A31604">
        <v>65040010119</v>
      </c>
      <c r="B31604" t="s">
        <v>10</v>
      </c>
    </row>
    <row r="31605" spans="1:2" x14ac:dyDescent="0.25">
      <c r="A31605">
        <v>6504001012</v>
      </c>
      <c r="B31605" t="s">
        <v>10</v>
      </c>
    </row>
    <row r="31606" spans="1:2" x14ac:dyDescent="0.25">
      <c r="A31606">
        <v>65040010121</v>
      </c>
      <c r="B31606" t="s">
        <v>626</v>
      </c>
    </row>
    <row r="31607" spans="1:2" x14ac:dyDescent="0.25">
      <c r="A31607">
        <v>65040010129</v>
      </c>
      <c r="B31607" t="s">
        <v>10</v>
      </c>
    </row>
    <row r="31608" spans="1:2" x14ac:dyDescent="0.25">
      <c r="A31608">
        <v>650400102</v>
      </c>
      <c r="B31608" t="s">
        <v>9386</v>
      </c>
    </row>
    <row r="31609" spans="1:2" x14ac:dyDescent="0.25">
      <c r="A31609">
        <v>6504001021</v>
      </c>
      <c r="B31609" t="s">
        <v>9385</v>
      </c>
    </row>
    <row r="31610" spans="1:2" x14ac:dyDescent="0.25">
      <c r="A31610">
        <v>65040010211</v>
      </c>
      <c r="B31610" t="s">
        <v>626</v>
      </c>
    </row>
    <row r="31611" spans="1:2" x14ac:dyDescent="0.25">
      <c r="A31611">
        <v>65040010219</v>
      </c>
      <c r="B31611" t="s">
        <v>10</v>
      </c>
    </row>
    <row r="31612" spans="1:2" x14ac:dyDescent="0.25">
      <c r="A31612">
        <v>6504001022</v>
      </c>
      <c r="B31612" t="s">
        <v>10</v>
      </c>
    </row>
    <row r="31613" spans="1:2" x14ac:dyDescent="0.25">
      <c r="A31613">
        <v>65040010221</v>
      </c>
      <c r="B31613" t="s">
        <v>626</v>
      </c>
    </row>
    <row r="31614" spans="1:2" x14ac:dyDescent="0.25">
      <c r="A31614">
        <v>65040010229</v>
      </c>
      <c r="B31614" t="s">
        <v>10</v>
      </c>
    </row>
    <row r="31615" spans="1:2" x14ac:dyDescent="0.25">
      <c r="A31615">
        <v>65040090</v>
      </c>
      <c r="B31615" t="s">
        <v>10</v>
      </c>
    </row>
    <row r="31616" spans="1:2" x14ac:dyDescent="0.25">
      <c r="A31616">
        <v>650400901</v>
      </c>
      <c r="B31616" t="s">
        <v>9376</v>
      </c>
    </row>
    <row r="31617" spans="1:2" x14ac:dyDescent="0.25">
      <c r="A31617">
        <v>6504009011</v>
      </c>
      <c r="B31617" t="s">
        <v>7605</v>
      </c>
    </row>
    <row r="31618" spans="1:2" x14ac:dyDescent="0.25">
      <c r="A31618">
        <v>65040090111</v>
      </c>
      <c r="B31618" t="s">
        <v>9385</v>
      </c>
    </row>
    <row r="31619" spans="1:2" x14ac:dyDescent="0.25">
      <c r="A31619">
        <v>65040090119</v>
      </c>
      <c r="B31619" t="s">
        <v>10</v>
      </c>
    </row>
    <row r="31620" spans="1:2" x14ac:dyDescent="0.25">
      <c r="A31620">
        <v>6504009012</v>
      </c>
      <c r="B31620" t="s">
        <v>9377</v>
      </c>
    </row>
    <row r="31621" spans="1:2" x14ac:dyDescent="0.25">
      <c r="A31621">
        <v>65040090121</v>
      </c>
      <c r="B31621" t="s">
        <v>9385</v>
      </c>
    </row>
    <row r="31622" spans="1:2" x14ac:dyDescent="0.25">
      <c r="A31622">
        <v>65040090129</v>
      </c>
      <c r="B31622" t="s">
        <v>10</v>
      </c>
    </row>
    <row r="31623" spans="1:2" x14ac:dyDescent="0.25">
      <c r="A31623">
        <v>6504009013</v>
      </c>
      <c r="B31623" t="s">
        <v>9378</v>
      </c>
    </row>
    <row r="31624" spans="1:2" x14ac:dyDescent="0.25">
      <c r="A31624">
        <v>65040090131</v>
      </c>
      <c r="B31624" t="s">
        <v>9385</v>
      </c>
    </row>
    <row r="31625" spans="1:2" x14ac:dyDescent="0.25">
      <c r="A31625">
        <v>65040090139</v>
      </c>
      <c r="B31625" t="s">
        <v>10</v>
      </c>
    </row>
    <row r="31626" spans="1:2" x14ac:dyDescent="0.25">
      <c r="A31626">
        <v>6504009014</v>
      </c>
      <c r="B31626" t="s">
        <v>9379</v>
      </c>
    </row>
    <row r="31627" spans="1:2" x14ac:dyDescent="0.25">
      <c r="A31627">
        <v>65040090141</v>
      </c>
      <c r="B31627" t="s">
        <v>9385</v>
      </c>
    </row>
    <row r="31628" spans="1:2" x14ac:dyDescent="0.25">
      <c r="A31628">
        <v>65040090149</v>
      </c>
      <c r="B31628" t="s">
        <v>10</v>
      </c>
    </row>
    <row r="31629" spans="1:2" x14ac:dyDescent="0.25">
      <c r="A31629">
        <v>6504009015</v>
      </c>
      <c r="B31629" t="s">
        <v>9380</v>
      </c>
    </row>
    <row r="31630" spans="1:2" x14ac:dyDescent="0.25">
      <c r="A31630">
        <v>65040090151</v>
      </c>
      <c r="B31630" t="s">
        <v>9385</v>
      </c>
    </row>
    <row r="31631" spans="1:2" x14ac:dyDescent="0.25">
      <c r="A31631">
        <v>65040090159</v>
      </c>
      <c r="B31631" t="s">
        <v>10</v>
      </c>
    </row>
    <row r="31632" spans="1:2" x14ac:dyDescent="0.25">
      <c r="A31632">
        <v>6504009016</v>
      </c>
      <c r="B31632" t="s">
        <v>9381</v>
      </c>
    </row>
    <row r="31633" spans="1:2" x14ac:dyDescent="0.25">
      <c r="A31633">
        <v>65040090161</v>
      </c>
      <c r="B31633" t="s">
        <v>9385</v>
      </c>
    </row>
    <row r="31634" spans="1:2" x14ac:dyDescent="0.25">
      <c r="A31634">
        <v>65040090169</v>
      </c>
      <c r="B31634" t="s">
        <v>10</v>
      </c>
    </row>
    <row r="31635" spans="1:2" x14ac:dyDescent="0.25">
      <c r="A31635">
        <v>6504009019</v>
      </c>
      <c r="B31635" t="s">
        <v>9351</v>
      </c>
    </row>
    <row r="31636" spans="1:2" x14ac:dyDescent="0.25">
      <c r="A31636">
        <v>65040090191</v>
      </c>
      <c r="B31636" t="s">
        <v>9385</v>
      </c>
    </row>
    <row r="31637" spans="1:2" x14ac:dyDescent="0.25">
      <c r="A31637">
        <v>65040090199</v>
      </c>
      <c r="B31637" t="s">
        <v>10</v>
      </c>
    </row>
    <row r="31638" spans="1:2" x14ac:dyDescent="0.25">
      <c r="A31638">
        <v>650400902</v>
      </c>
      <c r="B31638" t="s">
        <v>9382</v>
      </c>
    </row>
    <row r="31639" spans="1:2" x14ac:dyDescent="0.25">
      <c r="A31639">
        <v>6504009021</v>
      </c>
      <c r="B31639" t="s">
        <v>9350</v>
      </c>
    </row>
    <row r="31640" spans="1:2" x14ac:dyDescent="0.25">
      <c r="A31640">
        <v>65040090211</v>
      </c>
      <c r="B31640" t="s">
        <v>9385</v>
      </c>
    </row>
    <row r="31641" spans="1:2" x14ac:dyDescent="0.25">
      <c r="A31641">
        <v>65040090219</v>
      </c>
      <c r="B31641" t="s">
        <v>10</v>
      </c>
    </row>
    <row r="31642" spans="1:2" x14ac:dyDescent="0.25">
      <c r="A31642">
        <v>6504009029</v>
      </c>
      <c r="B31642" t="s">
        <v>9351</v>
      </c>
    </row>
    <row r="31643" spans="1:2" x14ac:dyDescent="0.25">
      <c r="A31643">
        <v>65040090291</v>
      </c>
      <c r="B31643" t="s">
        <v>9385</v>
      </c>
    </row>
    <row r="31644" spans="1:2" x14ac:dyDescent="0.25">
      <c r="A31644">
        <v>65040090299</v>
      </c>
      <c r="B31644" t="s">
        <v>10</v>
      </c>
    </row>
    <row r="31645" spans="1:2" x14ac:dyDescent="0.25">
      <c r="A31645">
        <v>650500</v>
      </c>
      <c r="B31645" t="s">
        <v>9387</v>
      </c>
    </row>
    <row r="31646" spans="1:2" x14ac:dyDescent="0.25">
      <c r="A31646">
        <v>6505001</v>
      </c>
      <c r="B31646" t="s">
        <v>9388</v>
      </c>
    </row>
    <row r="31647" spans="1:2" x14ac:dyDescent="0.25">
      <c r="A31647">
        <v>65050011</v>
      </c>
      <c r="B31647" t="s">
        <v>8805</v>
      </c>
    </row>
    <row r="31648" spans="1:2" x14ac:dyDescent="0.25">
      <c r="A31648">
        <v>65050011100</v>
      </c>
      <c r="B31648" t="s">
        <v>9389</v>
      </c>
    </row>
    <row r="31649" spans="1:2" x14ac:dyDescent="0.25">
      <c r="A31649">
        <v>65050011200</v>
      </c>
      <c r="B31649" t="s">
        <v>9385</v>
      </c>
    </row>
    <row r="31650" spans="1:2" x14ac:dyDescent="0.25">
      <c r="A31650">
        <v>65050012</v>
      </c>
      <c r="B31650" t="s">
        <v>8898</v>
      </c>
    </row>
    <row r="31651" spans="1:2" x14ac:dyDescent="0.25">
      <c r="A31651">
        <v>65050012100</v>
      </c>
      <c r="B31651" t="s">
        <v>9389</v>
      </c>
    </row>
    <row r="31652" spans="1:2" x14ac:dyDescent="0.25">
      <c r="A31652">
        <v>65050012200</v>
      </c>
      <c r="B31652" t="s">
        <v>9385</v>
      </c>
    </row>
    <row r="31653" spans="1:2" x14ac:dyDescent="0.25">
      <c r="A31653">
        <v>65050019</v>
      </c>
      <c r="B31653" t="s">
        <v>8837</v>
      </c>
    </row>
    <row r="31654" spans="1:2" x14ac:dyDescent="0.25">
      <c r="A31654">
        <v>65050019100</v>
      </c>
      <c r="B31654" t="s">
        <v>9389</v>
      </c>
    </row>
    <row r="31655" spans="1:2" x14ac:dyDescent="0.25">
      <c r="A31655">
        <v>65050019200</v>
      </c>
      <c r="B31655" t="s">
        <v>9385</v>
      </c>
    </row>
    <row r="31656" spans="1:2" x14ac:dyDescent="0.25">
      <c r="A31656">
        <v>6505002</v>
      </c>
      <c r="B31656" t="s">
        <v>9390</v>
      </c>
    </row>
    <row r="31657" spans="1:2" x14ac:dyDescent="0.25">
      <c r="A31657">
        <v>65050021</v>
      </c>
      <c r="B31657" t="s">
        <v>8805</v>
      </c>
    </row>
    <row r="31658" spans="1:2" x14ac:dyDescent="0.25">
      <c r="A31658">
        <v>65050021100</v>
      </c>
      <c r="B31658" t="s">
        <v>9389</v>
      </c>
    </row>
    <row r="31659" spans="1:2" x14ac:dyDescent="0.25">
      <c r="A31659">
        <v>65050021200</v>
      </c>
      <c r="B31659" t="s">
        <v>9385</v>
      </c>
    </row>
    <row r="31660" spans="1:2" x14ac:dyDescent="0.25">
      <c r="A31660">
        <v>65050022</v>
      </c>
      <c r="B31660" t="s">
        <v>8898</v>
      </c>
    </row>
    <row r="31661" spans="1:2" x14ac:dyDescent="0.25">
      <c r="A31661">
        <v>65050022100</v>
      </c>
      <c r="B31661" t="s">
        <v>9389</v>
      </c>
    </row>
    <row r="31662" spans="1:2" x14ac:dyDescent="0.25">
      <c r="A31662">
        <v>650500222</v>
      </c>
      <c r="B31662" t="s">
        <v>9385</v>
      </c>
    </row>
    <row r="31663" spans="1:2" x14ac:dyDescent="0.25">
      <c r="A31663">
        <v>65050022210</v>
      </c>
      <c r="B31663" t="s">
        <v>9391</v>
      </c>
    </row>
    <row r="31664" spans="1:2" x14ac:dyDescent="0.25">
      <c r="A31664">
        <v>65050022290</v>
      </c>
      <c r="B31664" t="s">
        <v>10</v>
      </c>
    </row>
    <row r="31665" spans="1:2" x14ac:dyDescent="0.25">
      <c r="A31665">
        <v>65050029</v>
      </c>
      <c r="B31665" t="s">
        <v>8837</v>
      </c>
    </row>
    <row r="31666" spans="1:2" x14ac:dyDescent="0.25">
      <c r="A31666">
        <v>65050029100</v>
      </c>
      <c r="B31666" t="s">
        <v>9389</v>
      </c>
    </row>
    <row r="31667" spans="1:2" x14ac:dyDescent="0.25">
      <c r="A31667">
        <v>65050029200</v>
      </c>
      <c r="B31667" t="s">
        <v>9385</v>
      </c>
    </row>
    <row r="31668" spans="1:2" x14ac:dyDescent="0.25">
      <c r="A31668">
        <v>6505003</v>
      </c>
      <c r="B31668" t="s">
        <v>9384</v>
      </c>
    </row>
    <row r="31669" spans="1:2" x14ac:dyDescent="0.25">
      <c r="A31669">
        <v>65050031</v>
      </c>
      <c r="B31669" t="s">
        <v>8805</v>
      </c>
    </row>
    <row r="31670" spans="1:2" x14ac:dyDescent="0.25">
      <c r="A31670">
        <v>65050031100</v>
      </c>
      <c r="B31670" t="s">
        <v>9389</v>
      </c>
    </row>
    <row r="31671" spans="1:2" x14ac:dyDescent="0.25">
      <c r="A31671">
        <v>65050031200</v>
      </c>
      <c r="B31671" t="s">
        <v>9385</v>
      </c>
    </row>
    <row r="31672" spans="1:2" x14ac:dyDescent="0.25">
      <c r="A31672">
        <v>65050032</v>
      </c>
      <c r="B31672" t="s">
        <v>8898</v>
      </c>
    </row>
    <row r="31673" spans="1:2" x14ac:dyDescent="0.25">
      <c r="A31673">
        <v>65050032100</v>
      </c>
      <c r="B31673" t="s">
        <v>9389</v>
      </c>
    </row>
    <row r="31674" spans="1:2" x14ac:dyDescent="0.25">
      <c r="A31674">
        <v>65050032200</v>
      </c>
      <c r="B31674" t="s">
        <v>9385</v>
      </c>
    </row>
    <row r="31675" spans="1:2" x14ac:dyDescent="0.25">
      <c r="A31675">
        <v>65050039</v>
      </c>
      <c r="B31675" t="s">
        <v>8837</v>
      </c>
    </row>
    <row r="31676" spans="1:2" x14ac:dyDescent="0.25">
      <c r="A31676">
        <v>65050039100</v>
      </c>
      <c r="B31676" t="s">
        <v>9389</v>
      </c>
    </row>
    <row r="31677" spans="1:2" x14ac:dyDescent="0.25">
      <c r="A31677">
        <v>65050039200</v>
      </c>
      <c r="B31677" t="s">
        <v>9385</v>
      </c>
    </row>
    <row r="31678" spans="1:2" x14ac:dyDescent="0.25">
      <c r="A31678">
        <v>65050090</v>
      </c>
      <c r="B31678" t="s">
        <v>10</v>
      </c>
    </row>
    <row r="31679" spans="1:2" x14ac:dyDescent="0.25">
      <c r="A31679">
        <v>650500901</v>
      </c>
      <c r="B31679" t="s">
        <v>9392</v>
      </c>
    </row>
    <row r="31680" spans="1:2" x14ac:dyDescent="0.25">
      <c r="A31680">
        <v>65050090110</v>
      </c>
      <c r="B31680" t="s">
        <v>6926</v>
      </c>
    </row>
    <row r="31681" spans="1:2" x14ac:dyDescent="0.25">
      <c r="A31681">
        <v>65050090120</v>
      </c>
      <c r="B31681" t="s">
        <v>9393</v>
      </c>
    </row>
    <row r="31682" spans="1:2" x14ac:dyDescent="0.25">
      <c r="A31682">
        <v>65050090190</v>
      </c>
      <c r="B31682" t="s">
        <v>57</v>
      </c>
    </row>
    <row r="31683" spans="1:2" x14ac:dyDescent="0.25">
      <c r="A31683">
        <v>650500902</v>
      </c>
      <c r="B31683" t="s">
        <v>9394</v>
      </c>
    </row>
    <row r="31684" spans="1:2" x14ac:dyDescent="0.25">
      <c r="A31684">
        <v>6505009021</v>
      </c>
      <c r="B31684" t="s">
        <v>8805</v>
      </c>
    </row>
    <row r="31685" spans="1:2" x14ac:dyDescent="0.25">
      <c r="A31685">
        <v>65050090211</v>
      </c>
      <c r="B31685" t="s">
        <v>9389</v>
      </c>
    </row>
    <row r="31686" spans="1:2" x14ac:dyDescent="0.25">
      <c r="A31686">
        <v>65050090212</v>
      </c>
      <c r="B31686" t="s">
        <v>9385</v>
      </c>
    </row>
    <row r="31687" spans="1:2" x14ac:dyDescent="0.25">
      <c r="A31687">
        <v>6505009022</v>
      </c>
      <c r="B31687" t="s">
        <v>8898</v>
      </c>
    </row>
    <row r="31688" spans="1:2" x14ac:dyDescent="0.25">
      <c r="A31688">
        <v>65050090221</v>
      </c>
      <c r="B31688" t="s">
        <v>9389</v>
      </c>
    </row>
    <row r="31689" spans="1:2" x14ac:dyDescent="0.25">
      <c r="A31689">
        <v>65050090222</v>
      </c>
      <c r="B31689" t="s">
        <v>9385</v>
      </c>
    </row>
    <row r="31690" spans="1:2" x14ac:dyDescent="0.25">
      <c r="A31690">
        <v>6505009029</v>
      </c>
      <c r="B31690" t="s">
        <v>8837</v>
      </c>
    </row>
    <row r="31691" spans="1:2" x14ac:dyDescent="0.25">
      <c r="A31691">
        <v>65050090291</v>
      </c>
      <c r="B31691" t="s">
        <v>9389</v>
      </c>
    </row>
    <row r="31692" spans="1:2" x14ac:dyDescent="0.25">
      <c r="A31692">
        <v>65050090292</v>
      </c>
      <c r="B31692" t="s">
        <v>9385</v>
      </c>
    </row>
    <row r="31693" spans="1:2" x14ac:dyDescent="0.25">
      <c r="A31693">
        <v>650500909</v>
      </c>
      <c r="B31693" t="s">
        <v>10</v>
      </c>
    </row>
    <row r="31694" spans="1:2" x14ac:dyDescent="0.25">
      <c r="A31694">
        <v>6505009091</v>
      </c>
      <c r="B31694" t="s">
        <v>8805</v>
      </c>
    </row>
    <row r="31695" spans="1:2" x14ac:dyDescent="0.25">
      <c r="A31695">
        <v>65050090911</v>
      </c>
      <c r="B31695" t="s">
        <v>9389</v>
      </c>
    </row>
    <row r="31696" spans="1:2" x14ac:dyDescent="0.25">
      <c r="A31696">
        <v>65050090912</v>
      </c>
      <c r="B31696" t="s">
        <v>9385</v>
      </c>
    </row>
    <row r="31697" spans="1:2" x14ac:dyDescent="0.25">
      <c r="A31697">
        <v>6505009092</v>
      </c>
      <c r="B31697" t="s">
        <v>8898</v>
      </c>
    </row>
    <row r="31698" spans="1:2" x14ac:dyDescent="0.25">
      <c r="A31698">
        <v>65050090921</v>
      </c>
      <c r="B31698" t="s">
        <v>9389</v>
      </c>
    </row>
    <row r="31699" spans="1:2" x14ac:dyDescent="0.25">
      <c r="A31699">
        <v>65050090922</v>
      </c>
      <c r="B31699" t="s">
        <v>9385</v>
      </c>
    </row>
    <row r="31700" spans="1:2" x14ac:dyDescent="0.25">
      <c r="A31700">
        <v>65050090930</v>
      </c>
      <c r="B31700" t="s">
        <v>9395</v>
      </c>
    </row>
    <row r="31701" spans="1:2" x14ac:dyDescent="0.25">
      <c r="A31701">
        <v>6505009099</v>
      </c>
      <c r="B31701" t="s">
        <v>8837</v>
      </c>
    </row>
    <row r="31702" spans="1:2" x14ac:dyDescent="0.25">
      <c r="A31702">
        <v>65050090991</v>
      </c>
      <c r="B31702" t="s">
        <v>9389</v>
      </c>
    </row>
    <row r="31703" spans="1:2" x14ac:dyDescent="0.25">
      <c r="A31703">
        <v>65050090992</v>
      </c>
      <c r="B31703" t="s">
        <v>9385</v>
      </c>
    </row>
    <row r="31704" spans="1:2" x14ac:dyDescent="0.25">
      <c r="A31704">
        <v>6506</v>
      </c>
      <c r="B31704" t="s">
        <v>9396</v>
      </c>
    </row>
    <row r="31705" spans="1:2" x14ac:dyDescent="0.25">
      <c r="A31705">
        <v>65061000</v>
      </c>
      <c r="B31705" t="e">
        <f>- Cascos de seguridad</f>
        <v>#NAME?</v>
      </c>
    </row>
    <row r="31706" spans="1:2" x14ac:dyDescent="0.25">
      <c r="A31706">
        <v>65061000100</v>
      </c>
      <c r="B31706" t="s">
        <v>9397</v>
      </c>
    </row>
    <row r="31707" spans="1:2" x14ac:dyDescent="0.25">
      <c r="A31707">
        <v>650610002</v>
      </c>
      <c r="B31707" t="s">
        <v>9398</v>
      </c>
    </row>
    <row r="31708" spans="1:2" x14ac:dyDescent="0.25">
      <c r="A31708">
        <v>6506100021</v>
      </c>
      <c r="B31708" t="s">
        <v>7612</v>
      </c>
    </row>
    <row r="31709" spans="1:2" x14ac:dyDescent="0.25">
      <c r="A31709">
        <v>65061000211</v>
      </c>
      <c r="B31709" t="s">
        <v>9399</v>
      </c>
    </row>
    <row r="31710" spans="1:2" x14ac:dyDescent="0.25">
      <c r="A31710">
        <v>65061000212</v>
      </c>
      <c r="B31710" t="s">
        <v>9400</v>
      </c>
    </row>
    <row r="31711" spans="1:2" x14ac:dyDescent="0.25">
      <c r="A31711">
        <v>65061000219</v>
      </c>
      <c r="B31711" t="s">
        <v>10</v>
      </c>
    </row>
    <row r="31712" spans="1:2" x14ac:dyDescent="0.25">
      <c r="A31712">
        <v>65061000290</v>
      </c>
      <c r="B31712" t="s">
        <v>9351</v>
      </c>
    </row>
    <row r="31713" spans="1:2" x14ac:dyDescent="0.25">
      <c r="A31713">
        <v>650610003</v>
      </c>
      <c r="B31713" t="s">
        <v>9401</v>
      </c>
    </row>
    <row r="31714" spans="1:2" x14ac:dyDescent="0.25">
      <c r="A31714">
        <v>6506100031</v>
      </c>
      <c r="B31714" t="s">
        <v>7612</v>
      </c>
    </row>
    <row r="31715" spans="1:2" x14ac:dyDescent="0.25">
      <c r="A31715">
        <v>65061000311</v>
      </c>
      <c r="B31715" t="s">
        <v>9399</v>
      </c>
    </row>
    <row r="31716" spans="1:2" x14ac:dyDescent="0.25">
      <c r="A31716">
        <v>65061000312</v>
      </c>
      <c r="B31716" t="s">
        <v>9400</v>
      </c>
    </row>
    <row r="31717" spans="1:2" x14ac:dyDescent="0.25">
      <c r="A31717">
        <v>65061000319</v>
      </c>
      <c r="B31717" t="s">
        <v>10</v>
      </c>
    </row>
    <row r="31718" spans="1:2" x14ac:dyDescent="0.25">
      <c r="A31718">
        <v>65061000390</v>
      </c>
      <c r="B31718" t="s">
        <v>9351</v>
      </c>
    </row>
    <row r="31719" spans="1:2" x14ac:dyDescent="0.25">
      <c r="A31719">
        <v>650610004</v>
      </c>
      <c r="B31719" t="s">
        <v>9402</v>
      </c>
    </row>
    <row r="31720" spans="1:2" x14ac:dyDescent="0.25">
      <c r="A31720">
        <v>6506100041</v>
      </c>
      <c r="B31720" t="s">
        <v>7612</v>
      </c>
    </row>
    <row r="31721" spans="1:2" x14ac:dyDescent="0.25">
      <c r="A31721">
        <v>65061000411</v>
      </c>
      <c r="B31721" t="s">
        <v>9399</v>
      </c>
    </row>
    <row r="31722" spans="1:2" x14ac:dyDescent="0.25">
      <c r="A31722">
        <v>65061000412</v>
      </c>
      <c r="B31722" t="s">
        <v>9400</v>
      </c>
    </row>
    <row r="31723" spans="1:2" x14ac:dyDescent="0.25">
      <c r="A31723">
        <v>65061000419</v>
      </c>
      <c r="B31723" t="s">
        <v>10</v>
      </c>
    </row>
    <row r="31724" spans="1:2" x14ac:dyDescent="0.25">
      <c r="A31724">
        <v>65061000490</v>
      </c>
      <c r="B31724" t="s">
        <v>9351</v>
      </c>
    </row>
    <row r="31725" spans="1:2" x14ac:dyDescent="0.25">
      <c r="A31725">
        <v>650610005</v>
      </c>
      <c r="B31725" t="s">
        <v>9276</v>
      </c>
    </row>
    <row r="31726" spans="1:2" x14ac:dyDescent="0.25">
      <c r="A31726">
        <v>6506100051</v>
      </c>
      <c r="B31726" t="s">
        <v>7612</v>
      </c>
    </row>
    <row r="31727" spans="1:2" x14ac:dyDescent="0.25">
      <c r="A31727">
        <v>65061000511</v>
      </c>
      <c r="B31727" t="s">
        <v>9399</v>
      </c>
    </row>
    <row r="31728" spans="1:2" x14ac:dyDescent="0.25">
      <c r="A31728">
        <v>65061000512</v>
      </c>
      <c r="B31728" t="s">
        <v>9400</v>
      </c>
    </row>
    <row r="31729" spans="1:2" x14ac:dyDescent="0.25">
      <c r="A31729">
        <v>65061000519</v>
      </c>
      <c r="B31729" t="s">
        <v>10</v>
      </c>
    </row>
    <row r="31730" spans="1:2" x14ac:dyDescent="0.25">
      <c r="A31730">
        <v>65061000590</v>
      </c>
      <c r="B31730" t="s">
        <v>9351</v>
      </c>
    </row>
    <row r="31731" spans="1:2" x14ac:dyDescent="0.25">
      <c r="A31731">
        <v>650610006</v>
      </c>
      <c r="B31731" t="s">
        <v>9403</v>
      </c>
    </row>
    <row r="31732" spans="1:2" x14ac:dyDescent="0.25">
      <c r="A31732">
        <v>6506100061</v>
      </c>
      <c r="B31732" t="s">
        <v>7612</v>
      </c>
    </row>
    <row r="31733" spans="1:2" x14ac:dyDescent="0.25">
      <c r="A31733">
        <v>65061000611</v>
      </c>
      <c r="B31733" t="s">
        <v>9399</v>
      </c>
    </row>
    <row r="31734" spans="1:2" x14ac:dyDescent="0.25">
      <c r="A31734">
        <v>65061000612</v>
      </c>
      <c r="B31734" t="s">
        <v>9400</v>
      </c>
    </row>
    <row r="31735" spans="1:2" x14ac:dyDescent="0.25">
      <c r="A31735">
        <v>65061000619</v>
      </c>
      <c r="B31735" t="s">
        <v>10</v>
      </c>
    </row>
    <row r="31736" spans="1:2" x14ac:dyDescent="0.25">
      <c r="A31736">
        <v>65061000690</v>
      </c>
      <c r="B31736" t="s">
        <v>9351</v>
      </c>
    </row>
    <row r="31737" spans="1:2" x14ac:dyDescent="0.25">
      <c r="A31737">
        <v>650610009</v>
      </c>
      <c r="B31737" t="s">
        <v>10</v>
      </c>
    </row>
    <row r="31738" spans="1:2" x14ac:dyDescent="0.25">
      <c r="A31738">
        <v>65061000910</v>
      </c>
      <c r="B31738" t="s">
        <v>7612</v>
      </c>
    </row>
    <row r="31739" spans="1:2" x14ac:dyDescent="0.25">
      <c r="A31739">
        <v>65061000990</v>
      </c>
      <c r="B31739" t="s">
        <v>9351</v>
      </c>
    </row>
    <row r="31740" spans="1:2" x14ac:dyDescent="0.25">
      <c r="A31740">
        <v>65069</v>
      </c>
      <c r="B31740" t="s">
        <v>28</v>
      </c>
    </row>
    <row r="31741" spans="1:2" x14ac:dyDescent="0.25">
      <c r="A31741">
        <v>65069100</v>
      </c>
      <c r="B31741" t="e">
        <f>- - de caucho o plastico</f>
        <v>#NAME?</v>
      </c>
    </row>
    <row r="31742" spans="1:2" x14ac:dyDescent="0.25">
      <c r="A31742">
        <v>650691001</v>
      </c>
      <c r="B31742" t="s">
        <v>9255</v>
      </c>
    </row>
    <row r="31743" spans="1:2" x14ac:dyDescent="0.25">
      <c r="A31743">
        <v>65069100110</v>
      </c>
      <c r="B31743" t="s">
        <v>9404</v>
      </c>
    </row>
    <row r="31744" spans="1:2" x14ac:dyDescent="0.25">
      <c r="A31744">
        <v>65069100190</v>
      </c>
      <c r="B31744" t="s">
        <v>10</v>
      </c>
    </row>
    <row r="31745" spans="1:2" x14ac:dyDescent="0.25">
      <c r="A31745">
        <v>650691002</v>
      </c>
      <c r="B31745" t="s">
        <v>7612</v>
      </c>
    </row>
    <row r="31746" spans="1:2" x14ac:dyDescent="0.25">
      <c r="A31746">
        <v>65069100210</v>
      </c>
      <c r="B31746" t="s">
        <v>9404</v>
      </c>
    </row>
    <row r="31747" spans="1:2" x14ac:dyDescent="0.25">
      <c r="A31747">
        <v>65069100290</v>
      </c>
      <c r="B31747" t="s">
        <v>10</v>
      </c>
    </row>
    <row r="31748" spans="1:2" x14ac:dyDescent="0.25">
      <c r="A31748">
        <v>65069900</v>
      </c>
      <c r="B31748" t="e">
        <f>- - de las demas materias</f>
        <v>#NAME?</v>
      </c>
    </row>
    <row r="31749" spans="1:2" x14ac:dyDescent="0.25">
      <c r="A31749">
        <v>65069900100</v>
      </c>
      <c r="B31749" t="s">
        <v>9384</v>
      </c>
    </row>
    <row r="31750" spans="1:2" x14ac:dyDescent="0.25">
      <c r="A31750">
        <v>65069900900</v>
      </c>
      <c r="B31750" t="s">
        <v>10</v>
      </c>
    </row>
    <row r="31751" spans="1:2" x14ac:dyDescent="0.25">
      <c r="A31751">
        <v>65070000000</v>
      </c>
      <c r="B31751" t="s">
        <v>9405</v>
      </c>
    </row>
    <row r="31752" spans="1:2" x14ac:dyDescent="0.25">
      <c r="A31752">
        <v>6601</v>
      </c>
      <c r="B31752" t="s">
        <v>9406</v>
      </c>
    </row>
    <row r="31753" spans="1:2" x14ac:dyDescent="0.25">
      <c r="A31753">
        <v>66011000000</v>
      </c>
      <c r="B31753" t="e">
        <f>-Quitasoles toldo y Articulos similares</f>
        <v>#NAME?</v>
      </c>
    </row>
    <row r="31754" spans="1:2" x14ac:dyDescent="0.25">
      <c r="A31754">
        <v>66019</v>
      </c>
      <c r="B31754" t="s">
        <v>28</v>
      </c>
    </row>
    <row r="31755" spans="1:2" x14ac:dyDescent="0.25">
      <c r="A31755">
        <v>660191</v>
      </c>
      <c r="B31755" t="e">
        <f>- - Con astil o mango telescopico</f>
        <v>#NAME?</v>
      </c>
    </row>
    <row r="31756" spans="1:2" x14ac:dyDescent="0.25">
      <c r="A31756">
        <v>66019110</v>
      </c>
      <c r="B31756" t="s">
        <v>9407</v>
      </c>
    </row>
    <row r="31757" spans="1:2" x14ac:dyDescent="0.25">
      <c r="A31757">
        <v>66019110100</v>
      </c>
      <c r="B31757" t="s">
        <v>9408</v>
      </c>
    </row>
    <row r="31758" spans="1:2" x14ac:dyDescent="0.25">
      <c r="A31758">
        <v>66019110900</v>
      </c>
      <c r="B31758" t="s">
        <v>10</v>
      </c>
    </row>
    <row r="31759" spans="1:2" x14ac:dyDescent="0.25">
      <c r="A31759">
        <v>66019190</v>
      </c>
      <c r="B31759" t="s">
        <v>10</v>
      </c>
    </row>
    <row r="31760" spans="1:2" x14ac:dyDescent="0.25">
      <c r="A31760">
        <v>66019190100</v>
      </c>
      <c r="B31760" t="s">
        <v>9409</v>
      </c>
    </row>
    <row r="31761" spans="1:2" x14ac:dyDescent="0.25">
      <c r="A31761">
        <v>66019190900</v>
      </c>
      <c r="B31761" t="s">
        <v>10</v>
      </c>
    </row>
    <row r="31762" spans="1:2" x14ac:dyDescent="0.25">
      <c r="A31762">
        <v>66019900</v>
      </c>
      <c r="B31762" t="e">
        <f>- - Los demas</f>
        <v>#NAME?</v>
      </c>
    </row>
    <row r="31763" spans="1:2" x14ac:dyDescent="0.25">
      <c r="A31763">
        <v>66019900100</v>
      </c>
      <c r="B31763" t="s">
        <v>9409</v>
      </c>
    </row>
    <row r="31764" spans="1:2" x14ac:dyDescent="0.25">
      <c r="A31764">
        <v>66019900900</v>
      </c>
      <c r="B31764" t="s">
        <v>10</v>
      </c>
    </row>
    <row r="31765" spans="1:2" x14ac:dyDescent="0.25">
      <c r="A31765">
        <v>66020000000</v>
      </c>
      <c r="B31765" t="s">
        <v>9410</v>
      </c>
    </row>
    <row r="31766" spans="1:2" x14ac:dyDescent="0.25">
      <c r="A31766">
        <v>6603</v>
      </c>
      <c r="B31766" t="s">
        <v>9411</v>
      </c>
    </row>
    <row r="31767" spans="1:2" x14ac:dyDescent="0.25">
      <c r="A31767">
        <v>66032000000</v>
      </c>
      <c r="B31767" t="e">
        <f>-Monturas ensambladas. incluso Con el astil o mango. para paraguas. sombrillas o Quitasoles</f>
        <v>#NAME?</v>
      </c>
    </row>
    <row r="31768" spans="1:2" x14ac:dyDescent="0.25">
      <c r="A31768">
        <v>66039000000</v>
      </c>
      <c r="B31768" t="e">
        <f>-Los demas</f>
        <v>#NAME?</v>
      </c>
    </row>
    <row r="31769" spans="1:2" x14ac:dyDescent="0.25">
      <c r="A31769">
        <v>67010000</v>
      </c>
      <c r="B31769" t="s">
        <v>9412</v>
      </c>
    </row>
    <row r="31770" spans="1:2" x14ac:dyDescent="0.25">
      <c r="A31770">
        <v>67010000100</v>
      </c>
      <c r="B31770" t="s">
        <v>9413</v>
      </c>
    </row>
    <row r="31771" spans="1:2" x14ac:dyDescent="0.25">
      <c r="A31771">
        <v>67010000200</v>
      </c>
      <c r="B31771" t="s">
        <v>9414</v>
      </c>
    </row>
    <row r="31772" spans="1:2" x14ac:dyDescent="0.25">
      <c r="A31772">
        <v>67010000300</v>
      </c>
      <c r="B31772" t="s">
        <v>9415</v>
      </c>
    </row>
    <row r="31773" spans="1:2" x14ac:dyDescent="0.25">
      <c r="A31773">
        <v>67010000900</v>
      </c>
      <c r="B31773" t="s">
        <v>10</v>
      </c>
    </row>
    <row r="31774" spans="1:2" x14ac:dyDescent="0.25">
      <c r="A31774">
        <v>6702</v>
      </c>
      <c r="B31774" t="s">
        <v>9416</v>
      </c>
    </row>
    <row r="31775" spans="1:2" x14ac:dyDescent="0.25">
      <c r="A31775">
        <v>67021000</v>
      </c>
      <c r="B31775" t="e">
        <f>- de plastico</f>
        <v>#NAME?</v>
      </c>
    </row>
    <row r="31776" spans="1:2" x14ac:dyDescent="0.25">
      <c r="A31776">
        <v>670210001</v>
      </c>
      <c r="B31776" t="s">
        <v>9417</v>
      </c>
    </row>
    <row r="31777" spans="1:2" x14ac:dyDescent="0.25">
      <c r="A31777">
        <v>67021000110</v>
      </c>
      <c r="B31777" t="s">
        <v>9418</v>
      </c>
    </row>
    <row r="31778" spans="1:2" x14ac:dyDescent="0.25">
      <c r="A31778">
        <v>67021000190</v>
      </c>
      <c r="B31778" t="s">
        <v>10</v>
      </c>
    </row>
    <row r="31779" spans="1:2" x14ac:dyDescent="0.25">
      <c r="A31779">
        <v>67021000200</v>
      </c>
      <c r="B31779" t="s">
        <v>9419</v>
      </c>
    </row>
    <row r="31780" spans="1:2" x14ac:dyDescent="0.25">
      <c r="A31780">
        <v>67021000300</v>
      </c>
      <c r="B31780" t="s">
        <v>9420</v>
      </c>
    </row>
    <row r="31781" spans="1:2" x14ac:dyDescent="0.25">
      <c r="A31781">
        <v>67021000900</v>
      </c>
      <c r="B31781" t="s">
        <v>10</v>
      </c>
    </row>
    <row r="31782" spans="1:2" x14ac:dyDescent="0.25">
      <c r="A31782">
        <v>67029000</v>
      </c>
      <c r="B31782" t="e">
        <f>- de las demas materias</f>
        <v>#NAME?</v>
      </c>
    </row>
    <row r="31783" spans="1:2" x14ac:dyDescent="0.25">
      <c r="A31783">
        <v>670290001</v>
      </c>
      <c r="B31783" t="s">
        <v>9417</v>
      </c>
    </row>
    <row r="31784" spans="1:2" x14ac:dyDescent="0.25">
      <c r="A31784">
        <v>67029000110</v>
      </c>
      <c r="B31784" t="s">
        <v>9418</v>
      </c>
    </row>
    <row r="31785" spans="1:2" x14ac:dyDescent="0.25">
      <c r="A31785">
        <v>67029000190</v>
      </c>
      <c r="B31785" t="s">
        <v>10</v>
      </c>
    </row>
    <row r="31786" spans="1:2" x14ac:dyDescent="0.25">
      <c r="A31786">
        <v>67029000200</v>
      </c>
      <c r="B31786" t="s">
        <v>9419</v>
      </c>
    </row>
    <row r="31787" spans="1:2" x14ac:dyDescent="0.25">
      <c r="A31787">
        <v>67029000300</v>
      </c>
      <c r="B31787" t="s">
        <v>9420</v>
      </c>
    </row>
    <row r="31788" spans="1:2" x14ac:dyDescent="0.25">
      <c r="A31788">
        <v>67029000900</v>
      </c>
      <c r="B31788" t="s">
        <v>10</v>
      </c>
    </row>
    <row r="31789" spans="1:2" x14ac:dyDescent="0.25">
      <c r="A31789">
        <v>67030000000</v>
      </c>
      <c r="B31789" t="s">
        <v>9421</v>
      </c>
    </row>
    <row r="31790" spans="1:2" x14ac:dyDescent="0.25">
      <c r="A31790">
        <v>6704</v>
      </c>
      <c r="B31790" t="s">
        <v>9422</v>
      </c>
    </row>
    <row r="31791" spans="1:2" x14ac:dyDescent="0.25">
      <c r="A31791">
        <v>67041</v>
      </c>
      <c r="B31791" t="s">
        <v>9423</v>
      </c>
    </row>
    <row r="31792" spans="1:2" x14ac:dyDescent="0.25">
      <c r="A31792">
        <v>67041100000</v>
      </c>
      <c r="B31792" t="e">
        <f>--Pelucas que cubran toda la cabeza</f>
        <v>#NAME?</v>
      </c>
    </row>
    <row r="31793" spans="1:2" x14ac:dyDescent="0.25">
      <c r="A31793">
        <v>67041900000</v>
      </c>
      <c r="B31793" t="e">
        <f>--Los demas</f>
        <v>#NAME?</v>
      </c>
    </row>
    <row r="31794" spans="1:2" x14ac:dyDescent="0.25">
      <c r="A31794">
        <v>67042000</v>
      </c>
      <c r="B31794" t="e">
        <f>- de cabello</f>
        <v>#NAME?</v>
      </c>
    </row>
    <row r="31795" spans="1:2" x14ac:dyDescent="0.25">
      <c r="A31795">
        <v>67042000100</v>
      </c>
      <c r="B31795" t="s">
        <v>9424</v>
      </c>
    </row>
    <row r="31796" spans="1:2" x14ac:dyDescent="0.25">
      <c r="A31796">
        <v>67042000900</v>
      </c>
      <c r="B31796" t="s">
        <v>10</v>
      </c>
    </row>
    <row r="31797" spans="1:2" x14ac:dyDescent="0.25">
      <c r="A31797">
        <v>67049000000</v>
      </c>
      <c r="B31797" t="e">
        <f>-de las demas materias</f>
        <v>#NAME?</v>
      </c>
    </row>
    <row r="31798" spans="1:2" x14ac:dyDescent="0.25">
      <c r="A31798">
        <v>68010000000</v>
      </c>
      <c r="B31798" t="s">
        <v>9425</v>
      </c>
    </row>
    <row r="31799" spans="1:2" x14ac:dyDescent="0.25">
      <c r="A31799">
        <v>6802</v>
      </c>
      <c r="B31799" t="s">
        <v>9426</v>
      </c>
    </row>
    <row r="31800" spans="1:2" x14ac:dyDescent="0.25">
      <c r="A31800">
        <v>68021000</v>
      </c>
      <c r="B31800" t="s">
        <v>9427</v>
      </c>
    </row>
    <row r="31801" spans="1:2" x14ac:dyDescent="0.25">
      <c r="A31801">
        <v>68021000100</v>
      </c>
      <c r="B31801" t="s">
        <v>9428</v>
      </c>
    </row>
    <row r="31802" spans="1:2" x14ac:dyDescent="0.25">
      <c r="A31802">
        <v>680210009</v>
      </c>
      <c r="B31802" t="s">
        <v>10</v>
      </c>
    </row>
    <row r="31803" spans="1:2" x14ac:dyDescent="0.25">
      <c r="A31803">
        <v>6802100091</v>
      </c>
      <c r="B31803" t="s">
        <v>9429</v>
      </c>
    </row>
    <row r="31804" spans="1:2" x14ac:dyDescent="0.25">
      <c r="A31804">
        <v>68021000911</v>
      </c>
      <c r="B31804" t="s">
        <v>9430</v>
      </c>
    </row>
    <row r="31805" spans="1:2" x14ac:dyDescent="0.25">
      <c r="A31805">
        <v>68021000912</v>
      </c>
      <c r="B31805" t="s">
        <v>9431</v>
      </c>
    </row>
    <row r="31806" spans="1:2" x14ac:dyDescent="0.25">
      <c r="A31806">
        <v>68021000919</v>
      </c>
      <c r="B31806" t="s">
        <v>57</v>
      </c>
    </row>
    <row r="31807" spans="1:2" x14ac:dyDescent="0.25">
      <c r="A31807">
        <v>68021000990</v>
      </c>
      <c r="B31807" t="s">
        <v>10</v>
      </c>
    </row>
    <row r="31808" spans="1:2" x14ac:dyDescent="0.25">
      <c r="A31808">
        <v>68022</v>
      </c>
      <c r="B31808" t="s">
        <v>9432</v>
      </c>
    </row>
    <row r="31809" spans="1:2" x14ac:dyDescent="0.25">
      <c r="A31809">
        <v>68022100</v>
      </c>
      <c r="B31809" t="e">
        <f>- - Marmol. travertinos y alabastro</f>
        <v>#NAME?</v>
      </c>
    </row>
    <row r="31810" spans="1:2" x14ac:dyDescent="0.25">
      <c r="A31810">
        <v>68022100100</v>
      </c>
      <c r="B31810" t="s">
        <v>1846</v>
      </c>
    </row>
    <row r="31811" spans="1:2" x14ac:dyDescent="0.25">
      <c r="A31811">
        <v>68022100200</v>
      </c>
      <c r="B31811" t="s">
        <v>1847</v>
      </c>
    </row>
    <row r="31812" spans="1:2" x14ac:dyDescent="0.25">
      <c r="A31812">
        <v>68022100300</v>
      </c>
      <c r="B31812" t="s">
        <v>9433</v>
      </c>
    </row>
    <row r="31813" spans="1:2" x14ac:dyDescent="0.25">
      <c r="A31813">
        <v>68022300000</v>
      </c>
      <c r="B31813" t="e">
        <f>--Granito</f>
        <v>#NAME?</v>
      </c>
    </row>
    <row r="31814" spans="1:2" x14ac:dyDescent="0.25">
      <c r="A31814">
        <v>68022900000</v>
      </c>
      <c r="B31814" t="e">
        <f>--las demas piedras</f>
        <v>#NAME?</v>
      </c>
    </row>
    <row r="31815" spans="1:2" x14ac:dyDescent="0.25">
      <c r="A31815">
        <v>68029</v>
      </c>
      <c r="B31815" t="s">
        <v>28</v>
      </c>
    </row>
    <row r="31816" spans="1:2" x14ac:dyDescent="0.25">
      <c r="A31816">
        <v>68029100</v>
      </c>
      <c r="B31816" t="e">
        <f>- - Marmol. travertinos y alabastro</f>
        <v>#NAME?</v>
      </c>
    </row>
    <row r="31817" spans="1:2" x14ac:dyDescent="0.25">
      <c r="A31817">
        <v>680291001</v>
      </c>
      <c r="B31817" t="s">
        <v>1846</v>
      </c>
    </row>
    <row r="31818" spans="1:2" x14ac:dyDescent="0.25">
      <c r="A31818">
        <v>68029100110</v>
      </c>
      <c r="B31818" t="s">
        <v>9434</v>
      </c>
    </row>
    <row r="31819" spans="1:2" x14ac:dyDescent="0.25">
      <c r="A31819">
        <v>68029100120</v>
      </c>
      <c r="B31819" t="s">
        <v>9435</v>
      </c>
    </row>
    <row r="31820" spans="1:2" x14ac:dyDescent="0.25">
      <c r="A31820">
        <v>68029100130</v>
      </c>
      <c r="B31820" t="s">
        <v>9436</v>
      </c>
    </row>
    <row r="31821" spans="1:2" x14ac:dyDescent="0.25">
      <c r="A31821">
        <v>68029100190</v>
      </c>
      <c r="B31821" t="s">
        <v>10</v>
      </c>
    </row>
    <row r="31822" spans="1:2" x14ac:dyDescent="0.25">
      <c r="A31822">
        <v>680291002</v>
      </c>
      <c r="B31822" t="s">
        <v>1847</v>
      </c>
    </row>
    <row r="31823" spans="1:2" x14ac:dyDescent="0.25">
      <c r="A31823">
        <v>68029100210</v>
      </c>
      <c r="B31823" t="s">
        <v>9434</v>
      </c>
    </row>
    <row r="31824" spans="1:2" x14ac:dyDescent="0.25">
      <c r="A31824">
        <v>68029100220</v>
      </c>
      <c r="B31824" t="s">
        <v>9435</v>
      </c>
    </row>
    <row r="31825" spans="1:2" x14ac:dyDescent="0.25">
      <c r="A31825">
        <v>68029100230</v>
      </c>
      <c r="B31825" t="s">
        <v>9436</v>
      </c>
    </row>
    <row r="31826" spans="1:2" x14ac:dyDescent="0.25">
      <c r="A31826">
        <v>68029100290</v>
      </c>
      <c r="B31826" t="s">
        <v>10</v>
      </c>
    </row>
    <row r="31827" spans="1:2" x14ac:dyDescent="0.25">
      <c r="A31827">
        <v>680291003</v>
      </c>
      <c r="B31827" t="s">
        <v>9433</v>
      </c>
    </row>
    <row r="31828" spans="1:2" x14ac:dyDescent="0.25">
      <c r="A31828">
        <v>68029100310</v>
      </c>
      <c r="B31828" t="s">
        <v>9434</v>
      </c>
    </row>
    <row r="31829" spans="1:2" x14ac:dyDescent="0.25">
      <c r="A31829">
        <v>68029100320</v>
      </c>
      <c r="B31829" t="s">
        <v>9435</v>
      </c>
    </row>
    <row r="31830" spans="1:2" x14ac:dyDescent="0.25">
      <c r="A31830">
        <v>68029100390</v>
      </c>
      <c r="B31830" t="s">
        <v>10</v>
      </c>
    </row>
    <row r="31831" spans="1:2" x14ac:dyDescent="0.25">
      <c r="A31831">
        <v>68029200</v>
      </c>
      <c r="B31831" t="e">
        <f>- - las demas piedras calizas</f>
        <v>#NAME?</v>
      </c>
    </row>
    <row r="31832" spans="1:2" x14ac:dyDescent="0.25">
      <c r="A31832">
        <v>68029200100</v>
      </c>
      <c r="B31832" t="s">
        <v>9434</v>
      </c>
    </row>
    <row r="31833" spans="1:2" x14ac:dyDescent="0.25">
      <c r="A31833">
        <v>68029200200</v>
      </c>
      <c r="B31833" t="s">
        <v>9435</v>
      </c>
    </row>
    <row r="31834" spans="1:2" x14ac:dyDescent="0.25">
      <c r="A31834">
        <v>68029200900</v>
      </c>
      <c r="B31834" t="s">
        <v>57</v>
      </c>
    </row>
    <row r="31835" spans="1:2" x14ac:dyDescent="0.25">
      <c r="A31835">
        <v>680293</v>
      </c>
      <c r="B31835" t="e">
        <f>- - Granito</f>
        <v>#NAME?</v>
      </c>
    </row>
    <row r="31836" spans="1:2" x14ac:dyDescent="0.25">
      <c r="A31836">
        <v>68029310000</v>
      </c>
      <c r="B31836" t="s">
        <v>9437</v>
      </c>
    </row>
    <row r="31837" spans="1:2" x14ac:dyDescent="0.25">
      <c r="A31837">
        <v>68029390</v>
      </c>
      <c r="B31837" t="s">
        <v>10</v>
      </c>
    </row>
    <row r="31838" spans="1:2" x14ac:dyDescent="0.25">
      <c r="A31838">
        <v>68029390100</v>
      </c>
      <c r="B31838" t="s">
        <v>9434</v>
      </c>
    </row>
    <row r="31839" spans="1:2" x14ac:dyDescent="0.25">
      <c r="A31839">
        <v>68029390200</v>
      </c>
      <c r="B31839" t="s">
        <v>9435</v>
      </c>
    </row>
    <row r="31840" spans="1:2" x14ac:dyDescent="0.25">
      <c r="A31840">
        <v>68029390900</v>
      </c>
      <c r="B31840" t="s">
        <v>10</v>
      </c>
    </row>
    <row r="31841" spans="1:2" x14ac:dyDescent="0.25">
      <c r="A31841">
        <v>680299</v>
      </c>
      <c r="B31841" t="e">
        <f>- - las demas piedras</f>
        <v>#NAME?</v>
      </c>
    </row>
    <row r="31842" spans="1:2" x14ac:dyDescent="0.25">
      <c r="A31842">
        <v>68029910000</v>
      </c>
      <c r="B31842" t="s">
        <v>9437</v>
      </c>
    </row>
    <row r="31843" spans="1:2" x14ac:dyDescent="0.25">
      <c r="A31843">
        <v>68029990</v>
      </c>
      <c r="B31843" t="s">
        <v>57</v>
      </c>
    </row>
    <row r="31844" spans="1:2" x14ac:dyDescent="0.25">
      <c r="A31844">
        <v>68029990100</v>
      </c>
      <c r="B31844" t="s">
        <v>9434</v>
      </c>
    </row>
    <row r="31845" spans="1:2" x14ac:dyDescent="0.25">
      <c r="A31845">
        <v>68029990200</v>
      </c>
      <c r="B31845" t="s">
        <v>9435</v>
      </c>
    </row>
    <row r="31846" spans="1:2" x14ac:dyDescent="0.25">
      <c r="A31846">
        <v>68029990900</v>
      </c>
      <c r="B31846" t="s">
        <v>57</v>
      </c>
    </row>
    <row r="31847" spans="1:2" x14ac:dyDescent="0.25">
      <c r="A31847">
        <v>68030000000</v>
      </c>
      <c r="B31847" t="s">
        <v>9438</v>
      </c>
    </row>
    <row r="31848" spans="1:2" x14ac:dyDescent="0.25">
      <c r="A31848">
        <v>6804</v>
      </c>
      <c r="B31848" t="s">
        <v>9439</v>
      </c>
    </row>
    <row r="31849" spans="1:2" x14ac:dyDescent="0.25">
      <c r="A31849">
        <v>68041000000</v>
      </c>
      <c r="B31849" t="e">
        <f>-Muelas para moler o desfibrar</f>
        <v>#NAME?</v>
      </c>
    </row>
    <row r="31850" spans="1:2" x14ac:dyDescent="0.25">
      <c r="A31850">
        <v>68042</v>
      </c>
      <c r="B31850" t="s">
        <v>9440</v>
      </c>
    </row>
    <row r="31851" spans="1:2" x14ac:dyDescent="0.25">
      <c r="A31851">
        <v>680421</v>
      </c>
      <c r="B31851" t="e">
        <f>- - de diamante natural o sintetico. Aglomerado</f>
        <v>#NAME?</v>
      </c>
    </row>
    <row r="31852" spans="1:2" x14ac:dyDescent="0.25">
      <c r="A31852">
        <v>6804211</v>
      </c>
      <c r="B31852" t="s">
        <v>9441</v>
      </c>
    </row>
    <row r="31853" spans="1:2" x14ac:dyDescent="0.25">
      <c r="A31853">
        <v>68042111000</v>
      </c>
      <c r="B31853" t="s">
        <v>9442</v>
      </c>
    </row>
    <row r="31854" spans="1:2" x14ac:dyDescent="0.25">
      <c r="A31854">
        <v>68042119000</v>
      </c>
      <c r="B31854" t="s">
        <v>10</v>
      </c>
    </row>
    <row r="31855" spans="1:2" x14ac:dyDescent="0.25">
      <c r="A31855">
        <v>68042190000</v>
      </c>
      <c r="B31855" t="s">
        <v>10</v>
      </c>
    </row>
    <row r="31856" spans="1:2" x14ac:dyDescent="0.25">
      <c r="A31856">
        <v>680422</v>
      </c>
      <c r="B31856" t="e">
        <f>- - de Los demas abrasivos Aglomerados o de ceramica</f>
        <v>#NAME?</v>
      </c>
    </row>
    <row r="31857" spans="1:2" x14ac:dyDescent="0.25">
      <c r="A31857">
        <v>6804221</v>
      </c>
      <c r="B31857" t="s">
        <v>9441</v>
      </c>
    </row>
    <row r="31858" spans="1:2" x14ac:dyDescent="0.25">
      <c r="A31858">
        <v>68042211000</v>
      </c>
      <c r="B31858" t="s">
        <v>9442</v>
      </c>
    </row>
    <row r="31859" spans="1:2" x14ac:dyDescent="0.25">
      <c r="A31859">
        <v>68042219000</v>
      </c>
      <c r="B31859" t="s">
        <v>10</v>
      </c>
    </row>
    <row r="31860" spans="1:2" x14ac:dyDescent="0.25">
      <c r="A31860">
        <v>68042290000</v>
      </c>
      <c r="B31860" t="s">
        <v>10</v>
      </c>
    </row>
    <row r="31861" spans="1:2" x14ac:dyDescent="0.25">
      <c r="A31861">
        <v>68042300000</v>
      </c>
      <c r="B31861" t="e">
        <f>--de piedras naturales</f>
        <v>#NAME?</v>
      </c>
    </row>
    <row r="31862" spans="1:2" x14ac:dyDescent="0.25">
      <c r="A31862">
        <v>68043000000</v>
      </c>
      <c r="B31862" t="e">
        <f>-piedras de afilar o pulir a mano</f>
        <v>#NAME?</v>
      </c>
    </row>
    <row r="31863" spans="1:2" x14ac:dyDescent="0.25">
      <c r="A31863">
        <v>6805</v>
      </c>
      <c r="B31863" t="s">
        <v>9443</v>
      </c>
    </row>
    <row r="31864" spans="1:2" x14ac:dyDescent="0.25">
      <c r="A31864">
        <v>68051000</v>
      </c>
      <c r="B31864" t="e">
        <f>- Con soporte constituido solamente por tejido de materia textil</f>
        <v>#NAME?</v>
      </c>
    </row>
    <row r="31865" spans="1:2" x14ac:dyDescent="0.25">
      <c r="A31865">
        <v>680510001</v>
      </c>
      <c r="B31865" t="s">
        <v>9444</v>
      </c>
    </row>
    <row r="31866" spans="1:2" x14ac:dyDescent="0.25">
      <c r="A31866">
        <v>6805100011</v>
      </c>
      <c r="B31866" t="s">
        <v>9445</v>
      </c>
    </row>
    <row r="31867" spans="1:2" x14ac:dyDescent="0.25">
      <c r="A31867">
        <v>68051000111</v>
      </c>
      <c r="B31867" t="s">
        <v>9446</v>
      </c>
    </row>
    <row r="31868" spans="1:2" x14ac:dyDescent="0.25">
      <c r="A31868">
        <v>68051000119</v>
      </c>
      <c r="B31868" t="s">
        <v>57</v>
      </c>
    </row>
    <row r="31869" spans="1:2" x14ac:dyDescent="0.25">
      <c r="A31869">
        <v>6805100019</v>
      </c>
      <c r="B31869" t="s">
        <v>57</v>
      </c>
    </row>
    <row r="31870" spans="1:2" x14ac:dyDescent="0.25">
      <c r="A31870">
        <v>68051000191</v>
      </c>
      <c r="B31870" t="s">
        <v>9446</v>
      </c>
    </row>
    <row r="31871" spans="1:2" x14ac:dyDescent="0.25">
      <c r="A31871">
        <v>68051000199</v>
      </c>
      <c r="B31871" t="s">
        <v>57</v>
      </c>
    </row>
    <row r="31872" spans="1:2" x14ac:dyDescent="0.25">
      <c r="A31872">
        <v>68051000900</v>
      </c>
      <c r="B31872" t="s">
        <v>10</v>
      </c>
    </row>
    <row r="31873" spans="1:2" x14ac:dyDescent="0.25">
      <c r="A31873">
        <v>68052000</v>
      </c>
      <c r="B31873" t="e">
        <f>- Con soporte constituido solamente por papel o carton</f>
        <v>#NAME?</v>
      </c>
    </row>
    <row r="31874" spans="1:2" x14ac:dyDescent="0.25">
      <c r="A31874">
        <v>680520001</v>
      </c>
      <c r="B31874" t="s">
        <v>9447</v>
      </c>
    </row>
    <row r="31875" spans="1:2" x14ac:dyDescent="0.25">
      <c r="A31875">
        <v>6805200011</v>
      </c>
      <c r="B31875" t="s">
        <v>9445</v>
      </c>
    </row>
    <row r="31876" spans="1:2" x14ac:dyDescent="0.25">
      <c r="A31876">
        <v>68052000111</v>
      </c>
      <c r="B31876" t="s">
        <v>9448</v>
      </c>
    </row>
    <row r="31877" spans="1:2" x14ac:dyDescent="0.25">
      <c r="A31877">
        <v>68052000112</v>
      </c>
      <c r="B31877" t="s">
        <v>9449</v>
      </c>
    </row>
    <row r="31878" spans="1:2" x14ac:dyDescent="0.25">
      <c r="A31878">
        <v>68052000119</v>
      </c>
      <c r="B31878" t="s">
        <v>57</v>
      </c>
    </row>
    <row r="31879" spans="1:2" x14ac:dyDescent="0.25">
      <c r="A31879">
        <v>6805200019</v>
      </c>
      <c r="B31879" t="s">
        <v>57</v>
      </c>
    </row>
    <row r="31880" spans="1:2" x14ac:dyDescent="0.25">
      <c r="A31880">
        <v>68052000191</v>
      </c>
      <c r="B31880" t="s">
        <v>9448</v>
      </c>
    </row>
    <row r="31881" spans="1:2" x14ac:dyDescent="0.25">
      <c r="A31881">
        <v>68052000192</v>
      </c>
      <c r="B31881" t="s">
        <v>9449</v>
      </c>
    </row>
    <row r="31882" spans="1:2" x14ac:dyDescent="0.25">
      <c r="A31882">
        <v>68052000199</v>
      </c>
      <c r="B31882" t="s">
        <v>57</v>
      </c>
    </row>
    <row r="31883" spans="1:2" x14ac:dyDescent="0.25">
      <c r="A31883">
        <v>680520002</v>
      </c>
      <c r="B31883" t="s">
        <v>9450</v>
      </c>
    </row>
    <row r="31884" spans="1:2" x14ac:dyDescent="0.25">
      <c r="A31884">
        <v>6805200021</v>
      </c>
      <c r="B31884" t="s">
        <v>9451</v>
      </c>
    </row>
    <row r="31885" spans="1:2" x14ac:dyDescent="0.25">
      <c r="A31885">
        <v>68052000211</v>
      </c>
      <c r="B31885" t="s">
        <v>9452</v>
      </c>
    </row>
    <row r="31886" spans="1:2" x14ac:dyDescent="0.25">
      <c r="A31886">
        <v>68052000212</v>
      </c>
      <c r="B31886" t="s">
        <v>9449</v>
      </c>
    </row>
    <row r="31887" spans="1:2" x14ac:dyDescent="0.25">
      <c r="A31887">
        <v>68052000219</v>
      </c>
      <c r="B31887" t="s">
        <v>57</v>
      </c>
    </row>
    <row r="31888" spans="1:2" x14ac:dyDescent="0.25">
      <c r="A31888">
        <v>6805200022</v>
      </c>
      <c r="B31888" t="s">
        <v>9445</v>
      </c>
    </row>
    <row r="31889" spans="1:2" x14ac:dyDescent="0.25">
      <c r="A31889">
        <v>68052000221</v>
      </c>
      <c r="B31889" t="s">
        <v>9452</v>
      </c>
    </row>
    <row r="31890" spans="1:2" x14ac:dyDescent="0.25">
      <c r="A31890">
        <v>68052000222</v>
      </c>
      <c r="B31890" t="s">
        <v>9449</v>
      </c>
    </row>
    <row r="31891" spans="1:2" x14ac:dyDescent="0.25">
      <c r="A31891">
        <v>68052000229</v>
      </c>
      <c r="B31891" t="s">
        <v>57</v>
      </c>
    </row>
    <row r="31892" spans="1:2" x14ac:dyDescent="0.25">
      <c r="A31892">
        <v>6805200029</v>
      </c>
      <c r="B31892" t="s">
        <v>57</v>
      </c>
    </row>
    <row r="31893" spans="1:2" x14ac:dyDescent="0.25">
      <c r="A31893">
        <v>68052000291</v>
      </c>
      <c r="B31893" t="s">
        <v>9452</v>
      </c>
    </row>
    <row r="31894" spans="1:2" x14ac:dyDescent="0.25">
      <c r="A31894">
        <v>68052000292</v>
      </c>
      <c r="B31894" t="s">
        <v>9449</v>
      </c>
    </row>
    <row r="31895" spans="1:2" x14ac:dyDescent="0.25">
      <c r="A31895">
        <v>68052000299</v>
      </c>
      <c r="B31895" t="s">
        <v>57</v>
      </c>
    </row>
    <row r="31896" spans="1:2" x14ac:dyDescent="0.25">
      <c r="A31896">
        <v>680520003</v>
      </c>
      <c r="B31896" t="s">
        <v>9453</v>
      </c>
    </row>
    <row r="31897" spans="1:2" x14ac:dyDescent="0.25">
      <c r="A31897">
        <v>68052000310</v>
      </c>
      <c r="B31897" t="s">
        <v>9454</v>
      </c>
    </row>
    <row r="31898" spans="1:2" x14ac:dyDescent="0.25">
      <c r="A31898">
        <v>68052000320</v>
      </c>
      <c r="B31898" t="s">
        <v>9455</v>
      </c>
    </row>
    <row r="31899" spans="1:2" x14ac:dyDescent="0.25">
      <c r="A31899">
        <v>68052000330</v>
      </c>
      <c r="B31899" t="s">
        <v>9456</v>
      </c>
    </row>
    <row r="31900" spans="1:2" x14ac:dyDescent="0.25">
      <c r="A31900">
        <v>68052000390</v>
      </c>
      <c r="B31900" t="s">
        <v>57</v>
      </c>
    </row>
    <row r="31901" spans="1:2" x14ac:dyDescent="0.25">
      <c r="A31901">
        <v>680520009</v>
      </c>
      <c r="B31901" t="s">
        <v>10</v>
      </c>
    </row>
    <row r="31902" spans="1:2" x14ac:dyDescent="0.25">
      <c r="A31902">
        <v>6805200091</v>
      </c>
      <c r="B31902" t="s">
        <v>9445</v>
      </c>
    </row>
    <row r="31903" spans="1:2" x14ac:dyDescent="0.25">
      <c r="A31903">
        <v>68052000911</v>
      </c>
      <c r="B31903" t="s">
        <v>9457</v>
      </c>
    </row>
    <row r="31904" spans="1:2" x14ac:dyDescent="0.25">
      <c r="A31904">
        <v>68052000912</v>
      </c>
      <c r="B31904" t="s">
        <v>9458</v>
      </c>
    </row>
    <row r="31905" spans="1:2" x14ac:dyDescent="0.25">
      <c r="A31905">
        <v>68052000913</v>
      </c>
      <c r="B31905" t="s">
        <v>9459</v>
      </c>
    </row>
    <row r="31906" spans="1:2" x14ac:dyDescent="0.25">
      <c r="A31906">
        <v>68052000919</v>
      </c>
      <c r="B31906" t="s">
        <v>10</v>
      </c>
    </row>
    <row r="31907" spans="1:2" x14ac:dyDescent="0.25">
      <c r="A31907">
        <v>6805200099</v>
      </c>
      <c r="B31907" t="s">
        <v>10</v>
      </c>
    </row>
    <row r="31908" spans="1:2" x14ac:dyDescent="0.25">
      <c r="A31908">
        <v>68052000991</v>
      </c>
      <c r="B31908" t="s">
        <v>9457</v>
      </c>
    </row>
    <row r="31909" spans="1:2" x14ac:dyDescent="0.25">
      <c r="A31909">
        <v>68052000992</v>
      </c>
      <c r="B31909" t="s">
        <v>9458</v>
      </c>
    </row>
    <row r="31910" spans="1:2" x14ac:dyDescent="0.25">
      <c r="A31910">
        <v>68052000993</v>
      </c>
      <c r="B31910" t="s">
        <v>9459</v>
      </c>
    </row>
    <row r="31911" spans="1:2" x14ac:dyDescent="0.25">
      <c r="A31911">
        <v>68052000999</v>
      </c>
      <c r="B31911" t="s">
        <v>10</v>
      </c>
    </row>
    <row r="31912" spans="1:2" x14ac:dyDescent="0.25">
      <c r="A31912">
        <v>680530</v>
      </c>
      <c r="B31912" t="e">
        <f>- Con soporte de otras materias</f>
        <v>#NAME?</v>
      </c>
    </row>
    <row r="31913" spans="1:2" x14ac:dyDescent="0.25">
      <c r="A31913">
        <v>68053010000</v>
      </c>
      <c r="B31913" t="s">
        <v>9460</v>
      </c>
    </row>
    <row r="31914" spans="1:2" x14ac:dyDescent="0.25">
      <c r="A31914">
        <v>68053020</v>
      </c>
      <c r="B31914" t="s">
        <v>9461</v>
      </c>
    </row>
    <row r="31915" spans="1:2" x14ac:dyDescent="0.25">
      <c r="A31915">
        <v>680530201</v>
      </c>
      <c r="B31915" t="s">
        <v>9462</v>
      </c>
    </row>
    <row r="31916" spans="1:2" x14ac:dyDescent="0.25">
      <c r="A31916">
        <v>68053020110</v>
      </c>
      <c r="B31916" t="s">
        <v>9463</v>
      </c>
    </row>
    <row r="31917" spans="1:2" x14ac:dyDescent="0.25">
      <c r="A31917">
        <v>68053020120</v>
      </c>
      <c r="B31917" t="s">
        <v>9464</v>
      </c>
    </row>
    <row r="31918" spans="1:2" x14ac:dyDescent="0.25">
      <c r="A31918">
        <v>68053020130</v>
      </c>
      <c r="B31918" t="s">
        <v>9465</v>
      </c>
    </row>
    <row r="31919" spans="1:2" x14ac:dyDescent="0.25">
      <c r="A31919">
        <v>68053020140</v>
      </c>
      <c r="B31919" t="s">
        <v>9466</v>
      </c>
    </row>
    <row r="31920" spans="1:2" x14ac:dyDescent="0.25">
      <c r="A31920">
        <v>68053020150</v>
      </c>
      <c r="B31920" t="s">
        <v>9467</v>
      </c>
    </row>
    <row r="31921" spans="1:2" x14ac:dyDescent="0.25">
      <c r="A31921">
        <v>68053020190</v>
      </c>
      <c r="B31921" t="s">
        <v>10</v>
      </c>
    </row>
    <row r="31922" spans="1:2" x14ac:dyDescent="0.25">
      <c r="A31922">
        <v>680530209</v>
      </c>
      <c r="B31922" t="s">
        <v>9468</v>
      </c>
    </row>
    <row r="31923" spans="1:2" x14ac:dyDescent="0.25">
      <c r="A31923">
        <v>68053020910</v>
      </c>
      <c r="B31923" t="s">
        <v>9463</v>
      </c>
    </row>
    <row r="31924" spans="1:2" x14ac:dyDescent="0.25">
      <c r="A31924">
        <v>68053020920</v>
      </c>
      <c r="B31924" t="s">
        <v>9464</v>
      </c>
    </row>
    <row r="31925" spans="1:2" x14ac:dyDescent="0.25">
      <c r="A31925">
        <v>68053020930</v>
      </c>
      <c r="B31925" t="s">
        <v>9465</v>
      </c>
    </row>
    <row r="31926" spans="1:2" x14ac:dyDescent="0.25">
      <c r="A31926">
        <v>68053020940</v>
      </c>
      <c r="B31926" t="s">
        <v>9466</v>
      </c>
    </row>
    <row r="31927" spans="1:2" x14ac:dyDescent="0.25">
      <c r="A31927">
        <v>68053020950</v>
      </c>
      <c r="B31927" t="s">
        <v>9467</v>
      </c>
    </row>
    <row r="31928" spans="1:2" x14ac:dyDescent="0.25">
      <c r="A31928">
        <v>68053020990</v>
      </c>
      <c r="B31928" t="s">
        <v>10</v>
      </c>
    </row>
    <row r="31929" spans="1:2" x14ac:dyDescent="0.25">
      <c r="A31929">
        <v>68053090000</v>
      </c>
      <c r="B31929" t="s">
        <v>10</v>
      </c>
    </row>
    <row r="31930" spans="1:2" x14ac:dyDescent="0.25">
      <c r="A31930">
        <v>6806</v>
      </c>
      <c r="B31930" t="s">
        <v>9469</v>
      </c>
    </row>
    <row r="31931" spans="1:2" x14ac:dyDescent="0.25">
      <c r="A31931">
        <v>68061000000</v>
      </c>
      <c r="B31931" t="e">
        <f>-lana de escoria. de roca y lanas Minerales similares. incluso Mezcladas entre si. En masa. Hojas o enrolladas</f>
        <v>#NAME?</v>
      </c>
    </row>
    <row r="31932" spans="1:2" x14ac:dyDescent="0.25">
      <c r="A31932">
        <v>68062000000</v>
      </c>
      <c r="B31932" t="e">
        <f>-Vermiculita dilatada. arcilla dilatada. espuma de escoria y Productos Minerales similares dilatados. incluso mezclados entre si</f>
        <v>#NAME?</v>
      </c>
    </row>
    <row r="31933" spans="1:2" x14ac:dyDescent="0.25">
      <c r="A31933">
        <v>680690</v>
      </c>
      <c r="B31933" t="e">
        <f>- Los demas</f>
        <v>#NAME?</v>
      </c>
    </row>
    <row r="31934" spans="1:2" x14ac:dyDescent="0.25">
      <c r="A31934">
        <v>68069010000</v>
      </c>
      <c r="B31934" t="s">
        <v>9470</v>
      </c>
    </row>
    <row r="31935" spans="1:2" x14ac:dyDescent="0.25">
      <c r="A31935">
        <v>68069090000</v>
      </c>
      <c r="B31935" t="s">
        <v>10</v>
      </c>
    </row>
    <row r="31936" spans="1:2" x14ac:dyDescent="0.25">
      <c r="A31936">
        <v>6807</v>
      </c>
      <c r="B31936" t="s">
        <v>9471</v>
      </c>
    </row>
    <row r="31937" spans="1:2" x14ac:dyDescent="0.25">
      <c r="A31937">
        <v>68071000000</v>
      </c>
      <c r="B31937" t="e">
        <f>-En rollos</f>
        <v>#NAME?</v>
      </c>
    </row>
    <row r="31938" spans="1:2" x14ac:dyDescent="0.25">
      <c r="A31938">
        <v>68079000000</v>
      </c>
      <c r="B31938" t="e">
        <f>-las demas</f>
        <v>#NAME?</v>
      </c>
    </row>
    <row r="31939" spans="1:2" x14ac:dyDescent="0.25">
      <c r="A31939">
        <v>68080000000</v>
      </c>
      <c r="B31939" t="s">
        <v>9472</v>
      </c>
    </row>
    <row r="31940" spans="1:2" x14ac:dyDescent="0.25">
      <c r="A31940">
        <v>6809</v>
      </c>
      <c r="B31940" t="s">
        <v>9473</v>
      </c>
    </row>
    <row r="31941" spans="1:2" x14ac:dyDescent="0.25">
      <c r="A31941">
        <v>68091</v>
      </c>
      <c r="B31941" t="s">
        <v>9474</v>
      </c>
    </row>
    <row r="31942" spans="1:2" x14ac:dyDescent="0.25">
      <c r="A31942">
        <v>68091100000</v>
      </c>
      <c r="B31942" t="e">
        <f>--revestidos o Reforzados exclusivamente Con papel o carton</f>
        <v>#NAME?</v>
      </c>
    </row>
    <row r="31943" spans="1:2" x14ac:dyDescent="0.25">
      <c r="A31943">
        <v>68091900000</v>
      </c>
      <c r="B31943" t="e">
        <f>--Los demas</f>
        <v>#NAME?</v>
      </c>
    </row>
    <row r="31944" spans="1:2" x14ac:dyDescent="0.25">
      <c r="A31944">
        <v>68099000000</v>
      </c>
      <c r="B31944" t="e">
        <f>-las demas manufacturas</f>
        <v>#NAME?</v>
      </c>
    </row>
    <row r="31945" spans="1:2" x14ac:dyDescent="0.25">
      <c r="A31945">
        <v>6810</v>
      </c>
      <c r="B31945" t="s">
        <v>9475</v>
      </c>
    </row>
    <row r="31946" spans="1:2" x14ac:dyDescent="0.25">
      <c r="A31946">
        <v>68101</v>
      </c>
      <c r="B31946" t="s">
        <v>9476</v>
      </c>
    </row>
    <row r="31947" spans="1:2" x14ac:dyDescent="0.25">
      <c r="A31947">
        <v>68101100000</v>
      </c>
      <c r="B31947" t="e">
        <f>--bloques y ladrillos para la construccion</f>
        <v>#NAME?</v>
      </c>
    </row>
    <row r="31948" spans="1:2" x14ac:dyDescent="0.25">
      <c r="A31948">
        <v>68101900000</v>
      </c>
      <c r="B31948" t="e">
        <f>--Los demas</f>
        <v>#NAME?</v>
      </c>
    </row>
    <row r="31949" spans="1:2" x14ac:dyDescent="0.25">
      <c r="A31949">
        <v>68109</v>
      </c>
      <c r="B31949" t="s">
        <v>9477</v>
      </c>
    </row>
    <row r="31950" spans="1:2" x14ac:dyDescent="0.25">
      <c r="A31950">
        <v>68109100000</v>
      </c>
      <c r="B31950" t="e">
        <f>--elementos prefabricados para la construccion o ingenieria civil</f>
        <v>#NAME?</v>
      </c>
    </row>
    <row r="31951" spans="1:2" x14ac:dyDescent="0.25">
      <c r="A31951">
        <v>68109900000</v>
      </c>
      <c r="B31951" t="e">
        <f>--las demas</f>
        <v>#NAME?</v>
      </c>
    </row>
    <row r="31952" spans="1:2" x14ac:dyDescent="0.25">
      <c r="A31952">
        <v>6811</v>
      </c>
      <c r="B31952" t="s">
        <v>9478</v>
      </c>
    </row>
    <row r="31953" spans="1:2" x14ac:dyDescent="0.25">
      <c r="A31953">
        <v>68114000000</v>
      </c>
      <c r="B31953" t="e">
        <f>-que contengan amianto (asbesto)</f>
        <v>#NAME?</v>
      </c>
    </row>
    <row r="31954" spans="1:2" x14ac:dyDescent="0.25">
      <c r="A31954">
        <v>68118</v>
      </c>
      <c r="B31954" t="s">
        <v>9479</v>
      </c>
    </row>
    <row r="31955" spans="1:2" x14ac:dyDescent="0.25">
      <c r="A31955">
        <v>68118100000</v>
      </c>
      <c r="B31955" t="e">
        <f>--placas onduladas</f>
        <v>#NAME?</v>
      </c>
    </row>
    <row r="31956" spans="1:2" x14ac:dyDescent="0.25">
      <c r="A31956">
        <v>68118200000</v>
      </c>
      <c r="B31956" t="e">
        <f>--las demas Placas. paneles. Losetas. tejas y Articulos similares</f>
        <v>#NAME?</v>
      </c>
    </row>
    <row r="31957" spans="1:2" x14ac:dyDescent="0.25">
      <c r="A31957">
        <v>68118900000</v>
      </c>
      <c r="B31957" t="e">
        <f>--las demas manufacturas</f>
        <v>#NAME?</v>
      </c>
    </row>
    <row r="31958" spans="1:2" x14ac:dyDescent="0.25">
      <c r="A31958">
        <v>6812</v>
      </c>
      <c r="B31958" t="s">
        <v>9480</v>
      </c>
    </row>
    <row r="31959" spans="1:2" x14ac:dyDescent="0.25">
      <c r="A31959">
        <v>68128000000</v>
      </c>
      <c r="B31959" t="e">
        <f>-de Crocidolita</f>
        <v>#NAME?</v>
      </c>
    </row>
    <row r="31960" spans="1:2" x14ac:dyDescent="0.25">
      <c r="A31960">
        <v>68129</v>
      </c>
      <c r="B31960" t="s">
        <v>567</v>
      </c>
    </row>
    <row r="31961" spans="1:2" x14ac:dyDescent="0.25">
      <c r="A31961">
        <v>68129100000</v>
      </c>
      <c r="B31961" t="s">
        <v>9481</v>
      </c>
    </row>
    <row r="31962" spans="1:2" x14ac:dyDescent="0.25">
      <c r="A31962">
        <v>68129200000</v>
      </c>
      <c r="B31962" t="e">
        <f>--papel. carton y fieltro</f>
        <v>#NAME?</v>
      </c>
    </row>
    <row r="31963" spans="1:2" x14ac:dyDescent="0.25">
      <c r="A31963">
        <v>68129300000</v>
      </c>
      <c r="B31963" t="e">
        <f>--amianto (asbesto) y elastomeros comprimidos. para Juntas o empaquetaduras. En Hojas o rollos</f>
        <v>#NAME?</v>
      </c>
    </row>
    <row r="31964" spans="1:2" x14ac:dyDescent="0.25">
      <c r="A31964">
        <v>681299</v>
      </c>
      <c r="B31964" t="e">
        <f>- - las demas</f>
        <v>#NAME?</v>
      </c>
    </row>
    <row r="31965" spans="1:2" x14ac:dyDescent="0.25">
      <c r="A31965">
        <v>68129910000</v>
      </c>
      <c r="B31965" t="s">
        <v>9482</v>
      </c>
    </row>
    <row r="31966" spans="1:2" x14ac:dyDescent="0.25">
      <c r="A31966">
        <v>68129920</v>
      </c>
      <c r="B31966" t="s">
        <v>9483</v>
      </c>
    </row>
    <row r="31967" spans="1:2" x14ac:dyDescent="0.25">
      <c r="A31967">
        <v>68129920100</v>
      </c>
      <c r="B31967" t="s">
        <v>6661</v>
      </c>
    </row>
    <row r="31968" spans="1:2" x14ac:dyDescent="0.25">
      <c r="A31968">
        <v>68129920900</v>
      </c>
      <c r="B31968" t="s">
        <v>823</v>
      </c>
    </row>
    <row r="31969" spans="1:2" x14ac:dyDescent="0.25">
      <c r="A31969">
        <v>68129930</v>
      </c>
      <c r="B31969" t="s">
        <v>9484</v>
      </c>
    </row>
    <row r="31970" spans="1:2" x14ac:dyDescent="0.25">
      <c r="A31970">
        <v>68129930100</v>
      </c>
      <c r="B31970" t="s">
        <v>6661</v>
      </c>
    </row>
    <row r="31971" spans="1:2" x14ac:dyDescent="0.25">
      <c r="A31971">
        <v>68129930900</v>
      </c>
      <c r="B31971" t="s">
        <v>823</v>
      </c>
    </row>
    <row r="31972" spans="1:2" x14ac:dyDescent="0.25">
      <c r="A31972">
        <v>68129990000</v>
      </c>
      <c r="B31972" t="s">
        <v>57</v>
      </c>
    </row>
    <row r="31973" spans="1:2" x14ac:dyDescent="0.25">
      <c r="A31973">
        <v>6813</v>
      </c>
      <c r="B31973" t="s">
        <v>9485</v>
      </c>
    </row>
    <row r="31974" spans="1:2" x14ac:dyDescent="0.25">
      <c r="A31974">
        <v>68132000</v>
      </c>
      <c r="B31974" t="s">
        <v>9486</v>
      </c>
    </row>
    <row r="31975" spans="1:2" x14ac:dyDescent="0.25">
      <c r="A31975">
        <v>68132000100</v>
      </c>
      <c r="B31975" t="s">
        <v>6661</v>
      </c>
    </row>
    <row r="31976" spans="1:2" x14ac:dyDescent="0.25">
      <c r="A31976">
        <v>68132000900</v>
      </c>
      <c r="B31976" t="s">
        <v>823</v>
      </c>
    </row>
    <row r="31977" spans="1:2" x14ac:dyDescent="0.25">
      <c r="A31977">
        <v>68138</v>
      </c>
      <c r="B31977" t="s">
        <v>9479</v>
      </c>
    </row>
    <row r="31978" spans="1:2" x14ac:dyDescent="0.25">
      <c r="A31978">
        <v>681381</v>
      </c>
      <c r="B31978" t="e">
        <f>- - Guarniciones para frenos</f>
        <v>#NAME?</v>
      </c>
    </row>
    <row r="31979" spans="1:2" x14ac:dyDescent="0.25">
      <c r="A31979">
        <v>68138110</v>
      </c>
      <c r="B31979" t="s">
        <v>1400</v>
      </c>
    </row>
    <row r="31980" spans="1:2" x14ac:dyDescent="0.25">
      <c r="A31980">
        <v>68138110100</v>
      </c>
      <c r="B31980" t="s">
        <v>6673</v>
      </c>
    </row>
    <row r="31981" spans="1:2" x14ac:dyDescent="0.25">
      <c r="A31981">
        <v>68138110200</v>
      </c>
      <c r="B31981" t="s">
        <v>9487</v>
      </c>
    </row>
    <row r="31982" spans="1:2" x14ac:dyDescent="0.25">
      <c r="A31982">
        <v>68138110900</v>
      </c>
      <c r="B31982" t="s">
        <v>57</v>
      </c>
    </row>
    <row r="31983" spans="1:2" x14ac:dyDescent="0.25">
      <c r="A31983">
        <v>68138190</v>
      </c>
      <c r="B31983" t="s">
        <v>57</v>
      </c>
    </row>
    <row r="31984" spans="1:2" x14ac:dyDescent="0.25">
      <c r="A31984">
        <v>681381901</v>
      </c>
      <c r="B31984" t="s">
        <v>9488</v>
      </c>
    </row>
    <row r="31985" spans="1:2" x14ac:dyDescent="0.25">
      <c r="A31985">
        <v>68138190110</v>
      </c>
      <c r="B31985" t="s">
        <v>9489</v>
      </c>
    </row>
    <row r="31986" spans="1:2" x14ac:dyDescent="0.25">
      <c r="A31986">
        <v>68138190190</v>
      </c>
      <c r="B31986" t="s">
        <v>57</v>
      </c>
    </row>
    <row r="31987" spans="1:2" x14ac:dyDescent="0.25">
      <c r="A31987">
        <v>681381909</v>
      </c>
      <c r="B31987" t="s">
        <v>57</v>
      </c>
    </row>
    <row r="31988" spans="1:2" x14ac:dyDescent="0.25">
      <c r="A31988">
        <v>68138190910</v>
      </c>
      <c r="B31988" t="s">
        <v>9490</v>
      </c>
    </row>
    <row r="31989" spans="1:2" x14ac:dyDescent="0.25">
      <c r="A31989">
        <v>68138190920</v>
      </c>
      <c r="B31989" t="s">
        <v>6661</v>
      </c>
    </row>
    <row r="31990" spans="1:2" x14ac:dyDescent="0.25">
      <c r="A31990">
        <v>68138190990</v>
      </c>
      <c r="B31990" t="s">
        <v>57</v>
      </c>
    </row>
    <row r="31991" spans="1:2" x14ac:dyDescent="0.25">
      <c r="A31991">
        <v>681389</v>
      </c>
      <c r="B31991" t="e">
        <f>- - las demas</f>
        <v>#NAME?</v>
      </c>
    </row>
    <row r="31992" spans="1:2" x14ac:dyDescent="0.25">
      <c r="A31992">
        <v>68138910</v>
      </c>
      <c r="B31992" t="s">
        <v>9491</v>
      </c>
    </row>
    <row r="31993" spans="1:2" x14ac:dyDescent="0.25">
      <c r="A31993">
        <v>68138910100</v>
      </c>
      <c r="B31993" t="s">
        <v>6661</v>
      </c>
    </row>
    <row r="31994" spans="1:2" x14ac:dyDescent="0.25">
      <c r="A31994">
        <v>68138910900</v>
      </c>
      <c r="B31994" t="s">
        <v>10</v>
      </c>
    </row>
    <row r="31995" spans="1:2" x14ac:dyDescent="0.25">
      <c r="A31995">
        <v>68138990</v>
      </c>
      <c r="B31995" t="s">
        <v>57</v>
      </c>
    </row>
    <row r="31996" spans="1:2" x14ac:dyDescent="0.25">
      <c r="A31996">
        <v>68138990100</v>
      </c>
      <c r="B31996" t="s">
        <v>6661</v>
      </c>
    </row>
    <row r="31997" spans="1:2" x14ac:dyDescent="0.25">
      <c r="A31997">
        <v>68138990900</v>
      </c>
      <c r="B31997" t="s">
        <v>10</v>
      </c>
    </row>
    <row r="31998" spans="1:2" x14ac:dyDescent="0.25">
      <c r="A31998">
        <v>6814</v>
      </c>
      <c r="B31998" t="s">
        <v>9492</v>
      </c>
    </row>
    <row r="31999" spans="1:2" x14ac:dyDescent="0.25">
      <c r="A31999">
        <v>68141000000</v>
      </c>
      <c r="B31999" t="e">
        <f>-Placas. Hojas y tiras de Mica aglomerada o reconstituida. incluso Con soporte</f>
        <v>#NAME?</v>
      </c>
    </row>
    <row r="32000" spans="1:2" x14ac:dyDescent="0.25">
      <c r="A32000">
        <v>68149000000</v>
      </c>
      <c r="B32000" t="e">
        <f>-las demas</f>
        <v>#NAME?</v>
      </c>
    </row>
    <row r="32001" spans="1:2" x14ac:dyDescent="0.25">
      <c r="A32001">
        <v>6815</v>
      </c>
      <c r="B32001" t="s">
        <v>9493</v>
      </c>
    </row>
    <row r="32002" spans="1:2" x14ac:dyDescent="0.25">
      <c r="A32002">
        <v>681510</v>
      </c>
      <c r="B32002" t="e">
        <f>- manufacturas de Grafito o de otros carbonos. para usos distintos de Los electricos</f>
        <v>#NAME?</v>
      </c>
    </row>
    <row r="32003" spans="1:2" x14ac:dyDescent="0.25">
      <c r="A32003">
        <v>68151010000</v>
      </c>
      <c r="B32003" t="s">
        <v>9494</v>
      </c>
    </row>
    <row r="32004" spans="1:2" x14ac:dyDescent="0.25">
      <c r="A32004">
        <v>68151020000</v>
      </c>
      <c r="B32004" t="s">
        <v>9495</v>
      </c>
    </row>
    <row r="32005" spans="1:2" x14ac:dyDescent="0.25">
      <c r="A32005">
        <v>68151090</v>
      </c>
      <c r="B32005" t="s">
        <v>57</v>
      </c>
    </row>
    <row r="32006" spans="1:2" x14ac:dyDescent="0.25">
      <c r="A32006">
        <v>68151090100</v>
      </c>
      <c r="B32006" t="s">
        <v>9496</v>
      </c>
    </row>
    <row r="32007" spans="1:2" x14ac:dyDescent="0.25">
      <c r="A32007">
        <v>68151090900</v>
      </c>
      <c r="B32007" t="s">
        <v>57</v>
      </c>
    </row>
    <row r="32008" spans="1:2" x14ac:dyDescent="0.25">
      <c r="A32008">
        <v>68152000000</v>
      </c>
      <c r="B32008" t="e">
        <f>-manufacturas de turba</f>
        <v>#NAME?</v>
      </c>
    </row>
    <row r="32009" spans="1:2" x14ac:dyDescent="0.25">
      <c r="A32009">
        <v>68159</v>
      </c>
      <c r="B32009" t="s">
        <v>9477</v>
      </c>
    </row>
    <row r="32010" spans="1:2" x14ac:dyDescent="0.25">
      <c r="A32010">
        <v>681591</v>
      </c>
      <c r="B32010" t="e">
        <f>- - que contengan magnesita. Dolomita o cromita</f>
        <v>#NAME?</v>
      </c>
    </row>
    <row r="32011" spans="1:2" x14ac:dyDescent="0.25">
      <c r="A32011">
        <v>68159110000</v>
      </c>
      <c r="B32011" t="s">
        <v>9497</v>
      </c>
    </row>
    <row r="32012" spans="1:2" x14ac:dyDescent="0.25">
      <c r="A32012">
        <v>68159190000</v>
      </c>
      <c r="B32012" t="s">
        <v>57</v>
      </c>
    </row>
    <row r="32013" spans="1:2" x14ac:dyDescent="0.25">
      <c r="A32013">
        <v>681599</v>
      </c>
      <c r="B32013" t="e">
        <f>- - las demas</f>
        <v>#NAME?</v>
      </c>
    </row>
    <row r="32014" spans="1:2" x14ac:dyDescent="0.25">
      <c r="A32014">
        <v>6815991</v>
      </c>
      <c r="B32014" t="s">
        <v>9498</v>
      </c>
    </row>
    <row r="32015" spans="1:2" x14ac:dyDescent="0.25">
      <c r="A32015">
        <v>68159911000</v>
      </c>
      <c r="B32015" t="s">
        <v>9499</v>
      </c>
    </row>
    <row r="32016" spans="1:2" x14ac:dyDescent="0.25">
      <c r="A32016">
        <v>68159912000</v>
      </c>
      <c r="B32016" t="s">
        <v>9500</v>
      </c>
    </row>
    <row r="32017" spans="1:2" x14ac:dyDescent="0.25">
      <c r="A32017">
        <v>68159913000</v>
      </c>
      <c r="B32017" t="s">
        <v>9501</v>
      </c>
    </row>
    <row r="32018" spans="1:2" x14ac:dyDescent="0.25">
      <c r="A32018">
        <v>68159914000</v>
      </c>
      <c r="B32018" t="s">
        <v>9502</v>
      </c>
    </row>
    <row r="32019" spans="1:2" x14ac:dyDescent="0.25">
      <c r="A32019">
        <v>68159919000</v>
      </c>
      <c r="B32019" t="s">
        <v>57</v>
      </c>
    </row>
    <row r="32020" spans="1:2" x14ac:dyDescent="0.25">
      <c r="A32020">
        <v>68159990000</v>
      </c>
      <c r="B32020" t="s">
        <v>57</v>
      </c>
    </row>
    <row r="32021" spans="1:2" x14ac:dyDescent="0.25">
      <c r="A32021">
        <v>69010000000</v>
      </c>
      <c r="B32021" t="s">
        <v>9503</v>
      </c>
    </row>
    <row r="32022" spans="1:2" x14ac:dyDescent="0.25">
      <c r="A32022">
        <v>6902</v>
      </c>
      <c r="B32022" t="s">
        <v>9504</v>
      </c>
    </row>
    <row r="32023" spans="1:2" x14ac:dyDescent="0.25">
      <c r="A32023">
        <v>690210</v>
      </c>
      <c r="B32023" t="s">
        <v>9505</v>
      </c>
    </row>
    <row r="32024" spans="1:2" x14ac:dyDescent="0.25">
      <c r="A32024">
        <v>6902101</v>
      </c>
      <c r="B32024" t="s">
        <v>9506</v>
      </c>
    </row>
    <row r="32025" spans="1:2" x14ac:dyDescent="0.25">
      <c r="A32025">
        <v>69021011000</v>
      </c>
      <c r="B32025" t="s">
        <v>9507</v>
      </c>
    </row>
    <row r="32026" spans="1:2" x14ac:dyDescent="0.25">
      <c r="A32026">
        <v>69021018000</v>
      </c>
      <c r="B32026" t="s">
        <v>9508</v>
      </c>
    </row>
    <row r="32027" spans="1:2" x14ac:dyDescent="0.25">
      <c r="A32027">
        <v>69021019000</v>
      </c>
      <c r="B32027" t="s">
        <v>10</v>
      </c>
    </row>
    <row r="32028" spans="1:2" x14ac:dyDescent="0.25">
      <c r="A32028">
        <v>69021090000</v>
      </c>
      <c r="B32028" t="s">
        <v>10</v>
      </c>
    </row>
    <row r="32029" spans="1:2" x14ac:dyDescent="0.25">
      <c r="A32029">
        <v>690220</v>
      </c>
      <c r="B32029" t="s">
        <v>9509</v>
      </c>
    </row>
    <row r="32030" spans="1:2" x14ac:dyDescent="0.25">
      <c r="A32030">
        <v>69022010000</v>
      </c>
      <c r="B32030" t="s">
        <v>9510</v>
      </c>
    </row>
    <row r="32031" spans="1:2" x14ac:dyDescent="0.25">
      <c r="A32031">
        <v>6902209</v>
      </c>
      <c r="B32031" t="s">
        <v>10</v>
      </c>
    </row>
    <row r="32032" spans="1:2" x14ac:dyDescent="0.25">
      <c r="A32032">
        <v>69022091000</v>
      </c>
      <c r="B32032" t="s">
        <v>9511</v>
      </c>
    </row>
    <row r="32033" spans="1:2" x14ac:dyDescent="0.25">
      <c r="A32033">
        <v>69022092000</v>
      </c>
      <c r="B32033" t="s">
        <v>9512</v>
      </c>
    </row>
    <row r="32034" spans="1:2" x14ac:dyDescent="0.25">
      <c r="A32034">
        <v>69022093000</v>
      </c>
      <c r="B32034" t="s">
        <v>9513</v>
      </c>
    </row>
    <row r="32035" spans="1:2" x14ac:dyDescent="0.25">
      <c r="A32035">
        <v>69022099000</v>
      </c>
      <c r="B32035" t="s">
        <v>10</v>
      </c>
    </row>
    <row r="32036" spans="1:2" x14ac:dyDescent="0.25">
      <c r="A32036">
        <v>690290</v>
      </c>
      <c r="B32036" t="e">
        <f>- Los demas</f>
        <v>#NAME?</v>
      </c>
    </row>
    <row r="32037" spans="1:2" x14ac:dyDescent="0.25">
      <c r="A32037">
        <v>69029010</v>
      </c>
      <c r="B32037" t="s">
        <v>9514</v>
      </c>
    </row>
    <row r="32038" spans="1:2" x14ac:dyDescent="0.25">
      <c r="A32038">
        <v>69029010100</v>
      </c>
      <c r="B32038" t="s">
        <v>9515</v>
      </c>
    </row>
    <row r="32039" spans="1:2" x14ac:dyDescent="0.25">
      <c r="A32039">
        <v>69029010900</v>
      </c>
      <c r="B32039" t="s">
        <v>10</v>
      </c>
    </row>
    <row r="32040" spans="1:2" x14ac:dyDescent="0.25">
      <c r="A32040">
        <v>69029020000</v>
      </c>
      <c r="B32040" t="s">
        <v>9516</v>
      </c>
    </row>
    <row r="32041" spans="1:2" x14ac:dyDescent="0.25">
      <c r="A32041">
        <v>69029030000</v>
      </c>
      <c r="B32041" t="s">
        <v>9517</v>
      </c>
    </row>
    <row r="32042" spans="1:2" x14ac:dyDescent="0.25">
      <c r="A32042">
        <v>69029040000</v>
      </c>
      <c r="B32042" t="s">
        <v>9518</v>
      </c>
    </row>
    <row r="32043" spans="1:2" x14ac:dyDescent="0.25">
      <c r="A32043">
        <v>69029090</v>
      </c>
      <c r="B32043" t="s">
        <v>10</v>
      </c>
    </row>
    <row r="32044" spans="1:2" x14ac:dyDescent="0.25">
      <c r="A32044">
        <v>69029090100</v>
      </c>
      <c r="B32044" t="s">
        <v>9519</v>
      </c>
    </row>
    <row r="32045" spans="1:2" x14ac:dyDescent="0.25">
      <c r="A32045">
        <v>69029090900</v>
      </c>
      <c r="B32045" t="s">
        <v>10</v>
      </c>
    </row>
    <row r="32046" spans="1:2" x14ac:dyDescent="0.25">
      <c r="A32046">
        <v>6903</v>
      </c>
      <c r="B32046" t="s">
        <v>9520</v>
      </c>
    </row>
    <row r="32047" spans="1:2" x14ac:dyDescent="0.25">
      <c r="A32047">
        <v>690310</v>
      </c>
      <c r="B32047" t="s">
        <v>9521</v>
      </c>
    </row>
    <row r="32048" spans="1:2" x14ac:dyDescent="0.25">
      <c r="A32048">
        <v>6903101</v>
      </c>
      <c r="B32048" t="s">
        <v>9522</v>
      </c>
    </row>
    <row r="32049" spans="1:2" x14ac:dyDescent="0.25">
      <c r="A32049">
        <v>69031011000</v>
      </c>
      <c r="B32049" t="s">
        <v>9523</v>
      </c>
    </row>
    <row r="32050" spans="1:2" x14ac:dyDescent="0.25">
      <c r="A32050">
        <v>69031012000</v>
      </c>
      <c r="B32050" t="s">
        <v>9524</v>
      </c>
    </row>
    <row r="32051" spans="1:2" x14ac:dyDescent="0.25">
      <c r="A32051">
        <v>69031019000</v>
      </c>
      <c r="B32051" t="s">
        <v>10</v>
      </c>
    </row>
    <row r="32052" spans="1:2" x14ac:dyDescent="0.25">
      <c r="A32052">
        <v>69031020000</v>
      </c>
      <c r="B32052" t="s">
        <v>9525</v>
      </c>
    </row>
    <row r="32053" spans="1:2" x14ac:dyDescent="0.25">
      <c r="A32053">
        <v>69031030000</v>
      </c>
      <c r="B32053" t="s">
        <v>9526</v>
      </c>
    </row>
    <row r="32054" spans="1:2" x14ac:dyDescent="0.25">
      <c r="A32054">
        <v>69031040000</v>
      </c>
      <c r="B32054" t="s">
        <v>524</v>
      </c>
    </row>
    <row r="32055" spans="1:2" x14ac:dyDescent="0.25">
      <c r="A32055">
        <v>69031090000</v>
      </c>
      <c r="B32055" t="s">
        <v>10</v>
      </c>
    </row>
    <row r="32056" spans="1:2" x14ac:dyDescent="0.25">
      <c r="A32056">
        <v>690320</v>
      </c>
      <c r="B32056" t="s">
        <v>9527</v>
      </c>
    </row>
    <row r="32057" spans="1:2" x14ac:dyDescent="0.25">
      <c r="A32057">
        <v>69032010000</v>
      </c>
      <c r="B32057" t="s">
        <v>9522</v>
      </c>
    </row>
    <row r="32058" spans="1:2" x14ac:dyDescent="0.25">
      <c r="A32058">
        <v>69032020000</v>
      </c>
      <c r="B32058" t="s">
        <v>9526</v>
      </c>
    </row>
    <row r="32059" spans="1:2" x14ac:dyDescent="0.25">
      <c r="A32059">
        <v>69032030000</v>
      </c>
      <c r="B32059" t="s">
        <v>524</v>
      </c>
    </row>
    <row r="32060" spans="1:2" x14ac:dyDescent="0.25">
      <c r="A32060">
        <v>69032090000</v>
      </c>
      <c r="B32060" t="s">
        <v>10</v>
      </c>
    </row>
    <row r="32061" spans="1:2" x14ac:dyDescent="0.25">
      <c r="A32061">
        <v>690390</v>
      </c>
      <c r="B32061" t="e">
        <f>- Los demas</f>
        <v>#NAME?</v>
      </c>
    </row>
    <row r="32062" spans="1:2" x14ac:dyDescent="0.25">
      <c r="A32062">
        <v>6903901</v>
      </c>
      <c r="B32062" t="s">
        <v>524</v>
      </c>
    </row>
    <row r="32063" spans="1:2" x14ac:dyDescent="0.25">
      <c r="A32063">
        <v>69039011000</v>
      </c>
      <c r="B32063" t="s">
        <v>9518</v>
      </c>
    </row>
    <row r="32064" spans="1:2" x14ac:dyDescent="0.25">
      <c r="A32064">
        <v>69039012000</v>
      </c>
      <c r="B32064" t="s">
        <v>9528</v>
      </c>
    </row>
    <row r="32065" spans="1:2" x14ac:dyDescent="0.25">
      <c r="A32065">
        <v>69039019000</v>
      </c>
      <c r="B32065" t="s">
        <v>10</v>
      </c>
    </row>
    <row r="32066" spans="1:2" x14ac:dyDescent="0.25">
      <c r="A32066">
        <v>6903909</v>
      </c>
      <c r="B32066" t="s">
        <v>10</v>
      </c>
    </row>
    <row r="32067" spans="1:2" x14ac:dyDescent="0.25">
      <c r="A32067">
        <v>69039091000</v>
      </c>
      <c r="B32067" t="s">
        <v>9518</v>
      </c>
    </row>
    <row r="32068" spans="1:2" x14ac:dyDescent="0.25">
      <c r="A32068">
        <v>69039092000</v>
      </c>
      <c r="B32068" t="s">
        <v>9528</v>
      </c>
    </row>
    <row r="32069" spans="1:2" x14ac:dyDescent="0.25">
      <c r="A32069">
        <v>69039099000</v>
      </c>
      <c r="B32069" t="s">
        <v>10</v>
      </c>
    </row>
    <row r="32070" spans="1:2" x14ac:dyDescent="0.25">
      <c r="A32070">
        <v>6904</v>
      </c>
      <c r="B32070" t="s">
        <v>9529</v>
      </c>
    </row>
    <row r="32071" spans="1:2" x14ac:dyDescent="0.25">
      <c r="A32071">
        <v>69041000000</v>
      </c>
      <c r="B32071" t="e">
        <f>-ladrillos de construccion</f>
        <v>#NAME?</v>
      </c>
    </row>
    <row r="32072" spans="1:2" x14ac:dyDescent="0.25">
      <c r="A32072">
        <v>69049000000</v>
      </c>
      <c r="B32072" t="e">
        <f>-Los demas</f>
        <v>#NAME?</v>
      </c>
    </row>
    <row r="32073" spans="1:2" x14ac:dyDescent="0.25">
      <c r="A32073">
        <v>6905</v>
      </c>
      <c r="B32073" t="s">
        <v>9530</v>
      </c>
    </row>
    <row r="32074" spans="1:2" x14ac:dyDescent="0.25">
      <c r="A32074">
        <v>69051000000</v>
      </c>
      <c r="B32074" t="e">
        <f>-tejas</f>
        <v>#NAME?</v>
      </c>
    </row>
    <row r="32075" spans="1:2" x14ac:dyDescent="0.25">
      <c r="A32075">
        <v>69059000000</v>
      </c>
      <c r="B32075" t="e">
        <f>-Los demas</f>
        <v>#NAME?</v>
      </c>
    </row>
    <row r="32076" spans="1:2" x14ac:dyDescent="0.25">
      <c r="A32076">
        <v>69060000000</v>
      </c>
      <c r="B32076" t="s">
        <v>9531</v>
      </c>
    </row>
    <row r="32077" spans="1:2" x14ac:dyDescent="0.25">
      <c r="A32077">
        <v>6907</v>
      </c>
      <c r="B32077" t="s">
        <v>9532</v>
      </c>
    </row>
    <row r="32078" spans="1:2" x14ac:dyDescent="0.25">
      <c r="A32078">
        <v>69072</v>
      </c>
      <c r="B32078" t="s">
        <v>9533</v>
      </c>
    </row>
    <row r="32079" spans="1:2" x14ac:dyDescent="0.25">
      <c r="A32079">
        <v>69072100</v>
      </c>
      <c r="B32079" t="s">
        <v>9534</v>
      </c>
    </row>
    <row r="32080" spans="1:2" x14ac:dyDescent="0.25">
      <c r="A32080">
        <v>690721001</v>
      </c>
      <c r="B32080" t="s">
        <v>9535</v>
      </c>
    </row>
    <row r="32081" spans="1:2" x14ac:dyDescent="0.25">
      <c r="A32081">
        <v>69072100110</v>
      </c>
      <c r="B32081" t="s">
        <v>9536</v>
      </c>
    </row>
    <row r="32082" spans="1:2" x14ac:dyDescent="0.25">
      <c r="A32082">
        <v>69072100120</v>
      </c>
      <c r="B32082" t="s">
        <v>9537</v>
      </c>
    </row>
    <row r="32083" spans="1:2" x14ac:dyDescent="0.25">
      <c r="A32083">
        <v>6907210013</v>
      </c>
      <c r="B32083" t="s">
        <v>9538</v>
      </c>
    </row>
    <row r="32084" spans="1:2" x14ac:dyDescent="0.25">
      <c r="A32084">
        <v>69072100131</v>
      </c>
      <c r="B32084" t="s">
        <v>9539</v>
      </c>
    </row>
    <row r="32085" spans="1:2" x14ac:dyDescent="0.25">
      <c r="A32085">
        <v>69072100132</v>
      </c>
      <c r="B32085" t="s">
        <v>9540</v>
      </c>
    </row>
    <row r="32086" spans="1:2" x14ac:dyDescent="0.25">
      <c r="A32086">
        <v>69072100140</v>
      </c>
      <c r="B32086" t="s">
        <v>9541</v>
      </c>
    </row>
    <row r="32087" spans="1:2" x14ac:dyDescent="0.25">
      <c r="A32087">
        <v>69072200000</v>
      </c>
      <c r="B32087" t="s">
        <v>9542</v>
      </c>
    </row>
    <row r="32088" spans="1:2" x14ac:dyDescent="0.25">
      <c r="A32088">
        <v>69072300000</v>
      </c>
      <c r="B32088" t="s">
        <v>9543</v>
      </c>
    </row>
    <row r="32089" spans="1:2" x14ac:dyDescent="0.25">
      <c r="A32089">
        <v>69073000</v>
      </c>
      <c r="B32089" t="s">
        <v>9544</v>
      </c>
    </row>
    <row r="32090" spans="1:2" x14ac:dyDescent="0.25">
      <c r="A32090">
        <v>69073000100</v>
      </c>
      <c r="B32090" t="s">
        <v>9429</v>
      </c>
    </row>
    <row r="32091" spans="1:2" x14ac:dyDescent="0.25">
      <c r="A32091">
        <v>69073000900</v>
      </c>
      <c r="B32091" t="s">
        <v>10</v>
      </c>
    </row>
    <row r="32092" spans="1:2" x14ac:dyDescent="0.25">
      <c r="A32092">
        <v>69074000</v>
      </c>
      <c r="B32092" t="e">
        <f>- piezas de acabado</f>
        <v>#NAME?</v>
      </c>
    </row>
    <row r="32093" spans="1:2" x14ac:dyDescent="0.25">
      <c r="A32093">
        <v>69074000100</v>
      </c>
      <c r="B32093" t="s">
        <v>9545</v>
      </c>
    </row>
    <row r="32094" spans="1:2" x14ac:dyDescent="0.25">
      <c r="A32094">
        <v>690740009</v>
      </c>
      <c r="B32094" t="s">
        <v>57</v>
      </c>
    </row>
    <row r="32095" spans="1:2" x14ac:dyDescent="0.25">
      <c r="A32095">
        <v>69074000910</v>
      </c>
      <c r="B32095" t="s">
        <v>9436</v>
      </c>
    </row>
    <row r="32096" spans="1:2" x14ac:dyDescent="0.25">
      <c r="A32096">
        <v>69074000990</v>
      </c>
      <c r="B32096" t="s">
        <v>57</v>
      </c>
    </row>
    <row r="32097" spans="1:2" x14ac:dyDescent="0.25">
      <c r="A32097">
        <v>6909</v>
      </c>
      <c r="B32097" t="s">
        <v>9546</v>
      </c>
    </row>
    <row r="32098" spans="1:2" x14ac:dyDescent="0.25">
      <c r="A32098">
        <v>69091</v>
      </c>
      <c r="B32098" t="s">
        <v>9547</v>
      </c>
    </row>
    <row r="32099" spans="1:2" x14ac:dyDescent="0.25">
      <c r="A32099">
        <v>69091100000</v>
      </c>
      <c r="B32099" t="e">
        <f>--de porcelana</f>
        <v>#NAME?</v>
      </c>
    </row>
    <row r="32100" spans="1:2" x14ac:dyDescent="0.25">
      <c r="A32100">
        <v>690912</v>
      </c>
      <c r="B32100" t="s">
        <v>9548</v>
      </c>
    </row>
    <row r="32101" spans="1:2" x14ac:dyDescent="0.25">
      <c r="A32101">
        <v>69091210000</v>
      </c>
      <c r="B32101" t="s">
        <v>9549</v>
      </c>
    </row>
    <row r="32102" spans="1:2" x14ac:dyDescent="0.25">
      <c r="A32102">
        <v>69091220000</v>
      </c>
      <c r="B32102" t="s">
        <v>9550</v>
      </c>
    </row>
    <row r="32103" spans="1:2" x14ac:dyDescent="0.25">
      <c r="A32103">
        <v>69091230000</v>
      </c>
      <c r="B32103" t="s">
        <v>9551</v>
      </c>
    </row>
    <row r="32104" spans="1:2" x14ac:dyDescent="0.25">
      <c r="A32104">
        <v>69091290</v>
      </c>
      <c r="B32104" t="s">
        <v>10</v>
      </c>
    </row>
    <row r="32105" spans="1:2" x14ac:dyDescent="0.25">
      <c r="A32105">
        <v>69091290100</v>
      </c>
      <c r="B32105" t="s">
        <v>9552</v>
      </c>
    </row>
    <row r="32106" spans="1:2" x14ac:dyDescent="0.25">
      <c r="A32106">
        <v>69091290900</v>
      </c>
      <c r="B32106" t="s">
        <v>10</v>
      </c>
    </row>
    <row r="32107" spans="1:2" x14ac:dyDescent="0.25">
      <c r="A32107">
        <v>690919</v>
      </c>
      <c r="B32107" t="e">
        <f>- - Los demas</f>
        <v>#NAME?</v>
      </c>
    </row>
    <row r="32108" spans="1:2" x14ac:dyDescent="0.25">
      <c r="A32108">
        <v>69091910000</v>
      </c>
      <c r="B32108" t="s">
        <v>9549</v>
      </c>
    </row>
    <row r="32109" spans="1:2" x14ac:dyDescent="0.25">
      <c r="A32109">
        <v>69091920000</v>
      </c>
      <c r="B32109" t="s">
        <v>9550</v>
      </c>
    </row>
    <row r="32110" spans="1:2" x14ac:dyDescent="0.25">
      <c r="A32110">
        <v>69091930000</v>
      </c>
      <c r="B32110" t="s">
        <v>9553</v>
      </c>
    </row>
    <row r="32111" spans="1:2" x14ac:dyDescent="0.25">
      <c r="A32111">
        <v>69091990000</v>
      </c>
      <c r="B32111" t="s">
        <v>10</v>
      </c>
    </row>
    <row r="32112" spans="1:2" x14ac:dyDescent="0.25">
      <c r="A32112">
        <v>69099000</v>
      </c>
      <c r="B32112" t="e">
        <f>- Los demas</f>
        <v>#NAME?</v>
      </c>
    </row>
    <row r="32113" spans="1:2" x14ac:dyDescent="0.25">
      <c r="A32113">
        <v>69099000100</v>
      </c>
      <c r="B32113" t="s">
        <v>6648</v>
      </c>
    </row>
    <row r="32114" spans="1:2" x14ac:dyDescent="0.25">
      <c r="A32114">
        <v>69099000900</v>
      </c>
      <c r="B32114" t="s">
        <v>10</v>
      </c>
    </row>
    <row r="32115" spans="1:2" x14ac:dyDescent="0.25">
      <c r="A32115">
        <v>6910</v>
      </c>
      <c r="B32115" t="s">
        <v>9554</v>
      </c>
    </row>
    <row r="32116" spans="1:2" x14ac:dyDescent="0.25">
      <c r="A32116">
        <v>69101000</v>
      </c>
      <c r="B32116" t="e">
        <f>- de porcelana</f>
        <v>#NAME?</v>
      </c>
    </row>
    <row r="32117" spans="1:2" x14ac:dyDescent="0.25">
      <c r="A32117">
        <v>691010001</v>
      </c>
      <c r="B32117" t="s">
        <v>9555</v>
      </c>
    </row>
    <row r="32118" spans="1:2" x14ac:dyDescent="0.25">
      <c r="A32118">
        <v>69101000110</v>
      </c>
      <c r="B32118" t="s">
        <v>9556</v>
      </c>
    </row>
    <row r="32119" spans="1:2" x14ac:dyDescent="0.25">
      <c r="A32119">
        <v>69101000190</v>
      </c>
      <c r="B32119" t="s">
        <v>10</v>
      </c>
    </row>
    <row r="32120" spans="1:2" x14ac:dyDescent="0.25">
      <c r="A32120">
        <v>691010002</v>
      </c>
      <c r="B32120" t="s">
        <v>6860</v>
      </c>
    </row>
    <row r="32121" spans="1:2" x14ac:dyDescent="0.25">
      <c r="A32121">
        <v>69101000210</v>
      </c>
      <c r="B32121" t="s">
        <v>9556</v>
      </c>
    </row>
    <row r="32122" spans="1:2" x14ac:dyDescent="0.25">
      <c r="A32122">
        <v>69101000290</v>
      </c>
      <c r="B32122" t="s">
        <v>10</v>
      </c>
    </row>
    <row r="32123" spans="1:2" x14ac:dyDescent="0.25">
      <c r="A32123">
        <v>691010003</v>
      </c>
      <c r="B32123" t="s">
        <v>6857</v>
      </c>
    </row>
    <row r="32124" spans="1:2" x14ac:dyDescent="0.25">
      <c r="A32124">
        <v>69101000310</v>
      </c>
      <c r="B32124" t="s">
        <v>621</v>
      </c>
    </row>
    <row r="32125" spans="1:2" x14ac:dyDescent="0.25">
      <c r="A32125">
        <v>69101000390</v>
      </c>
      <c r="B32125" t="s">
        <v>57</v>
      </c>
    </row>
    <row r="32126" spans="1:2" x14ac:dyDescent="0.25">
      <c r="A32126">
        <v>691010004</v>
      </c>
      <c r="B32126" t="s">
        <v>9557</v>
      </c>
    </row>
    <row r="32127" spans="1:2" x14ac:dyDescent="0.25">
      <c r="A32127">
        <v>69101000410</v>
      </c>
      <c r="B32127" t="s">
        <v>9556</v>
      </c>
    </row>
    <row r="32128" spans="1:2" x14ac:dyDescent="0.25">
      <c r="A32128">
        <v>69101000490</v>
      </c>
      <c r="B32128" t="s">
        <v>10</v>
      </c>
    </row>
    <row r="32129" spans="1:2" x14ac:dyDescent="0.25">
      <c r="A32129">
        <v>691010005</v>
      </c>
      <c r="B32129" t="s">
        <v>6862</v>
      </c>
    </row>
    <row r="32130" spans="1:2" x14ac:dyDescent="0.25">
      <c r="A32130">
        <v>69101000510</v>
      </c>
      <c r="B32130" t="s">
        <v>9556</v>
      </c>
    </row>
    <row r="32131" spans="1:2" x14ac:dyDescent="0.25">
      <c r="A32131">
        <v>69101000590</v>
      </c>
      <c r="B32131" t="s">
        <v>10</v>
      </c>
    </row>
    <row r="32132" spans="1:2" x14ac:dyDescent="0.25">
      <c r="A32132">
        <v>691010006</v>
      </c>
      <c r="B32132" t="s">
        <v>6863</v>
      </c>
    </row>
    <row r="32133" spans="1:2" x14ac:dyDescent="0.25">
      <c r="A32133">
        <v>69101000610</v>
      </c>
      <c r="B32133" t="s">
        <v>9556</v>
      </c>
    </row>
    <row r="32134" spans="1:2" x14ac:dyDescent="0.25">
      <c r="A32134">
        <v>69101000690</v>
      </c>
      <c r="B32134" t="s">
        <v>10</v>
      </c>
    </row>
    <row r="32135" spans="1:2" x14ac:dyDescent="0.25">
      <c r="A32135">
        <v>691010007</v>
      </c>
      <c r="B32135" t="s">
        <v>9558</v>
      </c>
    </row>
    <row r="32136" spans="1:2" x14ac:dyDescent="0.25">
      <c r="A32136">
        <v>69101000710</v>
      </c>
      <c r="B32136" t="s">
        <v>621</v>
      </c>
    </row>
    <row r="32137" spans="1:2" x14ac:dyDescent="0.25">
      <c r="A32137">
        <v>69101000790</v>
      </c>
      <c r="B32137" t="s">
        <v>57</v>
      </c>
    </row>
    <row r="32138" spans="1:2" x14ac:dyDescent="0.25">
      <c r="A32138">
        <v>691010009</v>
      </c>
      <c r="B32138" t="s">
        <v>10</v>
      </c>
    </row>
    <row r="32139" spans="1:2" x14ac:dyDescent="0.25">
      <c r="A32139">
        <v>69101000910</v>
      </c>
      <c r="B32139" t="s">
        <v>9556</v>
      </c>
    </row>
    <row r="32140" spans="1:2" x14ac:dyDescent="0.25">
      <c r="A32140">
        <v>69101000990</v>
      </c>
      <c r="B32140" t="s">
        <v>10</v>
      </c>
    </row>
    <row r="32141" spans="1:2" x14ac:dyDescent="0.25">
      <c r="A32141">
        <v>69109000</v>
      </c>
      <c r="B32141" t="e">
        <f>- Los demas</f>
        <v>#NAME?</v>
      </c>
    </row>
    <row r="32142" spans="1:2" x14ac:dyDescent="0.25">
      <c r="A32142">
        <v>691090001</v>
      </c>
      <c r="B32142" t="s">
        <v>9555</v>
      </c>
    </row>
    <row r="32143" spans="1:2" x14ac:dyDescent="0.25">
      <c r="A32143">
        <v>69109000110</v>
      </c>
      <c r="B32143" t="s">
        <v>9556</v>
      </c>
    </row>
    <row r="32144" spans="1:2" x14ac:dyDescent="0.25">
      <c r="A32144">
        <v>69109000190</v>
      </c>
      <c r="B32144" t="s">
        <v>10</v>
      </c>
    </row>
    <row r="32145" spans="1:2" x14ac:dyDescent="0.25">
      <c r="A32145">
        <v>691090002</v>
      </c>
      <c r="B32145" t="s">
        <v>6860</v>
      </c>
    </row>
    <row r="32146" spans="1:2" x14ac:dyDescent="0.25">
      <c r="A32146">
        <v>69109000210</v>
      </c>
      <c r="B32146" t="s">
        <v>9556</v>
      </c>
    </row>
    <row r="32147" spans="1:2" x14ac:dyDescent="0.25">
      <c r="A32147">
        <v>69109000290</v>
      </c>
      <c r="B32147" t="s">
        <v>10</v>
      </c>
    </row>
    <row r="32148" spans="1:2" x14ac:dyDescent="0.25">
      <c r="A32148">
        <v>691090003</v>
      </c>
      <c r="B32148" t="s">
        <v>6857</v>
      </c>
    </row>
    <row r="32149" spans="1:2" x14ac:dyDescent="0.25">
      <c r="A32149">
        <v>69109000310</v>
      </c>
      <c r="B32149" t="s">
        <v>621</v>
      </c>
    </row>
    <row r="32150" spans="1:2" x14ac:dyDescent="0.25">
      <c r="A32150">
        <v>69109000390</v>
      </c>
      <c r="B32150" t="s">
        <v>57</v>
      </c>
    </row>
    <row r="32151" spans="1:2" x14ac:dyDescent="0.25">
      <c r="A32151">
        <v>691090004</v>
      </c>
      <c r="B32151" t="s">
        <v>9557</v>
      </c>
    </row>
    <row r="32152" spans="1:2" x14ac:dyDescent="0.25">
      <c r="A32152">
        <v>69109000410</v>
      </c>
      <c r="B32152" t="s">
        <v>9556</v>
      </c>
    </row>
    <row r="32153" spans="1:2" x14ac:dyDescent="0.25">
      <c r="A32153">
        <v>69109000490</v>
      </c>
      <c r="B32153" t="s">
        <v>10</v>
      </c>
    </row>
    <row r="32154" spans="1:2" x14ac:dyDescent="0.25">
      <c r="A32154">
        <v>691090005</v>
      </c>
      <c r="B32154" t="s">
        <v>6862</v>
      </c>
    </row>
    <row r="32155" spans="1:2" x14ac:dyDescent="0.25">
      <c r="A32155">
        <v>69109000510</v>
      </c>
      <c r="B32155" t="s">
        <v>9556</v>
      </c>
    </row>
    <row r="32156" spans="1:2" x14ac:dyDescent="0.25">
      <c r="A32156">
        <v>69109000590</v>
      </c>
      <c r="B32156" t="s">
        <v>10</v>
      </c>
    </row>
    <row r="32157" spans="1:2" x14ac:dyDescent="0.25">
      <c r="A32157">
        <v>691090006</v>
      </c>
      <c r="B32157" t="s">
        <v>6863</v>
      </c>
    </row>
    <row r="32158" spans="1:2" x14ac:dyDescent="0.25">
      <c r="A32158">
        <v>69109000610</v>
      </c>
      <c r="B32158" t="s">
        <v>9556</v>
      </c>
    </row>
    <row r="32159" spans="1:2" x14ac:dyDescent="0.25">
      <c r="A32159">
        <v>69109000690</v>
      </c>
      <c r="B32159" t="s">
        <v>10</v>
      </c>
    </row>
    <row r="32160" spans="1:2" x14ac:dyDescent="0.25">
      <c r="A32160">
        <v>691090007</v>
      </c>
      <c r="B32160" t="s">
        <v>9558</v>
      </c>
    </row>
    <row r="32161" spans="1:2" x14ac:dyDescent="0.25">
      <c r="A32161">
        <v>69109000710</v>
      </c>
      <c r="B32161" t="s">
        <v>621</v>
      </c>
    </row>
    <row r="32162" spans="1:2" x14ac:dyDescent="0.25">
      <c r="A32162">
        <v>69109000790</v>
      </c>
      <c r="B32162" t="s">
        <v>57</v>
      </c>
    </row>
    <row r="32163" spans="1:2" x14ac:dyDescent="0.25">
      <c r="A32163">
        <v>691090009</v>
      </c>
      <c r="B32163" t="s">
        <v>10</v>
      </c>
    </row>
    <row r="32164" spans="1:2" x14ac:dyDescent="0.25">
      <c r="A32164">
        <v>69109000910</v>
      </c>
      <c r="B32164" t="s">
        <v>9556</v>
      </c>
    </row>
    <row r="32165" spans="1:2" x14ac:dyDescent="0.25">
      <c r="A32165">
        <v>69109000990</v>
      </c>
      <c r="B32165" t="s">
        <v>10</v>
      </c>
    </row>
    <row r="32166" spans="1:2" x14ac:dyDescent="0.25">
      <c r="A32166">
        <v>6911</v>
      </c>
      <c r="B32166" t="s">
        <v>9559</v>
      </c>
    </row>
    <row r="32167" spans="1:2" x14ac:dyDescent="0.25">
      <c r="A32167">
        <v>691110</v>
      </c>
      <c r="B32167" t="e">
        <f>- Articulos para el servicio de mesa o cocina</f>
        <v>#NAME?</v>
      </c>
    </row>
    <row r="32168" spans="1:2" x14ac:dyDescent="0.25">
      <c r="A32168">
        <v>69111010</v>
      </c>
      <c r="B32168" t="s">
        <v>9560</v>
      </c>
    </row>
    <row r="32169" spans="1:2" x14ac:dyDescent="0.25">
      <c r="A32169">
        <v>691110101</v>
      </c>
      <c r="B32169" t="s">
        <v>9561</v>
      </c>
    </row>
    <row r="32170" spans="1:2" x14ac:dyDescent="0.25">
      <c r="A32170">
        <v>69111010110</v>
      </c>
      <c r="B32170" t="s">
        <v>9562</v>
      </c>
    </row>
    <row r="32171" spans="1:2" x14ac:dyDescent="0.25">
      <c r="A32171">
        <v>69111010120</v>
      </c>
      <c r="B32171" t="s">
        <v>9563</v>
      </c>
    </row>
    <row r="32172" spans="1:2" x14ac:dyDescent="0.25">
      <c r="A32172">
        <v>69111010130</v>
      </c>
      <c r="B32172" t="s">
        <v>9564</v>
      </c>
    </row>
    <row r="32173" spans="1:2" x14ac:dyDescent="0.25">
      <c r="A32173">
        <v>69111010140</v>
      </c>
      <c r="B32173" t="s">
        <v>9565</v>
      </c>
    </row>
    <row r="32174" spans="1:2" x14ac:dyDescent="0.25">
      <c r="A32174">
        <v>69111010150</v>
      </c>
      <c r="B32174" t="s">
        <v>9566</v>
      </c>
    </row>
    <row r="32175" spans="1:2" x14ac:dyDescent="0.25">
      <c r="A32175">
        <v>69111010190</v>
      </c>
      <c r="B32175" t="s">
        <v>10</v>
      </c>
    </row>
    <row r="32176" spans="1:2" x14ac:dyDescent="0.25">
      <c r="A32176">
        <v>691110102</v>
      </c>
      <c r="B32176" t="s">
        <v>9567</v>
      </c>
    </row>
    <row r="32177" spans="1:2" x14ac:dyDescent="0.25">
      <c r="A32177">
        <v>69111010210</v>
      </c>
      <c r="B32177" t="s">
        <v>9562</v>
      </c>
    </row>
    <row r="32178" spans="1:2" x14ac:dyDescent="0.25">
      <c r="A32178">
        <v>69111010220</v>
      </c>
      <c r="B32178" t="s">
        <v>9568</v>
      </c>
    </row>
    <row r="32179" spans="1:2" x14ac:dyDescent="0.25">
      <c r="A32179">
        <v>69111010230</v>
      </c>
      <c r="B32179" t="s">
        <v>9569</v>
      </c>
    </row>
    <row r="32180" spans="1:2" x14ac:dyDescent="0.25">
      <c r="A32180">
        <v>69111010290</v>
      </c>
      <c r="B32180" t="s">
        <v>10</v>
      </c>
    </row>
    <row r="32181" spans="1:2" x14ac:dyDescent="0.25">
      <c r="A32181">
        <v>691110103</v>
      </c>
      <c r="B32181" t="s">
        <v>9570</v>
      </c>
    </row>
    <row r="32182" spans="1:2" x14ac:dyDescent="0.25">
      <c r="A32182">
        <v>69111010310</v>
      </c>
      <c r="B32182" t="s">
        <v>9562</v>
      </c>
    </row>
    <row r="32183" spans="1:2" x14ac:dyDescent="0.25">
      <c r="A32183">
        <v>69111010320</v>
      </c>
      <c r="B32183" t="s">
        <v>9568</v>
      </c>
    </row>
    <row r="32184" spans="1:2" x14ac:dyDescent="0.25">
      <c r="A32184">
        <v>69111010330</v>
      </c>
      <c r="B32184" t="s">
        <v>9569</v>
      </c>
    </row>
    <row r="32185" spans="1:2" x14ac:dyDescent="0.25">
      <c r="A32185">
        <v>69111010390</v>
      </c>
      <c r="B32185" t="s">
        <v>10</v>
      </c>
    </row>
    <row r="32186" spans="1:2" x14ac:dyDescent="0.25">
      <c r="A32186">
        <v>69111090</v>
      </c>
      <c r="B32186" t="s">
        <v>10</v>
      </c>
    </row>
    <row r="32187" spans="1:2" x14ac:dyDescent="0.25">
      <c r="A32187">
        <v>69111090100</v>
      </c>
      <c r="B32187" t="s">
        <v>6648</v>
      </c>
    </row>
    <row r="32188" spans="1:2" x14ac:dyDescent="0.25">
      <c r="A32188">
        <v>69111090900</v>
      </c>
      <c r="B32188" t="s">
        <v>10</v>
      </c>
    </row>
    <row r="32189" spans="1:2" x14ac:dyDescent="0.25">
      <c r="A32189">
        <v>69119000000</v>
      </c>
      <c r="B32189" t="e">
        <f>-Los demas</f>
        <v>#NAME?</v>
      </c>
    </row>
    <row r="32190" spans="1:2" x14ac:dyDescent="0.25">
      <c r="A32190">
        <v>69120000</v>
      </c>
      <c r="B32190" t="s">
        <v>9571</v>
      </c>
    </row>
    <row r="32191" spans="1:2" x14ac:dyDescent="0.25">
      <c r="A32191">
        <v>691200001</v>
      </c>
      <c r="B32191" t="s">
        <v>9572</v>
      </c>
    </row>
    <row r="32192" spans="1:2" x14ac:dyDescent="0.25">
      <c r="A32192">
        <v>6912000011</v>
      </c>
      <c r="B32192" t="s">
        <v>9573</v>
      </c>
    </row>
    <row r="32193" spans="1:2" x14ac:dyDescent="0.25">
      <c r="A32193">
        <v>69120000111</v>
      </c>
      <c r="B32193" t="s">
        <v>9562</v>
      </c>
    </row>
    <row r="32194" spans="1:2" x14ac:dyDescent="0.25">
      <c r="A32194">
        <v>69120000112</v>
      </c>
      <c r="B32194" t="s">
        <v>9574</v>
      </c>
    </row>
    <row r="32195" spans="1:2" x14ac:dyDescent="0.25">
      <c r="A32195">
        <v>69120000113</v>
      </c>
      <c r="B32195" t="s">
        <v>9566</v>
      </c>
    </row>
    <row r="32196" spans="1:2" x14ac:dyDescent="0.25">
      <c r="A32196">
        <v>69120000114</v>
      </c>
      <c r="B32196" t="s">
        <v>9575</v>
      </c>
    </row>
    <row r="32197" spans="1:2" x14ac:dyDescent="0.25">
      <c r="A32197">
        <v>69120000115</v>
      </c>
      <c r="B32197" t="s">
        <v>9576</v>
      </c>
    </row>
    <row r="32198" spans="1:2" x14ac:dyDescent="0.25">
      <c r="A32198">
        <v>69120000119</v>
      </c>
      <c r="B32198" t="s">
        <v>10</v>
      </c>
    </row>
    <row r="32199" spans="1:2" x14ac:dyDescent="0.25">
      <c r="A32199">
        <v>6912000012</v>
      </c>
      <c r="B32199" t="s">
        <v>9577</v>
      </c>
    </row>
    <row r="32200" spans="1:2" x14ac:dyDescent="0.25">
      <c r="A32200">
        <v>69120000121</v>
      </c>
      <c r="B32200" t="s">
        <v>9562</v>
      </c>
    </row>
    <row r="32201" spans="1:2" x14ac:dyDescent="0.25">
      <c r="A32201">
        <v>69120000122</v>
      </c>
      <c r="B32201" t="s">
        <v>9568</v>
      </c>
    </row>
    <row r="32202" spans="1:2" x14ac:dyDescent="0.25">
      <c r="A32202">
        <v>69120000123</v>
      </c>
      <c r="B32202" t="s">
        <v>9569</v>
      </c>
    </row>
    <row r="32203" spans="1:2" x14ac:dyDescent="0.25">
      <c r="A32203">
        <v>69120000129</v>
      </c>
      <c r="B32203" t="s">
        <v>10</v>
      </c>
    </row>
    <row r="32204" spans="1:2" x14ac:dyDescent="0.25">
      <c r="A32204">
        <v>6912000013</v>
      </c>
      <c r="B32204" t="s">
        <v>9578</v>
      </c>
    </row>
    <row r="32205" spans="1:2" x14ac:dyDescent="0.25">
      <c r="A32205">
        <v>69120000131</v>
      </c>
      <c r="B32205" t="s">
        <v>9562</v>
      </c>
    </row>
    <row r="32206" spans="1:2" x14ac:dyDescent="0.25">
      <c r="A32206">
        <v>69120000132</v>
      </c>
      <c r="B32206" t="s">
        <v>9568</v>
      </c>
    </row>
    <row r="32207" spans="1:2" x14ac:dyDescent="0.25">
      <c r="A32207">
        <v>69120000133</v>
      </c>
      <c r="B32207" t="s">
        <v>9569</v>
      </c>
    </row>
    <row r="32208" spans="1:2" x14ac:dyDescent="0.25">
      <c r="A32208">
        <v>69120000139</v>
      </c>
      <c r="B32208" t="s">
        <v>10</v>
      </c>
    </row>
    <row r="32209" spans="1:2" x14ac:dyDescent="0.25">
      <c r="A32209">
        <v>6912000019</v>
      </c>
      <c r="B32209" t="s">
        <v>10</v>
      </c>
    </row>
    <row r="32210" spans="1:2" x14ac:dyDescent="0.25">
      <c r="A32210">
        <v>69120000191</v>
      </c>
      <c r="B32210" t="s">
        <v>6648</v>
      </c>
    </row>
    <row r="32211" spans="1:2" x14ac:dyDescent="0.25">
      <c r="A32211">
        <v>69120000199</v>
      </c>
      <c r="B32211" t="s">
        <v>10</v>
      </c>
    </row>
    <row r="32212" spans="1:2" x14ac:dyDescent="0.25">
      <c r="A32212">
        <v>691200009</v>
      </c>
      <c r="B32212" t="s">
        <v>10</v>
      </c>
    </row>
    <row r="32213" spans="1:2" x14ac:dyDescent="0.25">
      <c r="A32213">
        <v>69120000910</v>
      </c>
      <c r="B32213" t="s">
        <v>6648</v>
      </c>
    </row>
    <row r="32214" spans="1:2" x14ac:dyDescent="0.25">
      <c r="A32214">
        <v>69120000990</v>
      </c>
      <c r="B32214" t="s">
        <v>10</v>
      </c>
    </row>
    <row r="32215" spans="1:2" x14ac:dyDescent="0.25">
      <c r="A32215">
        <v>6913</v>
      </c>
      <c r="B32215" t="s">
        <v>9579</v>
      </c>
    </row>
    <row r="32216" spans="1:2" x14ac:dyDescent="0.25">
      <c r="A32216">
        <v>69131000000</v>
      </c>
      <c r="B32216" t="e">
        <f>-de porcelana</f>
        <v>#NAME?</v>
      </c>
    </row>
    <row r="32217" spans="1:2" x14ac:dyDescent="0.25">
      <c r="A32217">
        <v>69139000000</v>
      </c>
      <c r="B32217" t="e">
        <f>-Los demas</f>
        <v>#NAME?</v>
      </c>
    </row>
    <row r="32218" spans="1:2" x14ac:dyDescent="0.25">
      <c r="A32218">
        <v>6914</v>
      </c>
      <c r="B32218" t="s">
        <v>9580</v>
      </c>
    </row>
    <row r="32219" spans="1:2" x14ac:dyDescent="0.25">
      <c r="A32219">
        <v>69141000</v>
      </c>
      <c r="B32219" t="e">
        <f>- de porcelana</f>
        <v>#NAME?</v>
      </c>
    </row>
    <row r="32220" spans="1:2" x14ac:dyDescent="0.25">
      <c r="A32220">
        <v>69141000100</v>
      </c>
      <c r="B32220" t="s">
        <v>7028</v>
      </c>
    </row>
    <row r="32221" spans="1:2" x14ac:dyDescent="0.25">
      <c r="A32221">
        <v>69141000900</v>
      </c>
      <c r="B32221" t="s">
        <v>10</v>
      </c>
    </row>
    <row r="32222" spans="1:2" x14ac:dyDescent="0.25">
      <c r="A32222">
        <v>69149000</v>
      </c>
      <c r="B32222" t="e">
        <f>- las demas</f>
        <v>#NAME?</v>
      </c>
    </row>
    <row r="32223" spans="1:2" x14ac:dyDescent="0.25">
      <c r="A32223">
        <v>69149000100</v>
      </c>
      <c r="B32223" t="s">
        <v>7028</v>
      </c>
    </row>
    <row r="32224" spans="1:2" x14ac:dyDescent="0.25">
      <c r="A32224">
        <v>69149000900</v>
      </c>
      <c r="B32224" t="s">
        <v>10</v>
      </c>
    </row>
    <row r="32225" spans="1:2" x14ac:dyDescent="0.25">
      <c r="A32225">
        <v>70010000</v>
      </c>
      <c r="B32225" t="s">
        <v>9581</v>
      </c>
    </row>
    <row r="32226" spans="1:2" x14ac:dyDescent="0.25">
      <c r="A32226">
        <v>70010000100</v>
      </c>
      <c r="B32226" t="s">
        <v>9582</v>
      </c>
    </row>
    <row r="32227" spans="1:2" x14ac:dyDescent="0.25">
      <c r="A32227">
        <v>70010000200</v>
      </c>
      <c r="B32227" t="s">
        <v>9583</v>
      </c>
    </row>
    <row r="32228" spans="1:2" x14ac:dyDescent="0.25">
      <c r="A32228">
        <v>7002</v>
      </c>
      <c r="B32228" t="s">
        <v>9584</v>
      </c>
    </row>
    <row r="32229" spans="1:2" x14ac:dyDescent="0.25">
      <c r="A32229">
        <v>70021000000</v>
      </c>
      <c r="B32229" t="e">
        <f>-Bolas</f>
        <v>#NAME?</v>
      </c>
    </row>
    <row r="32230" spans="1:2" x14ac:dyDescent="0.25">
      <c r="A32230">
        <v>70022000000</v>
      </c>
      <c r="B32230" t="e">
        <f>-barras o varillas</f>
        <v>#NAME?</v>
      </c>
    </row>
    <row r="32231" spans="1:2" x14ac:dyDescent="0.25">
      <c r="A32231">
        <v>70023</v>
      </c>
      <c r="B32231" t="s">
        <v>9585</v>
      </c>
    </row>
    <row r="32232" spans="1:2" x14ac:dyDescent="0.25">
      <c r="A32232">
        <v>70023100000</v>
      </c>
      <c r="B32232" t="e">
        <f>--de Cuarzo o demas silices fundidos</f>
        <v>#NAME?</v>
      </c>
    </row>
    <row r="32233" spans="1:2" x14ac:dyDescent="0.25">
      <c r="A32233">
        <v>70023200</v>
      </c>
      <c r="B32233" t="s">
        <v>9586</v>
      </c>
    </row>
    <row r="32234" spans="1:2" x14ac:dyDescent="0.25">
      <c r="A32234">
        <v>70023200100</v>
      </c>
      <c r="B32234" t="s">
        <v>9587</v>
      </c>
    </row>
    <row r="32235" spans="1:2" x14ac:dyDescent="0.25">
      <c r="A32235">
        <v>70023200900</v>
      </c>
      <c r="B32235" t="s">
        <v>10</v>
      </c>
    </row>
    <row r="32236" spans="1:2" x14ac:dyDescent="0.25">
      <c r="A32236">
        <v>70023900</v>
      </c>
      <c r="B32236" t="e">
        <f>- - Los demas</f>
        <v>#NAME?</v>
      </c>
    </row>
    <row r="32237" spans="1:2" x14ac:dyDescent="0.25">
      <c r="A32237">
        <v>70023900100</v>
      </c>
      <c r="B32237" t="s">
        <v>9588</v>
      </c>
    </row>
    <row r="32238" spans="1:2" x14ac:dyDescent="0.25">
      <c r="A32238">
        <v>70023900900</v>
      </c>
      <c r="B32238" t="s">
        <v>10</v>
      </c>
    </row>
    <row r="32239" spans="1:2" x14ac:dyDescent="0.25">
      <c r="A32239">
        <v>7003</v>
      </c>
      <c r="B32239" t="s">
        <v>9589</v>
      </c>
    </row>
    <row r="32240" spans="1:2" x14ac:dyDescent="0.25">
      <c r="A32240">
        <v>70031</v>
      </c>
      <c r="B32240" t="s">
        <v>9590</v>
      </c>
    </row>
    <row r="32241" spans="1:2" x14ac:dyDescent="0.25">
      <c r="A32241">
        <v>70031200</v>
      </c>
      <c r="B32241" t="e">
        <f>- - Coloreadas En la masa. opacificadas. chapadas o Con capa absorbente. reflectante o antirreflectante</f>
        <v>#NAME?</v>
      </c>
    </row>
    <row r="32242" spans="1:2" x14ac:dyDescent="0.25">
      <c r="A32242">
        <v>70031200100</v>
      </c>
      <c r="B32242" t="s">
        <v>9591</v>
      </c>
    </row>
    <row r="32243" spans="1:2" x14ac:dyDescent="0.25">
      <c r="A32243">
        <v>70031200200</v>
      </c>
      <c r="B32243" t="s">
        <v>9592</v>
      </c>
    </row>
    <row r="32244" spans="1:2" x14ac:dyDescent="0.25">
      <c r="A32244">
        <v>70031200300</v>
      </c>
      <c r="B32244" t="s">
        <v>9593</v>
      </c>
    </row>
    <row r="32245" spans="1:2" x14ac:dyDescent="0.25">
      <c r="A32245">
        <v>70031200400</v>
      </c>
      <c r="B32245" t="s">
        <v>9594</v>
      </c>
    </row>
    <row r="32246" spans="1:2" x14ac:dyDescent="0.25">
      <c r="A32246">
        <v>70031200500</v>
      </c>
      <c r="B32246" t="s">
        <v>9595</v>
      </c>
    </row>
    <row r="32247" spans="1:2" x14ac:dyDescent="0.25">
      <c r="A32247">
        <v>70031200900</v>
      </c>
      <c r="B32247" t="s">
        <v>57</v>
      </c>
    </row>
    <row r="32248" spans="1:2" x14ac:dyDescent="0.25">
      <c r="A32248">
        <v>70031900</v>
      </c>
      <c r="B32248" t="e">
        <f>- - las demas</f>
        <v>#NAME?</v>
      </c>
    </row>
    <row r="32249" spans="1:2" x14ac:dyDescent="0.25">
      <c r="A32249">
        <v>70031900100</v>
      </c>
      <c r="B32249" t="s">
        <v>9591</v>
      </c>
    </row>
    <row r="32250" spans="1:2" x14ac:dyDescent="0.25">
      <c r="A32250">
        <v>70031900200</v>
      </c>
      <c r="B32250" t="s">
        <v>9592</v>
      </c>
    </row>
    <row r="32251" spans="1:2" x14ac:dyDescent="0.25">
      <c r="A32251">
        <v>70031900300</v>
      </c>
      <c r="B32251" t="s">
        <v>9593</v>
      </c>
    </row>
    <row r="32252" spans="1:2" x14ac:dyDescent="0.25">
      <c r="A32252">
        <v>70031900400</v>
      </c>
      <c r="B32252" t="s">
        <v>9594</v>
      </c>
    </row>
    <row r="32253" spans="1:2" x14ac:dyDescent="0.25">
      <c r="A32253">
        <v>70031900500</v>
      </c>
      <c r="B32253" t="s">
        <v>9595</v>
      </c>
    </row>
    <row r="32254" spans="1:2" x14ac:dyDescent="0.25">
      <c r="A32254">
        <v>70031900900</v>
      </c>
      <c r="B32254" t="s">
        <v>57</v>
      </c>
    </row>
    <row r="32255" spans="1:2" x14ac:dyDescent="0.25">
      <c r="A32255">
        <v>70032000</v>
      </c>
      <c r="B32255" t="e">
        <f>- placas y hojas. armadas</f>
        <v>#NAME?</v>
      </c>
    </row>
    <row r="32256" spans="1:2" x14ac:dyDescent="0.25">
      <c r="A32256">
        <v>70032000100</v>
      </c>
      <c r="B32256" t="s">
        <v>9591</v>
      </c>
    </row>
    <row r="32257" spans="1:2" x14ac:dyDescent="0.25">
      <c r="A32257">
        <v>70032000200</v>
      </c>
      <c r="B32257" t="s">
        <v>9592</v>
      </c>
    </row>
    <row r="32258" spans="1:2" x14ac:dyDescent="0.25">
      <c r="A32258">
        <v>70032000300</v>
      </c>
      <c r="B32258" t="s">
        <v>9593</v>
      </c>
    </row>
    <row r="32259" spans="1:2" x14ac:dyDescent="0.25">
      <c r="A32259">
        <v>70032000400</v>
      </c>
      <c r="B32259" t="s">
        <v>9594</v>
      </c>
    </row>
    <row r="32260" spans="1:2" x14ac:dyDescent="0.25">
      <c r="A32260">
        <v>70032000500</v>
      </c>
      <c r="B32260" t="s">
        <v>9595</v>
      </c>
    </row>
    <row r="32261" spans="1:2" x14ac:dyDescent="0.25">
      <c r="A32261">
        <v>70032000900</v>
      </c>
      <c r="B32261" t="s">
        <v>57</v>
      </c>
    </row>
    <row r="32262" spans="1:2" x14ac:dyDescent="0.25">
      <c r="A32262">
        <v>70033000000</v>
      </c>
      <c r="B32262" t="e">
        <f>-Perfiles</f>
        <v>#NAME?</v>
      </c>
    </row>
    <row r="32263" spans="1:2" x14ac:dyDescent="0.25">
      <c r="A32263">
        <v>7004</v>
      </c>
      <c r="B32263" t="s">
        <v>9596</v>
      </c>
    </row>
    <row r="32264" spans="1:2" x14ac:dyDescent="0.25">
      <c r="A32264">
        <v>70042000</v>
      </c>
      <c r="B32264" t="e">
        <f>- vidrio coloreado En la masa. opacificado. chapado o Con capa absorbente. reflectante o antirreflectante</f>
        <v>#NAME?</v>
      </c>
    </row>
    <row r="32265" spans="1:2" x14ac:dyDescent="0.25">
      <c r="A32265">
        <v>70042000100</v>
      </c>
      <c r="B32265" t="s">
        <v>9591</v>
      </c>
    </row>
    <row r="32266" spans="1:2" x14ac:dyDescent="0.25">
      <c r="A32266">
        <v>70042000200</v>
      </c>
      <c r="B32266" t="s">
        <v>9592</v>
      </c>
    </row>
    <row r="32267" spans="1:2" x14ac:dyDescent="0.25">
      <c r="A32267">
        <v>70042000300</v>
      </c>
      <c r="B32267" t="s">
        <v>9593</v>
      </c>
    </row>
    <row r="32268" spans="1:2" x14ac:dyDescent="0.25">
      <c r="A32268">
        <v>70042000400</v>
      </c>
      <c r="B32268" t="s">
        <v>9594</v>
      </c>
    </row>
    <row r="32269" spans="1:2" x14ac:dyDescent="0.25">
      <c r="A32269">
        <v>70042000500</v>
      </c>
      <c r="B32269" t="s">
        <v>9595</v>
      </c>
    </row>
    <row r="32270" spans="1:2" x14ac:dyDescent="0.25">
      <c r="A32270">
        <v>70042000900</v>
      </c>
      <c r="B32270" t="s">
        <v>10</v>
      </c>
    </row>
    <row r="32271" spans="1:2" x14ac:dyDescent="0.25">
      <c r="A32271">
        <v>70049000</v>
      </c>
      <c r="B32271" t="e">
        <f>- Los demas vidrios</f>
        <v>#NAME?</v>
      </c>
    </row>
    <row r="32272" spans="1:2" x14ac:dyDescent="0.25">
      <c r="A32272">
        <v>70049000100</v>
      </c>
      <c r="B32272" t="s">
        <v>9591</v>
      </c>
    </row>
    <row r="32273" spans="1:2" x14ac:dyDescent="0.25">
      <c r="A32273">
        <v>70049000200</v>
      </c>
      <c r="B32273" t="s">
        <v>9592</v>
      </c>
    </row>
    <row r="32274" spans="1:2" x14ac:dyDescent="0.25">
      <c r="A32274">
        <v>70049000300</v>
      </c>
      <c r="B32274" t="s">
        <v>9593</v>
      </c>
    </row>
    <row r="32275" spans="1:2" x14ac:dyDescent="0.25">
      <c r="A32275">
        <v>70049000400</v>
      </c>
      <c r="B32275" t="s">
        <v>9594</v>
      </c>
    </row>
    <row r="32276" spans="1:2" x14ac:dyDescent="0.25">
      <c r="A32276">
        <v>70049000500</v>
      </c>
      <c r="B32276" t="s">
        <v>9595</v>
      </c>
    </row>
    <row r="32277" spans="1:2" x14ac:dyDescent="0.25">
      <c r="A32277">
        <v>70049000900</v>
      </c>
      <c r="B32277" t="s">
        <v>10</v>
      </c>
    </row>
    <row r="32278" spans="1:2" x14ac:dyDescent="0.25">
      <c r="A32278">
        <v>7005</v>
      </c>
      <c r="B32278" t="s">
        <v>9597</v>
      </c>
    </row>
    <row r="32279" spans="1:2" x14ac:dyDescent="0.25">
      <c r="A32279">
        <v>70051000</v>
      </c>
      <c r="B32279" t="e">
        <f>- vidrio sin armar Con capa absorbente. reflectante o antirreflectante</f>
        <v>#NAME?</v>
      </c>
    </row>
    <row r="32280" spans="1:2" x14ac:dyDescent="0.25">
      <c r="A32280">
        <v>70051000100</v>
      </c>
      <c r="B32280" t="s">
        <v>9591</v>
      </c>
    </row>
    <row r="32281" spans="1:2" x14ac:dyDescent="0.25">
      <c r="A32281">
        <v>70051000200</v>
      </c>
      <c r="B32281" t="s">
        <v>9592</v>
      </c>
    </row>
    <row r="32282" spans="1:2" x14ac:dyDescent="0.25">
      <c r="A32282">
        <v>70051000300</v>
      </c>
      <c r="B32282" t="s">
        <v>9593</v>
      </c>
    </row>
    <row r="32283" spans="1:2" x14ac:dyDescent="0.25">
      <c r="A32283">
        <v>70051000400</v>
      </c>
      <c r="B32283" t="s">
        <v>9594</v>
      </c>
    </row>
    <row r="32284" spans="1:2" x14ac:dyDescent="0.25">
      <c r="A32284">
        <v>70051000500</v>
      </c>
      <c r="B32284" t="s">
        <v>9595</v>
      </c>
    </row>
    <row r="32285" spans="1:2" x14ac:dyDescent="0.25">
      <c r="A32285">
        <v>70051000900</v>
      </c>
      <c r="B32285" t="s">
        <v>10</v>
      </c>
    </row>
    <row r="32286" spans="1:2" x14ac:dyDescent="0.25">
      <c r="A32286">
        <v>70052</v>
      </c>
      <c r="B32286" t="s">
        <v>9598</v>
      </c>
    </row>
    <row r="32287" spans="1:2" x14ac:dyDescent="0.25">
      <c r="A32287">
        <v>70052100</v>
      </c>
      <c r="B32287" t="e">
        <f>- - Coloreados En la masa. opacificados. chapados o Simplemente desbastados</f>
        <v>#NAME?</v>
      </c>
    </row>
    <row r="32288" spans="1:2" x14ac:dyDescent="0.25">
      <c r="A32288">
        <v>700521001</v>
      </c>
      <c r="B32288" t="s">
        <v>9599</v>
      </c>
    </row>
    <row r="32289" spans="1:2" x14ac:dyDescent="0.25">
      <c r="A32289">
        <v>7005210011</v>
      </c>
      <c r="B32289" t="s">
        <v>9600</v>
      </c>
    </row>
    <row r="32290" spans="1:2" x14ac:dyDescent="0.25">
      <c r="A32290">
        <v>70052100111</v>
      </c>
      <c r="B32290" t="s">
        <v>9601</v>
      </c>
    </row>
    <row r="32291" spans="1:2" x14ac:dyDescent="0.25">
      <c r="A32291">
        <v>70052100112</v>
      </c>
      <c r="B32291" t="s">
        <v>9602</v>
      </c>
    </row>
    <row r="32292" spans="1:2" x14ac:dyDescent="0.25">
      <c r="A32292">
        <v>70052100113</v>
      </c>
      <c r="B32292" t="s">
        <v>9603</v>
      </c>
    </row>
    <row r="32293" spans="1:2" x14ac:dyDescent="0.25">
      <c r="A32293">
        <v>70052100114</v>
      </c>
      <c r="B32293" t="s">
        <v>9604</v>
      </c>
    </row>
    <row r="32294" spans="1:2" x14ac:dyDescent="0.25">
      <c r="A32294">
        <v>70052100115</v>
      </c>
      <c r="B32294" t="s">
        <v>9605</v>
      </c>
    </row>
    <row r="32295" spans="1:2" x14ac:dyDescent="0.25">
      <c r="A32295">
        <v>70052100119</v>
      </c>
      <c r="B32295" t="s">
        <v>10</v>
      </c>
    </row>
    <row r="32296" spans="1:2" x14ac:dyDescent="0.25">
      <c r="A32296">
        <v>7005210012</v>
      </c>
      <c r="B32296" t="s">
        <v>9606</v>
      </c>
    </row>
    <row r="32297" spans="1:2" x14ac:dyDescent="0.25">
      <c r="A32297">
        <v>70052100121</v>
      </c>
      <c r="B32297" t="s">
        <v>9607</v>
      </c>
    </row>
    <row r="32298" spans="1:2" x14ac:dyDescent="0.25">
      <c r="A32298">
        <v>70052100122</v>
      </c>
      <c r="B32298" t="s">
        <v>9608</v>
      </c>
    </row>
    <row r="32299" spans="1:2" x14ac:dyDescent="0.25">
      <c r="A32299">
        <v>70052100123</v>
      </c>
      <c r="B32299" t="s">
        <v>9609</v>
      </c>
    </row>
    <row r="32300" spans="1:2" x14ac:dyDescent="0.25">
      <c r="A32300">
        <v>70052100124</v>
      </c>
      <c r="B32300" t="s">
        <v>9610</v>
      </c>
    </row>
    <row r="32301" spans="1:2" x14ac:dyDescent="0.25">
      <c r="A32301">
        <v>70052100125</v>
      </c>
      <c r="B32301" t="s">
        <v>9611</v>
      </c>
    </row>
    <row r="32302" spans="1:2" x14ac:dyDescent="0.25">
      <c r="A32302">
        <v>70052100129</v>
      </c>
      <c r="B32302" t="s">
        <v>10</v>
      </c>
    </row>
    <row r="32303" spans="1:2" x14ac:dyDescent="0.25">
      <c r="A32303">
        <v>70052100900</v>
      </c>
      <c r="B32303" t="s">
        <v>3484</v>
      </c>
    </row>
    <row r="32304" spans="1:2" x14ac:dyDescent="0.25">
      <c r="A32304">
        <v>70052900</v>
      </c>
      <c r="B32304" t="e">
        <f>- - Los demas</f>
        <v>#NAME?</v>
      </c>
    </row>
    <row r="32305" spans="1:2" x14ac:dyDescent="0.25">
      <c r="A32305">
        <v>700529001</v>
      </c>
      <c r="B32305" t="s">
        <v>9612</v>
      </c>
    </row>
    <row r="32306" spans="1:2" x14ac:dyDescent="0.25">
      <c r="A32306">
        <v>7005290011</v>
      </c>
      <c r="B32306" t="s">
        <v>9600</v>
      </c>
    </row>
    <row r="32307" spans="1:2" x14ac:dyDescent="0.25">
      <c r="A32307">
        <v>70052900111</v>
      </c>
      <c r="B32307" t="s">
        <v>9601</v>
      </c>
    </row>
    <row r="32308" spans="1:2" x14ac:dyDescent="0.25">
      <c r="A32308">
        <v>70052900112</v>
      </c>
      <c r="B32308" t="s">
        <v>9602</v>
      </c>
    </row>
    <row r="32309" spans="1:2" x14ac:dyDescent="0.25">
      <c r="A32309">
        <v>70052900113</v>
      </c>
      <c r="B32309" t="s">
        <v>9603</v>
      </c>
    </row>
    <row r="32310" spans="1:2" x14ac:dyDescent="0.25">
      <c r="A32310">
        <v>70052900114</v>
      </c>
      <c r="B32310" t="s">
        <v>9604</v>
      </c>
    </row>
    <row r="32311" spans="1:2" x14ac:dyDescent="0.25">
      <c r="A32311">
        <v>70052900115</v>
      </c>
      <c r="B32311" t="s">
        <v>9605</v>
      </c>
    </row>
    <row r="32312" spans="1:2" x14ac:dyDescent="0.25">
      <c r="A32312">
        <v>70052900119</v>
      </c>
      <c r="B32312" t="s">
        <v>10</v>
      </c>
    </row>
    <row r="32313" spans="1:2" x14ac:dyDescent="0.25">
      <c r="A32313">
        <v>7005290012</v>
      </c>
      <c r="B32313" t="s">
        <v>9606</v>
      </c>
    </row>
    <row r="32314" spans="1:2" x14ac:dyDescent="0.25">
      <c r="A32314">
        <v>70052900121</v>
      </c>
      <c r="B32314" t="s">
        <v>9607</v>
      </c>
    </row>
    <row r="32315" spans="1:2" x14ac:dyDescent="0.25">
      <c r="A32315">
        <v>70052900122</v>
      </c>
      <c r="B32315" t="s">
        <v>9608</v>
      </c>
    </row>
    <row r="32316" spans="1:2" x14ac:dyDescent="0.25">
      <c r="A32316">
        <v>70052900123</v>
      </c>
      <c r="B32316" t="s">
        <v>9609</v>
      </c>
    </row>
    <row r="32317" spans="1:2" x14ac:dyDescent="0.25">
      <c r="A32317">
        <v>70052900124</v>
      </c>
      <c r="B32317" t="s">
        <v>9610</v>
      </c>
    </row>
    <row r="32318" spans="1:2" x14ac:dyDescent="0.25">
      <c r="A32318">
        <v>70052900125</v>
      </c>
      <c r="B32318" t="s">
        <v>9611</v>
      </c>
    </row>
    <row r="32319" spans="1:2" x14ac:dyDescent="0.25">
      <c r="A32319">
        <v>70052900129</v>
      </c>
      <c r="B32319" t="s">
        <v>10</v>
      </c>
    </row>
    <row r="32320" spans="1:2" x14ac:dyDescent="0.25">
      <c r="A32320">
        <v>70052900900</v>
      </c>
      <c r="B32320" t="s">
        <v>10</v>
      </c>
    </row>
    <row r="32321" spans="1:2" x14ac:dyDescent="0.25">
      <c r="A32321">
        <v>70053000</v>
      </c>
      <c r="B32321" t="e">
        <f>- vidrio armado</f>
        <v>#NAME?</v>
      </c>
    </row>
    <row r="32322" spans="1:2" x14ac:dyDescent="0.25">
      <c r="A32322">
        <v>70053000100</v>
      </c>
      <c r="B32322" t="s">
        <v>9591</v>
      </c>
    </row>
    <row r="32323" spans="1:2" x14ac:dyDescent="0.25">
      <c r="A32323">
        <v>70053000200</v>
      </c>
      <c r="B32323" t="s">
        <v>9592</v>
      </c>
    </row>
    <row r="32324" spans="1:2" x14ac:dyDescent="0.25">
      <c r="A32324">
        <v>70053000300</v>
      </c>
      <c r="B32324" t="s">
        <v>9593</v>
      </c>
    </row>
    <row r="32325" spans="1:2" x14ac:dyDescent="0.25">
      <c r="A32325">
        <v>70053000400</v>
      </c>
      <c r="B32325" t="s">
        <v>9594</v>
      </c>
    </row>
    <row r="32326" spans="1:2" x14ac:dyDescent="0.25">
      <c r="A32326">
        <v>70053000500</v>
      </c>
      <c r="B32326" t="s">
        <v>9595</v>
      </c>
    </row>
    <row r="32327" spans="1:2" x14ac:dyDescent="0.25">
      <c r="A32327">
        <v>70053000900</v>
      </c>
      <c r="B32327" t="s">
        <v>10</v>
      </c>
    </row>
    <row r="32328" spans="1:2" x14ac:dyDescent="0.25">
      <c r="A32328">
        <v>70060000000</v>
      </c>
      <c r="B32328" t="s">
        <v>9613</v>
      </c>
    </row>
    <row r="32329" spans="1:2" x14ac:dyDescent="0.25">
      <c r="A32329">
        <v>7007</v>
      </c>
      <c r="B32329" t="s">
        <v>9614</v>
      </c>
    </row>
    <row r="32330" spans="1:2" x14ac:dyDescent="0.25">
      <c r="A32330">
        <v>70071</v>
      </c>
      <c r="B32330" t="s">
        <v>9615</v>
      </c>
    </row>
    <row r="32331" spans="1:2" x14ac:dyDescent="0.25">
      <c r="A32331">
        <v>70071100</v>
      </c>
      <c r="B32331" t="e">
        <f>- - de dimensiones y formatos que permitan su empleo En automoviles. aeronaves. barcos u otros vehiculos</f>
        <v>#NAME?</v>
      </c>
    </row>
    <row r="32332" spans="1:2" x14ac:dyDescent="0.25">
      <c r="A32332">
        <v>700711001</v>
      </c>
      <c r="B32332" t="s">
        <v>9616</v>
      </c>
    </row>
    <row r="32333" spans="1:2" x14ac:dyDescent="0.25">
      <c r="A32333">
        <v>70071100110</v>
      </c>
      <c r="B32333" t="s">
        <v>9617</v>
      </c>
    </row>
    <row r="32334" spans="1:2" x14ac:dyDescent="0.25">
      <c r="A32334">
        <v>70071100120</v>
      </c>
      <c r="B32334" t="s">
        <v>9618</v>
      </c>
    </row>
    <row r="32335" spans="1:2" x14ac:dyDescent="0.25">
      <c r="A32335">
        <v>70071100190</v>
      </c>
      <c r="B32335" t="s">
        <v>10</v>
      </c>
    </row>
    <row r="32336" spans="1:2" x14ac:dyDescent="0.25">
      <c r="A32336">
        <v>70071100200</v>
      </c>
      <c r="B32336" t="s">
        <v>7472</v>
      </c>
    </row>
    <row r="32337" spans="1:2" x14ac:dyDescent="0.25">
      <c r="A32337">
        <v>70071100300</v>
      </c>
      <c r="B32337" t="s">
        <v>9619</v>
      </c>
    </row>
    <row r="32338" spans="1:2" x14ac:dyDescent="0.25">
      <c r="A32338">
        <v>70071100900</v>
      </c>
      <c r="B32338" t="s">
        <v>10</v>
      </c>
    </row>
    <row r="32339" spans="1:2" x14ac:dyDescent="0.25">
      <c r="A32339">
        <v>70071900000</v>
      </c>
      <c r="B32339" t="e">
        <f>--Los demas</f>
        <v>#NAME?</v>
      </c>
    </row>
    <row r="32340" spans="1:2" x14ac:dyDescent="0.25">
      <c r="A32340">
        <v>70072</v>
      </c>
      <c r="B32340" t="s">
        <v>9620</v>
      </c>
    </row>
    <row r="32341" spans="1:2" x14ac:dyDescent="0.25">
      <c r="A32341">
        <v>70072100</v>
      </c>
      <c r="B32341" t="e">
        <f>- - de dimensiones y formatos que permitan su empleo En automoviles. aeronaves. barcos u otros vehiculos</f>
        <v>#NAME?</v>
      </c>
    </row>
    <row r="32342" spans="1:2" x14ac:dyDescent="0.25">
      <c r="A32342">
        <v>700721001</v>
      </c>
      <c r="B32342" t="s">
        <v>9616</v>
      </c>
    </row>
    <row r="32343" spans="1:2" x14ac:dyDescent="0.25">
      <c r="A32343">
        <v>70072100110</v>
      </c>
      <c r="B32343" t="s">
        <v>9621</v>
      </c>
    </row>
    <row r="32344" spans="1:2" x14ac:dyDescent="0.25">
      <c r="A32344">
        <v>70072100190</v>
      </c>
      <c r="B32344" t="s">
        <v>10</v>
      </c>
    </row>
    <row r="32345" spans="1:2" x14ac:dyDescent="0.25">
      <c r="A32345">
        <v>70072100200</v>
      </c>
      <c r="B32345" t="s">
        <v>9622</v>
      </c>
    </row>
    <row r="32346" spans="1:2" x14ac:dyDescent="0.25">
      <c r="A32346">
        <v>70072100900</v>
      </c>
      <c r="B32346" t="s">
        <v>10</v>
      </c>
    </row>
    <row r="32347" spans="1:2" x14ac:dyDescent="0.25">
      <c r="A32347">
        <v>70072900</v>
      </c>
      <c r="B32347" t="e">
        <f>- - Los demas</f>
        <v>#NAME?</v>
      </c>
    </row>
    <row r="32348" spans="1:2" x14ac:dyDescent="0.25">
      <c r="A32348">
        <v>70072900100</v>
      </c>
      <c r="B32348" t="s">
        <v>9623</v>
      </c>
    </row>
    <row r="32349" spans="1:2" x14ac:dyDescent="0.25">
      <c r="A32349">
        <v>700729002</v>
      </c>
      <c r="B32349" t="s">
        <v>9624</v>
      </c>
    </row>
    <row r="32350" spans="1:2" x14ac:dyDescent="0.25">
      <c r="A32350">
        <v>70072900210</v>
      </c>
      <c r="B32350" t="s">
        <v>9625</v>
      </c>
    </row>
    <row r="32351" spans="1:2" x14ac:dyDescent="0.25">
      <c r="A32351">
        <v>70072900220</v>
      </c>
      <c r="B32351" t="s">
        <v>9626</v>
      </c>
    </row>
    <row r="32352" spans="1:2" x14ac:dyDescent="0.25">
      <c r="A32352">
        <v>70072900230</v>
      </c>
      <c r="B32352" t="s">
        <v>9608</v>
      </c>
    </row>
    <row r="32353" spans="1:2" x14ac:dyDescent="0.25">
      <c r="A32353">
        <v>70072900290</v>
      </c>
      <c r="B32353" t="s">
        <v>10</v>
      </c>
    </row>
    <row r="32354" spans="1:2" x14ac:dyDescent="0.25">
      <c r="A32354">
        <v>700729009</v>
      </c>
      <c r="B32354" t="s">
        <v>10</v>
      </c>
    </row>
    <row r="32355" spans="1:2" x14ac:dyDescent="0.25">
      <c r="A32355">
        <v>70072900910</v>
      </c>
      <c r="B32355" t="s">
        <v>9625</v>
      </c>
    </row>
    <row r="32356" spans="1:2" x14ac:dyDescent="0.25">
      <c r="A32356">
        <v>70072900920</v>
      </c>
      <c r="B32356" t="s">
        <v>9626</v>
      </c>
    </row>
    <row r="32357" spans="1:2" x14ac:dyDescent="0.25">
      <c r="A32357">
        <v>70072900930</v>
      </c>
      <c r="B32357" t="s">
        <v>9608</v>
      </c>
    </row>
    <row r="32358" spans="1:2" x14ac:dyDescent="0.25">
      <c r="A32358">
        <v>70072900990</v>
      </c>
      <c r="B32358" t="s">
        <v>10</v>
      </c>
    </row>
    <row r="32359" spans="1:2" x14ac:dyDescent="0.25">
      <c r="A32359">
        <v>70080000000</v>
      </c>
      <c r="B32359" t="s">
        <v>9627</v>
      </c>
    </row>
    <row r="32360" spans="1:2" x14ac:dyDescent="0.25">
      <c r="A32360">
        <v>7009</v>
      </c>
      <c r="B32360" t="s">
        <v>9628</v>
      </c>
    </row>
    <row r="32361" spans="1:2" x14ac:dyDescent="0.25">
      <c r="A32361">
        <v>70091000</v>
      </c>
      <c r="B32361" t="e">
        <f>- Espejos retrovisores para vehiculos</f>
        <v>#NAME?</v>
      </c>
    </row>
    <row r="32362" spans="1:2" x14ac:dyDescent="0.25">
      <c r="A32362">
        <v>700910001</v>
      </c>
      <c r="B32362" t="s">
        <v>9629</v>
      </c>
    </row>
    <row r="32363" spans="1:2" x14ac:dyDescent="0.25">
      <c r="A32363">
        <v>70091000110</v>
      </c>
      <c r="B32363" t="s">
        <v>9630</v>
      </c>
    </row>
    <row r="32364" spans="1:2" x14ac:dyDescent="0.25">
      <c r="A32364">
        <v>70091000190</v>
      </c>
      <c r="B32364" t="s">
        <v>10</v>
      </c>
    </row>
    <row r="32365" spans="1:2" x14ac:dyDescent="0.25">
      <c r="A32365">
        <v>700910009</v>
      </c>
      <c r="B32365" t="s">
        <v>10</v>
      </c>
    </row>
    <row r="32366" spans="1:2" x14ac:dyDescent="0.25">
      <c r="A32366">
        <v>7009100091</v>
      </c>
      <c r="B32366" t="s">
        <v>9631</v>
      </c>
    </row>
    <row r="32367" spans="1:2" x14ac:dyDescent="0.25">
      <c r="A32367">
        <v>70091000911</v>
      </c>
      <c r="B32367" t="s">
        <v>9632</v>
      </c>
    </row>
    <row r="32368" spans="1:2" x14ac:dyDescent="0.25">
      <c r="A32368">
        <v>70091000912</v>
      </c>
      <c r="B32368" t="s">
        <v>9633</v>
      </c>
    </row>
    <row r="32369" spans="1:2" x14ac:dyDescent="0.25">
      <c r="A32369">
        <v>70091000919</v>
      </c>
      <c r="B32369" t="s">
        <v>10</v>
      </c>
    </row>
    <row r="32370" spans="1:2" x14ac:dyDescent="0.25">
      <c r="A32370">
        <v>7009100092</v>
      </c>
      <c r="B32370" t="s">
        <v>9634</v>
      </c>
    </row>
    <row r="32371" spans="1:2" x14ac:dyDescent="0.25">
      <c r="A32371">
        <v>70091000921</v>
      </c>
      <c r="B32371" t="s">
        <v>9635</v>
      </c>
    </row>
    <row r="32372" spans="1:2" x14ac:dyDescent="0.25">
      <c r="A32372">
        <v>70091000922</v>
      </c>
      <c r="B32372" t="s">
        <v>9636</v>
      </c>
    </row>
    <row r="32373" spans="1:2" x14ac:dyDescent="0.25">
      <c r="A32373">
        <v>70091000990</v>
      </c>
      <c r="B32373" t="s">
        <v>10</v>
      </c>
    </row>
    <row r="32374" spans="1:2" x14ac:dyDescent="0.25">
      <c r="A32374">
        <v>70099</v>
      </c>
      <c r="B32374" t="s">
        <v>28</v>
      </c>
    </row>
    <row r="32375" spans="1:2" x14ac:dyDescent="0.25">
      <c r="A32375">
        <v>70099100</v>
      </c>
      <c r="B32375" t="e">
        <f>- - sin enmarcar</f>
        <v>#NAME?</v>
      </c>
    </row>
    <row r="32376" spans="1:2" x14ac:dyDescent="0.25">
      <c r="A32376">
        <v>700991001</v>
      </c>
      <c r="B32376" t="s">
        <v>9637</v>
      </c>
    </row>
    <row r="32377" spans="1:2" x14ac:dyDescent="0.25">
      <c r="A32377">
        <v>70099100110</v>
      </c>
      <c r="B32377" t="s">
        <v>9601</v>
      </c>
    </row>
    <row r="32378" spans="1:2" x14ac:dyDescent="0.25">
      <c r="A32378">
        <v>70099100120</v>
      </c>
      <c r="B32378" t="s">
        <v>9602</v>
      </c>
    </row>
    <row r="32379" spans="1:2" x14ac:dyDescent="0.25">
      <c r="A32379">
        <v>70099100130</v>
      </c>
      <c r="B32379" t="s">
        <v>9603</v>
      </c>
    </row>
    <row r="32380" spans="1:2" x14ac:dyDescent="0.25">
      <c r="A32380">
        <v>70099100140</v>
      </c>
      <c r="B32380" t="s">
        <v>9604</v>
      </c>
    </row>
    <row r="32381" spans="1:2" x14ac:dyDescent="0.25">
      <c r="A32381">
        <v>70099100150</v>
      </c>
      <c r="B32381" t="s">
        <v>9605</v>
      </c>
    </row>
    <row r="32382" spans="1:2" x14ac:dyDescent="0.25">
      <c r="A32382">
        <v>70099100190</v>
      </c>
      <c r="B32382" t="s">
        <v>10</v>
      </c>
    </row>
    <row r="32383" spans="1:2" x14ac:dyDescent="0.25">
      <c r="A32383">
        <v>700991009</v>
      </c>
      <c r="B32383" t="s">
        <v>10</v>
      </c>
    </row>
    <row r="32384" spans="1:2" x14ac:dyDescent="0.25">
      <c r="A32384">
        <v>70099100910</v>
      </c>
      <c r="B32384" t="s">
        <v>9601</v>
      </c>
    </row>
    <row r="32385" spans="1:2" x14ac:dyDescent="0.25">
      <c r="A32385">
        <v>70099100920</v>
      </c>
      <c r="B32385" t="s">
        <v>9602</v>
      </c>
    </row>
    <row r="32386" spans="1:2" x14ac:dyDescent="0.25">
      <c r="A32386">
        <v>70099100930</v>
      </c>
      <c r="B32386" t="s">
        <v>9603</v>
      </c>
    </row>
    <row r="32387" spans="1:2" x14ac:dyDescent="0.25">
      <c r="A32387">
        <v>70099100940</v>
      </c>
      <c r="B32387" t="s">
        <v>9604</v>
      </c>
    </row>
    <row r="32388" spans="1:2" x14ac:dyDescent="0.25">
      <c r="A32388">
        <v>70099100950</v>
      </c>
      <c r="B32388" t="s">
        <v>9605</v>
      </c>
    </row>
    <row r="32389" spans="1:2" x14ac:dyDescent="0.25">
      <c r="A32389">
        <v>70099100990</v>
      </c>
      <c r="B32389" t="s">
        <v>10</v>
      </c>
    </row>
    <row r="32390" spans="1:2" x14ac:dyDescent="0.25">
      <c r="A32390">
        <v>70099200000</v>
      </c>
      <c r="B32390" t="e">
        <f>--Enmarcados</f>
        <v>#NAME?</v>
      </c>
    </row>
    <row r="32391" spans="1:2" x14ac:dyDescent="0.25">
      <c r="A32391">
        <v>7010</v>
      </c>
      <c r="B32391" t="s">
        <v>9638</v>
      </c>
    </row>
    <row r="32392" spans="1:2" x14ac:dyDescent="0.25">
      <c r="A32392">
        <v>70101000</v>
      </c>
      <c r="B32392" t="e">
        <f>- Ampollas</f>
        <v>#NAME?</v>
      </c>
    </row>
    <row r="32393" spans="1:2" x14ac:dyDescent="0.25">
      <c r="A32393">
        <v>70101000100</v>
      </c>
      <c r="B32393" t="s">
        <v>6648</v>
      </c>
    </row>
    <row r="32394" spans="1:2" x14ac:dyDescent="0.25">
      <c r="A32394">
        <v>70101000900</v>
      </c>
      <c r="B32394" t="s">
        <v>10</v>
      </c>
    </row>
    <row r="32395" spans="1:2" x14ac:dyDescent="0.25">
      <c r="A32395">
        <v>70102000</v>
      </c>
      <c r="B32395" t="e">
        <f>- Tapones. tapas y demas Dispositivos de cierre</f>
        <v>#NAME?</v>
      </c>
    </row>
    <row r="32396" spans="1:2" x14ac:dyDescent="0.25">
      <c r="A32396">
        <v>70102000100</v>
      </c>
      <c r="B32396" t="s">
        <v>6648</v>
      </c>
    </row>
    <row r="32397" spans="1:2" x14ac:dyDescent="0.25">
      <c r="A32397">
        <v>70102000900</v>
      </c>
      <c r="B32397" t="s">
        <v>10</v>
      </c>
    </row>
    <row r="32398" spans="1:2" x14ac:dyDescent="0.25">
      <c r="A32398">
        <v>701090</v>
      </c>
      <c r="B32398" t="e">
        <f>- Los demas</f>
        <v>#NAME?</v>
      </c>
    </row>
    <row r="32399" spans="1:2" x14ac:dyDescent="0.25">
      <c r="A32399">
        <v>7010901</v>
      </c>
      <c r="B32399" t="s">
        <v>9639</v>
      </c>
    </row>
    <row r="32400" spans="1:2" x14ac:dyDescent="0.25">
      <c r="A32400">
        <v>70109011</v>
      </c>
      <c r="B32400" t="s">
        <v>9640</v>
      </c>
    </row>
    <row r="32401" spans="1:2" x14ac:dyDescent="0.25">
      <c r="A32401">
        <v>70109011100</v>
      </c>
      <c r="B32401" t="s">
        <v>7028</v>
      </c>
    </row>
    <row r="32402" spans="1:2" x14ac:dyDescent="0.25">
      <c r="A32402">
        <v>70109011900</v>
      </c>
      <c r="B32402" t="s">
        <v>10</v>
      </c>
    </row>
    <row r="32403" spans="1:2" x14ac:dyDescent="0.25">
      <c r="A32403">
        <v>70109012</v>
      </c>
      <c r="B32403" t="s">
        <v>9641</v>
      </c>
    </row>
    <row r="32404" spans="1:2" x14ac:dyDescent="0.25">
      <c r="A32404">
        <v>70109012100</v>
      </c>
      <c r="B32404" t="s">
        <v>6648</v>
      </c>
    </row>
    <row r="32405" spans="1:2" x14ac:dyDescent="0.25">
      <c r="A32405">
        <v>70109012900</v>
      </c>
      <c r="B32405" t="s">
        <v>10</v>
      </c>
    </row>
    <row r="32406" spans="1:2" x14ac:dyDescent="0.25">
      <c r="A32406">
        <v>7010902</v>
      </c>
      <c r="B32406" t="s">
        <v>9642</v>
      </c>
    </row>
    <row r="32407" spans="1:2" x14ac:dyDescent="0.25">
      <c r="A32407">
        <v>70109021</v>
      </c>
      <c r="B32407" t="s">
        <v>9640</v>
      </c>
    </row>
    <row r="32408" spans="1:2" x14ac:dyDescent="0.25">
      <c r="A32408">
        <v>70109021100</v>
      </c>
      <c r="B32408" t="s">
        <v>7028</v>
      </c>
    </row>
    <row r="32409" spans="1:2" x14ac:dyDescent="0.25">
      <c r="A32409">
        <v>70109021900</v>
      </c>
      <c r="B32409" t="s">
        <v>10</v>
      </c>
    </row>
    <row r="32410" spans="1:2" x14ac:dyDescent="0.25">
      <c r="A32410">
        <v>70109022</v>
      </c>
      <c r="B32410" t="s">
        <v>9641</v>
      </c>
    </row>
    <row r="32411" spans="1:2" x14ac:dyDescent="0.25">
      <c r="A32411">
        <v>70109022100</v>
      </c>
      <c r="B32411" t="s">
        <v>6648</v>
      </c>
    </row>
    <row r="32412" spans="1:2" x14ac:dyDescent="0.25">
      <c r="A32412">
        <v>70109022900</v>
      </c>
      <c r="B32412" t="s">
        <v>10</v>
      </c>
    </row>
    <row r="32413" spans="1:2" x14ac:dyDescent="0.25">
      <c r="A32413">
        <v>70109090</v>
      </c>
      <c r="B32413" t="s">
        <v>10</v>
      </c>
    </row>
    <row r="32414" spans="1:2" x14ac:dyDescent="0.25">
      <c r="A32414">
        <v>701090901</v>
      </c>
      <c r="B32414" t="s">
        <v>9643</v>
      </c>
    </row>
    <row r="32415" spans="1:2" x14ac:dyDescent="0.25">
      <c r="A32415">
        <v>70109090110</v>
      </c>
      <c r="B32415" t="s">
        <v>9640</v>
      </c>
    </row>
    <row r="32416" spans="1:2" x14ac:dyDescent="0.25">
      <c r="A32416">
        <v>70109090190</v>
      </c>
      <c r="B32416" t="s">
        <v>57</v>
      </c>
    </row>
    <row r="32417" spans="1:2" x14ac:dyDescent="0.25">
      <c r="A32417">
        <v>70109090900</v>
      </c>
      <c r="B32417" t="s">
        <v>10</v>
      </c>
    </row>
    <row r="32418" spans="1:2" x14ac:dyDescent="0.25">
      <c r="A32418">
        <v>7011</v>
      </c>
      <c r="B32418" t="s">
        <v>9644</v>
      </c>
    </row>
    <row r="32419" spans="1:2" x14ac:dyDescent="0.25">
      <c r="A32419">
        <v>701110</v>
      </c>
      <c r="B32419" t="e">
        <f>- para alumbrado electrico</f>
        <v>#NAME?</v>
      </c>
    </row>
    <row r="32420" spans="1:2" x14ac:dyDescent="0.25">
      <c r="A32420">
        <v>70111010000</v>
      </c>
      <c r="B32420" t="s">
        <v>9645</v>
      </c>
    </row>
    <row r="32421" spans="1:2" x14ac:dyDescent="0.25">
      <c r="A32421">
        <v>7011102</v>
      </c>
      <c r="B32421" t="s">
        <v>9646</v>
      </c>
    </row>
    <row r="32422" spans="1:2" x14ac:dyDescent="0.25">
      <c r="A32422">
        <v>70111021000</v>
      </c>
      <c r="B32422" t="s">
        <v>9647</v>
      </c>
    </row>
    <row r="32423" spans="1:2" x14ac:dyDescent="0.25">
      <c r="A32423">
        <v>70111029000</v>
      </c>
      <c r="B32423" t="s">
        <v>57</v>
      </c>
    </row>
    <row r="32424" spans="1:2" x14ac:dyDescent="0.25">
      <c r="A32424">
        <v>70111090000</v>
      </c>
      <c r="B32424" t="s">
        <v>57</v>
      </c>
    </row>
    <row r="32425" spans="1:2" x14ac:dyDescent="0.25">
      <c r="A32425">
        <v>70112000000</v>
      </c>
      <c r="B32425" t="e">
        <f>-para Tubos catodicos</f>
        <v>#NAME?</v>
      </c>
    </row>
    <row r="32426" spans="1:2" x14ac:dyDescent="0.25">
      <c r="A32426">
        <v>70119000000</v>
      </c>
      <c r="B32426" t="e">
        <f>-las demas</f>
        <v>#NAME?</v>
      </c>
    </row>
    <row r="32427" spans="1:2" x14ac:dyDescent="0.25">
      <c r="A32427">
        <v>7013</v>
      </c>
      <c r="B32427" t="s">
        <v>9648</v>
      </c>
    </row>
    <row r="32428" spans="1:2" x14ac:dyDescent="0.25">
      <c r="A32428">
        <v>70131000</v>
      </c>
      <c r="B32428" t="e">
        <f>- Articulos de vitroceramica</f>
        <v>#NAME?</v>
      </c>
    </row>
    <row r="32429" spans="1:2" x14ac:dyDescent="0.25">
      <c r="A32429">
        <v>70131000100</v>
      </c>
      <c r="B32429" t="s">
        <v>9649</v>
      </c>
    </row>
    <row r="32430" spans="1:2" x14ac:dyDescent="0.25">
      <c r="A32430">
        <v>70131000900</v>
      </c>
      <c r="B32430" t="s">
        <v>10</v>
      </c>
    </row>
    <row r="32431" spans="1:2" x14ac:dyDescent="0.25">
      <c r="A32431">
        <v>70132</v>
      </c>
      <c r="B32431" t="s">
        <v>9650</v>
      </c>
    </row>
    <row r="32432" spans="1:2" x14ac:dyDescent="0.25">
      <c r="A32432">
        <v>70132200000</v>
      </c>
      <c r="B32432" t="e">
        <f>--de cristal al plomo</f>
        <v>#NAME?</v>
      </c>
    </row>
    <row r="32433" spans="1:2" x14ac:dyDescent="0.25">
      <c r="A32433">
        <v>70132800</v>
      </c>
      <c r="B32433" t="e">
        <f>- - Los demas</f>
        <v>#NAME?</v>
      </c>
    </row>
    <row r="32434" spans="1:2" x14ac:dyDescent="0.25">
      <c r="A32434">
        <v>70132800100</v>
      </c>
      <c r="B32434" t="s">
        <v>9651</v>
      </c>
    </row>
    <row r="32435" spans="1:2" x14ac:dyDescent="0.25">
      <c r="A32435">
        <v>70132800900</v>
      </c>
      <c r="B32435" t="s">
        <v>10</v>
      </c>
    </row>
    <row r="32436" spans="1:2" x14ac:dyDescent="0.25">
      <c r="A32436">
        <v>70133</v>
      </c>
      <c r="B32436" t="s">
        <v>9652</v>
      </c>
    </row>
    <row r="32437" spans="1:2" x14ac:dyDescent="0.25">
      <c r="A32437">
        <v>70133300000</v>
      </c>
      <c r="B32437" t="e">
        <f>--de cristal al plomo</f>
        <v>#NAME?</v>
      </c>
    </row>
    <row r="32438" spans="1:2" x14ac:dyDescent="0.25">
      <c r="A32438">
        <v>70133700</v>
      </c>
      <c r="B32438" t="e">
        <f>- - Los demas</f>
        <v>#NAME?</v>
      </c>
    </row>
    <row r="32439" spans="1:2" x14ac:dyDescent="0.25">
      <c r="A32439">
        <v>701337001</v>
      </c>
      <c r="B32439" t="s">
        <v>6954</v>
      </c>
    </row>
    <row r="32440" spans="1:2" x14ac:dyDescent="0.25">
      <c r="A32440">
        <v>70133700110</v>
      </c>
      <c r="B32440" t="s">
        <v>9653</v>
      </c>
    </row>
    <row r="32441" spans="1:2" x14ac:dyDescent="0.25">
      <c r="A32441">
        <v>70133700190</v>
      </c>
      <c r="B32441" t="s">
        <v>10</v>
      </c>
    </row>
    <row r="32442" spans="1:2" x14ac:dyDescent="0.25">
      <c r="A32442">
        <v>701337002</v>
      </c>
      <c r="B32442" t="s">
        <v>9654</v>
      </c>
    </row>
    <row r="32443" spans="1:2" x14ac:dyDescent="0.25">
      <c r="A32443">
        <v>70133700210</v>
      </c>
      <c r="B32443" t="s">
        <v>6949</v>
      </c>
    </row>
    <row r="32444" spans="1:2" x14ac:dyDescent="0.25">
      <c r="A32444">
        <v>70133700220</v>
      </c>
      <c r="B32444" t="s">
        <v>9655</v>
      </c>
    </row>
    <row r="32445" spans="1:2" x14ac:dyDescent="0.25">
      <c r="A32445">
        <v>70133700900</v>
      </c>
      <c r="B32445" t="s">
        <v>10</v>
      </c>
    </row>
    <row r="32446" spans="1:2" x14ac:dyDescent="0.25">
      <c r="A32446">
        <v>70134</v>
      </c>
      <c r="B32446" t="s">
        <v>9656</v>
      </c>
    </row>
    <row r="32447" spans="1:2" x14ac:dyDescent="0.25">
      <c r="A32447">
        <v>70134100000</v>
      </c>
      <c r="B32447" t="e">
        <f>--de cristal al plomo</f>
        <v>#NAME?</v>
      </c>
    </row>
    <row r="32448" spans="1:2" x14ac:dyDescent="0.25">
      <c r="A32448">
        <v>701342</v>
      </c>
      <c r="B32448" t="s">
        <v>9657</v>
      </c>
    </row>
    <row r="32449" spans="1:2" x14ac:dyDescent="0.25">
      <c r="A32449">
        <v>70134210000</v>
      </c>
      <c r="B32449" t="s">
        <v>9658</v>
      </c>
    </row>
    <row r="32450" spans="1:2" x14ac:dyDescent="0.25">
      <c r="A32450">
        <v>70134290</v>
      </c>
      <c r="B32450" t="s">
        <v>10</v>
      </c>
    </row>
    <row r="32451" spans="1:2" x14ac:dyDescent="0.25">
      <c r="A32451">
        <v>701342901</v>
      </c>
      <c r="B32451" t="s">
        <v>9659</v>
      </c>
    </row>
    <row r="32452" spans="1:2" x14ac:dyDescent="0.25">
      <c r="A32452">
        <v>70134290110</v>
      </c>
      <c r="B32452" t="s">
        <v>9660</v>
      </c>
    </row>
    <row r="32453" spans="1:2" x14ac:dyDescent="0.25">
      <c r="A32453">
        <v>70134290120</v>
      </c>
      <c r="B32453" t="s">
        <v>9661</v>
      </c>
    </row>
    <row r="32454" spans="1:2" x14ac:dyDescent="0.25">
      <c r="A32454">
        <v>70134290130</v>
      </c>
      <c r="B32454" t="s">
        <v>9662</v>
      </c>
    </row>
    <row r="32455" spans="1:2" x14ac:dyDescent="0.25">
      <c r="A32455">
        <v>70134290140</v>
      </c>
      <c r="B32455" t="s">
        <v>9663</v>
      </c>
    </row>
    <row r="32456" spans="1:2" x14ac:dyDescent="0.25">
      <c r="A32456">
        <v>70134290190</v>
      </c>
      <c r="B32456" t="s">
        <v>10</v>
      </c>
    </row>
    <row r="32457" spans="1:2" x14ac:dyDescent="0.25">
      <c r="A32457">
        <v>70134290900</v>
      </c>
      <c r="B32457" t="s">
        <v>10</v>
      </c>
    </row>
    <row r="32458" spans="1:2" x14ac:dyDescent="0.25">
      <c r="A32458">
        <v>70134900</v>
      </c>
      <c r="B32458" t="e">
        <f>- - Los demas</f>
        <v>#NAME?</v>
      </c>
    </row>
    <row r="32459" spans="1:2" x14ac:dyDescent="0.25">
      <c r="A32459">
        <v>701349001</v>
      </c>
      <c r="B32459" t="s">
        <v>9659</v>
      </c>
    </row>
    <row r="32460" spans="1:2" x14ac:dyDescent="0.25">
      <c r="A32460">
        <v>70134900110</v>
      </c>
      <c r="B32460" t="s">
        <v>9660</v>
      </c>
    </row>
    <row r="32461" spans="1:2" x14ac:dyDescent="0.25">
      <c r="A32461">
        <v>70134900120</v>
      </c>
      <c r="B32461" t="s">
        <v>9661</v>
      </c>
    </row>
    <row r="32462" spans="1:2" x14ac:dyDescent="0.25">
      <c r="A32462">
        <v>70134900130</v>
      </c>
      <c r="B32462" t="s">
        <v>9662</v>
      </c>
    </row>
    <row r="32463" spans="1:2" x14ac:dyDescent="0.25">
      <c r="A32463">
        <v>70134900140</v>
      </c>
      <c r="B32463" t="s">
        <v>9663</v>
      </c>
    </row>
    <row r="32464" spans="1:2" x14ac:dyDescent="0.25">
      <c r="A32464">
        <v>70134900190</v>
      </c>
      <c r="B32464" t="s">
        <v>10</v>
      </c>
    </row>
    <row r="32465" spans="1:2" x14ac:dyDescent="0.25">
      <c r="A32465">
        <v>70134900900</v>
      </c>
      <c r="B32465" t="s">
        <v>10</v>
      </c>
    </row>
    <row r="32466" spans="1:2" x14ac:dyDescent="0.25">
      <c r="A32466">
        <v>70139</v>
      </c>
      <c r="B32466" t="s">
        <v>9664</v>
      </c>
    </row>
    <row r="32467" spans="1:2" x14ac:dyDescent="0.25">
      <c r="A32467">
        <v>701391</v>
      </c>
      <c r="B32467" t="e">
        <f>- - de cristal al plomo</f>
        <v>#NAME?</v>
      </c>
    </row>
    <row r="32468" spans="1:2" x14ac:dyDescent="0.25">
      <c r="A32468">
        <v>70139110000</v>
      </c>
      <c r="B32468" t="s">
        <v>9665</v>
      </c>
    </row>
    <row r="32469" spans="1:2" x14ac:dyDescent="0.25">
      <c r="A32469">
        <v>70139190000</v>
      </c>
      <c r="B32469" t="s">
        <v>10</v>
      </c>
    </row>
    <row r="32470" spans="1:2" x14ac:dyDescent="0.25">
      <c r="A32470">
        <v>70139900000</v>
      </c>
      <c r="B32470" t="e">
        <f>--Los demas</f>
        <v>#NAME?</v>
      </c>
    </row>
    <row r="32471" spans="1:2" x14ac:dyDescent="0.25">
      <c r="A32471">
        <v>70140000000</v>
      </c>
      <c r="B32471" t="s">
        <v>9666</v>
      </c>
    </row>
    <row r="32472" spans="1:2" x14ac:dyDescent="0.25">
      <c r="A32472">
        <v>7015</v>
      </c>
      <c r="B32472" t="s">
        <v>9667</v>
      </c>
    </row>
    <row r="32473" spans="1:2" x14ac:dyDescent="0.25">
      <c r="A32473">
        <v>701510</v>
      </c>
      <c r="B32473" t="e">
        <f>- Cristales correctores para gafas (anteojos)</f>
        <v>#NAME?</v>
      </c>
    </row>
    <row r="32474" spans="1:2" x14ac:dyDescent="0.25">
      <c r="A32474">
        <v>70151010000</v>
      </c>
      <c r="B32474" t="s">
        <v>9668</v>
      </c>
    </row>
    <row r="32475" spans="1:2" x14ac:dyDescent="0.25">
      <c r="A32475">
        <v>7015109</v>
      </c>
      <c r="B32475" t="s">
        <v>10</v>
      </c>
    </row>
    <row r="32476" spans="1:2" x14ac:dyDescent="0.25">
      <c r="A32476">
        <v>70151091000</v>
      </c>
      <c r="B32476" t="s">
        <v>9556</v>
      </c>
    </row>
    <row r="32477" spans="1:2" x14ac:dyDescent="0.25">
      <c r="A32477">
        <v>70151092000</v>
      </c>
      <c r="B32477" t="s">
        <v>9637</v>
      </c>
    </row>
    <row r="32478" spans="1:2" x14ac:dyDescent="0.25">
      <c r="A32478">
        <v>701590</v>
      </c>
      <c r="B32478" t="e">
        <f>- Los demas</f>
        <v>#NAME?</v>
      </c>
    </row>
    <row r="32479" spans="1:2" x14ac:dyDescent="0.25">
      <c r="A32479">
        <v>70159010000</v>
      </c>
      <c r="B32479" t="s">
        <v>9669</v>
      </c>
    </row>
    <row r="32480" spans="1:2" x14ac:dyDescent="0.25">
      <c r="A32480">
        <v>70159020000</v>
      </c>
      <c r="B32480" t="s">
        <v>9670</v>
      </c>
    </row>
    <row r="32481" spans="1:2" x14ac:dyDescent="0.25">
      <c r="A32481">
        <v>70159030000</v>
      </c>
      <c r="B32481" t="s">
        <v>9671</v>
      </c>
    </row>
    <row r="32482" spans="1:2" x14ac:dyDescent="0.25">
      <c r="A32482">
        <v>70159090000</v>
      </c>
      <c r="B32482" t="s">
        <v>10</v>
      </c>
    </row>
    <row r="32483" spans="1:2" x14ac:dyDescent="0.25">
      <c r="A32483">
        <v>7016</v>
      </c>
      <c r="B32483" t="s">
        <v>9672</v>
      </c>
    </row>
    <row r="32484" spans="1:2" x14ac:dyDescent="0.25">
      <c r="A32484">
        <v>70161000</v>
      </c>
      <c r="B32484" t="e">
        <f>- cubos. dados y demas Articulos similares. de vidrio. incluso Con soporte. para mosaicos o decoraciones similares</f>
        <v>#NAME?</v>
      </c>
    </row>
    <row r="32485" spans="1:2" x14ac:dyDescent="0.25">
      <c r="A32485">
        <v>70161000100</v>
      </c>
      <c r="B32485" t="s">
        <v>9429</v>
      </c>
    </row>
    <row r="32486" spans="1:2" x14ac:dyDescent="0.25">
      <c r="A32486">
        <v>70161000900</v>
      </c>
      <c r="B32486" t="s">
        <v>10</v>
      </c>
    </row>
    <row r="32487" spans="1:2" x14ac:dyDescent="0.25">
      <c r="A32487">
        <v>70169000</v>
      </c>
      <c r="B32487" t="e">
        <f>- Los demas</f>
        <v>#NAME?</v>
      </c>
    </row>
    <row r="32488" spans="1:2" x14ac:dyDescent="0.25">
      <c r="A32488">
        <v>70169000100</v>
      </c>
      <c r="B32488" t="s">
        <v>9436</v>
      </c>
    </row>
    <row r="32489" spans="1:2" x14ac:dyDescent="0.25">
      <c r="A32489">
        <v>70169000900</v>
      </c>
      <c r="B32489" t="s">
        <v>10</v>
      </c>
    </row>
    <row r="32490" spans="1:2" x14ac:dyDescent="0.25">
      <c r="A32490">
        <v>7017</v>
      </c>
      <c r="B32490" t="s">
        <v>9673</v>
      </c>
    </row>
    <row r="32491" spans="1:2" x14ac:dyDescent="0.25">
      <c r="A32491">
        <v>70171000000</v>
      </c>
      <c r="B32491" t="e">
        <f>-de Cuarzo o demas silices fundidos</f>
        <v>#NAME?</v>
      </c>
    </row>
    <row r="32492" spans="1:2" x14ac:dyDescent="0.25">
      <c r="A32492">
        <v>70172000000</v>
      </c>
      <c r="B32492" t="s">
        <v>9674</v>
      </c>
    </row>
    <row r="32493" spans="1:2" x14ac:dyDescent="0.25">
      <c r="A32493">
        <v>70179000</v>
      </c>
      <c r="B32493" t="e">
        <f>- Los demas</f>
        <v>#NAME?</v>
      </c>
    </row>
    <row r="32494" spans="1:2" x14ac:dyDescent="0.25">
      <c r="A32494">
        <v>70179000100</v>
      </c>
      <c r="B32494" t="s">
        <v>9675</v>
      </c>
    </row>
    <row r="32495" spans="1:2" x14ac:dyDescent="0.25">
      <c r="A32495">
        <v>70179000900</v>
      </c>
      <c r="B32495" t="s">
        <v>10</v>
      </c>
    </row>
    <row r="32496" spans="1:2" x14ac:dyDescent="0.25">
      <c r="A32496">
        <v>7018</v>
      </c>
      <c r="B32496" t="s">
        <v>9676</v>
      </c>
    </row>
    <row r="32497" spans="1:2" x14ac:dyDescent="0.25">
      <c r="A32497">
        <v>701810</v>
      </c>
      <c r="B32497" t="e">
        <f>- Cuentas de vidrio. imitaciones de perlas. de piedras preciosas o semipreciosas y Articulos similares de abalorio</f>
        <v>#NAME?</v>
      </c>
    </row>
    <row r="32498" spans="1:2" x14ac:dyDescent="0.25">
      <c r="A32498">
        <v>70181010000</v>
      </c>
      <c r="B32498" t="s">
        <v>9677</v>
      </c>
    </row>
    <row r="32499" spans="1:2" x14ac:dyDescent="0.25">
      <c r="A32499">
        <v>70181020000</v>
      </c>
      <c r="B32499" t="s">
        <v>9678</v>
      </c>
    </row>
    <row r="32500" spans="1:2" x14ac:dyDescent="0.25">
      <c r="A32500">
        <v>70181090000</v>
      </c>
      <c r="B32500" t="s">
        <v>10</v>
      </c>
    </row>
    <row r="32501" spans="1:2" x14ac:dyDescent="0.25">
      <c r="A32501">
        <v>70182000000</v>
      </c>
      <c r="B32501" t="s">
        <v>9679</v>
      </c>
    </row>
    <row r="32502" spans="1:2" x14ac:dyDescent="0.25">
      <c r="A32502">
        <v>70189000000</v>
      </c>
      <c r="B32502" t="e">
        <f>-Los demas</f>
        <v>#NAME?</v>
      </c>
    </row>
    <row r="32503" spans="1:2" x14ac:dyDescent="0.25">
      <c r="A32503">
        <v>7019</v>
      </c>
      <c r="B32503" t="s">
        <v>9680</v>
      </c>
    </row>
    <row r="32504" spans="1:2" x14ac:dyDescent="0.25">
      <c r="A32504">
        <v>70191</v>
      </c>
      <c r="B32504" t="s">
        <v>9681</v>
      </c>
    </row>
    <row r="32505" spans="1:2" x14ac:dyDescent="0.25">
      <c r="A32505">
        <v>70191100000</v>
      </c>
      <c r="B32505" t="s">
        <v>9682</v>
      </c>
    </row>
    <row r="32506" spans="1:2" x14ac:dyDescent="0.25">
      <c r="A32506">
        <v>701912</v>
      </c>
      <c r="B32506" t="s">
        <v>9683</v>
      </c>
    </row>
    <row r="32507" spans="1:2" x14ac:dyDescent="0.25">
      <c r="A32507">
        <v>70191210000</v>
      </c>
      <c r="B32507" t="s">
        <v>9684</v>
      </c>
    </row>
    <row r="32508" spans="1:2" x14ac:dyDescent="0.25">
      <c r="A32508">
        <v>70191290000</v>
      </c>
      <c r="B32508" t="s">
        <v>10</v>
      </c>
    </row>
    <row r="32509" spans="1:2" x14ac:dyDescent="0.25">
      <c r="A32509">
        <v>70191900</v>
      </c>
      <c r="B32509" t="e">
        <f>- - Los demas</f>
        <v>#NAME?</v>
      </c>
    </row>
    <row r="32510" spans="1:2" x14ac:dyDescent="0.25">
      <c r="A32510">
        <v>70191900100</v>
      </c>
      <c r="B32510" t="s">
        <v>9685</v>
      </c>
    </row>
    <row r="32511" spans="1:2" x14ac:dyDescent="0.25">
      <c r="A32511">
        <v>70191900900</v>
      </c>
      <c r="B32511" t="s">
        <v>10</v>
      </c>
    </row>
    <row r="32512" spans="1:2" x14ac:dyDescent="0.25">
      <c r="A32512">
        <v>70193</v>
      </c>
      <c r="B32512" t="s">
        <v>9686</v>
      </c>
    </row>
    <row r="32513" spans="1:2" x14ac:dyDescent="0.25">
      <c r="A32513">
        <v>70193100000</v>
      </c>
      <c r="B32513" t="e">
        <v>#VALUE!</v>
      </c>
    </row>
    <row r="32514" spans="1:2" x14ac:dyDescent="0.25">
      <c r="A32514">
        <v>70193200000</v>
      </c>
      <c r="B32514" t="e">
        <f>--velos</f>
        <v>#NAME?</v>
      </c>
    </row>
    <row r="32515" spans="1:2" x14ac:dyDescent="0.25">
      <c r="A32515">
        <v>70193900</v>
      </c>
      <c r="B32515" t="e">
        <f>- - Los demas</f>
        <v>#NAME?</v>
      </c>
    </row>
    <row r="32516" spans="1:2" x14ac:dyDescent="0.25">
      <c r="A32516">
        <v>701939001</v>
      </c>
      <c r="B32516" t="s">
        <v>9687</v>
      </c>
    </row>
    <row r="32517" spans="1:2" x14ac:dyDescent="0.25">
      <c r="A32517">
        <v>7019390011</v>
      </c>
      <c r="B32517" t="s">
        <v>9688</v>
      </c>
    </row>
    <row r="32518" spans="1:2" x14ac:dyDescent="0.25">
      <c r="A32518">
        <v>70193900111</v>
      </c>
      <c r="B32518" t="s">
        <v>9689</v>
      </c>
    </row>
    <row r="32519" spans="1:2" x14ac:dyDescent="0.25">
      <c r="A32519">
        <v>70193900119</v>
      </c>
      <c r="B32519" t="s">
        <v>57</v>
      </c>
    </row>
    <row r="32520" spans="1:2" x14ac:dyDescent="0.25">
      <c r="A32520">
        <v>70193900190</v>
      </c>
      <c r="B32520" t="s">
        <v>57</v>
      </c>
    </row>
    <row r="32521" spans="1:2" x14ac:dyDescent="0.25">
      <c r="A32521">
        <v>701939002</v>
      </c>
      <c r="B32521" t="s">
        <v>9690</v>
      </c>
    </row>
    <row r="32522" spans="1:2" x14ac:dyDescent="0.25">
      <c r="A32522">
        <v>7019390021</v>
      </c>
      <c r="B32522" t="s">
        <v>9691</v>
      </c>
    </row>
    <row r="32523" spans="1:2" x14ac:dyDescent="0.25">
      <c r="A32523">
        <v>70193900211</v>
      </c>
      <c r="B32523" t="s">
        <v>9692</v>
      </c>
    </row>
    <row r="32524" spans="1:2" x14ac:dyDescent="0.25">
      <c r="A32524">
        <v>70193900212</v>
      </c>
      <c r="B32524" t="s">
        <v>9693</v>
      </c>
    </row>
    <row r="32525" spans="1:2" x14ac:dyDescent="0.25">
      <c r="A32525">
        <v>70193900213</v>
      </c>
      <c r="B32525" t="s">
        <v>9694</v>
      </c>
    </row>
    <row r="32526" spans="1:2" x14ac:dyDescent="0.25">
      <c r="A32526">
        <v>70193900214</v>
      </c>
      <c r="B32526" t="s">
        <v>9695</v>
      </c>
    </row>
    <row r="32527" spans="1:2" x14ac:dyDescent="0.25">
      <c r="A32527">
        <v>70193900219</v>
      </c>
      <c r="B32527" t="s">
        <v>10</v>
      </c>
    </row>
    <row r="32528" spans="1:2" x14ac:dyDescent="0.25">
      <c r="A32528">
        <v>7019390022</v>
      </c>
      <c r="B32528" t="s">
        <v>9696</v>
      </c>
    </row>
    <row r="32529" spans="1:2" x14ac:dyDescent="0.25">
      <c r="A32529">
        <v>70193900221</v>
      </c>
      <c r="B32529" t="s">
        <v>9692</v>
      </c>
    </row>
    <row r="32530" spans="1:2" x14ac:dyDescent="0.25">
      <c r="A32530">
        <v>70193900222</v>
      </c>
      <c r="B32530" t="s">
        <v>9693</v>
      </c>
    </row>
    <row r="32531" spans="1:2" x14ac:dyDescent="0.25">
      <c r="A32531">
        <v>70193900223</v>
      </c>
      <c r="B32531" t="s">
        <v>9694</v>
      </c>
    </row>
    <row r="32532" spans="1:2" x14ac:dyDescent="0.25">
      <c r="A32532">
        <v>70193900224</v>
      </c>
      <c r="B32532" t="s">
        <v>9695</v>
      </c>
    </row>
    <row r="32533" spans="1:2" x14ac:dyDescent="0.25">
      <c r="A32533">
        <v>70193900229</v>
      </c>
      <c r="B32533" t="s">
        <v>10</v>
      </c>
    </row>
    <row r="32534" spans="1:2" x14ac:dyDescent="0.25">
      <c r="A32534">
        <v>7019390023</v>
      </c>
      <c r="B32534" t="s">
        <v>9697</v>
      </c>
    </row>
    <row r="32535" spans="1:2" x14ac:dyDescent="0.25">
      <c r="A32535">
        <v>70193900231</v>
      </c>
      <c r="B32535" t="s">
        <v>9692</v>
      </c>
    </row>
    <row r="32536" spans="1:2" x14ac:dyDescent="0.25">
      <c r="A32536">
        <v>70193900232</v>
      </c>
      <c r="B32536" t="s">
        <v>9693</v>
      </c>
    </row>
    <row r="32537" spans="1:2" x14ac:dyDescent="0.25">
      <c r="A32537">
        <v>70193900233</v>
      </c>
      <c r="B32537" t="s">
        <v>9694</v>
      </c>
    </row>
    <row r="32538" spans="1:2" x14ac:dyDescent="0.25">
      <c r="A32538">
        <v>70193900234</v>
      </c>
      <c r="B32538" t="s">
        <v>9695</v>
      </c>
    </row>
    <row r="32539" spans="1:2" x14ac:dyDescent="0.25">
      <c r="A32539">
        <v>70193900239</v>
      </c>
      <c r="B32539" t="s">
        <v>10</v>
      </c>
    </row>
    <row r="32540" spans="1:2" x14ac:dyDescent="0.25">
      <c r="A32540">
        <v>7019390024</v>
      </c>
      <c r="B32540" t="s">
        <v>9698</v>
      </c>
    </row>
    <row r="32541" spans="1:2" x14ac:dyDescent="0.25">
      <c r="A32541">
        <v>70193900241</v>
      </c>
      <c r="B32541" t="s">
        <v>9692</v>
      </c>
    </row>
    <row r="32542" spans="1:2" x14ac:dyDescent="0.25">
      <c r="A32542">
        <v>70193900242</v>
      </c>
      <c r="B32542" t="s">
        <v>9693</v>
      </c>
    </row>
    <row r="32543" spans="1:2" x14ac:dyDescent="0.25">
      <c r="A32543">
        <v>70193900243</v>
      </c>
      <c r="B32543" t="s">
        <v>9694</v>
      </c>
    </row>
    <row r="32544" spans="1:2" x14ac:dyDescent="0.25">
      <c r="A32544">
        <v>70193900244</v>
      </c>
      <c r="B32544" t="s">
        <v>9695</v>
      </c>
    </row>
    <row r="32545" spans="1:2" x14ac:dyDescent="0.25">
      <c r="A32545">
        <v>70193900249</v>
      </c>
      <c r="B32545" t="s">
        <v>10</v>
      </c>
    </row>
    <row r="32546" spans="1:2" x14ac:dyDescent="0.25">
      <c r="A32546">
        <v>7019390029</v>
      </c>
      <c r="B32546" t="s">
        <v>10</v>
      </c>
    </row>
    <row r="32547" spans="1:2" x14ac:dyDescent="0.25">
      <c r="A32547">
        <v>70193900291</v>
      </c>
      <c r="B32547" t="s">
        <v>9699</v>
      </c>
    </row>
    <row r="32548" spans="1:2" x14ac:dyDescent="0.25">
      <c r="A32548">
        <v>70193900299</v>
      </c>
      <c r="B32548" t="s">
        <v>10</v>
      </c>
    </row>
    <row r="32549" spans="1:2" x14ac:dyDescent="0.25">
      <c r="A32549">
        <v>701939003</v>
      </c>
      <c r="B32549" t="s">
        <v>9700</v>
      </c>
    </row>
    <row r="32550" spans="1:2" x14ac:dyDescent="0.25">
      <c r="A32550">
        <v>7019390031</v>
      </c>
      <c r="B32550" t="s">
        <v>9701</v>
      </c>
    </row>
    <row r="32551" spans="1:2" x14ac:dyDescent="0.25">
      <c r="A32551">
        <v>70193900311</v>
      </c>
      <c r="B32551" t="s">
        <v>9692</v>
      </c>
    </row>
    <row r="32552" spans="1:2" x14ac:dyDescent="0.25">
      <c r="A32552">
        <v>70193900312</v>
      </c>
      <c r="B32552" t="s">
        <v>9693</v>
      </c>
    </row>
    <row r="32553" spans="1:2" x14ac:dyDescent="0.25">
      <c r="A32553">
        <v>70193900313</v>
      </c>
      <c r="B32553" t="s">
        <v>9694</v>
      </c>
    </row>
    <row r="32554" spans="1:2" x14ac:dyDescent="0.25">
      <c r="A32554">
        <v>70193900314</v>
      </c>
      <c r="B32554" t="s">
        <v>9695</v>
      </c>
    </row>
    <row r="32555" spans="1:2" x14ac:dyDescent="0.25">
      <c r="A32555">
        <v>70193900319</v>
      </c>
      <c r="B32555" t="s">
        <v>10</v>
      </c>
    </row>
    <row r="32556" spans="1:2" x14ac:dyDescent="0.25">
      <c r="A32556">
        <v>7019390039</v>
      </c>
      <c r="B32556" t="s">
        <v>10</v>
      </c>
    </row>
    <row r="32557" spans="1:2" x14ac:dyDescent="0.25">
      <c r="A32557">
        <v>70193900391</v>
      </c>
      <c r="B32557" t="s">
        <v>9699</v>
      </c>
    </row>
    <row r="32558" spans="1:2" x14ac:dyDescent="0.25">
      <c r="A32558">
        <v>70193900399</v>
      </c>
      <c r="B32558" t="s">
        <v>10</v>
      </c>
    </row>
    <row r="32559" spans="1:2" x14ac:dyDescent="0.25">
      <c r="A32559">
        <v>701939009</v>
      </c>
      <c r="B32559" t="s">
        <v>10</v>
      </c>
    </row>
    <row r="32560" spans="1:2" x14ac:dyDescent="0.25">
      <c r="A32560">
        <v>7019390091</v>
      </c>
      <c r="B32560" t="s">
        <v>9699</v>
      </c>
    </row>
    <row r="32561" spans="1:2" x14ac:dyDescent="0.25">
      <c r="A32561">
        <v>70193900911</v>
      </c>
      <c r="B32561" t="s">
        <v>9689</v>
      </c>
    </row>
    <row r="32562" spans="1:2" x14ac:dyDescent="0.25">
      <c r="A32562">
        <v>70193900919</v>
      </c>
      <c r="B32562" t="s">
        <v>10</v>
      </c>
    </row>
    <row r="32563" spans="1:2" x14ac:dyDescent="0.25">
      <c r="A32563">
        <v>70193900990</v>
      </c>
      <c r="B32563" t="s">
        <v>10</v>
      </c>
    </row>
    <row r="32564" spans="1:2" x14ac:dyDescent="0.25">
      <c r="A32564">
        <v>70194000000</v>
      </c>
      <c r="B32564" t="s">
        <v>9702</v>
      </c>
    </row>
    <row r="32565" spans="1:2" x14ac:dyDescent="0.25">
      <c r="A32565">
        <v>70195</v>
      </c>
      <c r="B32565" t="s">
        <v>8670</v>
      </c>
    </row>
    <row r="32566" spans="1:2" x14ac:dyDescent="0.25">
      <c r="A32566">
        <v>70195100000</v>
      </c>
      <c r="B32566" t="s">
        <v>9703</v>
      </c>
    </row>
    <row r="32567" spans="1:2" x14ac:dyDescent="0.25">
      <c r="A32567">
        <v>701952</v>
      </c>
      <c r="B32567" t="s">
        <v>9704</v>
      </c>
    </row>
    <row r="32568" spans="1:2" x14ac:dyDescent="0.25">
      <c r="A32568">
        <v>70195210000</v>
      </c>
      <c r="B32568" t="s">
        <v>9705</v>
      </c>
    </row>
    <row r="32569" spans="1:2" x14ac:dyDescent="0.25">
      <c r="A32569">
        <v>70195290000</v>
      </c>
      <c r="B32569" t="s">
        <v>10</v>
      </c>
    </row>
    <row r="32570" spans="1:2" x14ac:dyDescent="0.25">
      <c r="A32570">
        <v>70195900</v>
      </c>
      <c r="B32570" t="e">
        <f>- - Los demas</f>
        <v>#NAME?</v>
      </c>
    </row>
    <row r="32571" spans="1:2" x14ac:dyDescent="0.25">
      <c r="A32571">
        <v>70195900100</v>
      </c>
      <c r="B32571" t="s">
        <v>9706</v>
      </c>
    </row>
    <row r="32572" spans="1:2" x14ac:dyDescent="0.25">
      <c r="A32572">
        <v>70195900900</v>
      </c>
      <c r="B32572" t="s">
        <v>10</v>
      </c>
    </row>
    <row r="32573" spans="1:2" x14ac:dyDescent="0.25">
      <c r="A32573">
        <v>701990</v>
      </c>
      <c r="B32573" t="e">
        <f>- las demas</f>
        <v>#NAME?</v>
      </c>
    </row>
    <row r="32574" spans="1:2" x14ac:dyDescent="0.25">
      <c r="A32574">
        <v>70199010000</v>
      </c>
      <c r="B32574" t="s">
        <v>9707</v>
      </c>
    </row>
    <row r="32575" spans="1:2" x14ac:dyDescent="0.25">
      <c r="A32575">
        <v>70199090</v>
      </c>
      <c r="B32575" t="s">
        <v>57</v>
      </c>
    </row>
    <row r="32576" spans="1:2" x14ac:dyDescent="0.25">
      <c r="A32576">
        <v>70199090100</v>
      </c>
      <c r="B32576" t="s">
        <v>9708</v>
      </c>
    </row>
    <row r="32577" spans="1:2" x14ac:dyDescent="0.25">
      <c r="A32577">
        <v>70199090200</v>
      </c>
      <c r="B32577" t="s">
        <v>9709</v>
      </c>
    </row>
    <row r="32578" spans="1:2" x14ac:dyDescent="0.25">
      <c r="A32578">
        <v>70199090900</v>
      </c>
      <c r="B32578" t="s">
        <v>57</v>
      </c>
    </row>
    <row r="32579" spans="1:2" x14ac:dyDescent="0.25">
      <c r="A32579">
        <v>702000</v>
      </c>
      <c r="B32579" t="s">
        <v>9710</v>
      </c>
    </row>
    <row r="32580" spans="1:2" x14ac:dyDescent="0.25">
      <c r="A32580">
        <v>70200010</v>
      </c>
      <c r="B32580" t="s">
        <v>9711</v>
      </c>
    </row>
    <row r="32581" spans="1:2" x14ac:dyDescent="0.25">
      <c r="A32581">
        <v>70200010100</v>
      </c>
      <c r="B32581" t="s">
        <v>9712</v>
      </c>
    </row>
    <row r="32582" spans="1:2" x14ac:dyDescent="0.25">
      <c r="A32582">
        <v>70200010900</v>
      </c>
      <c r="B32582" t="s">
        <v>57</v>
      </c>
    </row>
    <row r="32583" spans="1:2" x14ac:dyDescent="0.25">
      <c r="A32583">
        <v>70200090000</v>
      </c>
      <c r="B32583" t="s">
        <v>57</v>
      </c>
    </row>
    <row r="32584" spans="1:2" x14ac:dyDescent="0.25">
      <c r="A32584">
        <v>7101</v>
      </c>
      <c r="B32584" t="s">
        <v>9713</v>
      </c>
    </row>
    <row r="32585" spans="1:2" x14ac:dyDescent="0.25">
      <c r="A32585">
        <v>71011000</v>
      </c>
      <c r="B32585" t="s">
        <v>9714</v>
      </c>
    </row>
    <row r="32586" spans="1:2" x14ac:dyDescent="0.25">
      <c r="A32586">
        <v>71011000100</v>
      </c>
      <c r="B32586" t="s">
        <v>1197</v>
      </c>
    </row>
    <row r="32587" spans="1:2" x14ac:dyDescent="0.25">
      <c r="A32587">
        <v>710110002</v>
      </c>
      <c r="B32587" t="s">
        <v>9715</v>
      </c>
    </row>
    <row r="32588" spans="1:2" x14ac:dyDescent="0.25">
      <c r="A32588">
        <v>71011000210</v>
      </c>
      <c r="B32588" t="s">
        <v>9716</v>
      </c>
    </row>
    <row r="32589" spans="1:2" x14ac:dyDescent="0.25">
      <c r="A32589">
        <v>71011000290</v>
      </c>
      <c r="B32589" t="s">
        <v>57</v>
      </c>
    </row>
    <row r="32590" spans="1:2" x14ac:dyDescent="0.25">
      <c r="A32590">
        <v>71012</v>
      </c>
      <c r="B32590" t="s">
        <v>9717</v>
      </c>
    </row>
    <row r="32591" spans="1:2" x14ac:dyDescent="0.25">
      <c r="A32591">
        <v>71012100000</v>
      </c>
      <c r="B32591" t="e">
        <f>--En bruto</f>
        <v>#NAME?</v>
      </c>
    </row>
    <row r="32592" spans="1:2" x14ac:dyDescent="0.25">
      <c r="A32592">
        <v>71012200</v>
      </c>
      <c r="B32592" t="e">
        <f>- - Trabajadas</f>
        <v>#NAME?</v>
      </c>
    </row>
    <row r="32593" spans="1:2" x14ac:dyDescent="0.25">
      <c r="A32593">
        <v>71012200100</v>
      </c>
      <c r="B32593" t="s">
        <v>9716</v>
      </c>
    </row>
    <row r="32594" spans="1:2" x14ac:dyDescent="0.25">
      <c r="A32594">
        <v>71012200900</v>
      </c>
      <c r="B32594" t="s">
        <v>57</v>
      </c>
    </row>
    <row r="32595" spans="1:2" x14ac:dyDescent="0.25">
      <c r="A32595">
        <v>7102</v>
      </c>
      <c r="B32595" t="s">
        <v>9718</v>
      </c>
    </row>
    <row r="32596" spans="1:2" x14ac:dyDescent="0.25">
      <c r="A32596">
        <v>71021000000</v>
      </c>
      <c r="B32596" t="e">
        <f>-sin clasificar</f>
        <v>#NAME?</v>
      </c>
    </row>
    <row r="32597" spans="1:2" x14ac:dyDescent="0.25">
      <c r="A32597">
        <v>71022</v>
      </c>
      <c r="B32597" t="s">
        <v>9719</v>
      </c>
    </row>
    <row r="32598" spans="1:2" x14ac:dyDescent="0.25">
      <c r="A32598">
        <v>71022100000</v>
      </c>
      <c r="B32598" t="e">
        <f>--En bruto o Simplemente aserrados. exfoliados o desbastados</f>
        <v>#NAME?</v>
      </c>
    </row>
    <row r="32599" spans="1:2" x14ac:dyDescent="0.25">
      <c r="A32599">
        <v>71022900</v>
      </c>
      <c r="B32599" t="e">
        <f>- - Los demas</f>
        <v>#NAME?</v>
      </c>
    </row>
    <row r="32600" spans="1:2" x14ac:dyDescent="0.25">
      <c r="A32600">
        <v>71022900100</v>
      </c>
      <c r="B32600" t="s">
        <v>9720</v>
      </c>
    </row>
    <row r="32601" spans="1:2" x14ac:dyDescent="0.25">
      <c r="A32601">
        <v>71022900900</v>
      </c>
      <c r="B32601" t="s">
        <v>10</v>
      </c>
    </row>
    <row r="32602" spans="1:2" x14ac:dyDescent="0.25">
      <c r="A32602">
        <v>71023</v>
      </c>
      <c r="B32602" t="s">
        <v>9721</v>
      </c>
    </row>
    <row r="32603" spans="1:2" x14ac:dyDescent="0.25">
      <c r="A32603">
        <v>71023100000</v>
      </c>
      <c r="B32603" t="e">
        <f>--En bruto o Simplemente aserrados. exfoliados o desbastados</f>
        <v>#NAME?</v>
      </c>
    </row>
    <row r="32604" spans="1:2" x14ac:dyDescent="0.25">
      <c r="A32604">
        <v>71023900000</v>
      </c>
      <c r="B32604" t="e">
        <f>--Los demas</f>
        <v>#NAME?</v>
      </c>
    </row>
    <row r="32605" spans="1:2" x14ac:dyDescent="0.25">
      <c r="A32605">
        <v>7103</v>
      </c>
      <c r="B32605" t="s">
        <v>9722</v>
      </c>
    </row>
    <row r="32606" spans="1:2" x14ac:dyDescent="0.25">
      <c r="A32606">
        <v>71031000</v>
      </c>
      <c r="B32606" t="e">
        <f>- En bruto o Simplemente aserradas o desbastadas</f>
        <v>#NAME?</v>
      </c>
    </row>
    <row r="32607" spans="1:2" x14ac:dyDescent="0.25">
      <c r="A32607">
        <v>71031000100</v>
      </c>
      <c r="B32607" t="s">
        <v>9723</v>
      </c>
    </row>
    <row r="32608" spans="1:2" x14ac:dyDescent="0.25">
      <c r="A32608">
        <v>71031000900</v>
      </c>
      <c r="B32608" t="s">
        <v>57</v>
      </c>
    </row>
    <row r="32609" spans="1:2" x14ac:dyDescent="0.25">
      <c r="A32609">
        <v>71039</v>
      </c>
      <c r="B32609" t="s">
        <v>9724</v>
      </c>
    </row>
    <row r="32610" spans="1:2" x14ac:dyDescent="0.25">
      <c r="A32610">
        <v>71039100000</v>
      </c>
      <c r="B32610" t="e">
        <f>--Rubies. zafiros y esmeraldas</f>
        <v>#NAME?</v>
      </c>
    </row>
    <row r="32611" spans="1:2" x14ac:dyDescent="0.25">
      <c r="A32611">
        <v>71039900</v>
      </c>
      <c r="B32611" t="e">
        <f>- - las demas</f>
        <v>#NAME?</v>
      </c>
    </row>
    <row r="32612" spans="1:2" x14ac:dyDescent="0.25">
      <c r="A32612">
        <v>71039900100</v>
      </c>
      <c r="B32612" t="s">
        <v>9725</v>
      </c>
    </row>
    <row r="32613" spans="1:2" x14ac:dyDescent="0.25">
      <c r="A32613">
        <v>71039900900</v>
      </c>
      <c r="B32613" t="s">
        <v>57</v>
      </c>
    </row>
    <row r="32614" spans="1:2" x14ac:dyDescent="0.25">
      <c r="A32614">
        <v>7104</v>
      </c>
      <c r="B32614" t="s">
        <v>9726</v>
      </c>
    </row>
    <row r="32615" spans="1:2" x14ac:dyDescent="0.25">
      <c r="A32615">
        <v>71041000000</v>
      </c>
      <c r="B32615" t="e">
        <f>-Cuarzo piezoelectrico</f>
        <v>#NAME?</v>
      </c>
    </row>
    <row r="32616" spans="1:2" x14ac:dyDescent="0.25">
      <c r="A32616">
        <v>710420</v>
      </c>
      <c r="B32616" t="e">
        <f>- las demas. En bruto o Simplemente aserradas o desbastadas</f>
        <v>#NAME?</v>
      </c>
    </row>
    <row r="32617" spans="1:2" x14ac:dyDescent="0.25">
      <c r="A32617">
        <v>71042010000</v>
      </c>
      <c r="B32617" t="s">
        <v>9727</v>
      </c>
    </row>
    <row r="32618" spans="1:2" x14ac:dyDescent="0.25">
      <c r="A32618">
        <v>71042090000</v>
      </c>
      <c r="B32618" t="s">
        <v>57</v>
      </c>
    </row>
    <row r="32619" spans="1:2" x14ac:dyDescent="0.25">
      <c r="A32619">
        <v>71049000000</v>
      </c>
      <c r="B32619" t="e">
        <f>-las demas</f>
        <v>#NAME?</v>
      </c>
    </row>
    <row r="32620" spans="1:2" x14ac:dyDescent="0.25">
      <c r="A32620">
        <v>7105</v>
      </c>
      <c r="B32620" t="s">
        <v>9728</v>
      </c>
    </row>
    <row r="32621" spans="1:2" x14ac:dyDescent="0.25">
      <c r="A32621">
        <v>71051000000</v>
      </c>
      <c r="B32621" t="e">
        <f>-de diamante</f>
        <v>#NAME?</v>
      </c>
    </row>
    <row r="32622" spans="1:2" x14ac:dyDescent="0.25">
      <c r="A32622">
        <v>71059000000</v>
      </c>
      <c r="B32622" t="e">
        <f>-Los demas</f>
        <v>#NAME?</v>
      </c>
    </row>
    <row r="32623" spans="1:2" x14ac:dyDescent="0.25">
      <c r="A32623">
        <v>7106</v>
      </c>
      <c r="B32623" t="s">
        <v>9729</v>
      </c>
    </row>
    <row r="32624" spans="1:2" x14ac:dyDescent="0.25">
      <c r="A32624">
        <v>71061000000</v>
      </c>
      <c r="B32624" t="e">
        <f>-polvo</f>
        <v>#NAME?</v>
      </c>
    </row>
    <row r="32625" spans="1:2" x14ac:dyDescent="0.25">
      <c r="A32625">
        <v>71069</v>
      </c>
      <c r="B32625" t="s">
        <v>567</v>
      </c>
    </row>
    <row r="32626" spans="1:2" x14ac:dyDescent="0.25">
      <c r="A32626">
        <v>71069100000</v>
      </c>
      <c r="B32626" t="e">
        <f>--En bruto</f>
        <v>#NAME?</v>
      </c>
    </row>
    <row r="32627" spans="1:2" x14ac:dyDescent="0.25">
      <c r="A32627">
        <v>710692</v>
      </c>
      <c r="B32627" t="e">
        <f>- - Semilabrada</f>
        <v>#NAME?</v>
      </c>
    </row>
    <row r="32628" spans="1:2" x14ac:dyDescent="0.25">
      <c r="A32628">
        <v>71069210000</v>
      </c>
      <c r="B32628" t="s">
        <v>9730</v>
      </c>
    </row>
    <row r="32629" spans="1:2" x14ac:dyDescent="0.25">
      <c r="A32629">
        <v>71069220000</v>
      </c>
      <c r="B32629" t="s">
        <v>9731</v>
      </c>
    </row>
    <row r="32630" spans="1:2" x14ac:dyDescent="0.25">
      <c r="A32630">
        <v>71069290000</v>
      </c>
      <c r="B32630" t="s">
        <v>57</v>
      </c>
    </row>
    <row r="32631" spans="1:2" x14ac:dyDescent="0.25">
      <c r="A32631">
        <v>71070000000</v>
      </c>
      <c r="B32631" t="s">
        <v>9732</v>
      </c>
    </row>
    <row r="32632" spans="1:2" x14ac:dyDescent="0.25">
      <c r="A32632">
        <v>7108</v>
      </c>
      <c r="B32632" t="s">
        <v>9733</v>
      </c>
    </row>
    <row r="32633" spans="1:2" x14ac:dyDescent="0.25">
      <c r="A32633">
        <v>71081</v>
      </c>
      <c r="B32633" t="s">
        <v>9734</v>
      </c>
    </row>
    <row r="32634" spans="1:2" x14ac:dyDescent="0.25">
      <c r="A32634">
        <v>71081100000</v>
      </c>
      <c r="B32634" t="e">
        <f>--polvo</f>
        <v>#NAME?</v>
      </c>
    </row>
    <row r="32635" spans="1:2" x14ac:dyDescent="0.25">
      <c r="A32635">
        <v>710812</v>
      </c>
      <c r="B32635" t="e">
        <f>- - las demas formas En bruto</f>
        <v>#NAME?</v>
      </c>
    </row>
    <row r="32636" spans="1:2" x14ac:dyDescent="0.25">
      <c r="A32636">
        <v>71081210000</v>
      </c>
      <c r="B32636" t="s">
        <v>9735</v>
      </c>
    </row>
    <row r="32637" spans="1:2" x14ac:dyDescent="0.25">
      <c r="A32637">
        <v>71081290000</v>
      </c>
      <c r="B32637" t="s">
        <v>57</v>
      </c>
    </row>
    <row r="32638" spans="1:2" x14ac:dyDescent="0.25">
      <c r="A32638">
        <v>710813</v>
      </c>
      <c r="B32638" t="e">
        <f>- - las demas formas semilabradas</f>
        <v>#NAME?</v>
      </c>
    </row>
    <row r="32639" spans="1:2" x14ac:dyDescent="0.25">
      <c r="A32639">
        <v>71081310000</v>
      </c>
      <c r="B32639" t="s">
        <v>9730</v>
      </c>
    </row>
    <row r="32640" spans="1:2" x14ac:dyDescent="0.25">
      <c r="A32640">
        <v>71081390000</v>
      </c>
      <c r="B32640" t="s">
        <v>57</v>
      </c>
    </row>
    <row r="32641" spans="1:2" x14ac:dyDescent="0.25">
      <c r="A32641">
        <v>71082000000</v>
      </c>
      <c r="B32641" t="e">
        <f>-para uso monetario</f>
        <v>#NAME?</v>
      </c>
    </row>
    <row r="32642" spans="1:2" x14ac:dyDescent="0.25">
      <c r="A32642">
        <v>71090000000</v>
      </c>
      <c r="B32642" t="s">
        <v>9736</v>
      </c>
    </row>
    <row r="32643" spans="1:2" x14ac:dyDescent="0.25">
      <c r="A32643">
        <v>7110</v>
      </c>
      <c r="B32643" t="s">
        <v>9737</v>
      </c>
    </row>
    <row r="32644" spans="1:2" x14ac:dyDescent="0.25">
      <c r="A32644">
        <v>71101</v>
      </c>
      <c r="B32644" t="s">
        <v>9738</v>
      </c>
    </row>
    <row r="32645" spans="1:2" x14ac:dyDescent="0.25">
      <c r="A32645">
        <v>71101100</v>
      </c>
      <c r="B32645" t="e">
        <f>- - En bruto o En polvo</f>
        <v>#NAME?</v>
      </c>
    </row>
    <row r="32646" spans="1:2" x14ac:dyDescent="0.25">
      <c r="A32646">
        <v>71101100100</v>
      </c>
      <c r="B32646" t="s">
        <v>9739</v>
      </c>
    </row>
    <row r="32647" spans="1:2" x14ac:dyDescent="0.25">
      <c r="A32647">
        <v>71101100900</v>
      </c>
      <c r="B32647" t="s">
        <v>10</v>
      </c>
    </row>
    <row r="32648" spans="1:2" x14ac:dyDescent="0.25">
      <c r="A32648">
        <v>711019</v>
      </c>
      <c r="B32648" t="e">
        <f>- - Los demas</f>
        <v>#NAME?</v>
      </c>
    </row>
    <row r="32649" spans="1:2" x14ac:dyDescent="0.25">
      <c r="A32649">
        <v>71101910000</v>
      </c>
      <c r="B32649" t="s">
        <v>9730</v>
      </c>
    </row>
    <row r="32650" spans="1:2" x14ac:dyDescent="0.25">
      <c r="A32650">
        <v>71101990000</v>
      </c>
      <c r="B32650" t="s">
        <v>10</v>
      </c>
    </row>
    <row r="32651" spans="1:2" x14ac:dyDescent="0.25">
      <c r="A32651">
        <v>71102</v>
      </c>
      <c r="B32651" t="s">
        <v>9740</v>
      </c>
    </row>
    <row r="32652" spans="1:2" x14ac:dyDescent="0.25">
      <c r="A32652">
        <v>71102100000</v>
      </c>
      <c r="B32652" t="e">
        <f>--En bruto o En polvo</f>
        <v>#NAME?</v>
      </c>
    </row>
    <row r="32653" spans="1:2" x14ac:dyDescent="0.25">
      <c r="A32653">
        <v>71102900000</v>
      </c>
      <c r="B32653" t="e">
        <f>--Los demas</f>
        <v>#NAME?</v>
      </c>
    </row>
    <row r="32654" spans="1:2" x14ac:dyDescent="0.25">
      <c r="A32654">
        <v>71103</v>
      </c>
      <c r="B32654" t="s">
        <v>9741</v>
      </c>
    </row>
    <row r="32655" spans="1:2" x14ac:dyDescent="0.25">
      <c r="A32655">
        <v>71103100000</v>
      </c>
      <c r="B32655" t="e">
        <f>--En bruto o En polvo</f>
        <v>#NAME?</v>
      </c>
    </row>
    <row r="32656" spans="1:2" x14ac:dyDescent="0.25">
      <c r="A32656">
        <v>71103900000</v>
      </c>
      <c r="B32656" t="e">
        <f>--Los demas</f>
        <v>#NAME?</v>
      </c>
    </row>
    <row r="32657" spans="1:2" x14ac:dyDescent="0.25">
      <c r="A32657">
        <v>71104</v>
      </c>
      <c r="B32657" t="s">
        <v>9742</v>
      </c>
    </row>
    <row r="32658" spans="1:2" x14ac:dyDescent="0.25">
      <c r="A32658">
        <v>71104100000</v>
      </c>
      <c r="B32658" t="e">
        <f>--En bruto o En polvo</f>
        <v>#NAME?</v>
      </c>
    </row>
    <row r="32659" spans="1:2" x14ac:dyDescent="0.25">
      <c r="A32659">
        <v>71104900000</v>
      </c>
      <c r="B32659" t="e">
        <f>--Los demas</f>
        <v>#NAME?</v>
      </c>
    </row>
    <row r="32660" spans="1:2" x14ac:dyDescent="0.25">
      <c r="A32660">
        <v>71110000000</v>
      </c>
      <c r="B32660" t="s">
        <v>9743</v>
      </c>
    </row>
    <row r="32661" spans="1:2" x14ac:dyDescent="0.25">
      <c r="A32661">
        <v>7112</v>
      </c>
      <c r="B32661" t="s">
        <v>9744</v>
      </c>
    </row>
    <row r="32662" spans="1:2" x14ac:dyDescent="0.25">
      <c r="A32662">
        <v>711230</v>
      </c>
      <c r="B32662" t="e">
        <f>- cenizas que contengan Metal precioso o compuestos de Metal precioso</f>
        <v>#NAME?</v>
      </c>
    </row>
    <row r="32663" spans="1:2" x14ac:dyDescent="0.25">
      <c r="A32663">
        <v>71123010000</v>
      </c>
      <c r="B32663" t="s">
        <v>9745</v>
      </c>
    </row>
    <row r="32664" spans="1:2" x14ac:dyDescent="0.25">
      <c r="A32664">
        <v>71123020000</v>
      </c>
      <c r="B32664" t="s">
        <v>9746</v>
      </c>
    </row>
    <row r="32665" spans="1:2" x14ac:dyDescent="0.25">
      <c r="A32665">
        <v>71123090</v>
      </c>
      <c r="B32665" t="s">
        <v>57</v>
      </c>
    </row>
    <row r="32666" spans="1:2" x14ac:dyDescent="0.25">
      <c r="A32666">
        <v>71123090100</v>
      </c>
      <c r="B32666" t="s">
        <v>9747</v>
      </c>
    </row>
    <row r="32667" spans="1:2" x14ac:dyDescent="0.25">
      <c r="A32667">
        <v>71123090900</v>
      </c>
      <c r="B32667" t="s">
        <v>57</v>
      </c>
    </row>
    <row r="32668" spans="1:2" x14ac:dyDescent="0.25">
      <c r="A32668">
        <v>71129</v>
      </c>
      <c r="B32668" t="s">
        <v>28</v>
      </c>
    </row>
    <row r="32669" spans="1:2" x14ac:dyDescent="0.25">
      <c r="A32669">
        <v>71129100000</v>
      </c>
      <c r="B32669" t="e">
        <f>--de oro o de chapado (plaque) de oro. excepto las barreduras que contengan otro Metal precioso</f>
        <v>#NAME?</v>
      </c>
    </row>
    <row r="32670" spans="1:2" x14ac:dyDescent="0.25">
      <c r="A32670">
        <v>71129200000</v>
      </c>
      <c r="B32670" t="e">
        <f>--de Platino o de chapado (plaque) de platino. excepto las barreduras que contengan otro Metal precioso</f>
        <v>#NAME?</v>
      </c>
    </row>
    <row r="32671" spans="1:2" x14ac:dyDescent="0.25">
      <c r="A32671">
        <v>71129900</v>
      </c>
      <c r="B32671" t="e">
        <f>- - Los demas</f>
        <v>#NAME?</v>
      </c>
    </row>
    <row r="32672" spans="1:2" x14ac:dyDescent="0.25">
      <c r="A32672">
        <v>71129900100</v>
      </c>
      <c r="B32672" t="s">
        <v>9748</v>
      </c>
    </row>
    <row r="32673" spans="1:2" x14ac:dyDescent="0.25">
      <c r="A32673">
        <v>71129900900</v>
      </c>
      <c r="B32673" t="s">
        <v>10</v>
      </c>
    </row>
    <row r="32674" spans="1:2" x14ac:dyDescent="0.25">
      <c r="A32674">
        <v>7113</v>
      </c>
      <c r="B32674" t="s">
        <v>9749</v>
      </c>
    </row>
    <row r="32675" spans="1:2" x14ac:dyDescent="0.25">
      <c r="A32675">
        <v>71131</v>
      </c>
      <c r="B32675" t="s">
        <v>9750</v>
      </c>
    </row>
    <row r="32676" spans="1:2" x14ac:dyDescent="0.25">
      <c r="A32676">
        <v>71131100</v>
      </c>
      <c r="B32676" t="e">
        <f>- - de plata. incluso revestida o chapada de otro Metal precioso (plaque)</f>
        <v>#NAME?</v>
      </c>
    </row>
    <row r="32677" spans="1:2" x14ac:dyDescent="0.25">
      <c r="A32677">
        <v>711311001</v>
      </c>
      <c r="B32677" t="s">
        <v>9751</v>
      </c>
    </row>
    <row r="32678" spans="1:2" x14ac:dyDescent="0.25">
      <c r="A32678">
        <v>71131100110</v>
      </c>
      <c r="B32678" t="s">
        <v>9752</v>
      </c>
    </row>
    <row r="32679" spans="1:2" x14ac:dyDescent="0.25">
      <c r="A32679">
        <v>71131100190</v>
      </c>
      <c r="B32679" t="s">
        <v>10</v>
      </c>
    </row>
    <row r="32680" spans="1:2" x14ac:dyDescent="0.25">
      <c r="A32680">
        <v>711311002</v>
      </c>
      <c r="B32680" t="s">
        <v>9753</v>
      </c>
    </row>
    <row r="32681" spans="1:2" x14ac:dyDescent="0.25">
      <c r="A32681">
        <v>71131100210</v>
      </c>
      <c r="B32681" t="s">
        <v>9752</v>
      </c>
    </row>
    <row r="32682" spans="1:2" x14ac:dyDescent="0.25">
      <c r="A32682">
        <v>71131100290</v>
      </c>
      <c r="B32682" t="s">
        <v>10</v>
      </c>
    </row>
    <row r="32683" spans="1:2" x14ac:dyDescent="0.25">
      <c r="A32683">
        <v>711311003</v>
      </c>
      <c r="B32683" t="s">
        <v>9754</v>
      </c>
    </row>
    <row r="32684" spans="1:2" x14ac:dyDescent="0.25">
      <c r="A32684">
        <v>71131100310</v>
      </c>
      <c r="B32684" t="s">
        <v>9752</v>
      </c>
    </row>
    <row r="32685" spans="1:2" x14ac:dyDescent="0.25">
      <c r="A32685">
        <v>71131100390</v>
      </c>
      <c r="B32685" t="s">
        <v>10</v>
      </c>
    </row>
    <row r="32686" spans="1:2" x14ac:dyDescent="0.25">
      <c r="A32686">
        <v>71131900</v>
      </c>
      <c r="B32686" t="e">
        <f>- - de Los demas metales preciosos. incluso revestidos o chapados de Metal precioso (plaque)</f>
        <v>#NAME?</v>
      </c>
    </row>
    <row r="32687" spans="1:2" x14ac:dyDescent="0.25">
      <c r="A32687">
        <v>711319001</v>
      </c>
      <c r="B32687" t="s">
        <v>1963</v>
      </c>
    </row>
    <row r="32688" spans="1:2" x14ac:dyDescent="0.25">
      <c r="A32688">
        <v>71131900110</v>
      </c>
      <c r="B32688" t="s">
        <v>9752</v>
      </c>
    </row>
    <row r="32689" spans="1:2" x14ac:dyDescent="0.25">
      <c r="A32689">
        <v>71131900190</v>
      </c>
      <c r="B32689" t="s">
        <v>10</v>
      </c>
    </row>
    <row r="32690" spans="1:2" x14ac:dyDescent="0.25">
      <c r="A32690">
        <v>711319002</v>
      </c>
      <c r="B32690" t="s">
        <v>9754</v>
      </c>
    </row>
    <row r="32691" spans="1:2" x14ac:dyDescent="0.25">
      <c r="A32691">
        <v>71131900210</v>
      </c>
      <c r="B32691" t="s">
        <v>9752</v>
      </c>
    </row>
    <row r="32692" spans="1:2" x14ac:dyDescent="0.25">
      <c r="A32692">
        <v>71131900290</v>
      </c>
      <c r="B32692" t="s">
        <v>10</v>
      </c>
    </row>
    <row r="32693" spans="1:2" x14ac:dyDescent="0.25">
      <c r="A32693">
        <v>711319003</v>
      </c>
      <c r="B32693" t="s">
        <v>9755</v>
      </c>
    </row>
    <row r="32694" spans="1:2" x14ac:dyDescent="0.25">
      <c r="A32694">
        <v>71131900310</v>
      </c>
      <c r="B32694" t="s">
        <v>9752</v>
      </c>
    </row>
    <row r="32695" spans="1:2" x14ac:dyDescent="0.25">
      <c r="A32695">
        <v>71131900390</v>
      </c>
      <c r="B32695" t="s">
        <v>10</v>
      </c>
    </row>
    <row r="32696" spans="1:2" x14ac:dyDescent="0.25">
      <c r="A32696">
        <v>71132000</v>
      </c>
      <c r="B32696" t="e">
        <f>- de chapado de Metal precioso (plaque) sobre Metal comun</f>
        <v>#NAME?</v>
      </c>
    </row>
    <row r="32697" spans="1:2" x14ac:dyDescent="0.25">
      <c r="A32697">
        <v>711320001</v>
      </c>
      <c r="B32697" t="s">
        <v>9756</v>
      </c>
    </row>
    <row r="32698" spans="1:2" x14ac:dyDescent="0.25">
      <c r="A32698">
        <v>71132000110</v>
      </c>
      <c r="B32698" t="s">
        <v>9752</v>
      </c>
    </row>
    <row r="32699" spans="1:2" x14ac:dyDescent="0.25">
      <c r="A32699">
        <v>71132000190</v>
      </c>
      <c r="B32699" t="s">
        <v>10</v>
      </c>
    </row>
    <row r="32700" spans="1:2" x14ac:dyDescent="0.25">
      <c r="A32700">
        <v>711320002</v>
      </c>
      <c r="B32700" t="s">
        <v>9757</v>
      </c>
    </row>
    <row r="32701" spans="1:2" x14ac:dyDescent="0.25">
      <c r="A32701">
        <v>71132000210</v>
      </c>
      <c r="B32701" t="s">
        <v>9752</v>
      </c>
    </row>
    <row r="32702" spans="1:2" x14ac:dyDescent="0.25">
      <c r="A32702">
        <v>71132000290</v>
      </c>
      <c r="B32702" t="s">
        <v>10</v>
      </c>
    </row>
    <row r="32703" spans="1:2" x14ac:dyDescent="0.25">
      <c r="A32703">
        <v>711320003</v>
      </c>
      <c r="B32703" t="s">
        <v>9758</v>
      </c>
    </row>
    <row r="32704" spans="1:2" x14ac:dyDescent="0.25">
      <c r="A32704">
        <v>71132000310</v>
      </c>
      <c r="B32704" t="s">
        <v>9752</v>
      </c>
    </row>
    <row r="32705" spans="1:2" x14ac:dyDescent="0.25">
      <c r="A32705">
        <v>71132000390</v>
      </c>
      <c r="B32705" t="s">
        <v>10</v>
      </c>
    </row>
    <row r="32706" spans="1:2" x14ac:dyDescent="0.25">
      <c r="A32706">
        <v>7114</v>
      </c>
      <c r="B32706" t="s">
        <v>9759</v>
      </c>
    </row>
    <row r="32707" spans="1:2" x14ac:dyDescent="0.25">
      <c r="A32707">
        <v>71141</v>
      </c>
      <c r="B32707" t="s">
        <v>9750</v>
      </c>
    </row>
    <row r="32708" spans="1:2" x14ac:dyDescent="0.25">
      <c r="A32708">
        <v>71141100</v>
      </c>
      <c r="B32708" t="e">
        <f>- - de plata. incluso revestida o chapada de otro Metal precioso (plaque)</f>
        <v>#NAME?</v>
      </c>
    </row>
    <row r="32709" spans="1:2" x14ac:dyDescent="0.25">
      <c r="A32709">
        <v>711411001</v>
      </c>
      <c r="B32709" t="s">
        <v>9751</v>
      </c>
    </row>
    <row r="32710" spans="1:2" x14ac:dyDescent="0.25">
      <c r="A32710">
        <v>71141100110</v>
      </c>
      <c r="B32710" t="s">
        <v>9752</v>
      </c>
    </row>
    <row r="32711" spans="1:2" x14ac:dyDescent="0.25">
      <c r="A32711">
        <v>71141100190</v>
      </c>
      <c r="B32711" t="s">
        <v>10</v>
      </c>
    </row>
    <row r="32712" spans="1:2" x14ac:dyDescent="0.25">
      <c r="A32712">
        <v>711411002</v>
      </c>
      <c r="B32712" t="s">
        <v>9753</v>
      </c>
    </row>
    <row r="32713" spans="1:2" x14ac:dyDescent="0.25">
      <c r="A32713">
        <v>71141100210</v>
      </c>
      <c r="B32713" t="s">
        <v>9752</v>
      </c>
    </row>
    <row r="32714" spans="1:2" x14ac:dyDescent="0.25">
      <c r="A32714">
        <v>71141100290</v>
      </c>
      <c r="B32714" t="s">
        <v>10</v>
      </c>
    </row>
    <row r="32715" spans="1:2" x14ac:dyDescent="0.25">
      <c r="A32715">
        <v>711411003</v>
      </c>
      <c r="B32715" t="s">
        <v>9754</v>
      </c>
    </row>
    <row r="32716" spans="1:2" x14ac:dyDescent="0.25">
      <c r="A32716">
        <v>71141100310</v>
      </c>
      <c r="B32716" t="s">
        <v>9752</v>
      </c>
    </row>
    <row r="32717" spans="1:2" x14ac:dyDescent="0.25">
      <c r="A32717">
        <v>71141100390</v>
      </c>
      <c r="B32717" t="s">
        <v>10</v>
      </c>
    </row>
    <row r="32718" spans="1:2" x14ac:dyDescent="0.25">
      <c r="A32718">
        <v>71141900</v>
      </c>
      <c r="B32718" t="e">
        <f>- - de Los demas metales preciosos. incluso revestidos o chapados de Metal precioso (plaque)</f>
        <v>#NAME?</v>
      </c>
    </row>
    <row r="32719" spans="1:2" x14ac:dyDescent="0.25">
      <c r="A32719">
        <v>711419001</v>
      </c>
      <c r="B32719" t="s">
        <v>1963</v>
      </c>
    </row>
    <row r="32720" spans="1:2" x14ac:dyDescent="0.25">
      <c r="A32720">
        <v>71141900110</v>
      </c>
      <c r="B32720" t="s">
        <v>9752</v>
      </c>
    </row>
    <row r="32721" spans="1:2" x14ac:dyDescent="0.25">
      <c r="A32721">
        <v>71141900190</v>
      </c>
      <c r="B32721" t="s">
        <v>10</v>
      </c>
    </row>
    <row r="32722" spans="1:2" x14ac:dyDescent="0.25">
      <c r="A32722">
        <v>711419002</v>
      </c>
      <c r="B32722" t="s">
        <v>9754</v>
      </c>
    </row>
    <row r="32723" spans="1:2" x14ac:dyDescent="0.25">
      <c r="A32723">
        <v>71141900210</v>
      </c>
      <c r="B32723" t="s">
        <v>9752</v>
      </c>
    </row>
    <row r="32724" spans="1:2" x14ac:dyDescent="0.25">
      <c r="A32724">
        <v>71141900290</v>
      </c>
      <c r="B32724" t="s">
        <v>10</v>
      </c>
    </row>
    <row r="32725" spans="1:2" x14ac:dyDescent="0.25">
      <c r="A32725">
        <v>711419003</v>
      </c>
      <c r="B32725" t="s">
        <v>9755</v>
      </c>
    </row>
    <row r="32726" spans="1:2" x14ac:dyDescent="0.25">
      <c r="A32726">
        <v>71141900310</v>
      </c>
      <c r="B32726" t="s">
        <v>9752</v>
      </c>
    </row>
    <row r="32727" spans="1:2" x14ac:dyDescent="0.25">
      <c r="A32727">
        <v>71141900390</v>
      </c>
      <c r="B32727" t="s">
        <v>10</v>
      </c>
    </row>
    <row r="32728" spans="1:2" x14ac:dyDescent="0.25">
      <c r="A32728">
        <v>71142000</v>
      </c>
      <c r="B32728" t="e">
        <f>- de chapado de Metal precioso (plaque) sobre Metal comun</f>
        <v>#NAME?</v>
      </c>
    </row>
    <row r="32729" spans="1:2" x14ac:dyDescent="0.25">
      <c r="A32729">
        <v>711420001</v>
      </c>
      <c r="B32729" t="s">
        <v>9756</v>
      </c>
    </row>
    <row r="32730" spans="1:2" x14ac:dyDescent="0.25">
      <c r="A32730">
        <v>71142000110</v>
      </c>
      <c r="B32730" t="s">
        <v>9752</v>
      </c>
    </row>
    <row r="32731" spans="1:2" x14ac:dyDescent="0.25">
      <c r="A32731">
        <v>71142000190</v>
      </c>
      <c r="B32731" t="s">
        <v>10</v>
      </c>
    </row>
    <row r="32732" spans="1:2" x14ac:dyDescent="0.25">
      <c r="A32732">
        <v>711420002</v>
      </c>
      <c r="B32732" t="s">
        <v>9757</v>
      </c>
    </row>
    <row r="32733" spans="1:2" x14ac:dyDescent="0.25">
      <c r="A32733">
        <v>71142000210</v>
      </c>
      <c r="B32733" t="s">
        <v>9752</v>
      </c>
    </row>
    <row r="32734" spans="1:2" x14ac:dyDescent="0.25">
      <c r="A32734">
        <v>71142000290</v>
      </c>
      <c r="B32734" t="s">
        <v>10</v>
      </c>
    </row>
    <row r="32735" spans="1:2" x14ac:dyDescent="0.25">
      <c r="A32735">
        <v>711420003</v>
      </c>
      <c r="B32735" t="s">
        <v>9758</v>
      </c>
    </row>
    <row r="32736" spans="1:2" x14ac:dyDescent="0.25">
      <c r="A32736">
        <v>71142000310</v>
      </c>
      <c r="B32736" t="s">
        <v>9752</v>
      </c>
    </row>
    <row r="32737" spans="1:2" x14ac:dyDescent="0.25">
      <c r="A32737">
        <v>71142000390</v>
      </c>
      <c r="B32737" t="s">
        <v>10</v>
      </c>
    </row>
    <row r="32738" spans="1:2" x14ac:dyDescent="0.25">
      <c r="A32738">
        <v>7115</v>
      </c>
      <c r="B32738" t="s">
        <v>9760</v>
      </c>
    </row>
    <row r="32739" spans="1:2" x14ac:dyDescent="0.25">
      <c r="A32739">
        <v>71151000000</v>
      </c>
      <c r="B32739" t="e">
        <f>-Catalizadores de Platino En forma de tela o enrejado</f>
        <v>#NAME?</v>
      </c>
    </row>
    <row r="32740" spans="1:2" x14ac:dyDescent="0.25">
      <c r="A32740">
        <v>71159000</v>
      </c>
      <c r="B32740" t="e">
        <f>- las demas</f>
        <v>#NAME?</v>
      </c>
    </row>
    <row r="32741" spans="1:2" x14ac:dyDescent="0.25">
      <c r="A32741">
        <v>71159000100</v>
      </c>
      <c r="B32741" t="s">
        <v>9761</v>
      </c>
    </row>
    <row r="32742" spans="1:2" x14ac:dyDescent="0.25">
      <c r="A32742">
        <v>71159000900</v>
      </c>
      <c r="B32742" t="s">
        <v>10</v>
      </c>
    </row>
    <row r="32743" spans="1:2" x14ac:dyDescent="0.25">
      <c r="A32743">
        <v>7116</v>
      </c>
      <c r="B32743" t="s">
        <v>9762</v>
      </c>
    </row>
    <row r="32744" spans="1:2" x14ac:dyDescent="0.25">
      <c r="A32744">
        <v>71161000000</v>
      </c>
      <c r="B32744" t="e">
        <f>-de Perlas finas (naturales)* o cultivadas</f>
        <v>#NAME?</v>
      </c>
    </row>
    <row r="32745" spans="1:2" x14ac:dyDescent="0.25">
      <c r="A32745">
        <v>711620</v>
      </c>
      <c r="B32745" t="e">
        <f>- de piedras preciosas o semipreciosas (naturales. sinteticas o reconstituidas)</f>
        <v>#NAME?</v>
      </c>
    </row>
    <row r="32746" spans="1:2" x14ac:dyDescent="0.25">
      <c r="A32746">
        <v>71162010000</v>
      </c>
      <c r="B32746" t="s">
        <v>9763</v>
      </c>
    </row>
    <row r="32747" spans="1:2" x14ac:dyDescent="0.25">
      <c r="A32747">
        <v>71162020000</v>
      </c>
      <c r="B32747" t="s">
        <v>9764</v>
      </c>
    </row>
    <row r="32748" spans="1:2" x14ac:dyDescent="0.25">
      <c r="A32748">
        <v>71162090</v>
      </c>
      <c r="B32748" t="s">
        <v>57</v>
      </c>
    </row>
    <row r="32749" spans="1:2" x14ac:dyDescent="0.25">
      <c r="A32749">
        <v>71162090100</v>
      </c>
      <c r="B32749" t="s">
        <v>9765</v>
      </c>
    </row>
    <row r="32750" spans="1:2" x14ac:dyDescent="0.25">
      <c r="A32750">
        <v>71162090200</v>
      </c>
      <c r="B32750" t="s">
        <v>9766</v>
      </c>
    </row>
    <row r="32751" spans="1:2" x14ac:dyDescent="0.25">
      <c r="A32751">
        <v>7117</v>
      </c>
      <c r="B32751" t="s">
        <v>9767</v>
      </c>
    </row>
    <row r="32752" spans="1:2" x14ac:dyDescent="0.25">
      <c r="A32752">
        <v>71171</v>
      </c>
      <c r="B32752" t="s">
        <v>9768</v>
      </c>
    </row>
    <row r="32753" spans="1:2" x14ac:dyDescent="0.25">
      <c r="A32753">
        <v>71171100000</v>
      </c>
      <c r="B32753" t="e">
        <f>--Gemelos y pasadores similares</f>
        <v>#NAME?</v>
      </c>
    </row>
    <row r="32754" spans="1:2" x14ac:dyDescent="0.25">
      <c r="A32754">
        <v>71171900000</v>
      </c>
      <c r="B32754" t="e">
        <f>--las demas</f>
        <v>#NAME?</v>
      </c>
    </row>
    <row r="32755" spans="1:2" x14ac:dyDescent="0.25">
      <c r="A32755">
        <v>71179000000</v>
      </c>
      <c r="B32755" t="e">
        <f>-las demas</f>
        <v>#NAME?</v>
      </c>
    </row>
    <row r="32756" spans="1:2" x14ac:dyDescent="0.25">
      <c r="A32756">
        <v>7118</v>
      </c>
      <c r="B32756" t="s">
        <v>9769</v>
      </c>
    </row>
    <row r="32757" spans="1:2" x14ac:dyDescent="0.25">
      <c r="A32757">
        <v>711810</v>
      </c>
      <c r="B32757" t="e">
        <f>- Monedas sin curso legal. excepto las de oro</f>
        <v>#NAME?</v>
      </c>
    </row>
    <row r="32758" spans="1:2" x14ac:dyDescent="0.25">
      <c r="A32758">
        <v>71181010000</v>
      </c>
      <c r="B32758" t="s">
        <v>9770</v>
      </c>
    </row>
    <row r="32759" spans="1:2" x14ac:dyDescent="0.25">
      <c r="A32759">
        <v>71181090000</v>
      </c>
      <c r="B32759" t="s">
        <v>57</v>
      </c>
    </row>
    <row r="32760" spans="1:2" x14ac:dyDescent="0.25">
      <c r="A32760">
        <v>71189000000</v>
      </c>
      <c r="B32760" t="e">
        <f>-las demas</f>
        <v>#NAME?</v>
      </c>
    </row>
    <row r="32761" spans="1:2" x14ac:dyDescent="0.25">
      <c r="A32761">
        <v>7201</v>
      </c>
      <c r="B32761" t="s">
        <v>9771</v>
      </c>
    </row>
    <row r="32762" spans="1:2" x14ac:dyDescent="0.25">
      <c r="A32762">
        <v>72011000000</v>
      </c>
      <c r="B32762" t="s">
        <v>9772</v>
      </c>
    </row>
    <row r="32763" spans="1:2" x14ac:dyDescent="0.25">
      <c r="A32763">
        <v>72012000000</v>
      </c>
      <c r="B32763" t="s">
        <v>9773</v>
      </c>
    </row>
    <row r="32764" spans="1:2" x14ac:dyDescent="0.25">
      <c r="A32764">
        <v>72015000000</v>
      </c>
      <c r="B32764" t="e">
        <f>-fundicion En bruto aleada, fundicion especular</f>
        <v>#NAME?</v>
      </c>
    </row>
    <row r="32765" spans="1:2" x14ac:dyDescent="0.25">
      <c r="A32765">
        <v>7202</v>
      </c>
      <c r="B32765" t="s">
        <v>9774</v>
      </c>
    </row>
    <row r="32766" spans="1:2" x14ac:dyDescent="0.25">
      <c r="A32766">
        <v>72021</v>
      </c>
      <c r="B32766" t="s">
        <v>9775</v>
      </c>
    </row>
    <row r="32767" spans="1:2" x14ac:dyDescent="0.25">
      <c r="A32767">
        <v>72021100000</v>
      </c>
      <c r="B32767" t="s">
        <v>9776</v>
      </c>
    </row>
    <row r="32768" spans="1:2" x14ac:dyDescent="0.25">
      <c r="A32768">
        <v>72021900000</v>
      </c>
      <c r="B32768" t="e">
        <f>--Los demas</f>
        <v>#NAME?</v>
      </c>
    </row>
    <row r="32769" spans="1:2" x14ac:dyDescent="0.25">
      <c r="A32769">
        <v>72022</v>
      </c>
      <c r="B32769" t="s">
        <v>9777</v>
      </c>
    </row>
    <row r="32770" spans="1:2" x14ac:dyDescent="0.25">
      <c r="A32770">
        <v>72022100000</v>
      </c>
      <c r="B32770" t="s">
        <v>9778</v>
      </c>
    </row>
    <row r="32771" spans="1:2" x14ac:dyDescent="0.25">
      <c r="A32771">
        <v>72022900</v>
      </c>
      <c r="B32771" t="e">
        <f>- - Los demas</f>
        <v>#NAME?</v>
      </c>
    </row>
    <row r="32772" spans="1:2" x14ac:dyDescent="0.25">
      <c r="A32772">
        <v>72022900100</v>
      </c>
      <c r="B32772" t="s">
        <v>9779</v>
      </c>
    </row>
    <row r="32773" spans="1:2" x14ac:dyDescent="0.25">
      <c r="A32773">
        <v>72022900900</v>
      </c>
      <c r="B32773" t="s">
        <v>10</v>
      </c>
    </row>
    <row r="32774" spans="1:2" x14ac:dyDescent="0.25">
      <c r="A32774">
        <v>72023000000</v>
      </c>
      <c r="B32774" t="e">
        <f>-Ferro-silico-manganeso</f>
        <v>#NAME?</v>
      </c>
    </row>
    <row r="32775" spans="1:2" x14ac:dyDescent="0.25">
      <c r="A32775">
        <v>72024</v>
      </c>
      <c r="B32775" t="s">
        <v>9780</v>
      </c>
    </row>
    <row r="32776" spans="1:2" x14ac:dyDescent="0.25">
      <c r="A32776">
        <v>72024100000</v>
      </c>
      <c r="B32776" t="s">
        <v>9781</v>
      </c>
    </row>
    <row r="32777" spans="1:2" x14ac:dyDescent="0.25">
      <c r="A32777">
        <v>72024900000</v>
      </c>
      <c r="B32777" t="e">
        <f>--Los demas</f>
        <v>#NAME?</v>
      </c>
    </row>
    <row r="32778" spans="1:2" x14ac:dyDescent="0.25">
      <c r="A32778">
        <v>72025000000</v>
      </c>
      <c r="B32778" t="e">
        <f>-Ferro-silico-cromo</f>
        <v>#NAME?</v>
      </c>
    </row>
    <row r="32779" spans="1:2" x14ac:dyDescent="0.25">
      <c r="A32779">
        <v>72026000000</v>
      </c>
      <c r="B32779" t="e">
        <f>-Ferroniquel</f>
        <v>#NAME?</v>
      </c>
    </row>
    <row r="32780" spans="1:2" x14ac:dyDescent="0.25">
      <c r="A32780">
        <v>72027000000</v>
      </c>
      <c r="B32780" t="e">
        <f>-Ferromolibdeno</f>
        <v>#NAME?</v>
      </c>
    </row>
    <row r="32781" spans="1:2" x14ac:dyDescent="0.25">
      <c r="A32781">
        <v>72028000000</v>
      </c>
      <c r="B32781" t="e">
        <f>-Ferrovolframio y Ferro-silico-volframio</f>
        <v>#NAME?</v>
      </c>
    </row>
    <row r="32782" spans="1:2" x14ac:dyDescent="0.25">
      <c r="A32782">
        <v>72029</v>
      </c>
      <c r="B32782" t="s">
        <v>567</v>
      </c>
    </row>
    <row r="32783" spans="1:2" x14ac:dyDescent="0.25">
      <c r="A32783">
        <v>72029100000</v>
      </c>
      <c r="B32783" t="e">
        <f>--Ferrotitanio y Ferro-silico-titanio</f>
        <v>#NAME?</v>
      </c>
    </row>
    <row r="32784" spans="1:2" x14ac:dyDescent="0.25">
      <c r="A32784">
        <v>72029200000</v>
      </c>
      <c r="B32784" t="e">
        <f>--Ferrovanadio</f>
        <v>#NAME?</v>
      </c>
    </row>
    <row r="32785" spans="1:2" x14ac:dyDescent="0.25">
      <c r="A32785">
        <v>72029300000</v>
      </c>
      <c r="B32785" t="e">
        <f>--Ferroniobio</f>
        <v>#NAME?</v>
      </c>
    </row>
    <row r="32786" spans="1:2" x14ac:dyDescent="0.25">
      <c r="A32786">
        <v>720299</v>
      </c>
      <c r="B32786" t="e">
        <f>- - las demas</f>
        <v>#NAME?</v>
      </c>
    </row>
    <row r="32787" spans="1:2" x14ac:dyDescent="0.25">
      <c r="A32787">
        <v>72029910000</v>
      </c>
      <c r="B32787" t="s">
        <v>9782</v>
      </c>
    </row>
    <row r="32788" spans="1:2" x14ac:dyDescent="0.25">
      <c r="A32788">
        <v>72029990</v>
      </c>
      <c r="B32788" t="s">
        <v>57</v>
      </c>
    </row>
    <row r="32789" spans="1:2" x14ac:dyDescent="0.25">
      <c r="A32789">
        <v>72029990100</v>
      </c>
      <c r="B32789" t="s">
        <v>9783</v>
      </c>
    </row>
    <row r="32790" spans="1:2" x14ac:dyDescent="0.25">
      <c r="A32790">
        <v>72029990200</v>
      </c>
      <c r="B32790" t="s">
        <v>9784</v>
      </c>
    </row>
    <row r="32791" spans="1:2" x14ac:dyDescent="0.25">
      <c r="A32791">
        <v>72029990900</v>
      </c>
      <c r="B32791" t="s">
        <v>57</v>
      </c>
    </row>
    <row r="32792" spans="1:2" x14ac:dyDescent="0.25">
      <c r="A32792">
        <v>7203</v>
      </c>
      <c r="B32792" t="s">
        <v>9785</v>
      </c>
    </row>
    <row r="32793" spans="1:2" x14ac:dyDescent="0.25">
      <c r="A32793">
        <v>72031000000</v>
      </c>
      <c r="B32793" t="e">
        <f>-Productos ferreos obtenidos por reduccion directa de Minerales de hierro</f>
        <v>#NAME?</v>
      </c>
    </row>
    <row r="32794" spans="1:2" x14ac:dyDescent="0.25">
      <c r="A32794">
        <v>72039000000</v>
      </c>
      <c r="B32794" t="e">
        <f>-Los demas</f>
        <v>#NAME?</v>
      </c>
    </row>
    <row r="32795" spans="1:2" x14ac:dyDescent="0.25">
      <c r="A32795">
        <v>7204</v>
      </c>
      <c r="B32795" t="s">
        <v>9786</v>
      </c>
    </row>
    <row r="32796" spans="1:2" x14ac:dyDescent="0.25">
      <c r="A32796">
        <v>72041000000</v>
      </c>
      <c r="B32796" t="e">
        <f>-desperdicios y desechos. de fundicion</f>
        <v>#NAME?</v>
      </c>
    </row>
    <row r="32797" spans="1:2" x14ac:dyDescent="0.25">
      <c r="A32797">
        <v>72042</v>
      </c>
      <c r="B32797" t="s">
        <v>9787</v>
      </c>
    </row>
    <row r="32798" spans="1:2" x14ac:dyDescent="0.25">
      <c r="A32798">
        <v>72042100</v>
      </c>
      <c r="B32798" t="e">
        <f>- - de acero inoxidable</f>
        <v>#NAME?</v>
      </c>
    </row>
    <row r="32799" spans="1:2" x14ac:dyDescent="0.25">
      <c r="A32799">
        <v>72042100100</v>
      </c>
      <c r="B32799" t="s">
        <v>9788</v>
      </c>
    </row>
    <row r="32800" spans="1:2" x14ac:dyDescent="0.25">
      <c r="A32800">
        <v>72042100900</v>
      </c>
      <c r="B32800" t="s">
        <v>10</v>
      </c>
    </row>
    <row r="32801" spans="1:2" x14ac:dyDescent="0.25">
      <c r="A32801">
        <v>72042900</v>
      </c>
      <c r="B32801" t="e">
        <f>- - Los demas</f>
        <v>#NAME?</v>
      </c>
    </row>
    <row r="32802" spans="1:2" x14ac:dyDescent="0.25">
      <c r="A32802">
        <v>72042900100</v>
      </c>
      <c r="B32802" t="s">
        <v>9789</v>
      </c>
    </row>
    <row r="32803" spans="1:2" x14ac:dyDescent="0.25">
      <c r="A32803">
        <v>72042900900</v>
      </c>
      <c r="B32803" t="s">
        <v>3484</v>
      </c>
    </row>
    <row r="32804" spans="1:2" x14ac:dyDescent="0.25">
      <c r="A32804">
        <v>72043000000</v>
      </c>
      <c r="B32804" t="e">
        <f>-desperdicios y desechos. de hierro o acero estañados</f>
        <v>#NAME?</v>
      </c>
    </row>
    <row r="32805" spans="1:2" x14ac:dyDescent="0.25">
      <c r="A32805">
        <v>72044</v>
      </c>
      <c r="B32805" t="s">
        <v>9790</v>
      </c>
    </row>
    <row r="32806" spans="1:2" x14ac:dyDescent="0.25">
      <c r="A32806">
        <v>72044100000</v>
      </c>
      <c r="B32806" t="e">
        <f>--Torneaduras. virutas. esquirlas. limaduras (de amolado. aserrado. limado) y Recortes de estampado o de corte. incluso En paquetes</f>
        <v>#NAME?</v>
      </c>
    </row>
    <row r="32807" spans="1:2" x14ac:dyDescent="0.25">
      <c r="A32807">
        <v>72044900000</v>
      </c>
      <c r="B32807" t="e">
        <f>--Los demas</f>
        <v>#NAME?</v>
      </c>
    </row>
    <row r="32808" spans="1:2" x14ac:dyDescent="0.25">
      <c r="A32808">
        <v>72045000000</v>
      </c>
      <c r="B32808" t="e">
        <f>-Lingotes de chatarra</f>
        <v>#NAME?</v>
      </c>
    </row>
    <row r="32809" spans="1:2" x14ac:dyDescent="0.25">
      <c r="A32809">
        <v>7205</v>
      </c>
      <c r="B32809" t="s">
        <v>9791</v>
      </c>
    </row>
    <row r="32810" spans="1:2" x14ac:dyDescent="0.25">
      <c r="A32810">
        <v>72051000</v>
      </c>
      <c r="B32810" t="e">
        <f>- Granallas</f>
        <v>#NAME?</v>
      </c>
    </row>
    <row r="32811" spans="1:2" x14ac:dyDescent="0.25">
      <c r="A32811">
        <v>720510001</v>
      </c>
      <c r="B32811" t="s">
        <v>9792</v>
      </c>
    </row>
    <row r="32812" spans="1:2" x14ac:dyDescent="0.25">
      <c r="A32812">
        <v>72051000110</v>
      </c>
      <c r="B32812" t="s">
        <v>9793</v>
      </c>
    </row>
    <row r="32813" spans="1:2" x14ac:dyDescent="0.25">
      <c r="A32813">
        <v>72051000190</v>
      </c>
      <c r="B32813" t="s">
        <v>57</v>
      </c>
    </row>
    <row r="32814" spans="1:2" x14ac:dyDescent="0.25">
      <c r="A32814">
        <v>72051000900</v>
      </c>
      <c r="B32814" t="s">
        <v>57</v>
      </c>
    </row>
    <row r="32815" spans="1:2" x14ac:dyDescent="0.25">
      <c r="A32815">
        <v>72052</v>
      </c>
      <c r="B32815" t="s">
        <v>9794</v>
      </c>
    </row>
    <row r="32816" spans="1:2" x14ac:dyDescent="0.25">
      <c r="A32816">
        <v>72052100</v>
      </c>
      <c r="B32816" t="e">
        <f>- - de aceros aleados</f>
        <v>#NAME?</v>
      </c>
    </row>
    <row r="32817" spans="1:2" x14ac:dyDescent="0.25">
      <c r="A32817">
        <v>72052100100</v>
      </c>
      <c r="B32817" t="s">
        <v>9795</v>
      </c>
    </row>
    <row r="32818" spans="1:2" x14ac:dyDescent="0.25">
      <c r="A32818">
        <v>72052100900</v>
      </c>
      <c r="B32818" t="s">
        <v>10</v>
      </c>
    </row>
    <row r="32819" spans="1:2" x14ac:dyDescent="0.25">
      <c r="A32819">
        <v>720529</v>
      </c>
      <c r="B32819" t="e">
        <f>- - Los demas</f>
        <v>#NAME?</v>
      </c>
    </row>
    <row r="32820" spans="1:2" x14ac:dyDescent="0.25">
      <c r="A32820">
        <v>72052910000</v>
      </c>
      <c r="B32820" t="s">
        <v>9796</v>
      </c>
    </row>
    <row r="32821" spans="1:2" x14ac:dyDescent="0.25">
      <c r="A32821">
        <v>72052920000</v>
      </c>
      <c r="B32821" t="s">
        <v>9797</v>
      </c>
    </row>
    <row r="32822" spans="1:2" x14ac:dyDescent="0.25">
      <c r="A32822">
        <v>72052990</v>
      </c>
      <c r="B32822" t="s">
        <v>10</v>
      </c>
    </row>
    <row r="32823" spans="1:2" x14ac:dyDescent="0.25">
      <c r="A32823">
        <v>72052990100</v>
      </c>
      <c r="B32823" t="s">
        <v>9792</v>
      </c>
    </row>
    <row r="32824" spans="1:2" x14ac:dyDescent="0.25">
      <c r="A32824">
        <v>72052990900</v>
      </c>
      <c r="B32824" t="s">
        <v>10</v>
      </c>
    </row>
    <row r="32825" spans="1:2" x14ac:dyDescent="0.25">
      <c r="A32825">
        <v>7206</v>
      </c>
      <c r="B32825" t="s">
        <v>9798</v>
      </c>
    </row>
    <row r="32826" spans="1:2" x14ac:dyDescent="0.25">
      <c r="A32826">
        <v>72061000000</v>
      </c>
      <c r="B32826" t="e">
        <f>-Lingotes</f>
        <v>#NAME?</v>
      </c>
    </row>
    <row r="32827" spans="1:2" x14ac:dyDescent="0.25">
      <c r="A32827">
        <v>72069000000</v>
      </c>
      <c r="B32827" t="e">
        <f>-las demas</f>
        <v>#NAME?</v>
      </c>
    </row>
    <row r="32828" spans="1:2" x14ac:dyDescent="0.25">
      <c r="A32828">
        <v>7207</v>
      </c>
      <c r="B32828" t="s">
        <v>9799</v>
      </c>
    </row>
    <row r="32829" spans="1:2" x14ac:dyDescent="0.25">
      <c r="A32829">
        <v>72071</v>
      </c>
      <c r="B32829" t="s">
        <v>9800</v>
      </c>
    </row>
    <row r="32830" spans="1:2" x14ac:dyDescent="0.25">
      <c r="A32830">
        <v>720711</v>
      </c>
      <c r="B32830" t="e">
        <f>- - de seccion transversal cuadrada o rectangular. cuya anchura sea inferior al doble del espesor</f>
        <v>#NAME?</v>
      </c>
    </row>
    <row r="32831" spans="1:2" x14ac:dyDescent="0.25">
      <c r="A32831">
        <v>72071110000</v>
      </c>
      <c r="B32831" t="s">
        <v>9801</v>
      </c>
    </row>
    <row r="32832" spans="1:2" x14ac:dyDescent="0.25">
      <c r="A32832">
        <v>72071190000</v>
      </c>
      <c r="B32832" t="s">
        <v>10</v>
      </c>
    </row>
    <row r="32833" spans="1:2" x14ac:dyDescent="0.25">
      <c r="A32833">
        <v>72071200000</v>
      </c>
      <c r="B32833" t="e">
        <f>--Los demas. de seccion transversal rectangular</f>
        <v>#NAME?</v>
      </c>
    </row>
    <row r="32834" spans="1:2" x14ac:dyDescent="0.25">
      <c r="A32834">
        <v>72071900000</v>
      </c>
      <c r="B32834" t="e">
        <f>--Los demas</f>
        <v>#NAME?</v>
      </c>
    </row>
    <row r="32835" spans="1:2" x14ac:dyDescent="0.25">
      <c r="A32835">
        <v>72072000</v>
      </c>
      <c r="B32835" t="s">
        <v>9802</v>
      </c>
    </row>
    <row r="32836" spans="1:2" x14ac:dyDescent="0.25">
      <c r="A32836">
        <v>72072000100</v>
      </c>
      <c r="B32836" t="s">
        <v>9801</v>
      </c>
    </row>
    <row r="32837" spans="1:2" x14ac:dyDescent="0.25">
      <c r="A32837">
        <v>72072000900</v>
      </c>
      <c r="B32837" t="s">
        <v>10</v>
      </c>
    </row>
    <row r="32838" spans="1:2" x14ac:dyDescent="0.25">
      <c r="A32838">
        <v>7208</v>
      </c>
      <c r="B32838" t="s">
        <v>9803</v>
      </c>
    </row>
    <row r="32839" spans="1:2" x14ac:dyDescent="0.25">
      <c r="A32839">
        <v>72081000</v>
      </c>
      <c r="B32839" t="e">
        <f>- Enrollados. Simplemente laminados En caliente. Con motivos En relieve</f>
        <v>#NAME?</v>
      </c>
    </row>
    <row r="32840" spans="1:2" x14ac:dyDescent="0.25">
      <c r="A32840">
        <v>720810001</v>
      </c>
      <c r="B32840" t="s">
        <v>9804</v>
      </c>
    </row>
    <row r="32841" spans="1:2" x14ac:dyDescent="0.25">
      <c r="A32841">
        <v>72081000110</v>
      </c>
      <c r="B32841" t="s">
        <v>9805</v>
      </c>
    </row>
    <row r="32842" spans="1:2" x14ac:dyDescent="0.25">
      <c r="A32842">
        <v>72081000190</v>
      </c>
      <c r="B32842" t="s">
        <v>10</v>
      </c>
    </row>
    <row r="32843" spans="1:2" x14ac:dyDescent="0.25">
      <c r="A32843">
        <v>72081000900</v>
      </c>
      <c r="B32843" t="s">
        <v>10</v>
      </c>
    </row>
    <row r="32844" spans="1:2" x14ac:dyDescent="0.25">
      <c r="A32844">
        <v>72082</v>
      </c>
      <c r="B32844" t="s">
        <v>9806</v>
      </c>
    </row>
    <row r="32845" spans="1:2" x14ac:dyDescent="0.25">
      <c r="A32845">
        <v>72082500</v>
      </c>
      <c r="B32845" t="s">
        <v>9807</v>
      </c>
    </row>
    <row r="32846" spans="1:2" x14ac:dyDescent="0.25">
      <c r="A32846">
        <v>720825001</v>
      </c>
      <c r="B32846" t="s">
        <v>9804</v>
      </c>
    </row>
    <row r="32847" spans="1:2" x14ac:dyDescent="0.25">
      <c r="A32847">
        <v>7208250011</v>
      </c>
      <c r="B32847" t="s">
        <v>9808</v>
      </c>
    </row>
    <row r="32848" spans="1:2" x14ac:dyDescent="0.25">
      <c r="A32848">
        <v>72082500111</v>
      </c>
      <c r="B32848" t="s">
        <v>9805</v>
      </c>
    </row>
    <row r="32849" spans="1:2" x14ac:dyDescent="0.25">
      <c r="A32849">
        <v>72082500119</v>
      </c>
      <c r="B32849" t="s">
        <v>10</v>
      </c>
    </row>
    <row r="32850" spans="1:2" x14ac:dyDescent="0.25">
      <c r="A32850">
        <v>72082500130</v>
      </c>
      <c r="B32850" t="s">
        <v>9809</v>
      </c>
    </row>
    <row r="32851" spans="1:2" x14ac:dyDescent="0.25">
      <c r="A32851">
        <v>72082500150</v>
      </c>
      <c r="B32851" t="s">
        <v>9810</v>
      </c>
    </row>
    <row r="32852" spans="1:2" x14ac:dyDescent="0.25">
      <c r="A32852">
        <v>72082500190</v>
      </c>
      <c r="B32852" t="s">
        <v>10</v>
      </c>
    </row>
    <row r="32853" spans="1:2" x14ac:dyDescent="0.25">
      <c r="A32853">
        <v>72082500900</v>
      </c>
      <c r="B32853" t="s">
        <v>10</v>
      </c>
    </row>
    <row r="32854" spans="1:2" x14ac:dyDescent="0.25">
      <c r="A32854">
        <v>720826</v>
      </c>
      <c r="B32854" t="s">
        <v>9811</v>
      </c>
    </row>
    <row r="32855" spans="1:2" x14ac:dyDescent="0.25">
      <c r="A32855">
        <v>72082610</v>
      </c>
      <c r="B32855" t="s">
        <v>9812</v>
      </c>
    </row>
    <row r="32856" spans="1:2" x14ac:dyDescent="0.25">
      <c r="A32856">
        <v>720826101</v>
      </c>
      <c r="B32856" t="s">
        <v>9808</v>
      </c>
    </row>
    <row r="32857" spans="1:2" x14ac:dyDescent="0.25">
      <c r="A32857">
        <v>72082610110</v>
      </c>
      <c r="B32857" t="s">
        <v>9805</v>
      </c>
    </row>
    <row r="32858" spans="1:2" x14ac:dyDescent="0.25">
      <c r="A32858">
        <v>72082610190</v>
      </c>
      <c r="B32858" t="s">
        <v>10</v>
      </c>
    </row>
    <row r="32859" spans="1:2" x14ac:dyDescent="0.25">
      <c r="A32859">
        <v>72082610200</v>
      </c>
      <c r="B32859" t="s">
        <v>9810</v>
      </c>
    </row>
    <row r="32860" spans="1:2" x14ac:dyDescent="0.25">
      <c r="A32860">
        <v>72082610300</v>
      </c>
      <c r="B32860" t="s">
        <v>9809</v>
      </c>
    </row>
    <row r="32861" spans="1:2" x14ac:dyDescent="0.25">
      <c r="A32861">
        <v>72082610900</v>
      </c>
      <c r="B32861" t="s">
        <v>10</v>
      </c>
    </row>
    <row r="32862" spans="1:2" x14ac:dyDescent="0.25">
      <c r="A32862">
        <v>72082690</v>
      </c>
      <c r="B32862" t="s">
        <v>10</v>
      </c>
    </row>
    <row r="32863" spans="1:2" x14ac:dyDescent="0.25">
      <c r="A32863">
        <v>720826901</v>
      </c>
      <c r="B32863" t="s">
        <v>9808</v>
      </c>
    </row>
    <row r="32864" spans="1:2" x14ac:dyDescent="0.25">
      <c r="A32864">
        <v>72082690110</v>
      </c>
      <c r="B32864" t="s">
        <v>9805</v>
      </c>
    </row>
    <row r="32865" spans="1:2" x14ac:dyDescent="0.25">
      <c r="A32865">
        <v>72082690190</v>
      </c>
      <c r="B32865" t="s">
        <v>10</v>
      </c>
    </row>
    <row r="32866" spans="1:2" x14ac:dyDescent="0.25">
      <c r="A32866">
        <v>72082690200</v>
      </c>
      <c r="B32866" t="s">
        <v>9813</v>
      </c>
    </row>
    <row r="32867" spans="1:2" x14ac:dyDescent="0.25">
      <c r="A32867">
        <v>72082690300</v>
      </c>
      <c r="B32867" t="s">
        <v>9809</v>
      </c>
    </row>
    <row r="32868" spans="1:2" x14ac:dyDescent="0.25">
      <c r="A32868">
        <v>72082690900</v>
      </c>
      <c r="B32868" t="s">
        <v>10</v>
      </c>
    </row>
    <row r="32869" spans="1:2" x14ac:dyDescent="0.25">
      <c r="A32869">
        <v>720827</v>
      </c>
      <c r="B32869" t="s">
        <v>9814</v>
      </c>
    </row>
    <row r="32870" spans="1:2" x14ac:dyDescent="0.25">
      <c r="A32870">
        <v>72082710</v>
      </c>
      <c r="B32870" t="s">
        <v>9815</v>
      </c>
    </row>
    <row r="32871" spans="1:2" x14ac:dyDescent="0.25">
      <c r="A32871">
        <v>720827101</v>
      </c>
      <c r="B32871" t="s">
        <v>9808</v>
      </c>
    </row>
    <row r="32872" spans="1:2" x14ac:dyDescent="0.25">
      <c r="A32872">
        <v>72082710110</v>
      </c>
      <c r="B32872" t="s">
        <v>9805</v>
      </c>
    </row>
    <row r="32873" spans="1:2" x14ac:dyDescent="0.25">
      <c r="A32873">
        <v>72082710190</v>
      </c>
      <c r="B32873" t="s">
        <v>10</v>
      </c>
    </row>
    <row r="32874" spans="1:2" x14ac:dyDescent="0.25">
      <c r="A32874">
        <v>72082710200</v>
      </c>
      <c r="B32874" t="s">
        <v>9810</v>
      </c>
    </row>
    <row r="32875" spans="1:2" x14ac:dyDescent="0.25">
      <c r="A32875">
        <v>72082710900</v>
      </c>
      <c r="B32875" t="s">
        <v>10</v>
      </c>
    </row>
    <row r="32876" spans="1:2" x14ac:dyDescent="0.25">
      <c r="A32876">
        <v>72082790</v>
      </c>
      <c r="B32876" t="s">
        <v>10</v>
      </c>
    </row>
    <row r="32877" spans="1:2" x14ac:dyDescent="0.25">
      <c r="A32877">
        <v>720827901</v>
      </c>
      <c r="B32877" t="s">
        <v>9808</v>
      </c>
    </row>
    <row r="32878" spans="1:2" x14ac:dyDescent="0.25">
      <c r="A32878">
        <v>72082790110</v>
      </c>
      <c r="B32878" t="s">
        <v>9805</v>
      </c>
    </row>
    <row r="32879" spans="1:2" x14ac:dyDescent="0.25">
      <c r="A32879">
        <v>72082790190</v>
      </c>
      <c r="B32879" t="s">
        <v>10</v>
      </c>
    </row>
    <row r="32880" spans="1:2" x14ac:dyDescent="0.25">
      <c r="A32880">
        <v>72082790200</v>
      </c>
      <c r="B32880" t="s">
        <v>9810</v>
      </c>
    </row>
    <row r="32881" spans="1:2" x14ac:dyDescent="0.25">
      <c r="A32881">
        <v>72082790900</v>
      </c>
      <c r="B32881" t="s">
        <v>10</v>
      </c>
    </row>
    <row r="32882" spans="1:2" x14ac:dyDescent="0.25">
      <c r="A32882">
        <v>72083</v>
      </c>
      <c r="B32882" t="s">
        <v>9816</v>
      </c>
    </row>
    <row r="32883" spans="1:2" x14ac:dyDescent="0.25">
      <c r="A32883">
        <v>720836</v>
      </c>
      <c r="B32883" t="s">
        <v>9817</v>
      </c>
    </row>
    <row r="32884" spans="1:2" x14ac:dyDescent="0.25">
      <c r="A32884">
        <v>72083610</v>
      </c>
      <c r="B32884" t="s">
        <v>9812</v>
      </c>
    </row>
    <row r="32885" spans="1:2" x14ac:dyDescent="0.25">
      <c r="A32885">
        <v>720836101</v>
      </c>
      <c r="B32885" t="s">
        <v>9804</v>
      </c>
    </row>
    <row r="32886" spans="1:2" x14ac:dyDescent="0.25">
      <c r="A32886">
        <v>72083610110</v>
      </c>
      <c r="B32886" t="s">
        <v>9805</v>
      </c>
    </row>
    <row r="32887" spans="1:2" x14ac:dyDescent="0.25">
      <c r="A32887">
        <v>72083610130</v>
      </c>
      <c r="B32887" t="s">
        <v>9809</v>
      </c>
    </row>
    <row r="32888" spans="1:2" x14ac:dyDescent="0.25">
      <c r="A32888">
        <v>72083610190</v>
      </c>
      <c r="B32888" t="s">
        <v>10</v>
      </c>
    </row>
    <row r="32889" spans="1:2" x14ac:dyDescent="0.25">
      <c r="A32889">
        <v>72083610900</v>
      </c>
      <c r="B32889" t="s">
        <v>10</v>
      </c>
    </row>
    <row r="32890" spans="1:2" x14ac:dyDescent="0.25">
      <c r="A32890">
        <v>72083690</v>
      </c>
      <c r="B32890" t="s">
        <v>10</v>
      </c>
    </row>
    <row r="32891" spans="1:2" x14ac:dyDescent="0.25">
      <c r="A32891">
        <v>720836901</v>
      </c>
      <c r="B32891" t="s">
        <v>9804</v>
      </c>
    </row>
    <row r="32892" spans="1:2" x14ac:dyDescent="0.25">
      <c r="A32892">
        <v>72083690110</v>
      </c>
      <c r="B32892" t="s">
        <v>9805</v>
      </c>
    </row>
    <row r="32893" spans="1:2" x14ac:dyDescent="0.25">
      <c r="A32893">
        <v>72083690130</v>
      </c>
      <c r="B32893" t="s">
        <v>9809</v>
      </c>
    </row>
    <row r="32894" spans="1:2" x14ac:dyDescent="0.25">
      <c r="A32894">
        <v>72083690190</v>
      </c>
      <c r="B32894" t="s">
        <v>10</v>
      </c>
    </row>
    <row r="32895" spans="1:2" x14ac:dyDescent="0.25">
      <c r="A32895">
        <v>72083690900</v>
      </c>
      <c r="B32895" t="s">
        <v>10</v>
      </c>
    </row>
    <row r="32896" spans="1:2" x14ac:dyDescent="0.25">
      <c r="A32896">
        <v>72083700</v>
      </c>
      <c r="B32896" t="s">
        <v>9818</v>
      </c>
    </row>
    <row r="32897" spans="1:2" x14ac:dyDescent="0.25">
      <c r="A32897">
        <v>720837001</v>
      </c>
      <c r="B32897" t="s">
        <v>9808</v>
      </c>
    </row>
    <row r="32898" spans="1:2" x14ac:dyDescent="0.25">
      <c r="A32898">
        <v>72083700110</v>
      </c>
      <c r="B32898" t="s">
        <v>9805</v>
      </c>
    </row>
    <row r="32899" spans="1:2" x14ac:dyDescent="0.25">
      <c r="A32899">
        <v>72083700190</v>
      </c>
      <c r="B32899" t="s">
        <v>10</v>
      </c>
    </row>
    <row r="32900" spans="1:2" x14ac:dyDescent="0.25">
      <c r="A32900">
        <v>72083700300</v>
      </c>
      <c r="B32900" t="s">
        <v>9809</v>
      </c>
    </row>
    <row r="32901" spans="1:2" x14ac:dyDescent="0.25">
      <c r="A32901">
        <v>72083700400</v>
      </c>
      <c r="B32901" t="s">
        <v>9810</v>
      </c>
    </row>
    <row r="32902" spans="1:2" x14ac:dyDescent="0.25">
      <c r="A32902">
        <v>72083700900</v>
      </c>
      <c r="B32902" t="s">
        <v>10</v>
      </c>
    </row>
    <row r="32903" spans="1:2" x14ac:dyDescent="0.25">
      <c r="A32903">
        <v>720838</v>
      </c>
      <c r="B32903" t="s">
        <v>9811</v>
      </c>
    </row>
    <row r="32904" spans="1:2" x14ac:dyDescent="0.25">
      <c r="A32904">
        <v>72083810</v>
      </c>
      <c r="B32904" t="s">
        <v>9812</v>
      </c>
    </row>
    <row r="32905" spans="1:2" x14ac:dyDescent="0.25">
      <c r="A32905">
        <v>720838101</v>
      </c>
      <c r="B32905" t="s">
        <v>9808</v>
      </c>
    </row>
    <row r="32906" spans="1:2" x14ac:dyDescent="0.25">
      <c r="A32906">
        <v>72083810110</v>
      </c>
      <c r="B32906" t="s">
        <v>9819</v>
      </c>
    </row>
    <row r="32907" spans="1:2" x14ac:dyDescent="0.25">
      <c r="A32907">
        <v>72083810190</v>
      </c>
      <c r="B32907" t="s">
        <v>10</v>
      </c>
    </row>
    <row r="32908" spans="1:2" x14ac:dyDescent="0.25">
      <c r="A32908">
        <v>72083810200</v>
      </c>
      <c r="B32908" t="s">
        <v>9820</v>
      </c>
    </row>
    <row r="32909" spans="1:2" x14ac:dyDescent="0.25">
      <c r="A32909">
        <v>72083810300</v>
      </c>
      <c r="B32909" t="s">
        <v>9809</v>
      </c>
    </row>
    <row r="32910" spans="1:2" x14ac:dyDescent="0.25">
      <c r="A32910">
        <v>720838109</v>
      </c>
      <c r="B32910" t="s">
        <v>10</v>
      </c>
    </row>
    <row r="32911" spans="1:2" x14ac:dyDescent="0.25">
      <c r="A32911">
        <v>72083810900</v>
      </c>
      <c r="B32911" t="s">
        <v>10</v>
      </c>
    </row>
    <row r="32912" spans="1:2" x14ac:dyDescent="0.25">
      <c r="A32912">
        <v>72083890</v>
      </c>
      <c r="B32912" t="s">
        <v>10</v>
      </c>
    </row>
    <row r="32913" spans="1:2" x14ac:dyDescent="0.25">
      <c r="A32913">
        <v>720838901</v>
      </c>
      <c r="B32913" t="s">
        <v>9808</v>
      </c>
    </row>
    <row r="32914" spans="1:2" x14ac:dyDescent="0.25">
      <c r="A32914">
        <v>72083890110</v>
      </c>
      <c r="B32914" t="s">
        <v>9819</v>
      </c>
    </row>
    <row r="32915" spans="1:2" x14ac:dyDescent="0.25">
      <c r="A32915">
        <v>72083890190</v>
      </c>
      <c r="B32915" t="s">
        <v>10</v>
      </c>
    </row>
    <row r="32916" spans="1:2" x14ac:dyDescent="0.25">
      <c r="A32916">
        <v>72083890200</v>
      </c>
      <c r="B32916" t="s">
        <v>9820</v>
      </c>
    </row>
    <row r="32917" spans="1:2" x14ac:dyDescent="0.25">
      <c r="A32917">
        <v>72083890300</v>
      </c>
      <c r="B32917" t="s">
        <v>9809</v>
      </c>
    </row>
    <row r="32918" spans="1:2" x14ac:dyDescent="0.25">
      <c r="A32918">
        <v>720838909</v>
      </c>
      <c r="B32918" t="s">
        <v>10</v>
      </c>
    </row>
    <row r="32919" spans="1:2" x14ac:dyDescent="0.25">
      <c r="A32919">
        <v>72083890900</v>
      </c>
      <c r="B32919" t="s">
        <v>10</v>
      </c>
    </row>
    <row r="32920" spans="1:2" x14ac:dyDescent="0.25">
      <c r="A32920">
        <v>720839</v>
      </c>
      <c r="B32920" t="s">
        <v>9814</v>
      </c>
    </row>
    <row r="32921" spans="1:2" x14ac:dyDescent="0.25">
      <c r="A32921">
        <v>72083910</v>
      </c>
      <c r="B32921" t="s">
        <v>9815</v>
      </c>
    </row>
    <row r="32922" spans="1:2" x14ac:dyDescent="0.25">
      <c r="A32922">
        <v>720839101</v>
      </c>
      <c r="B32922" t="s">
        <v>9808</v>
      </c>
    </row>
    <row r="32923" spans="1:2" x14ac:dyDescent="0.25">
      <c r="A32923">
        <v>72083910110</v>
      </c>
      <c r="B32923" t="s">
        <v>9805</v>
      </c>
    </row>
    <row r="32924" spans="1:2" x14ac:dyDescent="0.25">
      <c r="A32924">
        <v>72083910190</v>
      </c>
      <c r="B32924" t="s">
        <v>10</v>
      </c>
    </row>
    <row r="32925" spans="1:2" x14ac:dyDescent="0.25">
      <c r="A32925">
        <v>72083910200</v>
      </c>
      <c r="B32925" t="s">
        <v>9810</v>
      </c>
    </row>
    <row r="32926" spans="1:2" x14ac:dyDescent="0.25">
      <c r="A32926">
        <v>72083910900</v>
      </c>
      <c r="B32926" t="s">
        <v>10</v>
      </c>
    </row>
    <row r="32927" spans="1:2" x14ac:dyDescent="0.25">
      <c r="A32927">
        <v>72083990</v>
      </c>
      <c r="B32927" t="s">
        <v>10</v>
      </c>
    </row>
    <row r="32928" spans="1:2" x14ac:dyDescent="0.25">
      <c r="A32928">
        <v>720839901</v>
      </c>
      <c r="B32928" t="s">
        <v>9808</v>
      </c>
    </row>
    <row r="32929" spans="1:2" x14ac:dyDescent="0.25">
      <c r="A32929">
        <v>72083990110</v>
      </c>
      <c r="B32929" t="s">
        <v>9805</v>
      </c>
    </row>
    <row r="32930" spans="1:2" x14ac:dyDescent="0.25">
      <c r="A32930">
        <v>72083990190</v>
      </c>
      <c r="B32930" t="s">
        <v>10</v>
      </c>
    </row>
    <row r="32931" spans="1:2" x14ac:dyDescent="0.25">
      <c r="A32931">
        <v>72083990200</v>
      </c>
      <c r="B32931" t="s">
        <v>9810</v>
      </c>
    </row>
    <row r="32932" spans="1:2" x14ac:dyDescent="0.25">
      <c r="A32932">
        <v>72083990900</v>
      </c>
      <c r="B32932" t="s">
        <v>10</v>
      </c>
    </row>
    <row r="32933" spans="1:2" x14ac:dyDescent="0.25">
      <c r="A32933">
        <v>72084000</v>
      </c>
      <c r="B32933" t="e">
        <f>- sin enrollar. Simplemente laminados En caliente. Con motivos En relieve</f>
        <v>#NAME?</v>
      </c>
    </row>
    <row r="32934" spans="1:2" x14ac:dyDescent="0.25">
      <c r="A32934">
        <v>720840001</v>
      </c>
      <c r="B32934" t="s">
        <v>9804</v>
      </c>
    </row>
    <row r="32935" spans="1:2" x14ac:dyDescent="0.25">
      <c r="A32935">
        <v>72084000110</v>
      </c>
      <c r="B32935" t="s">
        <v>9805</v>
      </c>
    </row>
    <row r="32936" spans="1:2" x14ac:dyDescent="0.25">
      <c r="A32936">
        <v>7208400019</v>
      </c>
      <c r="B32936" t="s">
        <v>10</v>
      </c>
    </row>
    <row r="32937" spans="1:2" x14ac:dyDescent="0.25">
      <c r="A32937">
        <v>72084000192</v>
      </c>
      <c r="B32937" t="s">
        <v>9821</v>
      </c>
    </row>
    <row r="32938" spans="1:2" x14ac:dyDescent="0.25">
      <c r="A32938">
        <v>72084000199</v>
      </c>
      <c r="B32938" t="s">
        <v>10</v>
      </c>
    </row>
    <row r="32939" spans="1:2" x14ac:dyDescent="0.25">
      <c r="A32939">
        <v>72084000900</v>
      </c>
      <c r="B32939" t="s">
        <v>10</v>
      </c>
    </row>
    <row r="32940" spans="1:2" x14ac:dyDescent="0.25">
      <c r="A32940">
        <v>72085</v>
      </c>
      <c r="B32940" t="s">
        <v>9822</v>
      </c>
    </row>
    <row r="32941" spans="1:2" x14ac:dyDescent="0.25">
      <c r="A32941">
        <v>72085100</v>
      </c>
      <c r="B32941" t="s">
        <v>9817</v>
      </c>
    </row>
    <row r="32942" spans="1:2" x14ac:dyDescent="0.25">
      <c r="A32942">
        <v>720851001</v>
      </c>
      <c r="B32942" t="s">
        <v>9804</v>
      </c>
    </row>
    <row r="32943" spans="1:2" x14ac:dyDescent="0.25">
      <c r="A32943">
        <v>72085100110</v>
      </c>
      <c r="B32943" t="s">
        <v>9805</v>
      </c>
    </row>
    <row r="32944" spans="1:2" x14ac:dyDescent="0.25">
      <c r="A32944">
        <v>72085100130</v>
      </c>
      <c r="B32944" t="s">
        <v>9809</v>
      </c>
    </row>
    <row r="32945" spans="1:2" x14ac:dyDescent="0.25">
      <c r="A32945">
        <v>7208510019</v>
      </c>
      <c r="B32945" t="s">
        <v>10</v>
      </c>
    </row>
    <row r="32946" spans="1:2" x14ac:dyDescent="0.25">
      <c r="A32946">
        <v>72085100192</v>
      </c>
      <c r="B32946" t="s">
        <v>9821</v>
      </c>
    </row>
    <row r="32947" spans="1:2" x14ac:dyDescent="0.25">
      <c r="A32947">
        <v>72085100199</v>
      </c>
      <c r="B32947" t="s">
        <v>10</v>
      </c>
    </row>
    <row r="32948" spans="1:2" x14ac:dyDescent="0.25">
      <c r="A32948">
        <v>72085100900</v>
      </c>
      <c r="B32948" t="s">
        <v>10</v>
      </c>
    </row>
    <row r="32949" spans="1:2" x14ac:dyDescent="0.25">
      <c r="A32949">
        <v>72085200</v>
      </c>
      <c r="B32949" t="s">
        <v>9818</v>
      </c>
    </row>
    <row r="32950" spans="1:2" x14ac:dyDescent="0.25">
      <c r="A32950">
        <v>72085200100</v>
      </c>
      <c r="B32950" t="s">
        <v>9823</v>
      </c>
    </row>
    <row r="32951" spans="1:2" x14ac:dyDescent="0.25">
      <c r="A32951">
        <v>72085200200</v>
      </c>
      <c r="B32951" t="s">
        <v>9809</v>
      </c>
    </row>
    <row r="32952" spans="1:2" x14ac:dyDescent="0.25">
      <c r="A32952">
        <v>720852009</v>
      </c>
      <c r="B32952" t="s">
        <v>10</v>
      </c>
    </row>
    <row r="32953" spans="1:2" x14ac:dyDescent="0.25">
      <c r="A32953">
        <v>72085200920</v>
      </c>
      <c r="B32953" t="s">
        <v>9824</v>
      </c>
    </row>
    <row r="32954" spans="1:2" x14ac:dyDescent="0.25">
      <c r="A32954">
        <v>72085200990</v>
      </c>
      <c r="B32954" t="s">
        <v>10</v>
      </c>
    </row>
    <row r="32955" spans="1:2" x14ac:dyDescent="0.25">
      <c r="A32955">
        <v>72085300</v>
      </c>
      <c r="B32955" t="s">
        <v>9811</v>
      </c>
    </row>
    <row r="32956" spans="1:2" x14ac:dyDescent="0.25">
      <c r="A32956">
        <v>72085300100</v>
      </c>
      <c r="B32956" t="s">
        <v>9823</v>
      </c>
    </row>
    <row r="32957" spans="1:2" x14ac:dyDescent="0.25">
      <c r="A32957">
        <v>72085300200</v>
      </c>
      <c r="B32957" t="s">
        <v>9809</v>
      </c>
    </row>
    <row r="32958" spans="1:2" x14ac:dyDescent="0.25">
      <c r="A32958">
        <v>720853009</v>
      </c>
      <c r="B32958" t="s">
        <v>10</v>
      </c>
    </row>
    <row r="32959" spans="1:2" x14ac:dyDescent="0.25">
      <c r="A32959">
        <v>72085300920</v>
      </c>
      <c r="B32959" t="s">
        <v>9821</v>
      </c>
    </row>
    <row r="32960" spans="1:2" x14ac:dyDescent="0.25">
      <c r="A32960">
        <v>72085300990</v>
      </c>
      <c r="B32960" t="s">
        <v>10</v>
      </c>
    </row>
    <row r="32961" spans="1:2" x14ac:dyDescent="0.25">
      <c r="A32961">
        <v>72085400</v>
      </c>
      <c r="B32961" t="s">
        <v>9814</v>
      </c>
    </row>
    <row r="32962" spans="1:2" x14ac:dyDescent="0.25">
      <c r="A32962">
        <v>72085400100</v>
      </c>
      <c r="B32962" t="s">
        <v>9823</v>
      </c>
    </row>
    <row r="32963" spans="1:2" x14ac:dyDescent="0.25">
      <c r="A32963">
        <v>720854009</v>
      </c>
      <c r="B32963" t="s">
        <v>10</v>
      </c>
    </row>
    <row r="32964" spans="1:2" x14ac:dyDescent="0.25">
      <c r="A32964">
        <v>72085400920</v>
      </c>
      <c r="B32964" t="s">
        <v>9821</v>
      </c>
    </row>
    <row r="32965" spans="1:2" x14ac:dyDescent="0.25">
      <c r="A32965">
        <v>72085400990</v>
      </c>
      <c r="B32965" t="s">
        <v>10</v>
      </c>
    </row>
    <row r="32966" spans="1:2" x14ac:dyDescent="0.25">
      <c r="A32966">
        <v>72089000</v>
      </c>
      <c r="B32966" t="e">
        <f>- Los demas</f>
        <v>#NAME?</v>
      </c>
    </row>
    <row r="32967" spans="1:2" x14ac:dyDescent="0.25">
      <c r="A32967">
        <v>720890001</v>
      </c>
      <c r="B32967" t="s">
        <v>9804</v>
      </c>
    </row>
    <row r="32968" spans="1:2" x14ac:dyDescent="0.25">
      <c r="A32968">
        <v>72089000110</v>
      </c>
      <c r="B32968" t="s">
        <v>9825</v>
      </c>
    </row>
    <row r="32969" spans="1:2" x14ac:dyDescent="0.25">
      <c r="A32969">
        <v>72089000130</v>
      </c>
      <c r="B32969" t="s">
        <v>9809</v>
      </c>
    </row>
    <row r="32970" spans="1:2" x14ac:dyDescent="0.25">
      <c r="A32970">
        <v>7208900014</v>
      </c>
      <c r="B32970" t="s">
        <v>9826</v>
      </c>
    </row>
    <row r="32971" spans="1:2" x14ac:dyDescent="0.25">
      <c r="A32971">
        <v>72089000141</v>
      </c>
      <c r="B32971" t="s">
        <v>9827</v>
      </c>
    </row>
    <row r="32972" spans="1:2" x14ac:dyDescent="0.25">
      <c r="A32972">
        <v>72089000142</v>
      </c>
      <c r="B32972" t="s">
        <v>9828</v>
      </c>
    </row>
    <row r="32973" spans="1:2" x14ac:dyDescent="0.25">
      <c r="A32973">
        <v>72089000149</v>
      </c>
      <c r="B32973" t="s">
        <v>10</v>
      </c>
    </row>
    <row r="32974" spans="1:2" x14ac:dyDescent="0.25">
      <c r="A32974">
        <v>7208900015</v>
      </c>
      <c r="B32974" t="s">
        <v>9829</v>
      </c>
    </row>
    <row r="32975" spans="1:2" x14ac:dyDescent="0.25">
      <c r="A32975">
        <v>72089000151</v>
      </c>
      <c r="B32975" t="s">
        <v>9830</v>
      </c>
    </row>
    <row r="32976" spans="1:2" x14ac:dyDescent="0.25">
      <c r="A32976">
        <v>72089000152</v>
      </c>
      <c r="B32976" t="s">
        <v>9831</v>
      </c>
    </row>
    <row r="32977" spans="1:2" x14ac:dyDescent="0.25">
      <c r="A32977">
        <v>72089000159</v>
      </c>
      <c r="B32977" t="s">
        <v>10</v>
      </c>
    </row>
    <row r="32978" spans="1:2" x14ac:dyDescent="0.25">
      <c r="A32978">
        <v>72089000180</v>
      </c>
      <c r="B32978" t="s">
        <v>9832</v>
      </c>
    </row>
    <row r="32979" spans="1:2" x14ac:dyDescent="0.25">
      <c r="A32979">
        <v>7208900019</v>
      </c>
      <c r="B32979" t="s">
        <v>10</v>
      </c>
    </row>
    <row r="32980" spans="1:2" x14ac:dyDescent="0.25">
      <c r="A32980">
        <v>72089000192</v>
      </c>
      <c r="B32980" t="s">
        <v>9821</v>
      </c>
    </row>
    <row r="32981" spans="1:2" x14ac:dyDescent="0.25">
      <c r="A32981">
        <v>72089000199</v>
      </c>
      <c r="B32981" t="s">
        <v>10</v>
      </c>
    </row>
    <row r="32982" spans="1:2" x14ac:dyDescent="0.25">
      <c r="A32982">
        <v>720890009</v>
      </c>
      <c r="B32982" t="s">
        <v>10</v>
      </c>
    </row>
    <row r="32983" spans="1:2" x14ac:dyDescent="0.25">
      <c r="A32983">
        <v>7208900091</v>
      </c>
      <c r="B32983" t="s">
        <v>9833</v>
      </c>
    </row>
    <row r="32984" spans="1:2" x14ac:dyDescent="0.25">
      <c r="A32984">
        <v>72089000911</v>
      </c>
      <c r="B32984" t="s">
        <v>9827</v>
      </c>
    </row>
    <row r="32985" spans="1:2" x14ac:dyDescent="0.25">
      <c r="A32985">
        <v>72089000912</v>
      </c>
      <c r="B32985" t="s">
        <v>9828</v>
      </c>
    </row>
    <row r="32986" spans="1:2" x14ac:dyDescent="0.25">
      <c r="A32986">
        <v>72089000919</v>
      </c>
      <c r="B32986" t="s">
        <v>10</v>
      </c>
    </row>
    <row r="32987" spans="1:2" x14ac:dyDescent="0.25">
      <c r="A32987">
        <v>7208900092</v>
      </c>
      <c r="B32987" t="s">
        <v>9829</v>
      </c>
    </row>
    <row r="32988" spans="1:2" x14ac:dyDescent="0.25">
      <c r="A32988">
        <v>72089000921</v>
      </c>
      <c r="B32988" t="s">
        <v>9830</v>
      </c>
    </row>
    <row r="32989" spans="1:2" x14ac:dyDescent="0.25">
      <c r="A32989">
        <v>72089000922</v>
      </c>
      <c r="B32989" t="s">
        <v>9831</v>
      </c>
    </row>
    <row r="32990" spans="1:2" x14ac:dyDescent="0.25">
      <c r="A32990">
        <v>72089000929</v>
      </c>
      <c r="B32990" t="s">
        <v>10</v>
      </c>
    </row>
    <row r="32991" spans="1:2" x14ac:dyDescent="0.25">
      <c r="A32991">
        <v>72089000990</v>
      </c>
      <c r="B32991" t="s">
        <v>10</v>
      </c>
    </row>
    <row r="32992" spans="1:2" x14ac:dyDescent="0.25">
      <c r="A32992">
        <v>7209</v>
      </c>
      <c r="B32992" t="s">
        <v>9834</v>
      </c>
    </row>
    <row r="32993" spans="1:2" x14ac:dyDescent="0.25">
      <c r="A32993">
        <v>72091</v>
      </c>
      <c r="B32993" t="s">
        <v>9835</v>
      </c>
    </row>
    <row r="32994" spans="1:2" x14ac:dyDescent="0.25">
      <c r="A32994">
        <v>72091500</v>
      </c>
      <c r="B32994" t="s">
        <v>9836</v>
      </c>
    </row>
    <row r="32995" spans="1:2" x14ac:dyDescent="0.25">
      <c r="A32995">
        <v>72091500100</v>
      </c>
      <c r="B32995" t="s">
        <v>9837</v>
      </c>
    </row>
    <row r="32996" spans="1:2" x14ac:dyDescent="0.25">
      <c r="A32996">
        <v>72091500800</v>
      </c>
      <c r="B32996" t="s">
        <v>9838</v>
      </c>
    </row>
    <row r="32997" spans="1:2" x14ac:dyDescent="0.25">
      <c r="A32997">
        <v>720915009</v>
      </c>
      <c r="B32997" t="s">
        <v>10</v>
      </c>
    </row>
    <row r="32998" spans="1:2" x14ac:dyDescent="0.25">
      <c r="A32998">
        <v>72091500910</v>
      </c>
      <c r="B32998" t="s">
        <v>9839</v>
      </c>
    </row>
    <row r="32999" spans="1:2" x14ac:dyDescent="0.25">
      <c r="A32999">
        <v>72091500990</v>
      </c>
      <c r="B32999" t="s">
        <v>10</v>
      </c>
    </row>
    <row r="33000" spans="1:2" x14ac:dyDescent="0.25">
      <c r="A33000">
        <v>72091600</v>
      </c>
      <c r="B33000" t="s">
        <v>9840</v>
      </c>
    </row>
    <row r="33001" spans="1:2" x14ac:dyDescent="0.25">
      <c r="A33001">
        <v>72091600100</v>
      </c>
      <c r="B33001" t="s">
        <v>9837</v>
      </c>
    </row>
    <row r="33002" spans="1:2" x14ac:dyDescent="0.25">
      <c r="A33002">
        <v>72091600800</v>
      </c>
      <c r="B33002" t="s">
        <v>9838</v>
      </c>
    </row>
    <row r="33003" spans="1:2" x14ac:dyDescent="0.25">
      <c r="A33003">
        <v>720916009</v>
      </c>
      <c r="B33003" t="s">
        <v>10</v>
      </c>
    </row>
    <row r="33004" spans="1:2" x14ac:dyDescent="0.25">
      <c r="A33004">
        <v>72091600910</v>
      </c>
      <c r="B33004" t="s">
        <v>9839</v>
      </c>
    </row>
    <row r="33005" spans="1:2" x14ac:dyDescent="0.25">
      <c r="A33005">
        <v>72091600990</v>
      </c>
      <c r="B33005" t="s">
        <v>10</v>
      </c>
    </row>
    <row r="33006" spans="1:2" x14ac:dyDescent="0.25">
      <c r="A33006">
        <v>72091700</v>
      </c>
      <c r="B33006" t="s">
        <v>9841</v>
      </c>
    </row>
    <row r="33007" spans="1:2" x14ac:dyDescent="0.25">
      <c r="A33007">
        <v>72091700100</v>
      </c>
      <c r="B33007" t="s">
        <v>9837</v>
      </c>
    </row>
    <row r="33008" spans="1:2" x14ac:dyDescent="0.25">
      <c r="A33008">
        <v>72091700800</v>
      </c>
      <c r="B33008" t="s">
        <v>9838</v>
      </c>
    </row>
    <row r="33009" spans="1:2" x14ac:dyDescent="0.25">
      <c r="A33009">
        <v>720917009</v>
      </c>
      <c r="B33009" t="s">
        <v>10</v>
      </c>
    </row>
    <row r="33010" spans="1:2" x14ac:dyDescent="0.25">
      <c r="A33010">
        <v>72091700910</v>
      </c>
      <c r="B33010" t="s">
        <v>9839</v>
      </c>
    </row>
    <row r="33011" spans="1:2" x14ac:dyDescent="0.25">
      <c r="A33011">
        <v>72091700990</v>
      </c>
      <c r="B33011" t="s">
        <v>3484</v>
      </c>
    </row>
    <row r="33012" spans="1:2" x14ac:dyDescent="0.25">
      <c r="A33012">
        <v>72091800</v>
      </c>
      <c r="B33012" t="s">
        <v>9842</v>
      </c>
    </row>
    <row r="33013" spans="1:2" x14ac:dyDescent="0.25">
      <c r="A33013">
        <v>720918001</v>
      </c>
      <c r="B33013" t="s">
        <v>9843</v>
      </c>
    </row>
    <row r="33014" spans="1:2" x14ac:dyDescent="0.25">
      <c r="A33014">
        <v>72091800110</v>
      </c>
      <c r="B33014" t="s">
        <v>9837</v>
      </c>
    </row>
    <row r="33015" spans="1:2" x14ac:dyDescent="0.25">
      <c r="A33015">
        <v>72091800180</v>
      </c>
      <c r="B33015" t="s">
        <v>9838</v>
      </c>
    </row>
    <row r="33016" spans="1:2" x14ac:dyDescent="0.25">
      <c r="A33016">
        <v>7209180019</v>
      </c>
      <c r="B33016" t="s">
        <v>10</v>
      </c>
    </row>
    <row r="33017" spans="1:2" x14ac:dyDescent="0.25">
      <c r="A33017">
        <v>72091800191</v>
      </c>
      <c r="B33017" t="s">
        <v>9839</v>
      </c>
    </row>
    <row r="33018" spans="1:2" x14ac:dyDescent="0.25">
      <c r="A33018">
        <v>72091800199</v>
      </c>
      <c r="B33018" t="s">
        <v>10</v>
      </c>
    </row>
    <row r="33019" spans="1:2" x14ac:dyDescent="0.25">
      <c r="A33019">
        <v>72091800900</v>
      </c>
      <c r="B33019" t="s">
        <v>10</v>
      </c>
    </row>
    <row r="33020" spans="1:2" x14ac:dyDescent="0.25">
      <c r="A33020">
        <v>72092</v>
      </c>
      <c r="B33020" t="s">
        <v>9844</v>
      </c>
    </row>
    <row r="33021" spans="1:2" x14ac:dyDescent="0.25">
      <c r="A33021">
        <v>72092500</v>
      </c>
      <c r="B33021" t="s">
        <v>9836</v>
      </c>
    </row>
    <row r="33022" spans="1:2" x14ac:dyDescent="0.25">
      <c r="A33022">
        <v>72092500100</v>
      </c>
      <c r="B33022" t="s">
        <v>9837</v>
      </c>
    </row>
    <row r="33023" spans="1:2" x14ac:dyDescent="0.25">
      <c r="A33023">
        <v>72092500800</v>
      </c>
      <c r="B33023" t="s">
        <v>9838</v>
      </c>
    </row>
    <row r="33024" spans="1:2" x14ac:dyDescent="0.25">
      <c r="A33024">
        <v>720925009</v>
      </c>
      <c r="B33024" t="s">
        <v>10</v>
      </c>
    </row>
    <row r="33025" spans="1:2" x14ac:dyDescent="0.25">
      <c r="A33025">
        <v>72092500910</v>
      </c>
      <c r="B33025" t="s">
        <v>9845</v>
      </c>
    </row>
    <row r="33026" spans="1:2" x14ac:dyDescent="0.25">
      <c r="A33026">
        <v>72092500990</v>
      </c>
      <c r="B33026" t="s">
        <v>10</v>
      </c>
    </row>
    <row r="33027" spans="1:2" x14ac:dyDescent="0.25">
      <c r="A33027">
        <v>72092600</v>
      </c>
      <c r="B33027" t="s">
        <v>9840</v>
      </c>
    </row>
    <row r="33028" spans="1:2" x14ac:dyDescent="0.25">
      <c r="A33028">
        <v>72092600100</v>
      </c>
      <c r="B33028" t="s">
        <v>9837</v>
      </c>
    </row>
    <row r="33029" spans="1:2" x14ac:dyDescent="0.25">
      <c r="A33029">
        <v>72092600800</v>
      </c>
      <c r="B33029" t="s">
        <v>9838</v>
      </c>
    </row>
    <row r="33030" spans="1:2" x14ac:dyDescent="0.25">
      <c r="A33030">
        <v>720926009</v>
      </c>
      <c r="B33030" t="s">
        <v>10</v>
      </c>
    </row>
    <row r="33031" spans="1:2" x14ac:dyDescent="0.25">
      <c r="A33031">
        <v>72092600910</v>
      </c>
      <c r="B33031" t="s">
        <v>9839</v>
      </c>
    </row>
    <row r="33032" spans="1:2" x14ac:dyDescent="0.25">
      <c r="A33032">
        <v>72092600990</v>
      </c>
      <c r="B33032" t="s">
        <v>3484</v>
      </c>
    </row>
    <row r="33033" spans="1:2" x14ac:dyDescent="0.25">
      <c r="A33033">
        <v>72092700</v>
      </c>
      <c r="B33033" t="s">
        <v>9841</v>
      </c>
    </row>
    <row r="33034" spans="1:2" x14ac:dyDescent="0.25">
      <c r="A33034">
        <v>72092700100</v>
      </c>
      <c r="B33034" t="s">
        <v>9837</v>
      </c>
    </row>
    <row r="33035" spans="1:2" x14ac:dyDescent="0.25">
      <c r="A33035">
        <v>72092700800</v>
      </c>
      <c r="B33035" t="s">
        <v>9838</v>
      </c>
    </row>
    <row r="33036" spans="1:2" x14ac:dyDescent="0.25">
      <c r="A33036">
        <v>720927009</v>
      </c>
      <c r="B33036" t="s">
        <v>10</v>
      </c>
    </row>
    <row r="33037" spans="1:2" x14ac:dyDescent="0.25">
      <c r="A33037">
        <v>72092700910</v>
      </c>
      <c r="B33037" t="s">
        <v>9839</v>
      </c>
    </row>
    <row r="33038" spans="1:2" x14ac:dyDescent="0.25">
      <c r="A33038">
        <v>72092700990</v>
      </c>
      <c r="B33038" t="s">
        <v>10</v>
      </c>
    </row>
    <row r="33039" spans="1:2" x14ac:dyDescent="0.25">
      <c r="A33039">
        <v>72092800</v>
      </c>
      <c r="B33039" t="s">
        <v>9842</v>
      </c>
    </row>
    <row r="33040" spans="1:2" x14ac:dyDescent="0.25">
      <c r="A33040">
        <v>720928001</v>
      </c>
      <c r="B33040" t="s">
        <v>9846</v>
      </c>
    </row>
    <row r="33041" spans="1:2" x14ac:dyDescent="0.25">
      <c r="A33041">
        <v>72092800110</v>
      </c>
      <c r="B33041" t="s">
        <v>9837</v>
      </c>
    </row>
    <row r="33042" spans="1:2" x14ac:dyDescent="0.25">
      <c r="A33042">
        <v>72092800180</v>
      </c>
      <c r="B33042" t="s">
        <v>9838</v>
      </c>
    </row>
    <row r="33043" spans="1:2" x14ac:dyDescent="0.25">
      <c r="A33043">
        <v>7209280019</v>
      </c>
      <c r="B33043" t="s">
        <v>10</v>
      </c>
    </row>
    <row r="33044" spans="1:2" x14ac:dyDescent="0.25">
      <c r="A33044">
        <v>72092800191</v>
      </c>
      <c r="B33044" t="s">
        <v>9839</v>
      </c>
    </row>
    <row r="33045" spans="1:2" x14ac:dyDescent="0.25">
      <c r="A33045">
        <v>72092800199</v>
      </c>
      <c r="B33045" t="s">
        <v>10</v>
      </c>
    </row>
    <row r="33046" spans="1:2" x14ac:dyDescent="0.25">
      <c r="A33046">
        <v>72092800900</v>
      </c>
      <c r="B33046" t="s">
        <v>10</v>
      </c>
    </row>
    <row r="33047" spans="1:2" x14ac:dyDescent="0.25">
      <c r="A33047">
        <v>72099000</v>
      </c>
      <c r="B33047" t="e">
        <f>- Los demas</f>
        <v>#NAME?</v>
      </c>
    </row>
    <row r="33048" spans="1:2" x14ac:dyDescent="0.25">
      <c r="A33048">
        <v>720990001</v>
      </c>
      <c r="B33048" t="s">
        <v>9843</v>
      </c>
    </row>
    <row r="33049" spans="1:2" x14ac:dyDescent="0.25">
      <c r="A33049">
        <v>72099000110</v>
      </c>
      <c r="B33049" t="s">
        <v>9837</v>
      </c>
    </row>
    <row r="33050" spans="1:2" x14ac:dyDescent="0.25">
      <c r="A33050">
        <v>7209900012</v>
      </c>
      <c r="B33050" t="s">
        <v>9826</v>
      </c>
    </row>
    <row r="33051" spans="1:2" x14ac:dyDescent="0.25">
      <c r="A33051">
        <v>72099000121</v>
      </c>
      <c r="B33051" t="s">
        <v>9827</v>
      </c>
    </row>
    <row r="33052" spans="1:2" x14ac:dyDescent="0.25">
      <c r="A33052">
        <v>72099000122</v>
      </c>
      <c r="B33052" t="s">
        <v>9828</v>
      </c>
    </row>
    <row r="33053" spans="1:2" x14ac:dyDescent="0.25">
      <c r="A33053">
        <v>72099000129</v>
      </c>
      <c r="B33053" t="s">
        <v>10</v>
      </c>
    </row>
    <row r="33054" spans="1:2" x14ac:dyDescent="0.25">
      <c r="A33054">
        <v>7209900013</v>
      </c>
      <c r="B33054" t="s">
        <v>9829</v>
      </c>
    </row>
    <row r="33055" spans="1:2" x14ac:dyDescent="0.25">
      <c r="A33055">
        <v>72099000131</v>
      </c>
      <c r="B33055" t="s">
        <v>9830</v>
      </c>
    </row>
    <row r="33056" spans="1:2" x14ac:dyDescent="0.25">
      <c r="A33056">
        <v>72099000132</v>
      </c>
      <c r="B33056" t="s">
        <v>9831</v>
      </c>
    </row>
    <row r="33057" spans="1:2" x14ac:dyDescent="0.25">
      <c r="A33057">
        <v>72099000139</v>
      </c>
      <c r="B33057" t="s">
        <v>10</v>
      </c>
    </row>
    <row r="33058" spans="1:2" x14ac:dyDescent="0.25">
      <c r="A33058">
        <v>72099000180</v>
      </c>
      <c r="B33058" t="s">
        <v>9838</v>
      </c>
    </row>
    <row r="33059" spans="1:2" x14ac:dyDescent="0.25">
      <c r="A33059">
        <v>7209900019</v>
      </c>
      <c r="B33059" t="s">
        <v>10</v>
      </c>
    </row>
    <row r="33060" spans="1:2" x14ac:dyDescent="0.25">
      <c r="A33060">
        <v>72099000191</v>
      </c>
      <c r="B33060" t="s">
        <v>9839</v>
      </c>
    </row>
    <row r="33061" spans="1:2" x14ac:dyDescent="0.25">
      <c r="A33061">
        <v>72099000199</v>
      </c>
      <c r="B33061" t="s">
        <v>10</v>
      </c>
    </row>
    <row r="33062" spans="1:2" x14ac:dyDescent="0.25">
      <c r="A33062">
        <v>72099000900</v>
      </c>
      <c r="B33062" t="s">
        <v>10</v>
      </c>
    </row>
    <row r="33063" spans="1:2" x14ac:dyDescent="0.25">
      <c r="A33063">
        <v>7210</v>
      </c>
      <c r="B33063" t="s">
        <v>9847</v>
      </c>
    </row>
    <row r="33064" spans="1:2" x14ac:dyDescent="0.25">
      <c r="A33064">
        <v>72101</v>
      </c>
      <c r="B33064" t="s">
        <v>9848</v>
      </c>
    </row>
    <row r="33065" spans="1:2" x14ac:dyDescent="0.25">
      <c r="A33065">
        <v>72101100000</v>
      </c>
      <c r="B33065" t="s">
        <v>9849</v>
      </c>
    </row>
    <row r="33066" spans="1:2" x14ac:dyDescent="0.25">
      <c r="A33066">
        <v>72101200</v>
      </c>
      <c r="B33066" t="s">
        <v>9842</v>
      </c>
    </row>
    <row r="33067" spans="1:2" x14ac:dyDescent="0.25">
      <c r="A33067">
        <v>721012001</v>
      </c>
      <c r="B33067" t="s">
        <v>9850</v>
      </c>
    </row>
    <row r="33068" spans="1:2" x14ac:dyDescent="0.25">
      <c r="A33068">
        <v>72101200110</v>
      </c>
      <c r="B33068" t="s">
        <v>9851</v>
      </c>
    </row>
    <row r="33069" spans="1:2" x14ac:dyDescent="0.25">
      <c r="A33069">
        <v>72101200120</v>
      </c>
      <c r="B33069" t="s">
        <v>9852</v>
      </c>
    </row>
    <row r="33070" spans="1:2" x14ac:dyDescent="0.25">
      <c r="A33070">
        <v>72101200130</v>
      </c>
      <c r="B33070" t="s">
        <v>9853</v>
      </c>
    </row>
    <row r="33071" spans="1:2" x14ac:dyDescent="0.25">
      <c r="A33071">
        <v>72101200140</v>
      </c>
      <c r="B33071" t="s">
        <v>9854</v>
      </c>
    </row>
    <row r="33072" spans="1:2" x14ac:dyDescent="0.25">
      <c r="A33072">
        <v>72101200150</v>
      </c>
      <c r="B33072" t="s">
        <v>9855</v>
      </c>
    </row>
    <row r="33073" spans="1:2" x14ac:dyDescent="0.25">
      <c r="A33073">
        <v>721012002</v>
      </c>
      <c r="B33073" t="s">
        <v>9856</v>
      </c>
    </row>
    <row r="33074" spans="1:2" x14ac:dyDescent="0.25">
      <c r="A33074">
        <v>72101200210</v>
      </c>
      <c r="B33074" t="s">
        <v>9857</v>
      </c>
    </row>
    <row r="33075" spans="1:2" x14ac:dyDescent="0.25">
      <c r="A33075">
        <v>72101200220</v>
      </c>
      <c r="B33075" t="s">
        <v>9858</v>
      </c>
    </row>
    <row r="33076" spans="1:2" x14ac:dyDescent="0.25">
      <c r="A33076">
        <v>72101200230</v>
      </c>
      <c r="B33076" t="s">
        <v>9859</v>
      </c>
    </row>
    <row r="33077" spans="1:2" x14ac:dyDescent="0.25">
      <c r="A33077">
        <v>72101200290</v>
      </c>
      <c r="B33077" t="s">
        <v>10</v>
      </c>
    </row>
    <row r="33078" spans="1:2" x14ac:dyDescent="0.25">
      <c r="A33078">
        <v>72102000000</v>
      </c>
      <c r="B33078" t="e">
        <f>-Emplomados. incluidos Los revestidos Con una aleacion de plomo y estaño</f>
        <v>#NAME?</v>
      </c>
    </row>
    <row r="33079" spans="1:2" x14ac:dyDescent="0.25">
      <c r="A33079">
        <v>721030</v>
      </c>
      <c r="B33079" t="e">
        <f>- Cincados electroliticamente</f>
        <v>#NAME?</v>
      </c>
    </row>
    <row r="33080" spans="1:2" x14ac:dyDescent="0.25">
      <c r="A33080">
        <v>72103010</v>
      </c>
      <c r="B33080" t="s">
        <v>9860</v>
      </c>
    </row>
    <row r="33081" spans="1:2" x14ac:dyDescent="0.25">
      <c r="A33081">
        <v>721030101</v>
      </c>
      <c r="B33081" t="s">
        <v>9826</v>
      </c>
    </row>
    <row r="33082" spans="1:2" x14ac:dyDescent="0.25">
      <c r="A33082">
        <v>72103010110</v>
      </c>
      <c r="B33082" t="s">
        <v>9827</v>
      </c>
    </row>
    <row r="33083" spans="1:2" x14ac:dyDescent="0.25">
      <c r="A33083">
        <v>72103010120</v>
      </c>
      <c r="B33083" t="s">
        <v>9828</v>
      </c>
    </row>
    <row r="33084" spans="1:2" x14ac:dyDescent="0.25">
      <c r="A33084">
        <v>72103010190</v>
      </c>
      <c r="B33084" t="s">
        <v>10</v>
      </c>
    </row>
    <row r="33085" spans="1:2" x14ac:dyDescent="0.25">
      <c r="A33085">
        <v>721030102</v>
      </c>
      <c r="B33085" t="s">
        <v>9829</v>
      </c>
    </row>
    <row r="33086" spans="1:2" x14ac:dyDescent="0.25">
      <c r="A33086">
        <v>72103010210</v>
      </c>
      <c r="B33086" t="s">
        <v>9830</v>
      </c>
    </row>
    <row r="33087" spans="1:2" x14ac:dyDescent="0.25">
      <c r="A33087">
        <v>72103010220</v>
      </c>
      <c r="B33087" t="s">
        <v>9831</v>
      </c>
    </row>
    <row r="33088" spans="1:2" x14ac:dyDescent="0.25">
      <c r="A33088">
        <v>72103010290</v>
      </c>
      <c r="B33088" t="s">
        <v>10</v>
      </c>
    </row>
    <row r="33089" spans="1:2" x14ac:dyDescent="0.25">
      <c r="A33089">
        <v>72103010900</v>
      </c>
      <c r="B33089" t="s">
        <v>10</v>
      </c>
    </row>
    <row r="33090" spans="1:2" x14ac:dyDescent="0.25">
      <c r="A33090">
        <v>72103090000</v>
      </c>
      <c r="B33090" t="s">
        <v>10</v>
      </c>
    </row>
    <row r="33091" spans="1:2" x14ac:dyDescent="0.25">
      <c r="A33091">
        <v>72104</v>
      </c>
      <c r="B33091" t="s">
        <v>9861</v>
      </c>
    </row>
    <row r="33092" spans="1:2" x14ac:dyDescent="0.25">
      <c r="A33092">
        <v>721041</v>
      </c>
      <c r="B33092" t="e">
        <f>- - Ondulados</f>
        <v>#NAME?</v>
      </c>
    </row>
    <row r="33093" spans="1:2" x14ac:dyDescent="0.25">
      <c r="A33093">
        <v>72104110</v>
      </c>
      <c r="B33093" t="s">
        <v>9860</v>
      </c>
    </row>
    <row r="33094" spans="1:2" x14ac:dyDescent="0.25">
      <c r="A33094">
        <v>72104110100</v>
      </c>
      <c r="B33094" t="s">
        <v>9862</v>
      </c>
    </row>
    <row r="33095" spans="1:2" x14ac:dyDescent="0.25">
      <c r="A33095">
        <v>72104110200</v>
      </c>
      <c r="B33095" t="s">
        <v>9863</v>
      </c>
    </row>
    <row r="33096" spans="1:2" x14ac:dyDescent="0.25">
      <c r="A33096">
        <v>72104110300</v>
      </c>
      <c r="B33096" t="s">
        <v>9864</v>
      </c>
    </row>
    <row r="33097" spans="1:2" x14ac:dyDescent="0.25">
      <c r="A33097">
        <v>72104110400</v>
      </c>
      <c r="B33097" t="s">
        <v>9865</v>
      </c>
    </row>
    <row r="33098" spans="1:2" x14ac:dyDescent="0.25">
      <c r="A33098">
        <v>72104110500</v>
      </c>
      <c r="B33098" t="s">
        <v>9866</v>
      </c>
    </row>
    <row r="33099" spans="1:2" x14ac:dyDescent="0.25">
      <c r="A33099">
        <v>72104110900</v>
      </c>
      <c r="B33099" t="s">
        <v>10</v>
      </c>
    </row>
    <row r="33100" spans="1:2" x14ac:dyDescent="0.25">
      <c r="A33100">
        <v>72104190000</v>
      </c>
      <c r="B33100" t="s">
        <v>10</v>
      </c>
    </row>
    <row r="33101" spans="1:2" x14ac:dyDescent="0.25">
      <c r="A33101">
        <v>721049</v>
      </c>
      <c r="B33101" t="e">
        <f>- - Los demas</f>
        <v>#NAME?</v>
      </c>
    </row>
    <row r="33102" spans="1:2" x14ac:dyDescent="0.25">
      <c r="A33102">
        <v>72104910</v>
      </c>
      <c r="B33102" t="s">
        <v>9860</v>
      </c>
    </row>
    <row r="33103" spans="1:2" x14ac:dyDescent="0.25">
      <c r="A33103">
        <v>721049101</v>
      </c>
      <c r="B33103" t="s">
        <v>9862</v>
      </c>
    </row>
    <row r="33104" spans="1:2" x14ac:dyDescent="0.25">
      <c r="A33104">
        <v>72104910110</v>
      </c>
      <c r="B33104" t="s">
        <v>9867</v>
      </c>
    </row>
    <row r="33105" spans="1:2" x14ac:dyDescent="0.25">
      <c r="A33105">
        <v>72104910190</v>
      </c>
      <c r="B33105" t="s">
        <v>10</v>
      </c>
    </row>
    <row r="33106" spans="1:2" x14ac:dyDescent="0.25">
      <c r="A33106">
        <v>721049102</v>
      </c>
      <c r="B33106" t="s">
        <v>9863</v>
      </c>
    </row>
    <row r="33107" spans="1:2" x14ac:dyDescent="0.25">
      <c r="A33107">
        <v>7210491021</v>
      </c>
      <c r="B33107" t="s">
        <v>9826</v>
      </c>
    </row>
    <row r="33108" spans="1:2" x14ac:dyDescent="0.25">
      <c r="A33108">
        <v>72104910211</v>
      </c>
      <c r="B33108" t="s">
        <v>9827</v>
      </c>
    </row>
    <row r="33109" spans="1:2" x14ac:dyDescent="0.25">
      <c r="A33109">
        <v>72104910212</v>
      </c>
      <c r="B33109" t="s">
        <v>9828</v>
      </c>
    </row>
    <row r="33110" spans="1:2" x14ac:dyDescent="0.25">
      <c r="A33110">
        <v>72104910219</v>
      </c>
      <c r="B33110" t="s">
        <v>10</v>
      </c>
    </row>
    <row r="33111" spans="1:2" x14ac:dyDescent="0.25">
      <c r="A33111">
        <v>7210491022</v>
      </c>
      <c r="B33111" t="s">
        <v>9829</v>
      </c>
    </row>
    <row r="33112" spans="1:2" x14ac:dyDescent="0.25">
      <c r="A33112">
        <v>72104910221</v>
      </c>
      <c r="B33112" t="s">
        <v>9830</v>
      </c>
    </row>
    <row r="33113" spans="1:2" x14ac:dyDescent="0.25">
      <c r="A33113">
        <v>72104910222</v>
      </c>
      <c r="B33113" t="s">
        <v>9831</v>
      </c>
    </row>
    <row r="33114" spans="1:2" x14ac:dyDescent="0.25">
      <c r="A33114">
        <v>72104910229</v>
      </c>
      <c r="B33114" t="s">
        <v>10</v>
      </c>
    </row>
    <row r="33115" spans="1:2" x14ac:dyDescent="0.25">
      <c r="A33115">
        <v>72104910290</v>
      </c>
      <c r="B33115" t="s">
        <v>10</v>
      </c>
    </row>
    <row r="33116" spans="1:2" x14ac:dyDescent="0.25">
      <c r="A33116">
        <v>721049103</v>
      </c>
      <c r="B33116" t="s">
        <v>9864</v>
      </c>
    </row>
    <row r="33117" spans="1:2" x14ac:dyDescent="0.25">
      <c r="A33117">
        <v>7210491031</v>
      </c>
      <c r="B33117" t="s">
        <v>9826</v>
      </c>
    </row>
    <row r="33118" spans="1:2" x14ac:dyDescent="0.25">
      <c r="A33118">
        <v>72104910311</v>
      </c>
      <c r="B33118" t="s">
        <v>9827</v>
      </c>
    </row>
    <row r="33119" spans="1:2" x14ac:dyDescent="0.25">
      <c r="A33119">
        <v>72104910312</v>
      </c>
      <c r="B33119" t="s">
        <v>9828</v>
      </c>
    </row>
    <row r="33120" spans="1:2" x14ac:dyDescent="0.25">
      <c r="A33120">
        <v>72104910319</v>
      </c>
      <c r="B33120" t="s">
        <v>10</v>
      </c>
    </row>
    <row r="33121" spans="1:2" x14ac:dyDescent="0.25">
      <c r="A33121">
        <v>7210491032</v>
      </c>
      <c r="B33121" t="s">
        <v>9829</v>
      </c>
    </row>
    <row r="33122" spans="1:2" x14ac:dyDescent="0.25">
      <c r="A33122">
        <v>72104910321</v>
      </c>
      <c r="B33122" t="s">
        <v>9830</v>
      </c>
    </row>
    <row r="33123" spans="1:2" x14ac:dyDescent="0.25">
      <c r="A33123">
        <v>72104910322</v>
      </c>
      <c r="B33123" t="s">
        <v>9831</v>
      </c>
    </row>
    <row r="33124" spans="1:2" x14ac:dyDescent="0.25">
      <c r="A33124">
        <v>72104910329</v>
      </c>
      <c r="B33124" t="s">
        <v>10</v>
      </c>
    </row>
    <row r="33125" spans="1:2" x14ac:dyDescent="0.25">
      <c r="A33125">
        <v>72104910390</v>
      </c>
      <c r="B33125" t="s">
        <v>10</v>
      </c>
    </row>
    <row r="33126" spans="1:2" x14ac:dyDescent="0.25">
      <c r="A33126">
        <v>721049104</v>
      </c>
      <c r="B33126" t="s">
        <v>9865</v>
      </c>
    </row>
    <row r="33127" spans="1:2" x14ac:dyDescent="0.25">
      <c r="A33127">
        <v>7210491041</v>
      </c>
      <c r="B33127" t="s">
        <v>9868</v>
      </c>
    </row>
    <row r="33128" spans="1:2" x14ac:dyDescent="0.25">
      <c r="A33128">
        <v>72104910411</v>
      </c>
      <c r="B33128" t="s">
        <v>9827</v>
      </c>
    </row>
    <row r="33129" spans="1:2" x14ac:dyDescent="0.25">
      <c r="A33129">
        <v>72104910412</v>
      </c>
      <c r="B33129" t="s">
        <v>9828</v>
      </c>
    </row>
    <row r="33130" spans="1:2" x14ac:dyDescent="0.25">
      <c r="A33130">
        <v>72104910419</v>
      </c>
      <c r="B33130" t="s">
        <v>10</v>
      </c>
    </row>
    <row r="33131" spans="1:2" x14ac:dyDescent="0.25">
      <c r="A33131">
        <v>7210491042</v>
      </c>
      <c r="B33131" t="s">
        <v>9829</v>
      </c>
    </row>
    <row r="33132" spans="1:2" x14ac:dyDescent="0.25">
      <c r="A33132">
        <v>72104910421</v>
      </c>
      <c r="B33132" t="s">
        <v>9830</v>
      </c>
    </row>
    <row r="33133" spans="1:2" x14ac:dyDescent="0.25">
      <c r="A33133">
        <v>72104910422</v>
      </c>
      <c r="B33133" t="s">
        <v>9831</v>
      </c>
    </row>
    <row r="33134" spans="1:2" x14ac:dyDescent="0.25">
      <c r="A33134">
        <v>72104910429</v>
      </c>
      <c r="B33134" t="s">
        <v>10</v>
      </c>
    </row>
    <row r="33135" spans="1:2" x14ac:dyDescent="0.25">
      <c r="A33135">
        <v>72104910490</v>
      </c>
      <c r="B33135" t="s">
        <v>10</v>
      </c>
    </row>
    <row r="33136" spans="1:2" x14ac:dyDescent="0.25">
      <c r="A33136">
        <v>721049105</v>
      </c>
      <c r="B33136" t="s">
        <v>9866</v>
      </c>
    </row>
    <row r="33137" spans="1:2" x14ac:dyDescent="0.25">
      <c r="A33137">
        <v>7210491051</v>
      </c>
      <c r="B33137" t="s">
        <v>9826</v>
      </c>
    </row>
    <row r="33138" spans="1:2" x14ac:dyDescent="0.25">
      <c r="A33138">
        <v>72104910511</v>
      </c>
      <c r="B33138" t="s">
        <v>9827</v>
      </c>
    </row>
    <row r="33139" spans="1:2" x14ac:dyDescent="0.25">
      <c r="A33139">
        <v>72104910512</v>
      </c>
      <c r="B33139" t="s">
        <v>9828</v>
      </c>
    </row>
    <row r="33140" spans="1:2" x14ac:dyDescent="0.25">
      <c r="A33140">
        <v>72104910519</v>
      </c>
      <c r="B33140" t="s">
        <v>10</v>
      </c>
    </row>
    <row r="33141" spans="1:2" x14ac:dyDescent="0.25">
      <c r="A33141">
        <v>7210491052</v>
      </c>
      <c r="B33141" t="s">
        <v>9829</v>
      </c>
    </row>
    <row r="33142" spans="1:2" x14ac:dyDescent="0.25">
      <c r="A33142">
        <v>72104910521</v>
      </c>
      <c r="B33142" t="s">
        <v>9830</v>
      </c>
    </row>
    <row r="33143" spans="1:2" x14ac:dyDescent="0.25">
      <c r="A33143">
        <v>72104910522</v>
      </c>
      <c r="B33143" t="s">
        <v>9831</v>
      </c>
    </row>
    <row r="33144" spans="1:2" x14ac:dyDescent="0.25">
      <c r="A33144">
        <v>72104910529</v>
      </c>
      <c r="B33144" t="s">
        <v>10</v>
      </c>
    </row>
    <row r="33145" spans="1:2" x14ac:dyDescent="0.25">
      <c r="A33145">
        <v>72104910590</v>
      </c>
      <c r="B33145" t="s">
        <v>10</v>
      </c>
    </row>
    <row r="33146" spans="1:2" x14ac:dyDescent="0.25">
      <c r="A33146">
        <v>721049109</v>
      </c>
      <c r="B33146" t="s">
        <v>10</v>
      </c>
    </row>
    <row r="33147" spans="1:2" x14ac:dyDescent="0.25">
      <c r="A33147">
        <v>7210491091</v>
      </c>
      <c r="B33147" t="s">
        <v>9826</v>
      </c>
    </row>
    <row r="33148" spans="1:2" x14ac:dyDescent="0.25">
      <c r="A33148">
        <v>72104910911</v>
      </c>
      <c r="B33148" t="s">
        <v>9827</v>
      </c>
    </row>
    <row r="33149" spans="1:2" x14ac:dyDescent="0.25">
      <c r="A33149">
        <v>72104910912</v>
      </c>
      <c r="B33149" t="s">
        <v>9828</v>
      </c>
    </row>
    <row r="33150" spans="1:2" x14ac:dyDescent="0.25">
      <c r="A33150">
        <v>72104910919</v>
      </c>
      <c r="B33150" t="s">
        <v>10</v>
      </c>
    </row>
    <row r="33151" spans="1:2" x14ac:dyDescent="0.25">
      <c r="A33151">
        <v>7210491092</v>
      </c>
      <c r="B33151" t="s">
        <v>9829</v>
      </c>
    </row>
    <row r="33152" spans="1:2" x14ac:dyDescent="0.25">
      <c r="A33152">
        <v>72104910921</v>
      </c>
      <c r="B33152" t="s">
        <v>9830</v>
      </c>
    </row>
    <row r="33153" spans="1:2" x14ac:dyDescent="0.25">
      <c r="A33153">
        <v>72104910922</v>
      </c>
      <c r="B33153" t="s">
        <v>9831</v>
      </c>
    </row>
    <row r="33154" spans="1:2" x14ac:dyDescent="0.25">
      <c r="A33154">
        <v>72104910929</v>
      </c>
      <c r="B33154" t="s">
        <v>10</v>
      </c>
    </row>
    <row r="33155" spans="1:2" x14ac:dyDescent="0.25">
      <c r="A33155">
        <v>72104910990</v>
      </c>
      <c r="B33155" t="s">
        <v>10</v>
      </c>
    </row>
    <row r="33156" spans="1:2" x14ac:dyDescent="0.25">
      <c r="A33156">
        <v>72104990000</v>
      </c>
      <c r="B33156" t="s">
        <v>10</v>
      </c>
    </row>
    <row r="33157" spans="1:2" x14ac:dyDescent="0.25">
      <c r="A33157">
        <v>72105000</v>
      </c>
      <c r="B33157" t="e">
        <f>- revestidos de Oxidos de cromo o de cromo y Oxidos de cromo</f>
        <v>#NAME?</v>
      </c>
    </row>
    <row r="33158" spans="1:2" x14ac:dyDescent="0.25">
      <c r="A33158">
        <v>721050001</v>
      </c>
      <c r="B33158" t="s">
        <v>9850</v>
      </c>
    </row>
    <row r="33159" spans="1:2" x14ac:dyDescent="0.25">
      <c r="A33159">
        <v>72105000110</v>
      </c>
      <c r="B33159" t="s">
        <v>9851</v>
      </c>
    </row>
    <row r="33160" spans="1:2" x14ac:dyDescent="0.25">
      <c r="A33160">
        <v>72105000120</v>
      </c>
      <c r="B33160" t="s">
        <v>9852</v>
      </c>
    </row>
    <row r="33161" spans="1:2" x14ac:dyDescent="0.25">
      <c r="A33161">
        <v>72105000130</v>
      </c>
      <c r="B33161" t="s">
        <v>9853</v>
      </c>
    </row>
    <row r="33162" spans="1:2" x14ac:dyDescent="0.25">
      <c r="A33162">
        <v>72105000140</v>
      </c>
      <c r="B33162" t="s">
        <v>9854</v>
      </c>
    </row>
    <row r="33163" spans="1:2" x14ac:dyDescent="0.25">
      <c r="A33163">
        <v>72105000150</v>
      </c>
      <c r="B33163" t="s">
        <v>9855</v>
      </c>
    </row>
    <row r="33164" spans="1:2" x14ac:dyDescent="0.25">
      <c r="A33164">
        <v>721050002</v>
      </c>
      <c r="B33164" t="s">
        <v>9856</v>
      </c>
    </row>
    <row r="33165" spans="1:2" x14ac:dyDescent="0.25">
      <c r="A33165">
        <v>72105000210</v>
      </c>
      <c r="B33165" t="s">
        <v>9857</v>
      </c>
    </row>
    <row r="33166" spans="1:2" x14ac:dyDescent="0.25">
      <c r="A33166">
        <v>72105000220</v>
      </c>
      <c r="B33166" t="s">
        <v>9858</v>
      </c>
    </row>
    <row r="33167" spans="1:2" x14ac:dyDescent="0.25">
      <c r="A33167">
        <v>72105000230</v>
      </c>
      <c r="B33167" t="s">
        <v>9869</v>
      </c>
    </row>
    <row r="33168" spans="1:2" x14ac:dyDescent="0.25">
      <c r="A33168">
        <v>72105000290</v>
      </c>
      <c r="B33168" t="s">
        <v>10</v>
      </c>
    </row>
    <row r="33169" spans="1:2" x14ac:dyDescent="0.25">
      <c r="A33169">
        <v>72106</v>
      </c>
      <c r="B33169" t="s">
        <v>9870</v>
      </c>
    </row>
    <row r="33170" spans="1:2" x14ac:dyDescent="0.25">
      <c r="A33170">
        <v>72106100</v>
      </c>
      <c r="B33170" t="e">
        <f>- - revestidos de aleaciones de aluminio y cinc</f>
        <v>#NAME?</v>
      </c>
    </row>
    <row r="33171" spans="1:2" x14ac:dyDescent="0.25">
      <c r="A33171">
        <v>721061001</v>
      </c>
      <c r="B33171" t="s">
        <v>9871</v>
      </c>
    </row>
    <row r="33172" spans="1:2" x14ac:dyDescent="0.25">
      <c r="A33172">
        <v>7210610011</v>
      </c>
      <c r="B33172" t="s">
        <v>9867</v>
      </c>
    </row>
    <row r="33173" spans="1:2" x14ac:dyDescent="0.25">
      <c r="A33173">
        <v>72106100111</v>
      </c>
      <c r="B33173" t="s">
        <v>9872</v>
      </c>
    </row>
    <row r="33174" spans="1:2" x14ac:dyDescent="0.25">
      <c r="A33174">
        <v>72106100119</v>
      </c>
      <c r="B33174" t="s">
        <v>10</v>
      </c>
    </row>
    <row r="33175" spans="1:2" x14ac:dyDescent="0.25">
      <c r="A33175">
        <v>72106100190</v>
      </c>
      <c r="B33175" t="s">
        <v>10</v>
      </c>
    </row>
    <row r="33176" spans="1:2" x14ac:dyDescent="0.25">
      <c r="A33176">
        <v>721061002</v>
      </c>
      <c r="B33176" t="s">
        <v>9873</v>
      </c>
    </row>
    <row r="33177" spans="1:2" x14ac:dyDescent="0.25">
      <c r="A33177">
        <v>72106100210</v>
      </c>
      <c r="B33177" t="s">
        <v>9872</v>
      </c>
    </row>
    <row r="33178" spans="1:2" x14ac:dyDescent="0.25">
      <c r="A33178">
        <v>72106100290</v>
      </c>
      <c r="B33178" t="s">
        <v>10</v>
      </c>
    </row>
    <row r="33179" spans="1:2" x14ac:dyDescent="0.25">
      <c r="A33179">
        <v>721061003</v>
      </c>
      <c r="B33179" t="s">
        <v>9864</v>
      </c>
    </row>
    <row r="33180" spans="1:2" x14ac:dyDescent="0.25">
      <c r="A33180">
        <v>72106100310</v>
      </c>
      <c r="B33180" t="s">
        <v>9872</v>
      </c>
    </row>
    <row r="33181" spans="1:2" x14ac:dyDescent="0.25">
      <c r="A33181">
        <v>72106100390</v>
      </c>
      <c r="B33181" t="s">
        <v>10</v>
      </c>
    </row>
    <row r="33182" spans="1:2" x14ac:dyDescent="0.25">
      <c r="A33182">
        <v>721061004</v>
      </c>
      <c r="B33182" t="s">
        <v>9874</v>
      </c>
    </row>
    <row r="33183" spans="1:2" x14ac:dyDescent="0.25">
      <c r="A33183">
        <v>72106100410</v>
      </c>
      <c r="B33183" t="s">
        <v>9872</v>
      </c>
    </row>
    <row r="33184" spans="1:2" x14ac:dyDescent="0.25">
      <c r="A33184">
        <v>72106100490</v>
      </c>
      <c r="B33184" t="s">
        <v>10</v>
      </c>
    </row>
    <row r="33185" spans="1:2" x14ac:dyDescent="0.25">
      <c r="A33185">
        <v>721061005</v>
      </c>
      <c r="B33185" t="s">
        <v>9875</v>
      </c>
    </row>
    <row r="33186" spans="1:2" x14ac:dyDescent="0.25">
      <c r="A33186">
        <v>72106100510</v>
      </c>
      <c r="B33186" t="s">
        <v>9872</v>
      </c>
    </row>
    <row r="33187" spans="1:2" x14ac:dyDescent="0.25">
      <c r="A33187">
        <v>72106100590</v>
      </c>
      <c r="B33187" t="s">
        <v>10</v>
      </c>
    </row>
    <row r="33188" spans="1:2" x14ac:dyDescent="0.25">
      <c r="A33188">
        <v>721061009</v>
      </c>
      <c r="B33188" t="s">
        <v>10</v>
      </c>
    </row>
    <row r="33189" spans="1:2" x14ac:dyDescent="0.25">
      <c r="A33189">
        <v>72106100910</v>
      </c>
      <c r="B33189" t="s">
        <v>9872</v>
      </c>
    </row>
    <row r="33190" spans="1:2" x14ac:dyDescent="0.25">
      <c r="A33190">
        <v>72106100990</v>
      </c>
      <c r="B33190" t="s">
        <v>10</v>
      </c>
    </row>
    <row r="33191" spans="1:2" x14ac:dyDescent="0.25">
      <c r="A33191">
        <v>721069</v>
      </c>
      <c r="B33191" t="e">
        <f>- - Los demas</f>
        <v>#NAME?</v>
      </c>
    </row>
    <row r="33192" spans="1:2" x14ac:dyDescent="0.25">
      <c r="A33192">
        <v>7210691</v>
      </c>
      <c r="B33192" t="s">
        <v>9876</v>
      </c>
    </row>
    <row r="33193" spans="1:2" x14ac:dyDescent="0.25">
      <c r="A33193">
        <v>72106911000</v>
      </c>
      <c r="B33193" t="s">
        <v>9877</v>
      </c>
    </row>
    <row r="33194" spans="1:2" x14ac:dyDescent="0.25">
      <c r="A33194">
        <v>72106919000</v>
      </c>
      <c r="B33194" t="s">
        <v>10</v>
      </c>
    </row>
    <row r="33195" spans="1:2" x14ac:dyDescent="0.25">
      <c r="A33195">
        <v>72106990000</v>
      </c>
      <c r="B33195" t="s">
        <v>10</v>
      </c>
    </row>
    <row r="33196" spans="1:2" x14ac:dyDescent="0.25">
      <c r="A33196">
        <v>721070</v>
      </c>
      <c r="B33196" t="e">
        <f>- Pintados. barnizados o revestidos de plastico</f>
        <v>#NAME?</v>
      </c>
    </row>
    <row r="33197" spans="1:2" x14ac:dyDescent="0.25">
      <c r="A33197">
        <v>72107010</v>
      </c>
      <c r="B33197" t="s">
        <v>9878</v>
      </c>
    </row>
    <row r="33198" spans="1:2" x14ac:dyDescent="0.25">
      <c r="A33198">
        <v>72107010100</v>
      </c>
      <c r="B33198" t="s">
        <v>9879</v>
      </c>
    </row>
    <row r="33199" spans="1:2" x14ac:dyDescent="0.25">
      <c r="A33199">
        <v>72107010200</v>
      </c>
      <c r="B33199" t="s">
        <v>9880</v>
      </c>
    </row>
    <row r="33200" spans="1:2" x14ac:dyDescent="0.25">
      <c r="A33200">
        <v>72107010300</v>
      </c>
      <c r="B33200" t="s">
        <v>9881</v>
      </c>
    </row>
    <row r="33201" spans="1:2" x14ac:dyDescent="0.25">
      <c r="A33201">
        <v>72107010400</v>
      </c>
      <c r="B33201" t="s">
        <v>9882</v>
      </c>
    </row>
    <row r="33202" spans="1:2" x14ac:dyDescent="0.25">
      <c r="A33202">
        <v>72107010500</v>
      </c>
      <c r="B33202" t="s">
        <v>9883</v>
      </c>
    </row>
    <row r="33203" spans="1:2" x14ac:dyDescent="0.25">
      <c r="A33203">
        <v>72107010900</v>
      </c>
      <c r="B33203" t="s">
        <v>10</v>
      </c>
    </row>
    <row r="33204" spans="1:2" x14ac:dyDescent="0.25">
      <c r="A33204">
        <v>72107020000</v>
      </c>
      <c r="B33204" t="s">
        <v>9884</v>
      </c>
    </row>
    <row r="33205" spans="1:2" x14ac:dyDescent="0.25">
      <c r="A33205">
        <v>72109000000</v>
      </c>
      <c r="B33205" t="e">
        <f>-Los demas</f>
        <v>#NAME?</v>
      </c>
    </row>
    <row r="33206" spans="1:2" x14ac:dyDescent="0.25">
      <c r="A33206">
        <v>7211</v>
      </c>
      <c r="B33206" t="s">
        <v>9885</v>
      </c>
    </row>
    <row r="33207" spans="1:2" x14ac:dyDescent="0.25">
      <c r="A33207">
        <v>72111</v>
      </c>
      <c r="B33207" t="s">
        <v>9886</v>
      </c>
    </row>
    <row r="33208" spans="1:2" x14ac:dyDescent="0.25">
      <c r="A33208">
        <v>72111300</v>
      </c>
      <c r="B33208" t="s">
        <v>9887</v>
      </c>
    </row>
    <row r="33209" spans="1:2" x14ac:dyDescent="0.25">
      <c r="A33209">
        <v>721113001</v>
      </c>
      <c r="B33209" t="s">
        <v>9804</v>
      </c>
    </row>
    <row r="33210" spans="1:2" x14ac:dyDescent="0.25">
      <c r="A33210">
        <v>72111300110</v>
      </c>
      <c r="B33210" t="s">
        <v>9888</v>
      </c>
    </row>
    <row r="33211" spans="1:2" x14ac:dyDescent="0.25">
      <c r="A33211">
        <v>72111300190</v>
      </c>
      <c r="B33211" t="s">
        <v>10</v>
      </c>
    </row>
    <row r="33212" spans="1:2" x14ac:dyDescent="0.25">
      <c r="A33212">
        <v>72111300900</v>
      </c>
      <c r="B33212" t="s">
        <v>10</v>
      </c>
    </row>
    <row r="33213" spans="1:2" x14ac:dyDescent="0.25">
      <c r="A33213">
        <v>72111400</v>
      </c>
      <c r="B33213" t="s">
        <v>9889</v>
      </c>
    </row>
    <row r="33214" spans="1:2" x14ac:dyDescent="0.25">
      <c r="A33214">
        <v>721114001</v>
      </c>
      <c r="B33214" t="s">
        <v>9804</v>
      </c>
    </row>
    <row r="33215" spans="1:2" x14ac:dyDescent="0.25">
      <c r="A33215">
        <v>72111400110</v>
      </c>
      <c r="B33215" t="s">
        <v>9808</v>
      </c>
    </row>
    <row r="33216" spans="1:2" x14ac:dyDescent="0.25">
      <c r="A33216">
        <v>72111400120</v>
      </c>
      <c r="B33216" t="s">
        <v>9809</v>
      </c>
    </row>
    <row r="33217" spans="1:2" x14ac:dyDescent="0.25">
      <c r="A33217">
        <v>72111400130</v>
      </c>
      <c r="B33217" t="s">
        <v>9890</v>
      </c>
    </row>
    <row r="33218" spans="1:2" x14ac:dyDescent="0.25">
      <c r="A33218">
        <v>72111400190</v>
      </c>
      <c r="B33218" t="s">
        <v>10</v>
      </c>
    </row>
    <row r="33219" spans="1:2" x14ac:dyDescent="0.25">
      <c r="A33219">
        <v>72111400900</v>
      </c>
      <c r="B33219" t="s">
        <v>10</v>
      </c>
    </row>
    <row r="33220" spans="1:2" x14ac:dyDescent="0.25">
      <c r="A33220">
        <v>72111900</v>
      </c>
      <c r="B33220" t="e">
        <f>- - Los demas</f>
        <v>#NAME?</v>
      </c>
    </row>
    <row r="33221" spans="1:2" x14ac:dyDescent="0.25">
      <c r="A33221">
        <v>72111900100</v>
      </c>
      <c r="B33221" t="s">
        <v>9808</v>
      </c>
    </row>
    <row r="33222" spans="1:2" x14ac:dyDescent="0.25">
      <c r="A33222">
        <v>72111900200</v>
      </c>
      <c r="B33222" t="s">
        <v>9809</v>
      </c>
    </row>
    <row r="33223" spans="1:2" x14ac:dyDescent="0.25">
      <c r="A33223">
        <v>72111900300</v>
      </c>
      <c r="B33223" t="s">
        <v>9890</v>
      </c>
    </row>
    <row r="33224" spans="1:2" x14ac:dyDescent="0.25">
      <c r="A33224">
        <v>72111900900</v>
      </c>
      <c r="B33224" t="s">
        <v>10</v>
      </c>
    </row>
    <row r="33225" spans="1:2" x14ac:dyDescent="0.25">
      <c r="A33225">
        <v>72112</v>
      </c>
      <c r="B33225" t="s">
        <v>9891</v>
      </c>
    </row>
    <row r="33226" spans="1:2" x14ac:dyDescent="0.25">
      <c r="A33226">
        <v>72112300</v>
      </c>
      <c r="B33226" t="s">
        <v>9892</v>
      </c>
    </row>
    <row r="33227" spans="1:2" x14ac:dyDescent="0.25">
      <c r="A33227">
        <v>721123001</v>
      </c>
      <c r="B33227" t="s">
        <v>9843</v>
      </c>
    </row>
    <row r="33228" spans="1:2" x14ac:dyDescent="0.25">
      <c r="A33228">
        <v>72112300110</v>
      </c>
      <c r="B33228" t="s">
        <v>9837</v>
      </c>
    </row>
    <row r="33229" spans="1:2" x14ac:dyDescent="0.25">
      <c r="A33229">
        <v>72112300190</v>
      </c>
      <c r="B33229" t="s">
        <v>10</v>
      </c>
    </row>
    <row r="33230" spans="1:2" x14ac:dyDescent="0.25">
      <c r="A33230">
        <v>72112300900</v>
      </c>
      <c r="B33230" t="s">
        <v>10</v>
      </c>
    </row>
    <row r="33231" spans="1:2" x14ac:dyDescent="0.25">
      <c r="A33231">
        <v>721129</v>
      </c>
      <c r="B33231" t="e">
        <f>- - Los demas</f>
        <v>#NAME?</v>
      </c>
    </row>
    <row r="33232" spans="1:2" x14ac:dyDescent="0.25">
      <c r="A33232">
        <v>72112910</v>
      </c>
      <c r="B33232" t="s">
        <v>9893</v>
      </c>
    </row>
    <row r="33233" spans="1:2" x14ac:dyDescent="0.25">
      <c r="A33233">
        <v>721129101</v>
      </c>
      <c r="B33233" t="s">
        <v>9843</v>
      </c>
    </row>
    <row r="33234" spans="1:2" x14ac:dyDescent="0.25">
      <c r="A33234">
        <v>72112910110</v>
      </c>
      <c r="B33234" t="s">
        <v>9837</v>
      </c>
    </row>
    <row r="33235" spans="1:2" x14ac:dyDescent="0.25">
      <c r="A33235">
        <v>72112910190</v>
      </c>
      <c r="B33235" t="s">
        <v>10</v>
      </c>
    </row>
    <row r="33236" spans="1:2" x14ac:dyDescent="0.25">
      <c r="A33236">
        <v>72112910900</v>
      </c>
      <c r="B33236" t="s">
        <v>10</v>
      </c>
    </row>
    <row r="33237" spans="1:2" x14ac:dyDescent="0.25">
      <c r="A33237">
        <v>72112920</v>
      </c>
      <c r="B33237" t="s">
        <v>9894</v>
      </c>
    </row>
    <row r="33238" spans="1:2" x14ac:dyDescent="0.25">
      <c r="A33238">
        <v>721129201</v>
      </c>
      <c r="B33238" t="s">
        <v>9843</v>
      </c>
    </row>
    <row r="33239" spans="1:2" x14ac:dyDescent="0.25">
      <c r="A33239">
        <v>72112920110</v>
      </c>
      <c r="B33239" t="s">
        <v>9837</v>
      </c>
    </row>
    <row r="33240" spans="1:2" x14ac:dyDescent="0.25">
      <c r="A33240">
        <v>72112920190</v>
      </c>
      <c r="B33240" t="s">
        <v>10</v>
      </c>
    </row>
    <row r="33241" spans="1:2" x14ac:dyDescent="0.25">
      <c r="A33241">
        <v>72112920900</v>
      </c>
      <c r="B33241" t="s">
        <v>10</v>
      </c>
    </row>
    <row r="33242" spans="1:2" x14ac:dyDescent="0.25">
      <c r="A33242">
        <v>721190</v>
      </c>
      <c r="B33242" t="e">
        <f>- Los demas</f>
        <v>#NAME?</v>
      </c>
    </row>
    <row r="33243" spans="1:2" x14ac:dyDescent="0.25">
      <c r="A33243">
        <v>72119010000</v>
      </c>
      <c r="B33243" t="s">
        <v>9894</v>
      </c>
    </row>
    <row r="33244" spans="1:2" x14ac:dyDescent="0.25">
      <c r="A33244">
        <v>72119090</v>
      </c>
      <c r="B33244" t="s">
        <v>10</v>
      </c>
    </row>
    <row r="33245" spans="1:2" x14ac:dyDescent="0.25">
      <c r="A33245">
        <v>721190901</v>
      </c>
      <c r="B33245" t="s">
        <v>9895</v>
      </c>
    </row>
    <row r="33246" spans="1:2" x14ac:dyDescent="0.25">
      <c r="A33246">
        <v>72119090110</v>
      </c>
      <c r="B33246" t="s">
        <v>9804</v>
      </c>
    </row>
    <row r="33247" spans="1:2" x14ac:dyDescent="0.25">
      <c r="A33247">
        <v>72119090190</v>
      </c>
      <c r="B33247" t="s">
        <v>10</v>
      </c>
    </row>
    <row r="33248" spans="1:2" x14ac:dyDescent="0.25">
      <c r="A33248">
        <v>72119090900</v>
      </c>
      <c r="B33248" t="s">
        <v>10</v>
      </c>
    </row>
    <row r="33249" spans="1:2" x14ac:dyDescent="0.25">
      <c r="A33249">
        <v>7212</v>
      </c>
      <c r="B33249" t="s">
        <v>9896</v>
      </c>
    </row>
    <row r="33250" spans="1:2" x14ac:dyDescent="0.25">
      <c r="A33250">
        <v>72121000</v>
      </c>
      <c r="B33250" t="e">
        <f>- estañados</f>
        <v>#NAME?</v>
      </c>
    </row>
    <row r="33251" spans="1:2" x14ac:dyDescent="0.25">
      <c r="A33251">
        <v>721210001</v>
      </c>
      <c r="B33251" t="s">
        <v>9850</v>
      </c>
    </row>
    <row r="33252" spans="1:2" x14ac:dyDescent="0.25">
      <c r="A33252">
        <v>72121000110</v>
      </c>
      <c r="B33252" t="s">
        <v>9851</v>
      </c>
    </row>
    <row r="33253" spans="1:2" x14ac:dyDescent="0.25">
      <c r="A33253">
        <v>72121000120</v>
      </c>
      <c r="B33253" t="s">
        <v>9852</v>
      </c>
    </row>
    <row r="33254" spans="1:2" x14ac:dyDescent="0.25">
      <c r="A33254">
        <v>72121000130</v>
      </c>
      <c r="B33254" t="s">
        <v>9853</v>
      </c>
    </row>
    <row r="33255" spans="1:2" x14ac:dyDescent="0.25">
      <c r="A33255">
        <v>72121000140</v>
      </c>
      <c r="B33255" t="s">
        <v>9854</v>
      </c>
    </row>
    <row r="33256" spans="1:2" x14ac:dyDescent="0.25">
      <c r="A33256">
        <v>72121000150</v>
      </c>
      <c r="B33256" t="s">
        <v>9855</v>
      </c>
    </row>
    <row r="33257" spans="1:2" x14ac:dyDescent="0.25">
      <c r="A33257">
        <v>721210002</v>
      </c>
      <c r="B33257" t="s">
        <v>9856</v>
      </c>
    </row>
    <row r="33258" spans="1:2" x14ac:dyDescent="0.25">
      <c r="A33258">
        <v>72121000210</v>
      </c>
      <c r="B33258" t="s">
        <v>9857</v>
      </c>
    </row>
    <row r="33259" spans="1:2" x14ac:dyDescent="0.25">
      <c r="A33259">
        <v>72121000220</v>
      </c>
      <c r="B33259" t="s">
        <v>9858</v>
      </c>
    </row>
    <row r="33260" spans="1:2" x14ac:dyDescent="0.25">
      <c r="A33260">
        <v>72121000230</v>
      </c>
      <c r="B33260" t="s">
        <v>9869</v>
      </c>
    </row>
    <row r="33261" spans="1:2" x14ac:dyDescent="0.25">
      <c r="A33261">
        <v>72121000290</v>
      </c>
      <c r="B33261" t="s">
        <v>10</v>
      </c>
    </row>
    <row r="33262" spans="1:2" x14ac:dyDescent="0.25">
      <c r="A33262">
        <v>721220</v>
      </c>
      <c r="B33262" t="e">
        <f>- Cincados electroliticamente</f>
        <v>#NAME?</v>
      </c>
    </row>
    <row r="33263" spans="1:2" x14ac:dyDescent="0.25">
      <c r="A33263">
        <v>72122010000</v>
      </c>
      <c r="B33263" t="s">
        <v>9860</v>
      </c>
    </row>
    <row r="33264" spans="1:2" x14ac:dyDescent="0.25">
      <c r="A33264">
        <v>72122090000</v>
      </c>
      <c r="B33264" t="s">
        <v>10</v>
      </c>
    </row>
    <row r="33265" spans="1:2" x14ac:dyDescent="0.25">
      <c r="A33265">
        <v>72123000</v>
      </c>
      <c r="B33265" t="e">
        <f>- Cincados de otro modo</f>
        <v>#NAME?</v>
      </c>
    </row>
    <row r="33266" spans="1:2" x14ac:dyDescent="0.25">
      <c r="A33266">
        <v>721230001</v>
      </c>
      <c r="B33266" t="s">
        <v>9867</v>
      </c>
    </row>
    <row r="33267" spans="1:2" x14ac:dyDescent="0.25">
      <c r="A33267">
        <v>72123000110</v>
      </c>
      <c r="B33267" t="s">
        <v>9872</v>
      </c>
    </row>
    <row r="33268" spans="1:2" x14ac:dyDescent="0.25">
      <c r="A33268">
        <v>72123000190</v>
      </c>
      <c r="B33268" t="s">
        <v>10</v>
      </c>
    </row>
    <row r="33269" spans="1:2" x14ac:dyDescent="0.25">
      <c r="A33269">
        <v>72123000900</v>
      </c>
      <c r="B33269" t="s">
        <v>10</v>
      </c>
    </row>
    <row r="33270" spans="1:2" x14ac:dyDescent="0.25">
      <c r="A33270">
        <v>721240</v>
      </c>
      <c r="B33270" t="e">
        <f>- Pintados. barnizados o revestidos de plastico</f>
        <v>#NAME?</v>
      </c>
    </row>
    <row r="33271" spans="1:2" x14ac:dyDescent="0.25">
      <c r="A33271">
        <v>72124010</v>
      </c>
      <c r="B33271" t="s">
        <v>9878</v>
      </c>
    </row>
    <row r="33272" spans="1:2" x14ac:dyDescent="0.25">
      <c r="A33272">
        <v>721240101</v>
      </c>
      <c r="B33272" t="s">
        <v>9879</v>
      </c>
    </row>
    <row r="33273" spans="1:2" x14ac:dyDescent="0.25">
      <c r="A33273">
        <v>72124010110</v>
      </c>
      <c r="B33273" t="s">
        <v>9897</v>
      </c>
    </row>
    <row r="33274" spans="1:2" x14ac:dyDescent="0.25">
      <c r="A33274">
        <v>72124010190</v>
      </c>
      <c r="B33274" t="s">
        <v>10</v>
      </c>
    </row>
    <row r="33275" spans="1:2" x14ac:dyDescent="0.25">
      <c r="A33275">
        <v>72124010200</v>
      </c>
      <c r="B33275" t="s">
        <v>9880</v>
      </c>
    </row>
    <row r="33276" spans="1:2" x14ac:dyDescent="0.25">
      <c r="A33276">
        <v>72124010300</v>
      </c>
      <c r="B33276" t="s">
        <v>9881</v>
      </c>
    </row>
    <row r="33277" spans="1:2" x14ac:dyDescent="0.25">
      <c r="A33277">
        <v>72124010400</v>
      </c>
      <c r="B33277" t="s">
        <v>9882</v>
      </c>
    </row>
    <row r="33278" spans="1:2" x14ac:dyDescent="0.25">
      <c r="A33278">
        <v>72124010500</v>
      </c>
      <c r="B33278" t="s">
        <v>9883</v>
      </c>
    </row>
    <row r="33279" spans="1:2" x14ac:dyDescent="0.25">
      <c r="A33279">
        <v>72124010900</v>
      </c>
      <c r="B33279" t="s">
        <v>10</v>
      </c>
    </row>
    <row r="33280" spans="1:2" x14ac:dyDescent="0.25">
      <c r="A33280">
        <v>7212402</v>
      </c>
      <c r="B33280" t="s">
        <v>9884</v>
      </c>
    </row>
    <row r="33281" spans="1:2" x14ac:dyDescent="0.25">
      <c r="A33281">
        <v>72124021000</v>
      </c>
      <c r="B33281" t="s">
        <v>9898</v>
      </c>
    </row>
    <row r="33282" spans="1:2" x14ac:dyDescent="0.25">
      <c r="A33282">
        <v>72124029</v>
      </c>
      <c r="B33282" t="s">
        <v>10</v>
      </c>
    </row>
    <row r="33283" spans="1:2" x14ac:dyDescent="0.25">
      <c r="A33283">
        <v>72124029100</v>
      </c>
      <c r="B33283" t="s">
        <v>9899</v>
      </c>
    </row>
    <row r="33284" spans="1:2" x14ac:dyDescent="0.25">
      <c r="A33284">
        <v>72124029900</v>
      </c>
      <c r="B33284" t="s">
        <v>10</v>
      </c>
    </row>
    <row r="33285" spans="1:2" x14ac:dyDescent="0.25">
      <c r="A33285">
        <v>721250</v>
      </c>
      <c r="B33285" t="e">
        <f>- revestidos de otro modo</f>
        <v>#NAME?</v>
      </c>
    </row>
    <row r="33286" spans="1:2" x14ac:dyDescent="0.25">
      <c r="A33286">
        <v>72125010000</v>
      </c>
      <c r="B33286" t="s">
        <v>9900</v>
      </c>
    </row>
    <row r="33287" spans="1:2" x14ac:dyDescent="0.25">
      <c r="A33287">
        <v>72125090</v>
      </c>
      <c r="B33287" t="s">
        <v>10</v>
      </c>
    </row>
    <row r="33288" spans="1:2" x14ac:dyDescent="0.25">
      <c r="A33288">
        <v>721250901</v>
      </c>
      <c r="B33288" t="s">
        <v>9871</v>
      </c>
    </row>
    <row r="33289" spans="1:2" x14ac:dyDescent="0.25">
      <c r="A33289">
        <v>72125090110</v>
      </c>
      <c r="B33289" t="s">
        <v>9851</v>
      </c>
    </row>
    <row r="33290" spans="1:2" x14ac:dyDescent="0.25">
      <c r="A33290">
        <v>72125090120</v>
      </c>
      <c r="B33290" t="s">
        <v>9901</v>
      </c>
    </row>
    <row r="33291" spans="1:2" x14ac:dyDescent="0.25">
      <c r="A33291">
        <v>72125090130</v>
      </c>
      <c r="B33291" t="s">
        <v>9902</v>
      </c>
    </row>
    <row r="33292" spans="1:2" x14ac:dyDescent="0.25">
      <c r="A33292">
        <v>72125090140</v>
      </c>
      <c r="B33292" t="s">
        <v>9903</v>
      </c>
    </row>
    <row r="33293" spans="1:2" x14ac:dyDescent="0.25">
      <c r="A33293">
        <v>7212509015</v>
      </c>
      <c r="B33293" t="s">
        <v>9867</v>
      </c>
    </row>
    <row r="33294" spans="1:2" x14ac:dyDescent="0.25">
      <c r="A33294">
        <v>72125090151</v>
      </c>
      <c r="B33294" t="s">
        <v>9904</v>
      </c>
    </row>
    <row r="33295" spans="1:2" x14ac:dyDescent="0.25">
      <c r="A33295">
        <v>72125090159</v>
      </c>
      <c r="B33295" t="s">
        <v>10</v>
      </c>
    </row>
    <row r="33296" spans="1:2" x14ac:dyDescent="0.25">
      <c r="A33296">
        <v>721250902</v>
      </c>
      <c r="B33296" t="s">
        <v>9905</v>
      </c>
    </row>
    <row r="33297" spans="1:2" x14ac:dyDescent="0.25">
      <c r="A33297">
        <v>7212509021</v>
      </c>
      <c r="B33297" t="s">
        <v>9906</v>
      </c>
    </row>
    <row r="33298" spans="1:2" x14ac:dyDescent="0.25">
      <c r="A33298">
        <v>72125090211</v>
      </c>
      <c r="B33298" t="s">
        <v>9904</v>
      </c>
    </row>
    <row r="33299" spans="1:2" x14ac:dyDescent="0.25">
      <c r="A33299">
        <v>72125090219</v>
      </c>
      <c r="B33299" t="s">
        <v>10</v>
      </c>
    </row>
    <row r="33300" spans="1:2" x14ac:dyDescent="0.25">
      <c r="A33300">
        <v>7212509022</v>
      </c>
      <c r="B33300" t="s">
        <v>9864</v>
      </c>
    </row>
    <row r="33301" spans="1:2" x14ac:dyDescent="0.25">
      <c r="A33301">
        <v>72125090221</v>
      </c>
      <c r="B33301" t="s">
        <v>9904</v>
      </c>
    </row>
    <row r="33302" spans="1:2" x14ac:dyDescent="0.25">
      <c r="A33302">
        <v>72125090229</v>
      </c>
      <c r="B33302" t="s">
        <v>10</v>
      </c>
    </row>
    <row r="33303" spans="1:2" x14ac:dyDescent="0.25">
      <c r="A33303">
        <v>7212509023</v>
      </c>
      <c r="B33303" t="s">
        <v>9874</v>
      </c>
    </row>
    <row r="33304" spans="1:2" x14ac:dyDescent="0.25">
      <c r="A33304">
        <v>72125090231</v>
      </c>
      <c r="B33304" t="s">
        <v>9904</v>
      </c>
    </row>
    <row r="33305" spans="1:2" x14ac:dyDescent="0.25">
      <c r="A33305">
        <v>72125090239</v>
      </c>
      <c r="B33305" t="s">
        <v>10</v>
      </c>
    </row>
    <row r="33306" spans="1:2" x14ac:dyDescent="0.25">
      <c r="A33306">
        <v>7212509024</v>
      </c>
      <c r="B33306" t="s">
        <v>9875</v>
      </c>
    </row>
    <row r="33307" spans="1:2" x14ac:dyDescent="0.25">
      <c r="A33307">
        <v>72125090241</v>
      </c>
      <c r="B33307" t="s">
        <v>9904</v>
      </c>
    </row>
    <row r="33308" spans="1:2" x14ac:dyDescent="0.25">
      <c r="A33308">
        <v>72125090249</v>
      </c>
      <c r="B33308" t="s">
        <v>10</v>
      </c>
    </row>
    <row r="33309" spans="1:2" x14ac:dyDescent="0.25">
      <c r="A33309">
        <v>7212509029</v>
      </c>
      <c r="B33309" t="s">
        <v>10</v>
      </c>
    </row>
    <row r="33310" spans="1:2" x14ac:dyDescent="0.25">
      <c r="A33310">
        <v>72125090291</v>
      </c>
      <c r="B33310" t="s">
        <v>9904</v>
      </c>
    </row>
    <row r="33311" spans="1:2" x14ac:dyDescent="0.25">
      <c r="A33311">
        <v>72125090299</v>
      </c>
      <c r="B33311" t="s">
        <v>10</v>
      </c>
    </row>
    <row r="33312" spans="1:2" x14ac:dyDescent="0.25">
      <c r="A33312">
        <v>72126000000</v>
      </c>
      <c r="B33312" t="e">
        <f>-chapados</f>
        <v>#NAME?</v>
      </c>
    </row>
    <row r="33313" spans="1:2" x14ac:dyDescent="0.25">
      <c r="A33313">
        <v>7213</v>
      </c>
      <c r="B33313" t="s">
        <v>9907</v>
      </c>
    </row>
    <row r="33314" spans="1:2" x14ac:dyDescent="0.25">
      <c r="A33314">
        <v>72131000000</v>
      </c>
      <c r="B33314" t="e">
        <f>-Con muescas. cordones. surcos o relieves. producidos En el laminado</f>
        <v>#NAME?</v>
      </c>
    </row>
    <row r="33315" spans="1:2" x14ac:dyDescent="0.25">
      <c r="A33315">
        <v>72132000000</v>
      </c>
      <c r="B33315" t="e">
        <f>-Los demas. de acero de facil mecanizacion</f>
        <v>#NAME?</v>
      </c>
    </row>
    <row r="33316" spans="1:2" x14ac:dyDescent="0.25">
      <c r="A33316">
        <v>72139</v>
      </c>
      <c r="B33316" t="s">
        <v>28</v>
      </c>
    </row>
    <row r="33317" spans="1:2" x14ac:dyDescent="0.25">
      <c r="A33317">
        <v>721391</v>
      </c>
      <c r="B33317" t="s">
        <v>9908</v>
      </c>
    </row>
    <row r="33318" spans="1:2" x14ac:dyDescent="0.25">
      <c r="A33318">
        <v>72139110000</v>
      </c>
      <c r="B33318" t="s">
        <v>9894</v>
      </c>
    </row>
    <row r="33319" spans="1:2" x14ac:dyDescent="0.25">
      <c r="A33319">
        <v>72139190</v>
      </c>
      <c r="B33319" t="s">
        <v>10</v>
      </c>
    </row>
    <row r="33320" spans="1:2" x14ac:dyDescent="0.25">
      <c r="A33320">
        <v>72139190100</v>
      </c>
      <c r="B33320" t="s">
        <v>9909</v>
      </c>
    </row>
    <row r="33321" spans="1:2" x14ac:dyDescent="0.25">
      <c r="A33321">
        <v>72139190900</v>
      </c>
      <c r="B33321" t="s">
        <v>10</v>
      </c>
    </row>
    <row r="33322" spans="1:2" x14ac:dyDescent="0.25">
      <c r="A33322">
        <v>721399</v>
      </c>
      <c r="B33322" t="e">
        <f>- - Los demas</f>
        <v>#NAME?</v>
      </c>
    </row>
    <row r="33323" spans="1:2" x14ac:dyDescent="0.25">
      <c r="A33323">
        <v>72139910000</v>
      </c>
      <c r="B33323" t="s">
        <v>9894</v>
      </c>
    </row>
    <row r="33324" spans="1:2" x14ac:dyDescent="0.25">
      <c r="A33324">
        <v>72139990000</v>
      </c>
      <c r="B33324" t="s">
        <v>10</v>
      </c>
    </row>
    <row r="33325" spans="1:2" x14ac:dyDescent="0.25">
      <c r="A33325">
        <v>7214</v>
      </c>
      <c r="B33325" t="s">
        <v>9910</v>
      </c>
    </row>
    <row r="33326" spans="1:2" x14ac:dyDescent="0.25">
      <c r="A33326">
        <v>721410</v>
      </c>
      <c r="B33326" t="e">
        <f>- Forjadas</f>
        <v>#NAME?</v>
      </c>
    </row>
    <row r="33327" spans="1:2" x14ac:dyDescent="0.25">
      <c r="A33327">
        <v>72141010000</v>
      </c>
      <c r="B33327" t="s">
        <v>9911</v>
      </c>
    </row>
    <row r="33328" spans="1:2" x14ac:dyDescent="0.25">
      <c r="A33328">
        <v>72141090000</v>
      </c>
      <c r="B33328" t="s">
        <v>57</v>
      </c>
    </row>
    <row r="33329" spans="1:2" x14ac:dyDescent="0.25">
      <c r="A33329">
        <v>72142000000</v>
      </c>
      <c r="B33329" t="e">
        <f>-Con muescas. cordones. surcos o relieves. producidos En el laminado o sometidas a torsion despues del laminado</f>
        <v>#NAME?</v>
      </c>
    </row>
    <row r="33330" spans="1:2" x14ac:dyDescent="0.25">
      <c r="A33330">
        <v>72143000000</v>
      </c>
      <c r="B33330" t="e">
        <f>-las demas. de acero de facil mecanizacion</f>
        <v>#NAME?</v>
      </c>
    </row>
    <row r="33331" spans="1:2" x14ac:dyDescent="0.25">
      <c r="A33331">
        <v>72149</v>
      </c>
      <c r="B33331" t="s">
        <v>567</v>
      </c>
    </row>
    <row r="33332" spans="1:2" x14ac:dyDescent="0.25">
      <c r="A33332">
        <v>72149100</v>
      </c>
      <c r="B33332" t="e">
        <f>- - de seccion transversal rectangular</f>
        <v>#NAME?</v>
      </c>
    </row>
    <row r="33333" spans="1:2" x14ac:dyDescent="0.25">
      <c r="A33333">
        <v>72149100100</v>
      </c>
      <c r="B33333" t="s">
        <v>9912</v>
      </c>
    </row>
    <row r="33334" spans="1:2" x14ac:dyDescent="0.25">
      <c r="A33334">
        <v>721491002</v>
      </c>
      <c r="B33334" t="s">
        <v>9913</v>
      </c>
    </row>
    <row r="33335" spans="1:2" x14ac:dyDescent="0.25">
      <c r="A33335">
        <v>72149100210</v>
      </c>
      <c r="B33335" t="s">
        <v>9914</v>
      </c>
    </row>
    <row r="33336" spans="1:2" x14ac:dyDescent="0.25">
      <c r="A33336">
        <v>72149100290</v>
      </c>
      <c r="B33336" t="s">
        <v>57</v>
      </c>
    </row>
    <row r="33337" spans="1:2" x14ac:dyDescent="0.25">
      <c r="A33337">
        <v>721499</v>
      </c>
      <c r="B33337" t="e">
        <f>- - las demas</f>
        <v>#NAME?</v>
      </c>
    </row>
    <row r="33338" spans="1:2" x14ac:dyDescent="0.25">
      <c r="A33338">
        <v>72149910</v>
      </c>
      <c r="B33338" t="s">
        <v>9915</v>
      </c>
    </row>
    <row r="33339" spans="1:2" x14ac:dyDescent="0.25">
      <c r="A33339">
        <v>72149910100</v>
      </c>
      <c r="B33339" t="s">
        <v>9916</v>
      </c>
    </row>
    <row r="33340" spans="1:2" x14ac:dyDescent="0.25">
      <c r="A33340">
        <v>72149910200</v>
      </c>
      <c r="B33340" t="s">
        <v>9917</v>
      </c>
    </row>
    <row r="33341" spans="1:2" x14ac:dyDescent="0.25">
      <c r="A33341">
        <v>72149910900</v>
      </c>
      <c r="B33341" t="s">
        <v>57</v>
      </c>
    </row>
    <row r="33342" spans="1:2" x14ac:dyDescent="0.25">
      <c r="A33342">
        <v>72149990</v>
      </c>
      <c r="B33342" t="s">
        <v>57</v>
      </c>
    </row>
    <row r="33343" spans="1:2" x14ac:dyDescent="0.25">
      <c r="A33343">
        <v>721499901</v>
      </c>
      <c r="B33343" t="s">
        <v>9918</v>
      </c>
    </row>
    <row r="33344" spans="1:2" x14ac:dyDescent="0.25">
      <c r="A33344">
        <v>72149990110</v>
      </c>
      <c r="B33344" t="s">
        <v>9919</v>
      </c>
    </row>
    <row r="33345" spans="1:2" x14ac:dyDescent="0.25">
      <c r="A33345">
        <v>72149990120</v>
      </c>
      <c r="B33345" t="s">
        <v>9920</v>
      </c>
    </row>
    <row r="33346" spans="1:2" x14ac:dyDescent="0.25">
      <c r="A33346">
        <v>72149990190</v>
      </c>
      <c r="B33346" t="s">
        <v>57</v>
      </c>
    </row>
    <row r="33347" spans="1:2" x14ac:dyDescent="0.25">
      <c r="A33347">
        <v>72149990900</v>
      </c>
      <c r="B33347" t="s">
        <v>57</v>
      </c>
    </row>
    <row r="33348" spans="1:2" x14ac:dyDescent="0.25">
      <c r="A33348">
        <v>7215</v>
      </c>
      <c r="B33348" t="s">
        <v>9921</v>
      </c>
    </row>
    <row r="33349" spans="1:2" x14ac:dyDescent="0.25">
      <c r="A33349">
        <v>72151000000</v>
      </c>
      <c r="B33349" t="e">
        <f>-de acero de facil mecanizacion. Simplemente obtenidas o acabadas En frio</f>
        <v>#NAME?</v>
      </c>
    </row>
    <row r="33350" spans="1:2" x14ac:dyDescent="0.25">
      <c r="A33350">
        <v>72155000000</v>
      </c>
      <c r="B33350" t="e">
        <f>-las demas. Simplemente obtenidas o acabadas En frio</f>
        <v>#NAME?</v>
      </c>
    </row>
    <row r="33351" spans="1:2" x14ac:dyDescent="0.25">
      <c r="A33351">
        <v>721590</v>
      </c>
      <c r="B33351" t="e">
        <f>- las demas</f>
        <v>#NAME?</v>
      </c>
    </row>
    <row r="33352" spans="1:2" x14ac:dyDescent="0.25">
      <c r="A33352">
        <v>72159010</v>
      </c>
      <c r="B33352" t="s">
        <v>9911</v>
      </c>
    </row>
    <row r="33353" spans="1:2" x14ac:dyDescent="0.25">
      <c r="A33353">
        <v>721590101</v>
      </c>
      <c r="B33353" t="s">
        <v>9915</v>
      </c>
    </row>
    <row r="33354" spans="1:2" x14ac:dyDescent="0.25">
      <c r="A33354">
        <v>7215901011</v>
      </c>
      <c r="B33354" t="s">
        <v>9922</v>
      </c>
    </row>
    <row r="33355" spans="1:2" x14ac:dyDescent="0.25">
      <c r="A33355">
        <v>72159010111</v>
      </c>
      <c r="B33355" t="s">
        <v>9923</v>
      </c>
    </row>
    <row r="33356" spans="1:2" x14ac:dyDescent="0.25">
      <c r="A33356">
        <v>72159010112</v>
      </c>
      <c r="B33356" t="s">
        <v>9924</v>
      </c>
    </row>
    <row r="33357" spans="1:2" x14ac:dyDescent="0.25">
      <c r="A33357">
        <v>72159010113</v>
      </c>
      <c r="B33357" t="s">
        <v>9925</v>
      </c>
    </row>
    <row r="33358" spans="1:2" x14ac:dyDescent="0.25">
      <c r="A33358">
        <v>72159010114</v>
      </c>
      <c r="B33358" t="s">
        <v>9926</v>
      </c>
    </row>
    <row r="33359" spans="1:2" x14ac:dyDescent="0.25">
      <c r="A33359">
        <v>72159010119</v>
      </c>
      <c r="B33359" t="s">
        <v>57</v>
      </c>
    </row>
    <row r="33360" spans="1:2" x14ac:dyDescent="0.25">
      <c r="A33360">
        <v>72159010190</v>
      </c>
      <c r="B33360" t="s">
        <v>57</v>
      </c>
    </row>
    <row r="33361" spans="1:2" x14ac:dyDescent="0.25">
      <c r="A33361">
        <v>72159010900</v>
      </c>
      <c r="B33361" t="s">
        <v>57</v>
      </c>
    </row>
    <row r="33362" spans="1:2" x14ac:dyDescent="0.25">
      <c r="A33362">
        <v>72159090</v>
      </c>
      <c r="B33362" t="s">
        <v>57</v>
      </c>
    </row>
    <row r="33363" spans="1:2" x14ac:dyDescent="0.25">
      <c r="A33363">
        <v>72159090100</v>
      </c>
      <c r="B33363" t="s">
        <v>9927</v>
      </c>
    </row>
    <row r="33364" spans="1:2" x14ac:dyDescent="0.25">
      <c r="A33364">
        <v>721590902</v>
      </c>
      <c r="B33364" t="s">
        <v>9915</v>
      </c>
    </row>
    <row r="33365" spans="1:2" x14ac:dyDescent="0.25">
      <c r="A33365">
        <v>7215909021</v>
      </c>
      <c r="B33365" t="s">
        <v>9922</v>
      </c>
    </row>
    <row r="33366" spans="1:2" x14ac:dyDescent="0.25">
      <c r="A33366">
        <v>72159090211</v>
      </c>
      <c r="B33366" t="s">
        <v>9923</v>
      </c>
    </row>
    <row r="33367" spans="1:2" x14ac:dyDescent="0.25">
      <c r="A33367">
        <v>72159090212</v>
      </c>
      <c r="B33367" t="s">
        <v>9924</v>
      </c>
    </row>
    <row r="33368" spans="1:2" x14ac:dyDescent="0.25">
      <c r="A33368">
        <v>72159090213</v>
      </c>
      <c r="B33368" t="s">
        <v>9925</v>
      </c>
    </row>
    <row r="33369" spans="1:2" x14ac:dyDescent="0.25">
      <c r="A33369">
        <v>72159090214</v>
      </c>
      <c r="B33369" t="s">
        <v>9926</v>
      </c>
    </row>
    <row r="33370" spans="1:2" x14ac:dyDescent="0.25">
      <c r="A33370">
        <v>72159090219</v>
      </c>
      <c r="B33370" t="s">
        <v>57</v>
      </c>
    </row>
    <row r="33371" spans="1:2" x14ac:dyDescent="0.25">
      <c r="A33371">
        <v>72159090290</v>
      </c>
      <c r="B33371" t="s">
        <v>57</v>
      </c>
    </row>
    <row r="33372" spans="1:2" x14ac:dyDescent="0.25">
      <c r="A33372">
        <v>72159090900</v>
      </c>
      <c r="B33372" t="s">
        <v>57</v>
      </c>
    </row>
    <row r="33373" spans="1:2" x14ac:dyDescent="0.25">
      <c r="A33373">
        <v>7216</v>
      </c>
      <c r="B33373" t="s">
        <v>9928</v>
      </c>
    </row>
    <row r="33374" spans="1:2" x14ac:dyDescent="0.25">
      <c r="A33374">
        <v>72161000000</v>
      </c>
      <c r="B33374" t="s">
        <v>9929</v>
      </c>
    </row>
    <row r="33375" spans="1:2" x14ac:dyDescent="0.25">
      <c r="A33375">
        <v>72162</v>
      </c>
      <c r="B33375" t="s">
        <v>9930</v>
      </c>
    </row>
    <row r="33376" spans="1:2" x14ac:dyDescent="0.25">
      <c r="A33376">
        <v>72162100</v>
      </c>
      <c r="B33376" t="e">
        <f>- - Perfiles En L</f>
        <v>#NAME?</v>
      </c>
    </row>
    <row r="33377" spans="1:2" x14ac:dyDescent="0.25">
      <c r="A33377">
        <v>721621001</v>
      </c>
      <c r="B33377" t="s">
        <v>9912</v>
      </c>
    </row>
    <row r="33378" spans="1:2" x14ac:dyDescent="0.25">
      <c r="A33378">
        <v>72162100110</v>
      </c>
      <c r="B33378" t="s">
        <v>9931</v>
      </c>
    </row>
    <row r="33379" spans="1:2" x14ac:dyDescent="0.25">
      <c r="A33379">
        <v>72162100190</v>
      </c>
      <c r="B33379" t="s">
        <v>10</v>
      </c>
    </row>
    <row r="33380" spans="1:2" x14ac:dyDescent="0.25">
      <c r="A33380">
        <v>721621002</v>
      </c>
      <c r="B33380" t="s">
        <v>9913</v>
      </c>
    </row>
    <row r="33381" spans="1:2" x14ac:dyDescent="0.25">
      <c r="A33381">
        <v>7216210021</v>
      </c>
      <c r="B33381" t="s">
        <v>9932</v>
      </c>
    </row>
    <row r="33382" spans="1:2" x14ac:dyDescent="0.25">
      <c r="A33382">
        <v>72162100211</v>
      </c>
      <c r="B33382" t="s">
        <v>9933</v>
      </c>
    </row>
    <row r="33383" spans="1:2" x14ac:dyDescent="0.25">
      <c r="A33383">
        <v>72162100219</v>
      </c>
      <c r="B33383" t="s">
        <v>10</v>
      </c>
    </row>
    <row r="33384" spans="1:2" x14ac:dyDescent="0.25">
      <c r="A33384">
        <v>7216210029</v>
      </c>
      <c r="B33384" t="s">
        <v>10</v>
      </c>
    </row>
    <row r="33385" spans="1:2" x14ac:dyDescent="0.25">
      <c r="A33385">
        <v>72162100291</v>
      </c>
      <c r="B33385" t="s">
        <v>9933</v>
      </c>
    </row>
    <row r="33386" spans="1:2" x14ac:dyDescent="0.25">
      <c r="A33386">
        <v>72162100299</v>
      </c>
      <c r="B33386" t="s">
        <v>10</v>
      </c>
    </row>
    <row r="33387" spans="1:2" x14ac:dyDescent="0.25">
      <c r="A33387">
        <v>72162200000</v>
      </c>
      <c r="B33387" t="e">
        <f>--Perfiles En T</f>
        <v>#NAME?</v>
      </c>
    </row>
    <row r="33388" spans="1:2" x14ac:dyDescent="0.25">
      <c r="A33388">
        <v>72163</v>
      </c>
      <c r="B33388" t="s">
        <v>9934</v>
      </c>
    </row>
    <row r="33389" spans="1:2" x14ac:dyDescent="0.25">
      <c r="A33389">
        <v>72163100</v>
      </c>
      <c r="B33389" t="e">
        <f>- - Perfiles En u</f>
        <v>#NAME?</v>
      </c>
    </row>
    <row r="33390" spans="1:2" x14ac:dyDescent="0.25">
      <c r="A33390">
        <v>72163100100</v>
      </c>
      <c r="B33390" t="s">
        <v>9935</v>
      </c>
    </row>
    <row r="33391" spans="1:2" x14ac:dyDescent="0.25">
      <c r="A33391">
        <v>72163100900</v>
      </c>
      <c r="B33391" t="s">
        <v>10</v>
      </c>
    </row>
    <row r="33392" spans="1:2" x14ac:dyDescent="0.25">
      <c r="A33392">
        <v>72163200</v>
      </c>
      <c r="B33392" t="e">
        <f>- - Perfiles En I</f>
        <v>#NAME?</v>
      </c>
    </row>
    <row r="33393" spans="1:2" x14ac:dyDescent="0.25">
      <c r="A33393">
        <v>72163200100</v>
      </c>
      <c r="B33393" t="s">
        <v>9936</v>
      </c>
    </row>
    <row r="33394" spans="1:2" x14ac:dyDescent="0.25">
      <c r="A33394">
        <v>72163200900</v>
      </c>
      <c r="B33394" t="s">
        <v>10</v>
      </c>
    </row>
    <row r="33395" spans="1:2" x14ac:dyDescent="0.25">
      <c r="A33395">
        <v>72163300</v>
      </c>
      <c r="B33395" t="e">
        <f>- - Perfiles En H</f>
        <v>#NAME?</v>
      </c>
    </row>
    <row r="33396" spans="1:2" x14ac:dyDescent="0.25">
      <c r="A33396">
        <v>72163300100</v>
      </c>
      <c r="B33396" t="s">
        <v>9936</v>
      </c>
    </row>
    <row r="33397" spans="1:2" x14ac:dyDescent="0.25">
      <c r="A33397">
        <v>72163300900</v>
      </c>
      <c r="B33397" t="s">
        <v>10</v>
      </c>
    </row>
    <row r="33398" spans="1:2" x14ac:dyDescent="0.25">
      <c r="A33398">
        <v>721640</v>
      </c>
      <c r="B33398" t="s">
        <v>9937</v>
      </c>
    </row>
    <row r="33399" spans="1:2" x14ac:dyDescent="0.25">
      <c r="A33399">
        <v>72164010000</v>
      </c>
      <c r="B33399" t="s">
        <v>9938</v>
      </c>
    </row>
    <row r="33400" spans="1:2" x14ac:dyDescent="0.25">
      <c r="A33400">
        <v>72164090000</v>
      </c>
      <c r="B33400" t="s">
        <v>10</v>
      </c>
    </row>
    <row r="33401" spans="1:2" x14ac:dyDescent="0.25">
      <c r="A33401">
        <v>72165000</v>
      </c>
      <c r="B33401" t="e">
        <f>- Los demas perfiles. Simplemente laminados o extrudidos En caliente</f>
        <v>#NAME?</v>
      </c>
    </row>
    <row r="33402" spans="1:2" x14ac:dyDescent="0.25">
      <c r="A33402">
        <v>721650001</v>
      </c>
      <c r="B33402" t="s">
        <v>9939</v>
      </c>
    </row>
    <row r="33403" spans="1:2" x14ac:dyDescent="0.25">
      <c r="A33403">
        <v>72165000110</v>
      </c>
      <c r="B33403" t="s">
        <v>9940</v>
      </c>
    </row>
    <row r="33404" spans="1:2" x14ac:dyDescent="0.25">
      <c r="A33404">
        <v>72165000190</v>
      </c>
      <c r="B33404" t="s">
        <v>10</v>
      </c>
    </row>
    <row r="33405" spans="1:2" x14ac:dyDescent="0.25">
      <c r="A33405">
        <v>72165000200</v>
      </c>
      <c r="B33405" t="s">
        <v>9941</v>
      </c>
    </row>
    <row r="33406" spans="1:2" x14ac:dyDescent="0.25">
      <c r="A33406">
        <v>72165000900</v>
      </c>
      <c r="B33406" t="s">
        <v>10</v>
      </c>
    </row>
    <row r="33407" spans="1:2" x14ac:dyDescent="0.25">
      <c r="A33407">
        <v>72166</v>
      </c>
      <c r="B33407" t="s">
        <v>9942</v>
      </c>
    </row>
    <row r="33408" spans="1:2" x14ac:dyDescent="0.25">
      <c r="A33408">
        <v>721661</v>
      </c>
      <c r="B33408" t="e">
        <f>- - obtenidos a partir de Productos laminados planos</f>
        <v>#NAME?</v>
      </c>
    </row>
    <row r="33409" spans="1:2" x14ac:dyDescent="0.25">
      <c r="A33409">
        <v>72166110000</v>
      </c>
      <c r="B33409" t="s">
        <v>9943</v>
      </c>
    </row>
    <row r="33410" spans="1:2" x14ac:dyDescent="0.25">
      <c r="A33410">
        <v>72166190</v>
      </c>
      <c r="B33410" t="s">
        <v>10</v>
      </c>
    </row>
    <row r="33411" spans="1:2" x14ac:dyDescent="0.25">
      <c r="A33411">
        <v>721661901</v>
      </c>
      <c r="B33411" t="s">
        <v>9944</v>
      </c>
    </row>
    <row r="33412" spans="1:2" x14ac:dyDescent="0.25">
      <c r="A33412">
        <v>72166190110</v>
      </c>
      <c r="B33412" t="s">
        <v>9945</v>
      </c>
    </row>
    <row r="33413" spans="1:2" x14ac:dyDescent="0.25">
      <c r="A33413">
        <v>72166190190</v>
      </c>
      <c r="B33413" t="s">
        <v>10</v>
      </c>
    </row>
    <row r="33414" spans="1:2" x14ac:dyDescent="0.25">
      <c r="A33414">
        <v>721661902</v>
      </c>
      <c r="B33414" t="s">
        <v>9946</v>
      </c>
    </row>
    <row r="33415" spans="1:2" x14ac:dyDescent="0.25">
      <c r="A33415">
        <v>72166190210</v>
      </c>
      <c r="B33415" t="s">
        <v>9945</v>
      </c>
    </row>
    <row r="33416" spans="1:2" x14ac:dyDescent="0.25">
      <c r="A33416">
        <v>72166190290</v>
      </c>
      <c r="B33416" t="s">
        <v>10</v>
      </c>
    </row>
    <row r="33417" spans="1:2" x14ac:dyDescent="0.25">
      <c r="A33417">
        <v>72166190300</v>
      </c>
      <c r="B33417" t="s">
        <v>9947</v>
      </c>
    </row>
    <row r="33418" spans="1:2" x14ac:dyDescent="0.25">
      <c r="A33418">
        <v>72166190400</v>
      </c>
      <c r="B33418" t="s">
        <v>9948</v>
      </c>
    </row>
    <row r="33419" spans="1:2" x14ac:dyDescent="0.25">
      <c r="A33419">
        <v>72166190500</v>
      </c>
      <c r="B33419" t="s">
        <v>9949</v>
      </c>
    </row>
    <row r="33420" spans="1:2" x14ac:dyDescent="0.25">
      <c r="A33420">
        <v>72166190600</v>
      </c>
      <c r="B33420" t="s">
        <v>9950</v>
      </c>
    </row>
    <row r="33421" spans="1:2" x14ac:dyDescent="0.25">
      <c r="A33421">
        <v>72166190900</v>
      </c>
      <c r="B33421" t="s">
        <v>10</v>
      </c>
    </row>
    <row r="33422" spans="1:2" x14ac:dyDescent="0.25">
      <c r="A33422">
        <v>721669</v>
      </c>
      <c r="B33422" t="e">
        <f>- - Los demas</f>
        <v>#NAME?</v>
      </c>
    </row>
    <row r="33423" spans="1:2" x14ac:dyDescent="0.25">
      <c r="A33423">
        <v>72166910</v>
      </c>
      <c r="B33423" t="s">
        <v>9943</v>
      </c>
    </row>
    <row r="33424" spans="1:2" x14ac:dyDescent="0.25">
      <c r="A33424">
        <v>72166910100</v>
      </c>
      <c r="B33424" t="s">
        <v>9946</v>
      </c>
    </row>
    <row r="33425" spans="1:2" x14ac:dyDescent="0.25">
      <c r="A33425">
        <v>72166910200</v>
      </c>
      <c r="B33425" t="s">
        <v>9947</v>
      </c>
    </row>
    <row r="33426" spans="1:2" x14ac:dyDescent="0.25">
      <c r="A33426">
        <v>72166910300</v>
      </c>
      <c r="B33426" t="s">
        <v>9948</v>
      </c>
    </row>
    <row r="33427" spans="1:2" x14ac:dyDescent="0.25">
      <c r="A33427">
        <v>72166910400</v>
      </c>
      <c r="B33427" t="s">
        <v>9949</v>
      </c>
    </row>
    <row r="33428" spans="1:2" x14ac:dyDescent="0.25">
      <c r="A33428">
        <v>72166910500</v>
      </c>
      <c r="B33428" t="s">
        <v>9950</v>
      </c>
    </row>
    <row r="33429" spans="1:2" x14ac:dyDescent="0.25">
      <c r="A33429">
        <v>72166910900</v>
      </c>
      <c r="B33429" t="s">
        <v>10</v>
      </c>
    </row>
    <row r="33430" spans="1:2" x14ac:dyDescent="0.25">
      <c r="A33430">
        <v>72166990</v>
      </c>
      <c r="B33430" t="s">
        <v>10</v>
      </c>
    </row>
    <row r="33431" spans="1:2" x14ac:dyDescent="0.25">
      <c r="A33431">
        <v>72166990100</v>
      </c>
      <c r="B33431" t="s">
        <v>9946</v>
      </c>
    </row>
    <row r="33432" spans="1:2" x14ac:dyDescent="0.25">
      <c r="A33432">
        <v>72166990200</v>
      </c>
      <c r="B33432" t="s">
        <v>9947</v>
      </c>
    </row>
    <row r="33433" spans="1:2" x14ac:dyDescent="0.25">
      <c r="A33433">
        <v>72166990300</v>
      </c>
      <c r="B33433" t="s">
        <v>9948</v>
      </c>
    </row>
    <row r="33434" spans="1:2" x14ac:dyDescent="0.25">
      <c r="A33434">
        <v>72166990400</v>
      </c>
      <c r="B33434" t="s">
        <v>9949</v>
      </c>
    </row>
    <row r="33435" spans="1:2" x14ac:dyDescent="0.25">
      <c r="A33435">
        <v>72166990500</v>
      </c>
      <c r="B33435" t="s">
        <v>9950</v>
      </c>
    </row>
    <row r="33436" spans="1:2" x14ac:dyDescent="0.25">
      <c r="A33436">
        <v>72166990900</v>
      </c>
      <c r="B33436" t="s">
        <v>10</v>
      </c>
    </row>
    <row r="33437" spans="1:2" x14ac:dyDescent="0.25">
      <c r="A33437">
        <v>72169</v>
      </c>
      <c r="B33437" t="s">
        <v>28</v>
      </c>
    </row>
    <row r="33438" spans="1:2" x14ac:dyDescent="0.25">
      <c r="A33438">
        <v>72169100000</v>
      </c>
      <c r="B33438" t="e">
        <f>--obtenidos o acabados En frio. a partir de Productos laminados planos</f>
        <v>#NAME?</v>
      </c>
    </row>
    <row r="33439" spans="1:2" x14ac:dyDescent="0.25">
      <c r="A33439">
        <v>72169900000</v>
      </c>
      <c r="B33439" t="e">
        <f>--Los demas</f>
        <v>#NAME?</v>
      </c>
    </row>
    <row r="33440" spans="1:2" x14ac:dyDescent="0.25">
      <c r="A33440">
        <v>7217</v>
      </c>
      <c r="B33440" t="s">
        <v>9951</v>
      </c>
    </row>
    <row r="33441" spans="1:2" x14ac:dyDescent="0.25">
      <c r="A33441">
        <v>721710</v>
      </c>
      <c r="B33441" t="e">
        <f>- sin revestir. incluso pulido</f>
        <v>#NAME?</v>
      </c>
    </row>
    <row r="33442" spans="1:2" x14ac:dyDescent="0.25">
      <c r="A33442">
        <v>7217101</v>
      </c>
      <c r="B33442" t="s">
        <v>9894</v>
      </c>
    </row>
    <row r="33443" spans="1:2" x14ac:dyDescent="0.25">
      <c r="A33443">
        <v>72171011000</v>
      </c>
      <c r="B33443" t="s">
        <v>9952</v>
      </c>
    </row>
    <row r="33444" spans="1:2" x14ac:dyDescent="0.25">
      <c r="A33444">
        <v>72171019000</v>
      </c>
      <c r="B33444" t="s">
        <v>10</v>
      </c>
    </row>
    <row r="33445" spans="1:2" x14ac:dyDescent="0.25">
      <c r="A33445">
        <v>72171090</v>
      </c>
      <c r="B33445" t="s">
        <v>10</v>
      </c>
    </row>
    <row r="33446" spans="1:2" x14ac:dyDescent="0.25">
      <c r="A33446">
        <v>721710901</v>
      </c>
      <c r="B33446" t="s">
        <v>9953</v>
      </c>
    </row>
    <row r="33447" spans="1:2" x14ac:dyDescent="0.25">
      <c r="A33447">
        <v>72171090110</v>
      </c>
      <c r="B33447" t="s">
        <v>9954</v>
      </c>
    </row>
    <row r="33448" spans="1:2" x14ac:dyDescent="0.25">
      <c r="A33448">
        <v>72171090190</v>
      </c>
      <c r="B33448" t="s">
        <v>10</v>
      </c>
    </row>
    <row r="33449" spans="1:2" x14ac:dyDescent="0.25">
      <c r="A33449">
        <v>721710909</v>
      </c>
      <c r="B33449" t="s">
        <v>10</v>
      </c>
    </row>
    <row r="33450" spans="1:2" x14ac:dyDescent="0.25">
      <c r="A33450">
        <v>72171090910</v>
      </c>
      <c r="B33450" t="s">
        <v>9954</v>
      </c>
    </row>
    <row r="33451" spans="1:2" x14ac:dyDescent="0.25">
      <c r="A33451">
        <v>72171090990</v>
      </c>
      <c r="B33451" t="s">
        <v>10</v>
      </c>
    </row>
    <row r="33452" spans="1:2" x14ac:dyDescent="0.25">
      <c r="A33452">
        <v>721720</v>
      </c>
      <c r="B33452" t="e">
        <f>- Cincado</f>
        <v>#NAME?</v>
      </c>
    </row>
    <row r="33453" spans="1:2" x14ac:dyDescent="0.25">
      <c r="A33453">
        <v>72172010000</v>
      </c>
      <c r="B33453" t="s">
        <v>9894</v>
      </c>
    </row>
    <row r="33454" spans="1:2" x14ac:dyDescent="0.25">
      <c r="A33454">
        <v>72172090</v>
      </c>
      <c r="B33454" t="s">
        <v>10</v>
      </c>
    </row>
    <row r="33455" spans="1:2" x14ac:dyDescent="0.25">
      <c r="A33455">
        <v>72172090100</v>
      </c>
      <c r="B33455" t="s">
        <v>9955</v>
      </c>
    </row>
    <row r="33456" spans="1:2" x14ac:dyDescent="0.25">
      <c r="A33456">
        <v>72172090200</v>
      </c>
      <c r="B33456" t="s">
        <v>9956</v>
      </c>
    </row>
    <row r="33457" spans="1:2" x14ac:dyDescent="0.25">
      <c r="A33457">
        <v>72172090300</v>
      </c>
      <c r="B33457" t="s">
        <v>9957</v>
      </c>
    </row>
    <row r="33458" spans="1:2" x14ac:dyDescent="0.25">
      <c r="A33458">
        <v>721720909</v>
      </c>
      <c r="B33458" t="s">
        <v>10</v>
      </c>
    </row>
    <row r="33459" spans="1:2" x14ac:dyDescent="0.25">
      <c r="A33459">
        <v>72172090910</v>
      </c>
      <c r="B33459" t="s">
        <v>9954</v>
      </c>
    </row>
    <row r="33460" spans="1:2" x14ac:dyDescent="0.25">
      <c r="A33460">
        <v>72172090990</v>
      </c>
      <c r="B33460" t="s">
        <v>10</v>
      </c>
    </row>
    <row r="33461" spans="1:2" x14ac:dyDescent="0.25">
      <c r="A33461">
        <v>721730</v>
      </c>
      <c r="B33461" t="e">
        <f>- revestido de otro Metal comun</f>
        <v>#NAME?</v>
      </c>
    </row>
    <row r="33462" spans="1:2" x14ac:dyDescent="0.25">
      <c r="A33462">
        <v>72173010</v>
      </c>
      <c r="B33462" t="s">
        <v>9894</v>
      </c>
    </row>
    <row r="33463" spans="1:2" x14ac:dyDescent="0.25">
      <c r="A33463">
        <v>72173010100</v>
      </c>
      <c r="B33463" t="s">
        <v>9958</v>
      </c>
    </row>
    <row r="33464" spans="1:2" x14ac:dyDescent="0.25">
      <c r="A33464">
        <v>72173010900</v>
      </c>
      <c r="B33464" t="s">
        <v>10</v>
      </c>
    </row>
    <row r="33465" spans="1:2" x14ac:dyDescent="0.25">
      <c r="A33465">
        <v>72173090</v>
      </c>
      <c r="B33465" t="s">
        <v>10</v>
      </c>
    </row>
    <row r="33466" spans="1:2" x14ac:dyDescent="0.25">
      <c r="A33466">
        <v>721730901</v>
      </c>
      <c r="B33466" t="s">
        <v>9959</v>
      </c>
    </row>
    <row r="33467" spans="1:2" x14ac:dyDescent="0.25">
      <c r="A33467">
        <v>7217309011</v>
      </c>
      <c r="B33467" t="s">
        <v>9960</v>
      </c>
    </row>
    <row r="33468" spans="1:2" x14ac:dyDescent="0.25">
      <c r="A33468">
        <v>72173090111</v>
      </c>
      <c r="B33468" t="s">
        <v>9961</v>
      </c>
    </row>
    <row r="33469" spans="1:2" x14ac:dyDescent="0.25">
      <c r="A33469">
        <v>72173090112</v>
      </c>
      <c r="B33469" t="s">
        <v>9962</v>
      </c>
    </row>
    <row r="33470" spans="1:2" x14ac:dyDescent="0.25">
      <c r="A33470">
        <v>72173090113</v>
      </c>
      <c r="B33470" t="s">
        <v>9963</v>
      </c>
    </row>
    <row r="33471" spans="1:2" x14ac:dyDescent="0.25">
      <c r="A33471">
        <v>72173090114</v>
      </c>
      <c r="B33471" t="s">
        <v>9964</v>
      </c>
    </row>
    <row r="33472" spans="1:2" x14ac:dyDescent="0.25">
      <c r="A33472">
        <v>7217309019</v>
      </c>
      <c r="B33472" t="s">
        <v>10</v>
      </c>
    </row>
    <row r="33473" spans="1:2" x14ac:dyDescent="0.25">
      <c r="A33473">
        <v>72173090191</v>
      </c>
      <c r="B33473" t="s">
        <v>9961</v>
      </c>
    </row>
    <row r="33474" spans="1:2" x14ac:dyDescent="0.25">
      <c r="A33474">
        <v>72173090192</v>
      </c>
      <c r="B33474" t="s">
        <v>9962</v>
      </c>
    </row>
    <row r="33475" spans="1:2" x14ac:dyDescent="0.25">
      <c r="A33475">
        <v>72173090193</v>
      </c>
      <c r="B33475" t="s">
        <v>9963</v>
      </c>
    </row>
    <row r="33476" spans="1:2" x14ac:dyDescent="0.25">
      <c r="A33476">
        <v>72173090194</v>
      </c>
      <c r="B33476" t="s">
        <v>9964</v>
      </c>
    </row>
    <row r="33477" spans="1:2" x14ac:dyDescent="0.25">
      <c r="A33477">
        <v>72173090900</v>
      </c>
      <c r="B33477" t="s">
        <v>10</v>
      </c>
    </row>
    <row r="33478" spans="1:2" x14ac:dyDescent="0.25">
      <c r="A33478">
        <v>72179000000</v>
      </c>
      <c r="B33478" t="e">
        <f>-Los demas</f>
        <v>#NAME?</v>
      </c>
    </row>
    <row r="33479" spans="1:2" x14ac:dyDescent="0.25">
      <c r="A33479">
        <v>7218</v>
      </c>
      <c r="B33479" t="s">
        <v>9965</v>
      </c>
    </row>
    <row r="33480" spans="1:2" x14ac:dyDescent="0.25">
      <c r="A33480">
        <v>72181000000</v>
      </c>
      <c r="B33480" t="e">
        <f>-Lingotes o demas formas primarias</f>
        <v>#NAME?</v>
      </c>
    </row>
    <row r="33481" spans="1:2" x14ac:dyDescent="0.25">
      <c r="A33481">
        <v>72189</v>
      </c>
      <c r="B33481" t="s">
        <v>28</v>
      </c>
    </row>
    <row r="33482" spans="1:2" x14ac:dyDescent="0.25">
      <c r="A33482">
        <v>72189100000</v>
      </c>
      <c r="B33482" t="e">
        <f>--de seccion transversal rectangular</f>
        <v>#NAME?</v>
      </c>
    </row>
    <row r="33483" spans="1:2" x14ac:dyDescent="0.25">
      <c r="A33483">
        <v>72189900000</v>
      </c>
      <c r="B33483" t="e">
        <f>--Los demas</f>
        <v>#NAME?</v>
      </c>
    </row>
    <row r="33484" spans="1:2" x14ac:dyDescent="0.25">
      <c r="A33484">
        <v>7219</v>
      </c>
      <c r="B33484" t="s">
        <v>9966</v>
      </c>
    </row>
    <row r="33485" spans="1:2" x14ac:dyDescent="0.25">
      <c r="A33485">
        <v>72191</v>
      </c>
      <c r="B33485" t="s">
        <v>9967</v>
      </c>
    </row>
    <row r="33486" spans="1:2" x14ac:dyDescent="0.25">
      <c r="A33486">
        <v>72191100000</v>
      </c>
      <c r="B33486" t="s">
        <v>9968</v>
      </c>
    </row>
    <row r="33487" spans="1:2" x14ac:dyDescent="0.25">
      <c r="A33487">
        <v>72191200000</v>
      </c>
      <c r="B33487" t="s">
        <v>9969</v>
      </c>
    </row>
    <row r="33488" spans="1:2" x14ac:dyDescent="0.25">
      <c r="A33488">
        <v>72191300000</v>
      </c>
      <c r="B33488" t="s">
        <v>9970</v>
      </c>
    </row>
    <row r="33489" spans="1:2" x14ac:dyDescent="0.25">
      <c r="A33489">
        <v>72191400000</v>
      </c>
      <c r="B33489" t="s">
        <v>9971</v>
      </c>
    </row>
    <row r="33490" spans="1:2" x14ac:dyDescent="0.25">
      <c r="A33490">
        <v>72192</v>
      </c>
      <c r="B33490" t="s">
        <v>9972</v>
      </c>
    </row>
    <row r="33491" spans="1:2" x14ac:dyDescent="0.25">
      <c r="A33491">
        <v>72192100000</v>
      </c>
      <c r="B33491" t="s">
        <v>9968</v>
      </c>
    </row>
    <row r="33492" spans="1:2" x14ac:dyDescent="0.25">
      <c r="A33492">
        <v>72192200000</v>
      </c>
      <c r="B33492" t="s">
        <v>9969</v>
      </c>
    </row>
    <row r="33493" spans="1:2" x14ac:dyDescent="0.25">
      <c r="A33493">
        <v>72192300000</v>
      </c>
      <c r="B33493" t="s">
        <v>9970</v>
      </c>
    </row>
    <row r="33494" spans="1:2" x14ac:dyDescent="0.25">
      <c r="A33494">
        <v>72192400000</v>
      </c>
      <c r="B33494" t="s">
        <v>9971</v>
      </c>
    </row>
    <row r="33495" spans="1:2" x14ac:dyDescent="0.25">
      <c r="A33495">
        <v>72193</v>
      </c>
      <c r="B33495" t="s">
        <v>9891</v>
      </c>
    </row>
    <row r="33496" spans="1:2" x14ac:dyDescent="0.25">
      <c r="A33496">
        <v>72193100000</v>
      </c>
      <c r="B33496" t="s">
        <v>9973</v>
      </c>
    </row>
    <row r="33497" spans="1:2" x14ac:dyDescent="0.25">
      <c r="A33497">
        <v>72193200000</v>
      </c>
      <c r="B33497" t="s">
        <v>9970</v>
      </c>
    </row>
    <row r="33498" spans="1:2" x14ac:dyDescent="0.25">
      <c r="A33498">
        <v>72193300000</v>
      </c>
      <c r="B33498" t="s">
        <v>9974</v>
      </c>
    </row>
    <row r="33499" spans="1:2" x14ac:dyDescent="0.25">
      <c r="A33499">
        <v>72193400000</v>
      </c>
      <c r="B33499" t="s">
        <v>9975</v>
      </c>
    </row>
    <row r="33500" spans="1:2" x14ac:dyDescent="0.25">
      <c r="A33500">
        <v>72193500000</v>
      </c>
      <c r="B33500" t="s">
        <v>9976</v>
      </c>
    </row>
    <row r="33501" spans="1:2" x14ac:dyDescent="0.25">
      <c r="A33501">
        <v>721990</v>
      </c>
      <c r="B33501" t="e">
        <f>- Los demas</f>
        <v>#NAME?</v>
      </c>
    </row>
    <row r="33502" spans="1:2" x14ac:dyDescent="0.25">
      <c r="A33502">
        <v>72199010000</v>
      </c>
      <c r="B33502" t="s">
        <v>9977</v>
      </c>
    </row>
    <row r="33503" spans="1:2" x14ac:dyDescent="0.25">
      <c r="A33503">
        <v>72199090</v>
      </c>
      <c r="B33503" t="s">
        <v>10</v>
      </c>
    </row>
    <row r="33504" spans="1:2" x14ac:dyDescent="0.25">
      <c r="A33504">
        <v>721990901</v>
      </c>
      <c r="B33504" t="s">
        <v>9826</v>
      </c>
    </row>
    <row r="33505" spans="1:2" x14ac:dyDescent="0.25">
      <c r="A33505">
        <v>72199090110</v>
      </c>
      <c r="B33505" t="s">
        <v>9827</v>
      </c>
    </row>
    <row r="33506" spans="1:2" x14ac:dyDescent="0.25">
      <c r="A33506">
        <v>72199090120</v>
      </c>
      <c r="B33506" t="s">
        <v>9828</v>
      </c>
    </row>
    <row r="33507" spans="1:2" x14ac:dyDescent="0.25">
      <c r="A33507">
        <v>72199090190</v>
      </c>
      <c r="B33507" t="s">
        <v>10</v>
      </c>
    </row>
    <row r="33508" spans="1:2" x14ac:dyDescent="0.25">
      <c r="A33508">
        <v>721990902</v>
      </c>
      <c r="B33508" t="s">
        <v>9829</v>
      </c>
    </row>
    <row r="33509" spans="1:2" x14ac:dyDescent="0.25">
      <c r="A33509">
        <v>72199090210</v>
      </c>
      <c r="B33509" t="s">
        <v>9830</v>
      </c>
    </row>
    <row r="33510" spans="1:2" x14ac:dyDescent="0.25">
      <c r="A33510">
        <v>72199090220</v>
      </c>
      <c r="B33510" t="s">
        <v>9831</v>
      </c>
    </row>
    <row r="33511" spans="1:2" x14ac:dyDescent="0.25">
      <c r="A33511">
        <v>72199090290</v>
      </c>
      <c r="B33511" t="s">
        <v>10</v>
      </c>
    </row>
    <row r="33512" spans="1:2" x14ac:dyDescent="0.25">
      <c r="A33512">
        <v>72199090900</v>
      </c>
      <c r="B33512" t="s">
        <v>10</v>
      </c>
    </row>
    <row r="33513" spans="1:2" x14ac:dyDescent="0.25">
      <c r="A33513">
        <v>7220</v>
      </c>
      <c r="B33513" t="s">
        <v>9978</v>
      </c>
    </row>
    <row r="33514" spans="1:2" x14ac:dyDescent="0.25">
      <c r="A33514">
        <v>72201</v>
      </c>
      <c r="B33514" t="s">
        <v>9886</v>
      </c>
    </row>
    <row r="33515" spans="1:2" x14ac:dyDescent="0.25">
      <c r="A33515">
        <v>72201100000</v>
      </c>
      <c r="B33515" t="s">
        <v>9973</v>
      </c>
    </row>
    <row r="33516" spans="1:2" x14ac:dyDescent="0.25">
      <c r="A33516">
        <v>722012</v>
      </c>
      <c r="B33516" t="s">
        <v>9979</v>
      </c>
    </row>
    <row r="33517" spans="1:2" x14ac:dyDescent="0.25">
      <c r="A33517">
        <v>72201210000</v>
      </c>
      <c r="B33517" t="s">
        <v>9980</v>
      </c>
    </row>
    <row r="33518" spans="1:2" x14ac:dyDescent="0.25">
      <c r="A33518">
        <v>72201220000</v>
      </c>
      <c r="B33518" t="s">
        <v>9981</v>
      </c>
    </row>
    <row r="33519" spans="1:2" x14ac:dyDescent="0.25">
      <c r="A33519">
        <v>72201290000</v>
      </c>
      <c r="B33519" t="s">
        <v>10</v>
      </c>
    </row>
    <row r="33520" spans="1:2" x14ac:dyDescent="0.25">
      <c r="A33520">
        <v>722020</v>
      </c>
      <c r="B33520" t="e">
        <f>- Simplemente laminados En frio</f>
        <v>#NAME?</v>
      </c>
    </row>
    <row r="33521" spans="1:2" x14ac:dyDescent="0.25">
      <c r="A33521">
        <v>72202010000</v>
      </c>
      <c r="B33521" t="s">
        <v>9982</v>
      </c>
    </row>
    <row r="33522" spans="1:2" x14ac:dyDescent="0.25">
      <c r="A33522">
        <v>72202090000</v>
      </c>
      <c r="B33522" t="s">
        <v>10</v>
      </c>
    </row>
    <row r="33523" spans="1:2" x14ac:dyDescent="0.25">
      <c r="A33523">
        <v>72209000000</v>
      </c>
      <c r="B33523" t="e">
        <f>-Los demas</f>
        <v>#NAME?</v>
      </c>
    </row>
    <row r="33524" spans="1:2" x14ac:dyDescent="0.25">
      <c r="A33524">
        <v>72210000000</v>
      </c>
      <c r="B33524" t="s">
        <v>9983</v>
      </c>
    </row>
    <row r="33525" spans="1:2" x14ac:dyDescent="0.25">
      <c r="A33525">
        <v>7222</v>
      </c>
      <c r="B33525" t="s">
        <v>9984</v>
      </c>
    </row>
    <row r="33526" spans="1:2" x14ac:dyDescent="0.25">
      <c r="A33526">
        <v>72221</v>
      </c>
      <c r="B33526" t="s">
        <v>9985</v>
      </c>
    </row>
    <row r="33527" spans="1:2" x14ac:dyDescent="0.25">
      <c r="A33527">
        <v>72221100</v>
      </c>
      <c r="B33527" t="e">
        <f>- - de seccion circular</f>
        <v>#NAME?</v>
      </c>
    </row>
    <row r="33528" spans="1:2" x14ac:dyDescent="0.25">
      <c r="A33528">
        <v>72221100100</v>
      </c>
      <c r="B33528" t="s">
        <v>9986</v>
      </c>
    </row>
    <row r="33529" spans="1:2" x14ac:dyDescent="0.25">
      <c r="A33529">
        <v>72221100200</v>
      </c>
      <c r="B33529" t="s">
        <v>9987</v>
      </c>
    </row>
    <row r="33530" spans="1:2" x14ac:dyDescent="0.25">
      <c r="A33530">
        <v>72221100300</v>
      </c>
      <c r="B33530" t="s">
        <v>9988</v>
      </c>
    </row>
    <row r="33531" spans="1:2" x14ac:dyDescent="0.25">
      <c r="A33531">
        <v>72221100900</v>
      </c>
      <c r="B33531" t="s">
        <v>57</v>
      </c>
    </row>
    <row r="33532" spans="1:2" x14ac:dyDescent="0.25">
      <c r="A33532">
        <v>722219</v>
      </c>
      <c r="B33532" t="e">
        <f>- - las demas</f>
        <v>#NAME?</v>
      </c>
    </row>
    <row r="33533" spans="1:2" x14ac:dyDescent="0.25">
      <c r="A33533">
        <v>72221910</v>
      </c>
      <c r="B33533" t="s">
        <v>9989</v>
      </c>
    </row>
    <row r="33534" spans="1:2" x14ac:dyDescent="0.25">
      <c r="A33534">
        <v>72221910100</v>
      </c>
      <c r="B33534" t="s">
        <v>9986</v>
      </c>
    </row>
    <row r="33535" spans="1:2" x14ac:dyDescent="0.25">
      <c r="A33535">
        <v>72221910200</v>
      </c>
      <c r="B33535" t="s">
        <v>9987</v>
      </c>
    </row>
    <row r="33536" spans="1:2" x14ac:dyDescent="0.25">
      <c r="A33536">
        <v>72221910300</v>
      </c>
      <c r="B33536" t="s">
        <v>9988</v>
      </c>
    </row>
    <row r="33537" spans="1:2" x14ac:dyDescent="0.25">
      <c r="A33537">
        <v>72221910900</v>
      </c>
      <c r="B33537" t="s">
        <v>57</v>
      </c>
    </row>
    <row r="33538" spans="1:2" x14ac:dyDescent="0.25">
      <c r="A33538">
        <v>72221990</v>
      </c>
      <c r="B33538" t="s">
        <v>57</v>
      </c>
    </row>
    <row r="33539" spans="1:2" x14ac:dyDescent="0.25">
      <c r="A33539">
        <v>72221990100</v>
      </c>
      <c r="B33539" t="s">
        <v>9986</v>
      </c>
    </row>
    <row r="33540" spans="1:2" x14ac:dyDescent="0.25">
      <c r="A33540">
        <v>72221990200</v>
      </c>
      <c r="B33540" t="s">
        <v>9987</v>
      </c>
    </row>
    <row r="33541" spans="1:2" x14ac:dyDescent="0.25">
      <c r="A33541">
        <v>72221990300</v>
      </c>
      <c r="B33541" t="s">
        <v>9988</v>
      </c>
    </row>
    <row r="33542" spans="1:2" x14ac:dyDescent="0.25">
      <c r="A33542">
        <v>72221990900</v>
      </c>
      <c r="B33542" t="s">
        <v>57</v>
      </c>
    </row>
    <row r="33543" spans="1:2" x14ac:dyDescent="0.25">
      <c r="A33543">
        <v>72222000</v>
      </c>
      <c r="B33543" t="e">
        <f>- barras Simplemente obtenidas o acabadas En frio</f>
        <v>#NAME?</v>
      </c>
    </row>
    <row r="33544" spans="1:2" x14ac:dyDescent="0.25">
      <c r="A33544">
        <v>722220001</v>
      </c>
      <c r="B33544" t="s">
        <v>9990</v>
      </c>
    </row>
    <row r="33545" spans="1:2" x14ac:dyDescent="0.25">
      <c r="A33545">
        <v>72222000110</v>
      </c>
      <c r="B33545" t="s">
        <v>9986</v>
      </c>
    </row>
    <row r="33546" spans="1:2" x14ac:dyDescent="0.25">
      <c r="A33546">
        <v>72222000120</v>
      </c>
      <c r="B33546" t="s">
        <v>9987</v>
      </c>
    </row>
    <row r="33547" spans="1:2" x14ac:dyDescent="0.25">
      <c r="A33547">
        <v>72222000130</v>
      </c>
      <c r="B33547" t="s">
        <v>9988</v>
      </c>
    </row>
    <row r="33548" spans="1:2" x14ac:dyDescent="0.25">
      <c r="A33548">
        <v>72222000140</v>
      </c>
      <c r="B33548" t="s">
        <v>9991</v>
      </c>
    </row>
    <row r="33549" spans="1:2" x14ac:dyDescent="0.25">
      <c r="A33549">
        <v>72222000150</v>
      </c>
      <c r="B33549" t="s">
        <v>9992</v>
      </c>
    </row>
    <row r="33550" spans="1:2" x14ac:dyDescent="0.25">
      <c r="A33550">
        <v>72222000190</v>
      </c>
      <c r="B33550" t="s">
        <v>57</v>
      </c>
    </row>
    <row r="33551" spans="1:2" x14ac:dyDescent="0.25">
      <c r="A33551">
        <v>72222000900</v>
      </c>
      <c r="B33551" t="s">
        <v>57</v>
      </c>
    </row>
    <row r="33552" spans="1:2" x14ac:dyDescent="0.25">
      <c r="A33552">
        <v>72223000</v>
      </c>
      <c r="B33552" t="e">
        <f>- las demas barras</f>
        <v>#NAME?</v>
      </c>
    </row>
    <row r="33553" spans="1:2" x14ac:dyDescent="0.25">
      <c r="A33553">
        <v>72223000100</v>
      </c>
      <c r="B33553" t="s">
        <v>9986</v>
      </c>
    </row>
    <row r="33554" spans="1:2" x14ac:dyDescent="0.25">
      <c r="A33554">
        <v>72223000200</v>
      </c>
      <c r="B33554" t="s">
        <v>9987</v>
      </c>
    </row>
    <row r="33555" spans="1:2" x14ac:dyDescent="0.25">
      <c r="A33555">
        <v>72223000300</v>
      </c>
      <c r="B33555" t="s">
        <v>9988</v>
      </c>
    </row>
    <row r="33556" spans="1:2" x14ac:dyDescent="0.25">
      <c r="A33556">
        <v>72223000400</v>
      </c>
      <c r="B33556" t="s">
        <v>9993</v>
      </c>
    </row>
    <row r="33557" spans="1:2" x14ac:dyDescent="0.25">
      <c r="A33557">
        <v>72223000500</v>
      </c>
      <c r="B33557" t="s">
        <v>9992</v>
      </c>
    </row>
    <row r="33558" spans="1:2" x14ac:dyDescent="0.25">
      <c r="A33558">
        <v>72223000900</v>
      </c>
      <c r="B33558" t="s">
        <v>57</v>
      </c>
    </row>
    <row r="33559" spans="1:2" x14ac:dyDescent="0.25">
      <c r="A33559">
        <v>722240</v>
      </c>
      <c r="B33559" t="e">
        <f>- Perfiles</f>
        <v>#NAME?</v>
      </c>
    </row>
    <row r="33560" spans="1:2" x14ac:dyDescent="0.25">
      <c r="A33560">
        <v>72224010000</v>
      </c>
      <c r="B33560" t="s">
        <v>9994</v>
      </c>
    </row>
    <row r="33561" spans="1:2" x14ac:dyDescent="0.25">
      <c r="A33561">
        <v>72224090000</v>
      </c>
      <c r="B33561" t="s">
        <v>10</v>
      </c>
    </row>
    <row r="33562" spans="1:2" x14ac:dyDescent="0.25">
      <c r="A33562">
        <v>72230000</v>
      </c>
      <c r="B33562" t="s">
        <v>9995</v>
      </c>
    </row>
    <row r="33563" spans="1:2" x14ac:dyDescent="0.25">
      <c r="A33563">
        <v>72230000100</v>
      </c>
      <c r="B33563" t="s">
        <v>9986</v>
      </c>
    </row>
    <row r="33564" spans="1:2" x14ac:dyDescent="0.25">
      <c r="A33564">
        <v>72230000200</v>
      </c>
      <c r="B33564" t="s">
        <v>9987</v>
      </c>
    </row>
    <row r="33565" spans="1:2" x14ac:dyDescent="0.25">
      <c r="A33565">
        <v>72230000300</v>
      </c>
      <c r="B33565" t="s">
        <v>9988</v>
      </c>
    </row>
    <row r="33566" spans="1:2" x14ac:dyDescent="0.25">
      <c r="A33566">
        <v>72230000900</v>
      </c>
      <c r="B33566" t="s">
        <v>10</v>
      </c>
    </row>
    <row r="33567" spans="1:2" x14ac:dyDescent="0.25">
      <c r="A33567">
        <v>7224</v>
      </c>
      <c r="B33567" t="s">
        <v>9996</v>
      </c>
    </row>
    <row r="33568" spans="1:2" x14ac:dyDescent="0.25">
      <c r="A33568">
        <v>72241000000</v>
      </c>
      <c r="B33568" t="e">
        <f>-Lingotes o demas formas primarias</f>
        <v>#NAME?</v>
      </c>
    </row>
    <row r="33569" spans="1:2" x14ac:dyDescent="0.25">
      <c r="A33569">
        <v>72249000</v>
      </c>
      <c r="B33569" t="e">
        <f>- Los demas</f>
        <v>#NAME?</v>
      </c>
    </row>
    <row r="33570" spans="1:2" x14ac:dyDescent="0.25">
      <c r="A33570">
        <v>722490001</v>
      </c>
      <c r="B33570" t="s">
        <v>9801</v>
      </c>
    </row>
    <row r="33571" spans="1:2" x14ac:dyDescent="0.25">
      <c r="A33571">
        <v>72249000110</v>
      </c>
      <c r="B33571" t="s">
        <v>9997</v>
      </c>
    </row>
    <row r="33572" spans="1:2" x14ac:dyDescent="0.25">
      <c r="A33572">
        <v>72249000120</v>
      </c>
      <c r="B33572" t="s">
        <v>9998</v>
      </c>
    </row>
    <row r="33573" spans="1:2" x14ac:dyDescent="0.25">
      <c r="A33573">
        <v>72249000130</v>
      </c>
      <c r="B33573" t="s">
        <v>9999</v>
      </c>
    </row>
    <row r="33574" spans="1:2" x14ac:dyDescent="0.25">
      <c r="A33574">
        <v>72249000140</v>
      </c>
      <c r="B33574" t="s">
        <v>10000</v>
      </c>
    </row>
    <row r="33575" spans="1:2" x14ac:dyDescent="0.25">
      <c r="A33575">
        <v>72249000190</v>
      </c>
      <c r="B33575" t="s">
        <v>57</v>
      </c>
    </row>
    <row r="33576" spans="1:2" x14ac:dyDescent="0.25">
      <c r="A33576">
        <v>72249000900</v>
      </c>
      <c r="B33576" t="s">
        <v>10</v>
      </c>
    </row>
    <row r="33577" spans="1:2" x14ac:dyDescent="0.25">
      <c r="A33577">
        <v>7225</v>
      </c>
      <c r="B33577" t="s">
        <v>10001</v>
      </c>
    </row>
    <row r="33578" spans="1:2" x14ac:dyDescent="0.25">
      <c r="A33578">
        <v>72251</v>
      </c>
      <c r="B33578" t="s">
        <v>10002</v>
      </c>
    </row>
    <row r="33579" spans="1:2" x14ac:dyDescent="0.25">
      <c r="A33579">
        <v>72251100000</v>
      </c>
      <c r="B33579" t="e">
        <f>--de grano orientado</f>
        <v>#NAME?</v>
      </c>
    </row>
    <row r="33580" spans="1:2" x14ac:dyDescent="0.25">
      <c r="A33580">
        <v>72251900000</v>
      </c>
      <c r="B33580" t="e">
        <f>--Los demas</f>
        <v>#NAME?</v>
      </c>
    </row>
    <row r="33581" spans="1:2" x14ac:dyDescent="0.25">
      <c r="A33581">
        <v>72253000</v>
      </c>
      <c r="B33581" t="e">
        <f>- Los demas. Simplemente laminados En caliente. enrollados</f>
        <v>#NAME?</v>
      </c>
    </row>
    <row r="33582" spans="1:2" x14ac:dyDescent="0.25">
      <c r="A33582">
        <v>72253000100</v>
      </c>
      <c r="B33582" t="s">
        <v>10003</v>
      </c>
    </row>
    <row r="33583" spans="1:2" x14ac:dyDescent="0.25">
      <c r="A33583">
        <v>722530002</v>
      </c>
      <c r="B33583" t="s">
        <v>10004</v>
      </c>
    </row>
    <row r="33584" spans="1:2" x14ac:dyDescent="0.25">
      <c r="A33584">
        <v>72253000210</v>
      </c>
      <c r="B33584" t="s">
        <v>9808</v>
      </c>
    </row>
    <row r="33585" spans="1:2" x14ac:dyDescent="0.25">
      <c r="A33585">
        <v>72253000220</v>
      </c>
      <c r="B33585" t="s">
        <v>10005</v>
      </c>
    </row>
    <row r="33586" spans="1:2" x14ac:dyDescent="0.25">
      <c r="A33586">
        <v>72253000230</v>
      </c>
      <c r="B33586" t="s">
        <v>9890</v>
      </c>
    </row>
    <row r="33587" spans="1:2" x14ac:dyDescent="0.25">
      <c r="A33587">
        <v>72253000290</v>
      </c>
      <c r="B33587" t="s">
        <v>10</v>
      </c>
    </row>
    <row r="33588" spans="1:2" x14ac:dyDescent="0.25">
      <c r="A33588">
        <v>72253000900</v>
      </c>
      <c r="B33588" t="s">
        <v>10</v>
      </c>
    </row>
    <row r="33589" spans="1:2" x14ac:dyDescent="0.25">
      <c r="A33589">
        <v>722540</v>
      </c>
      <c r="B33589" t="e">
        <f>- Los demas. Simplemente laminados En caliente. sin enrollar</f>
        <v>#NAME?</v>
      </c>
    </row>
    <row r="33590" spans="1:2" x14ac:dyDescent="0.25">
      <c r="A33590">
        <v>72254010000</v>
      </c>
      <c r="B33590" t="s">
        <v>10006</v>
      </c>
    </row>
    <row r="33591" spans="1:2" x14ac:dyDescent="0.25">
      <c r="A33591">
        <v>72254020000</v>
      </c>
      <c r="B33591" t="s">
        <v>10003</v>
      </c>
    </row>
    <row r="33592" spans="1:2" x14ac:dyDescent="0.25">
      <c r="A33592">
        <v>72254090</v>
      </c>
      <c r="B33592" t="s">
        <v>10</v>
      </c>
    </row>
    <row r="33593" spans="1:2" x14ac:dyDescent="0.25">
      <c r="A33593">
        <v>722540901</v>
      </c>
      <c r="B33593" t="s">
        <v>9804</v>
      </c>
    </row>
    <row r="33594" spans="1:2" x14ac:dyDescent="0.25">
      <c r="A33594">
        <v>72254090110</v>
      </c>
      <c r="B33594" t="s">
        <v>9809</v>
      </c>
    </row>
    <row r="33595" spans="1:2" x14ac:dyDescent="0.25">
      <c r="A33595">
        <v>72254090120</v>
      </c>
      <c r="B33595" t="s">
        <v>9890</v>
      </c>
    </row>
    <row r="33596" spans="1:2" x14ac:dyDescent="0.25">
      <c r="A33596">
        <v>72254090190</v>
      </c>
      <c r="B33596" t="s">
        <v>10</v>
      </c>
    </row>
    <row r="33597" spans="1:2" x14ac:dyDescent="0.25">
      <c r="A33597">
        <v>72254090900</v>
      </c>
      <c r="B33597" t="s">
        <v>10</v>
      </c>
    </row>
    <row r="33598" spans="1:2" x14ac:dyDescent="0.25">
      <c r="A33598">
        <v>722550</v>
      </c>
      <c r="B33598" t="e">
        <f>- Los demas. Simplemente laminados En frio</f>
        <v>#NAME?</v>
      </c>
    </row>
    <row r="33599" spans="1:2" x14ac:dyDescent="0.25">
      <c r="A33599">
        <v>72255010000</v>
      </c>
      <c r="B33599" t="s">
        <v>10003</v>
      </c>
    </row>
    <row r="33600" spans="1:2" x14ac:dyDescent="0.25">
      <c r="A33600">
        <v>72255090</v>
      </c>
      <c r="B33600" t="s">
        <v>10</v>
      </c>
    </row>
    <row r="33601" spans="1:2" x14ac:dyDescent="0.25">
      <c r="A33601">
        <v>722550901</v>
      </c>
      <c r="B33601" t="s">
        <v>9843</v>
      </c>
    </row>
    <row r="33602" spans="1:2" x14ac:dyDescent="0.25">
      <c r="A33602">
        <v>72255090110</v>
      </c>
      <c r="B33602" t="s">
        <v>9837</v>
      </c>
    </row>
    <row r="33603" spans="1:2" x14ac:dyDescent="0.25">
      <c r="A33603">
        <v>72255090180</v>
      </c>
      <c r="B33603" t="s">
        <v>9838</v>
      </c>
    </row>
    <row r="33604" spans="1:2" x14ac:dyDescent="0.25">
      <c r="A33604">
        <v>7225509019</v>
      </c>
      <c r="B33604" t="s">
        <v>10</v>
      </c>
    </row>
    <row r="33605" spans="1:2" x14ac:dyDescent="0.25">
      <c r="A33605">
        <v>72255090191</v>
      </c>
      <c r="B33605" t="s">
        <v>10007</v>
      </c>
    </row>
    <row r="33606" spans="1:2" x14ac:dyDescent="0.25">
      <c r="A33606">
        <v>72255090199</v>
      </c>
      <c r="B33606" t="s">
        <v>10</v>
      </c>
    </row>
    <row r="33607" spans="1:2" x14ac:dyDescent="0.25">
      <c r="A33607">
        <v>72255090900</v>
      </c>
      <c r="B33607" t="s">
        <v>10</v>
      </c>
    </row>
    <row r="33608" spans="1:2" x14ac:dyDescent="0.25">
      <c r="A33608">
        <v>72259</v>
      </c>
      <c r="B33608" t="s">
        <v>28</v>
      </c>
    </row>
    <row r="33609" spans="1:2" x14ac:dyDescent="0.25">
      <c r="A33609">
        <v>72259100000</v>
      </c>
      <c r="B33609" t="e">
        <f>--Cincados electroliticamente</f>
        <v>#NAME?</v>
      </c>
    </row>
    <row r="33610" spans="1:2" x14ac:dyDescent="0.25">
      <c r="A33610">
        <v>72259200</v>
      </c>
      <c r="B33610" t="e">
        <f>- - Cincados de otro modo</f>
        <v>#NAME?</v>
      </c>
    </row>
    <row r="33611" spans="1:2" x14ac:dyDescent="0.25">
      <c r="A33611">
        <v>722592001</v>
      </c>
      <c r="B33611" t="s">
        <v>9867</v>
      </c>
    </row>
    <row r="33612" spans="1:2" x14ac:dyDescent="0.25">
      <c r="A33612">
        <v>72259200110</v>
      </c>
      <c r="B33612" t="s">
        <v>9872</v>
      </c>
    </row>
    <row r="33613" spans="1:2" x14ac:dyDescent="0.25">
      <c r="A33613">
        <v>72259200190</v>
      </c>
      <c r="B33613" t="s">
        <v>10</v>
      </c>
    </row>
    <row r="33614" spans="1:2" x14ac:dyDescent="0.25">
      <c r="A33614">
        <v>72259200900</v>
      </c>
      <c r="B33614" t="s">
        <v>10</v>
      </c>
    </row>
    <row r="33615" spans="1:2" x14ac:dyDescent="0.25">
      <c r="A33615">
        <v>722599</v>
      </c>
      <c r="B33615" t="e">
        <f>- - Los demas</f>
        <v>#NAME?</v>
      </c>
    </row>
    <row r="33616" spans="1:2" x14ac:dyDescent="0.25">
      <c r="A33616">
        <v>72259910000</v>
      </c>
      <c r="B33616" t="s">
        <v>10003</v>
      </c>
    </row>
    <row r="33617" spans="1:2" x14ac:dyDescent="0.25">
      <c r="A33617">
        <v>72259990</v>
      </c>
      <c r="B33617" t="s">
        <v>10</v>
      </c>
    </row>
    <row r="33618" spans="1:2" x14ac:dyDescent="0.25">
      <c r="A33618">
        <v>722599901</v>
      </c>
      <c r="B33618" t="s">
        <v>9895</v>
      </c>
    </row>
    <row r="33619" spans="1:2" x14ac:dyDescent="0.25">
      <c r="A33619">
        <v>7225999011</v>
      </c>
      <c r="B33619" t="s">
        <v>9804</v>
      </c>
    </row>
    <row r="33620" spans="1:2" x14ac:dyDescent="0.25">
      <c r="A33620">
        <v>72259990111</v>
      </c>
      <c r="B33620" t="s">
        <v>9894</v>
      </c>
    </row>
    <row r="33621" spans="1:2" x14ac:dyDescent="0.25">
      <c r="A33621">
        <v>72259990119</v>
      </c>
      <c r="B33621" t="s">
        <v>10</v>
      </c>
    </row>
    <row r="33622" spans="1:2" x14ac:dyDescent="0.25">
      <c r="A33622">
        <v>72259990190</v>
      </c>
      <c r="B33622" t="s">
        <v>10</v>
      </c>
    </row>
    <row r="33623" spans="1:2" x14ac:dyDescent="0.25">
      <c r="A33623">
        <v>722599902</v>
      </c>
      <c r="B33623" t="s">
        <v>10008</v>
      </c>
    </row>
    <row r="33624" spans="1:2" x14ac:dyDescent="0.25">
      <c r="A33624">
        <v>7225999021</v>
      </c>
      <c r="B33624" t="s">
        <v>9872</v>
      </c>
    </row>
    <row r="33625" spans="1:2" x14ac:dyDescent="0.25">
      <c r="A33625">
        <v>72259990211</v>
      </c>
      <c r="B33625" t="s">
        <v>9867</v>
      </c>
    </row>
    <row r="33626" spans="1:2" x14ac:dyDescent="0.25">
      <c r="A33626">
        <v>72259990219</v>
      </c>
      <c r="B33626" t="s">
        <v>10</v>
      </c>
    </row>
    <row r="33627" spans="1:2" x14ac:dyDescent="0.25">
      <c r="A33627">
        <v>72259990290</v>
      </c>
      <c r="B33627" t="s">
        <v>10</v>
      </c>
    </row>
    <row r="33628" spans="1:2" x14ac:dyDescent="0.25">
      <c r="A33628">
        <v>72259990900</v>
      </c>
      <c r="B33628" t="s">
        <v>10</v>
      </c>
    </row>
    <row r="33629" spans="1:2" x14ac:dyDescent="0.25">
      <c r="A33629">
        <v>7226</v>
      </c>
      <c r="B33629" t="s">
        <v>10009</v>
      </c>
    </row>
    <row r="33630" spans="1:2" x14ac:dyDescent="0.25">
      <c r="A33630">
        <v>72261</v>
      </c>
      <c r="B33630" t="s">
        <v>10002</v>
      </c>
    </row>
    <row r="33631" spans="1:2" x14ac:dyDescent="0.25">
      <c r="A33631">
        <v>72261100000</v>
      </c>
      <c r="B33631" t="e">
        <f>--de grano orientado</f>
        <v>#NAME?</v>
      </c>
    </row>
    <row r="33632" spans="1:2" x14ac:dyDescent="0.25">
      <c r="A33632">
        <v>72261900000</v>
      </c>
      <c r="B33632" t="e">
        <f>--Los demas</f>
        <v>#NAME?</v>
      </c>
    </row>
    <row r="33633" spans="1:2" x14ac:dyDescent="0.25">
      <c r="A33633">
        <v>722620</v>
      </c>
      <c r="B33633" t="e">
        <f>- de acero rapido</f>
        <v>#NAME?</v>
      </c>
    </row>
    <row r="33634" spans="1:2" x14ac:dyDescent="0.25">
      <c r="A33634">
        <v>72262010000</v>
      </c>
      <c r="B33634" t="s">
        <v>10010</v>
      </c>
    </row>
    <row r="33635" spans="1:2" x14ac:dyDescent="0.25">
      <c r="A33635">
        <v>72262090000</v>
      </c>
      <c r="B33635" t="s">
        <v>10</v>
      </c>
    </row>
    <row r="33636" spans="1:2" x14ac:dyDescent="0.25">
      <c r="A33636">
        <v>72269</v>
      </c>
      <c r="B33636" t="s">
        <v>28</v>
      </c>
    </row>
    <row r="33637" spans="1:2" x14ac:dyDescent="0.25">
      <c r="A33637">
        <v>72269100</v>
      </c>
      <c r="B33637" t="e">
        <f>- - Simplemente laminados En caliente</f>
        <v>#NAME?</v>
      </c>
    </row>
    <row r="33638" spans="1:2" x14ac:dyDescent="0.25">
      <c r="A33638">
        <v>722691001</v>
      </c>
      <c r="B33638" t="s">
        <v>9804</v>
      </c>
    </row>
    <row r="33639" spans="1:2" x14ac:dyDescent="0.25">
      <c r="A33639">
        <v>72269100110</v>
      </c>
      <c r="B33639" t="s">
        <v>9808</v>
      </c>
    </row>
    <row r="33640" spans="1:2" x14ac:dyDescent="0.25">
      <c r="A33640">
        <v>72269100120</v>
      </c>
      <c r="B33640" t="s">
        <v>10011</v>
      </c>
    </row>
    <row r="33641" spans="1:2" x14ac:dyDescent="0.25">
      <c r="A33641">
        <v>72269100130</v>
      </c>
      <c r="B33641" t="s">
        <v>9890</v>
      </c>
    </row>
    <row r="33642" spans="1:2" x14ac:dyDescent="0.25">
      <c r="A33642">
        <v>72269100190</v>
      </c>
      <c r="B33642" t="s">
        <v>10</v>
      </c>
    </row>
    <row r="33643" spans="1:2" x14ac:dyDescent="0.25">
      <c r="A33643">
        <v>72269100900</v>
      </c>
      <c r="B33643" t="s">
        <v>10</v>
      </c>
    </row>
    <row r="33644" spans="1:2" x14ac:dyDescent="0.25">
      <c r="A33644">
        <v>72269200</v>
      </c>
      <c r="B33644" t="e">
        <f>- - Simplemente laminados En frio</f>
        <v>#NAME?</v>
      </c>
    </row>
    <row r="33645" spans="1:2" x14ac:dyDescent="0.25">
      <c r="A33645">
        <v>722692001</v>
      </c>
      <c r="B33645" t="s">
        <v>9843</v>
      </c>
    </row>
    <row r="33646" spans="1:2" x14ac:dyDescent="0.25">
      <c r="A33646">
        <v>72269200110</v>
      </c>
      <c r="B33646" t="s">
        <v>9837</v>
      </c>
    </row>
    <row r="33647" spans="1:2" x14ac:dyDescent="0.25">
      <c r="A33647">
        <v>72269200190</v>
      </c>
      <c r="B33647" t="s">
        <v>10</v>
      </c>
    </row>
    <row r="33648" spans="1:2" x14ac:dyDescent="0.25">
      <c r="A33648">
        <v>72269200900</v>
      </c>
      <c r="B33648" t="s">
        <v>10</v>
      </c>
    </row>
    <row r="33649" spans="1:2" x14ac:dyDescent="0.25">
      <c r="A33649">
        <v>72269900</v>
      </c>
      <c r="B33649" t="e">
        <f>- - Los demas</f>
        <v>#NAME?</v>
      </c>
    </row>
    <row r="33650" spans="1:2" x14ac:dyDescent="0.25">
      <c r="A33650">
        <v>722699001</v>
      </c>
      <c r="B33650" t="s">
        <v>9895</v>
      </c>
    </row>
    <row r="33651" spans="1:2" x14ac:dyDescent="0.25">
      <c r="A33651">
        <v>7226990011</v>
      </c>
      <c r="B33651" t="s">
        <v>9804</v>
      </c>
    </row>
    <row r="33652" spans="1:2" x14ac:dyDescent="0.25">
      <c r="A33652">
        <v>72269900111</v>
      </c>
      <c r="B33652" t="s">
        <v>9894</v>
      </c>
    </row>
    <row r="33653" spans="1:2" x14ac:dyDescent="0.25">
      <c r="A33653">
        <v>72269900119</v>
      </c>
      <c r="B33653" t="s">
        <v>10</v>
      </c>
    </row>
    <row r="33654" spans="1:2" x14ac:dyDescent="0.25">
      <c r="A33654">
        <v>72269900190</v>
      </c>
      <c r="B33654" t="s">
        <v>10</v>
      </c>
    </row>
    <row r="33655" spans="1:2" x14ac:dyDescent="0.25">
      <c r="A33655">
        <v>722699002</v>
      </c>
      <c r="B33655" t="s">
        <v>10008</v>
      </c>
    </row>
    <row r="33656" spans="1:2" x14ac:dyDescent="0.25">
      <c r="A33656">
        <v>7226990021</v>
      </c>
      <c r="B33656" t="s">
        <v>9872</v>
      </c>
    </row>
    <row r="33657" spans="1:2" x14ac:dyDescent="0.25">
      <c r="A33657">
        <v>72269900211</v>
      </c>
      <c r="B33657" t="s">
        <v>9867</v>
      </c>
    </row>
    <row r="33658" spans="1:2" x14ac:dyDescent="0.25">
      <c r="A33658">
        <v>72269900219</v>
      </c>
      <c r="B33658" t="s">
        <v>10</v>
      </c>
    </row>
    <row r="33659" spans="1:2" x14ac:dyDescent="0.25">
      <c r="A33659">
        <v>72269900290</v>
      </c>
      <c r="B33659" t="s">
        <v>10</v>
      </c>
    </row>
    <row r="33660" spans="1:2" x14ac:dyDescent="0.25">
      <c r="A33660">
        <v>722699003</v>
      </c>
      <c r="B33660" t="s">
        <v>10012</v>
      </c>
    </row>
    <row r="33661" spans="1:2" x14ac:dyDescent="0.25">
      <c r="A33661">
        <v>7226990031</v>
      </c>
      <c r="B33661" t="s">
        <v>9843</v>
      </c>
    </row>
    <row r="33662" spans="1:2" x14ac:dyDescent="0.25">
      <c r="A33662">
        <v>72269900311</v>
      </c>
      <c r="B33662" t="s">
        <v>9872</v>
      </c>
    </row>
    <row r="33663" spans="1:2" x14ac:dyDescent="0.25">
      <c r="A33663">
        <v>72269900319</v>
      </c>
      <c r="B33663" t="s">
        <v>10</v>
      </c>
    </row>
    <row r="33664" spans="1:2" x14ac:dyDescent="0.25">
      <c r="A33664">
        <v>72269900390</v>
      </c>
      <c r="B33664" t="s">
        <v>10</v>
      </c>
    </row>
    <row r="33665" spans="1:2" x14ac:dyDescent="0.25">
      <c r="A33665">
        <v>722699009</v>
      </c>
      <c r="B33665" t="s">
        <v>10</v>
      </c>
    </row>
    <row r="33666" spans="1:2" x14ac:dyDescent="0.25">
      <c r="A33666">
        <v>72269900910</v>
      </c>
      <c r="B33666" t="s">
        <v>10013</v>
      </c>
    </row>
    <row r="33667" spans="1:2" x14ac:dyDescent="0.25">
      <c r="A33667">
        <v>72269900990</v>
      </c>
      <c r="B33667" t="s">
        <v>10</v>
      </c>
    </row>
    <row r="33668" spans="1:2" x14ac:dyDescent="0.25">
      <c r="A33668">
        <v>7227</v>
      </c>
      <c r="B33668" t="s">
        <v>10014</v>
      </c>
    </row>
    <row r="33669" spans="1:2" x14ac:dyDescent="0.25">
      <c r="A33669">
        <v>72271000000</v>
      </c>
      <c r="B33669" t="e">
        <f>-de acero rapido</f>
        <v>#NAME?</v>
      </c>
    </row>
    <row r="33670" spans="1:2" x14ac:dyDescent="0.25">
      <c r="A33670">
        <v>72272000000</v>
      </c>
      <c r="B33670" t="e">
        <f>-de acero silicomanganeso</f>
        <v>#NAME?</v>
      </c>
    </row>
    <row r="33671" spans="1:2" x14ac:dyDescent="0.25">
      <c r="A33671">
        <v>72279000000</v>
      </c>
      <c r="B33671" t="e">
        <f>-Los demas</f>
        <v>#NAME?</v>
      </c>
    </row>
    <row r="33672" spans="1:2" x14ac:dyDescent="0.25">
      <c r="A33672">
        <v>7228</v>
      </c>
      <c r="B33672" t="s">
        <v>10015</v>
      </c>
    </row>
    <row r="33673" spans="1:2" x14ac:dyDescent="0.25">
      <c r="A33673">
        <v>722810</v>
      </c>
      <c r="B33673" t="e">
        <f>- barras de acero rapido</f>
        <v>#NAME?</v>
      </c>
    </row>
    <row r="33674" spans="1:2" x14ac:dyDescent="0.25">
      <c r="A33674">
        <v>72281010</v>
      </c>
      <c r="B33674" t="s">
        <v>10016</v>
      </c>
    </row>
    <row r="33675" spans="1:2" x14ac:dyDescent="0.25">
      <c r="A33675">
        <v>72281010100</v>
      </c>
      <c r="B33675" t="s">
        <v>10017</v>
      </c>
    </row>
    <row r="33676" spans="1:2" x14ac:dyDescent="0.25">
      <c r="A33676">
        <v>72281010900</v>
      </c>
      <c r="B33676" t="s">
        <v>57</v>
      </c>
    </row>
    <row r="33677" spans="1:2" x14ac:dyDescent="0.25">
      <c r="A33677">
        <v>72281090000</v>
      </c>
      <c r="B33677" t="s">
        <v>57</v>
      </c>
    </row>
    <row r="33678" spans="1:2" x14ac:dyDescent="0.25">
      <c r="A33678">
        <v>72282000</v>
      </c>
      <c r="B33678" t="e">
        <f>- barras de acero silicomanganeso</f>
        <v>#NAME?</v>
      </c>
    </row>
    <row r="33679" spans="1:2" x14ac:dyDescent="0.25">
      <c r="A33679">
        <v>72282000100</v>
      </c>
      <c r="B33679" t="s">
        <v>10018</v>
      </c>
    </row>
    <row r="33680" spans="1:2" x14ac:dyDescent="0.25">
      <c r="A33680">
        <v>72282000900</v>
      </c>
      <c r="B33680" t="s">
        <v>57</v>
      </c>
    </row>
    <row r="33681" spans="1:2" x14ac:dyDescent="0.25">
      <c r="A33681">
        <v>72283000</v>
      </c>
      <c r="B33681" t="e">
        <f>- las demas barras. Simplemente laminadas o extrudidas En caliente</f>
        <v>#NAME?</v>
      </c>
    </row>
    <row r="33682" spans="1:2" x14ac:dyDescent="0.25">
      <c r="A33682">
        <v>722830001</v>
      </c>
      <c r="B33682" t="s">
        <v>10019</v>
      </c>
    </row>
    <row r="33683" spans="1:2" x14ac:dyDescent="0.25">
      <c r="A33683">
        <v>72283000110</v>
      </c>
      <c r="B33683" t="s">
        <v>10020</v>
      </c>
    </row>
    <row r="33684" spans="1:2" x14ac:dyDescent="0.25">
      <c r="A33684">
        <v>72283000120</v>
      </c>
      <c r="B33684" t="s">
        <v>10021</v>
      </c>
    </row>
    <row r="33685" spans="1:2" x14ac:dyDescent="0.25">
      <c r="A33685">
        <v>72283000190</v>
      </c>
      <c r="B33685" t="s">
        <v>57</v>
      </c>
    </row>
    <row r="33686" spans="1:2" x14ac:dyDescent="0.25">
      <c r="A33686">
        <v>722830002</v>
      </c>
      <c r="B33686" t="s">
        <v>10022</v>
      </c>
    </row>
    <row r="33687" spans="1:2" x14ac:dyDescent="0.25">
      <c r="A33687">
        <v>72283000210</v>
      </c>
      <c r="B33687" t="s">
        <v>10023</v>
      </c>
    </row>
    <row r="33688" spans="1:2" x14ac:dyDescent="0.25">
      <c r="A33688">
        <v>72283000290</v>
      </c>
      <c r="B33688" t="s">
        <v>57</v>
      </c>
    </row>
    <row r="33689" spans="1:2" x14ac:dyDescent="0.25">
      <c r="A33689">
        <v>722830009</v>
      </c>
      <c r="B33689" t="s">
        <v>57</v>
      </c>
    </row>
    <row r="33690" spans="1:2" x14ac:dyDescent="0.25">
      <c r="A33690">
        <v>72283000910</v>
      </c>
      <c r="B33690" t="s">
        <v>9997</v>
      </c>
    </row>
    <row r="33691" spans="1:2" x14ac:dyDescent="0.25">
      <c r="A33691">
        <v>72283000920</v>
      </c>
      <c r="B33691" t="s">
        <v>9998</v>
      </c>
    </row>
    <row r="33692" spans="1:2" x14ac:dyDescent="0.25">
      <c r="A33692">
        <v>72283000930</v>
      </c>
      <c r="B33692" t="s">
        <v>9999</v>
      </c>
    </row>
    <row r="33693" spans="1:2" x14ac:dyDescent="0.25">
      <c r="A33693">
        <v>72283000940</v>
      </c>
      <c r="B33693" t="s">
        <v>10000</v>
      </c>
    </row>
    <row r="33694" spans="1:2" x14ac:dyDescent="0.25">
      <c r="A33694">
        <v>72283000990</v>
      </c>
      <c r="B33694" t="s">
        <v>57</v>
      </c>
    </row>
    <row r="33695" spans="1:2" x14ac:dyDescent="0.25">
      <c r="A33695">
        <v>72284000</v>
      </c>
      <c r="B33695" t="e">
        <f>- las demas barras. Simplemente Forjadas</f>
        <v>#NAME?</v>
      </c>
    </row>
    <row r="33696" spans="1:2" x14ac:dyDescent="0.25">
      <c r="A33696">
        <v>722840001</v>
      </c>
      <c r="B33696" t="s">
        <v>10019</v>
      </c>
    </row>
    <row r="33697" spans="1:2" x14ac:dyDescent="0.25">
      <c r="A33697">
        <v>72284000110</v>
      </c>
      <c r="B33697" t="s">
        <v>10020</v>
      </c>
    </row>
    <row r="33698" spans="1:2" x14ac:dyDescent="0.25">
      <c r="A33698">
        <v>72284000120</v>
      </c>
      <c r="B33698" t="s">
        <v>10021</v>
      </c>
    </row>
    <row r="33699" spans="1:2" x14ac:dyDescent="0.25">
      <c r="A33699">
        <v>72284000190</v>
      </c>
      <c r="B33699" t="s">
        <v>57</v>
      </c>
    </row>
    <row r="33700" spans="1:2" x14ac:dyDescent="0.25">
      <c r="A33700">
        <v>722840002</v>
      </c>
      <c r="B33700" t="s">
        <v>10022</v>
      </c>
    </row>
    <row r="33701" spans="1:2" x14ac:dyDescent="0.25">
      <c r="A33701">
        <v>72284000210</v>
      </c>
      <c r="B33701" t="s">
        <v>10023</v>
      </c>
    </row>
    <row r="33702" spans="1:2" x14ac:dyDescent="0.25">
      <c r="A33702">
        <v>72284000290</v>
      </c>
      <c r="B33702" t="s">
        <v>57</v>
      </c>
    </row>
    <row r="33703" spans="1:2" x14ac:dyDescent="0.25">
      <c r="A33703">
        <v>722840009</v>
      </c>
      <c r="B33703" t="s">
        <v>57</v>
      </c>
    </row>
    <row r="33704" spans="1:2" x14ac:dyDescent="0.25">
      <c r="A33704">
        <v>72284000910</v>
      </c>
      <c r="B33704" t="s">
        <v>9997</v>
      </c>
    </row>
    <row r="33705" spans="1:2" x14ac:dyDescent="0.25">
      <c r="A33705">
        <v>72284000920</v>
      </c>
      <c r="B33705" t="s">
        <v>9998</v>
      </c>
    </row>
    <row r="33706" spans="1:2" x14ac:dyDescent="0.25">
      <c r="A33706">
        <v>72284000930</v>
      </c>
      <c r="B33706" t="s">
        <v>9999</v>
      </c>
    </row>
    <row r="33707" spans="1:2" x14ac:dyDescent="0.25">
      <c r="A33707">
        <v>72284000940</v>
      </c>
      <c r="B33707" t="s">
        <v>10000</v>
      </c>
    </row>
    <row r="33708" spans="1:2" x14ac:dyDescent="0.25">
      <c r="A33708">
        <v>72284000990</v>
      </c>
      <c r="B33708" t="s">
        <v>57</v>
      </c>
    </row>
    <row r="33709" spans="1:2" x14ac:dyDescent="0.25">
      <c r="A33709">
        <v>72285000</v>
      </c>
      <c r="B33709" t="e">
        <f>- las demas barras. Simplemente obtenidas o acabadas En frio</f>
        <v>#NAME?</v>
      </c>
    </row>
    <row r="33710" spans="1:2" x14ac:dyDescent="0.25">
      <c r="A33710">
        <v>722850001</v>
      </c>
      <c r="B33710" t="s">
        <v>10019</v>
      </c>
    </row>
    <row r="33711" spans="1:2" x14ac:dyDescent="0.25">
      <c r="A33711">
        <v>7228500011</v>
      </c>
      <c r="B33711" t="s">
        <v>10024</v>
      </c>
    </row>
    <row r="33712" spans="1:2" x14ac:dyDescent="0.25">
      <c r="A33712">
        <v>72285000111</v>
      </c>
      <c r="B33712" t="s">
        <v>10020</v>
      </c>
    </row>
    <row r="33713" spans="1:2" x14ac:dyDescent="0.25">
      <c r="A33713">
        <v>72285000112</v>
      </c>
      <c r="B33713" t="s">
        <v>10021</v>
      </c>
    </row>
    <row r="33714" spans="1:2" x14ac:dyDescent="0.25">
      <c r="A33714">
        <v>72285000119</v>
      </c>
      <c r="B33714" t="s">
        <v>57</v>
      </c>
    </row>
    <row r="33715" spans="1:2" x14ac:dyDescent="0.25">
      <c r="A33715">
        <v>72285000190</v>
      </c>
      <c r="B33715" t="s">
        <v>57</v>
      </c>
    </row>
    <row r="33716" spans="1:2" x14ac:dyDescent="0.25">
      <c r="A33716">
        <v>722850002</v>
      </c>
      <c r="B33716" t="s">
        <v>10022</v>
      </c>
    </row>
    <row r="33717" spans="1:2" x14ac:dyDescent="0.25">
      <c r="A33717">
        <v>7228500021</v>
      </c>
      <c r="B33717" t="s">
        <v>10024</v>
      </c>
    </row>
    <row r="33718" spans="1:2" x14ac:dyDescent="0.25">
      <c r="A33718">
        <v>72285000211</v>
      </c>
      <c r="B33718" t="s">
        <v>10023</v>
      </c>
    </row>
    <row r="33719" spans="1:2" x14ac:dyDescent="0.25">
      <c r="A33719">
        <v>72285000219</v>
      </c>
      <c r="B33719" t="s">
        <v>57</v>
      </c>
    </row>
    <row r="33720" spans="1:2" x14ac:dyDescent="0.25">
      <c r="A33720">
        <v>72285000290</v>
      </c>
      <c r="B33720" t="s">
        <v>57</v>
      </c>
    </row>
    <row r="33721" spans="1:2" x14ac:dyDescent="0.25">
      <c r="A33721">
        <v>722850009</v>
      </c>
      <c r="B33721" t="s">
        <v>57</v>
      </c>
    </row>
    <row r="33722" spans="1:2" x14ac:dyDescent="0.25">
      <c r="A33722">
        <v>7228500091</v>
      </c>
      <c r="B33722" t="s">
        <v>10024</v>
      </c>
    </row>
    <row r="33723" spans="1:2" x14ac:dyDescent="0.25">
      <c r="A33723">
        <v>72285000911</v>
      </c>
      <c r="B33723" t="s">
        <v>9997</v>
      </c>
    </row>
    <row r="33724" spans="1:2" x14ac:dyDescent="0.25">
      <c r="A33724">
        <v>72285000912</v>
      </c>
      <c r="B33724" t="s">
        <v>9998</v>
      </c>
    </row>
    <row r="33725" spans="1:2" x14ac:dyDescent="0.25">
      <c r="A33725">
        <v>72285000913</v>
      </c>
      <c r="B33725" t="s">
        <v>9999</v>
      </c>
    </row>
    <row r="33726" spans="1:2" x14ac:dyDescent="0.25">
      <c r="A33726">
        <v>72285000914</v>
      </c>
      <c r="B33726" t="s">
        <v>10000</v>
      </c>
    </row>
    <row r="33727" spans="1:2" x14ac:dyDescent="0.25">
      <c r="A33727">
        <v>72285000919</v>
      </c>
      <c r="B33727" t="s">
        <v>57</v>
      </c>
    </row>
    <row r="33728" spans="1:2" x14ac:dyDescent="0.25">
      <c r="A33728">
        <v>72285000990</v>
      </c>
      <c r="B33728" t="s">
        <v>57</v>
      </c>
    </row>
    <row r="33729" spans="1:2" x14ac:dyDescent="0.25">
      <c r="A33729">
        <v>72286000</v>
      </c>
      <c r="B33729" t="e">
        <f>- las demas barras</f>
        <v>#NAME?</v>
      </c>
    </row>
    <row r="33730" spans="1:2" x14ac:dyDescent="0.25">
      <c r="A33730">
        <v>722860001</v>
      </c>
      <c r="B33730" t="s">
        <v>10019</v>
      </c>
    </row>
    <row r="33731" spans="1:2" x14ac:dyDescent="0.25">
      <c r="A33731">
        <v>72286000110</v>
      </c>
      <c r="B33731" t="s">
        <v>10020</v>
      </c>
    </row>
    <row r="33732" spans="1:2" x14ac:dyDescent="0.25">
      <c r="A33732">
        <v>72286000120</v>
      </c>
      <c r="B33732" t="s">
        <v>10021</v>
      </c>
    </row>
    <row r="33733" spans="1:2" x14ac:dyDescent="0.25">
      <c r="A33733">
        <v>72286000190</v>
      </c>
      <c r="B33733" t="s">
        <v>57</v>
      </c>
    </row>
    <row r="33734" spans="1:2" x14ac:dyDescent="0.25">
      <c r="A33734">
        <v>722860002</v>
      </c>
      <c r="B33734" t="s">
        <v>10022</v>
      </c>
    </row>
    <row r="33735" spans="1:2" x14ac:dyDescent="0.25">
      <c r="A33735">
        <v>72286000210</v>
      </c>
      <c r="B33735" t="s">
        <v>10023</v>
      </c>
    </row>
    <row r="33736" spans="1:2" x14ac:dyDescent="0.25">
      <c r="A33736">
        <v>72286000290</v>
      </c>
      <c r="B33736" t="s">
        <v>57</v>
      </c>
    </row>
    <row r="33737" spans="1:2" x14ac:dyDescent="0.25">
      <c r="A33737">
        <v>722860009</v>
      </c>
      <c r="B33737" t="s">
        <v>57</v>
      </c>
    </row>
    <row r="33738" spans="1:2" x14ac:dyDescent="0.25">
      <c r="A33738">
        <v>72286000910</v>
      </c>
      <c r="B33738" t="s">
        <v>9997</v>
      </c>
    </row>
    <row r="33739" spans="1:2" x14ac:dyDescent="0.25">
      <c r="A33739">
        <v>72286000920</v>
      </c>
      <c r="B33739" t="s">
        <v>9998</v>
      </c>
    </row>
    <row r="33740" spans="1:2" x14ac:dyDescent="0.25">
      <c r="A33740">
        <v>72286000930</v>
      </c>
      <c r="B33740" t="s">
        <v>9999</v>
      </c>
    </row>
    <row r="33741" spans="1:2" x14ac:dyDescent="0.25">
      <c r="A33741">
        <v>72286000940</v>
      </c>
      <c r="B33741" t="s">
        <v>10000</v>
      </c>
    </row>
    <row r="33742" spans="1:2" x14ac:dyDescent="0.25">
      <c r="A33742">
        <v>72286000990</v>
      </c>
      <c r="B33742" t="s">
        <v>57</v>
      </c>
    </row>
    <row r="33743" spans="1:2" x14ac:dyDescent="0.25">
      <c r="A33743">
        <v>72287000000</v>
      </c>
      <c r="B33743" t="e">
        <f>-Perfiles</f>
        <v>#NAME?</v>
      </c>
    </row>
    <row r="33744" spans="1:2" x14ac:dyDescent="0.25">
      <c r="A33744">
        <v>72288000000</v>
      </c>
      <c r="B33744" t="e">
        <f>-barras huecas para perforacion</f>
        <v>#NAME?</v>
      </c>
    </row>
    <row r="33745" spans="1:2" x14ac:dyDescent="0.25">
      <c r="A33745">
        <v>7229</v>
      </c>
      <c r="B33745" t="s">
        <v>10025</v>
      </c>
    </row>
    <row r="33746" spans="1:2" x14ac:dyDescent="0.25">
      <c r="A33746">
        <v>72292000000</v>
      </c>
      <c r="B33746" t="e">
        <f>-de acero silicomanganeso</f>
        <v>#NAME?</v>
      </c>
    </row>
    <row r="33747" spans="1:2" x14ac:dyDescent="0.25">
      <c r="A33747">
        <v>72299000000</v>
      </c>
      <c r="B33747" t="e">
        <f>-Los demas</f>
        <v>#NAME?</v>
      </c>
    </row>
    <row r="33748" spans="1:2" x14ac:dyDescent="0.25">
      <c r="A33748">
        <v>7301</v>
      </c>
      <c r="B33748" t="s">
        <v>10026</v>
      </c>
    </row>
    <row r="33749" spans="1:2" x14ac:dyDescent="0.25">
      <c r="A33749">
        <v>73011000000</v>
      </c>
      <c r="B33749" t="e">
        <f>-Tablestacas</f>
        <v>#NAME?</v>
      </c>
    </row>
    <row r="33750" spans="1:2" x14ac:dyDescent="0.25">
      <c r="A33750">
        <v>73012000000</v>
      </c>
      <c r="B33750" t="e">
        <f>-Perfiles</f>
        <v>#NAME?</v>
      </c>
    </row>
    <row r="33751" spans="1:2" x14ac:dyDescent="0.25">
      <c r="A33751">
        <v>7302</v>
      </c>
      <c r="B33751" t="s">
        <v>10027</v>
      </c>
    </row>
    <row r="33752" spans="1:2" x14ac:dyDescent="0.25">
      <c r="A33752">
        <v>730210</v>
      </c>
      <c r="B33752" t="e">
        <f>- Carriles (rieles)</f>
        <v>#NAME?</v>
      </c>
    </row>
    <row r="33753" spans="1:2" x14ac:dyDescent="0.25">
      <c r="A33753">
        <v>73021010000</v>
      </c>
      <c r="B33753" t="s">
        <v>10028</v>
      </c>
    </row>
    <row r="33754" spans="1:2" x14ac:dyDescent="0.25">
      <c r="A33754">
        <v>73021090000</v>
      </c>
      <c r="B33754" t="s">
        <v>10</v>
      </c>
    </row>
    <row r="33755" spans="1:2" x14ac:dyDescent="0.25">
      <c r="A33755">
        <v>73023000000</v>
      </c>
      <c r="B33755" t="e">
        <f>-Agujas. puntas de corazon. varillas para mando de agujas y otros elementos para cruce o cambio de vias</f>
        <v>#NAME?</v>
      </c>
    </row>
    <row r="33756" spans="1:2" x14ac:dyDescent="0.25">
      <c r="A33756">
        <v>73024000000</v>
      </c>
      <c r="B33756" t="e">
        <f>-bridas y placas de asiento</f>
        <v>#NAME?</v>
      </c>
    </row>
    <row r="33757" spans="1:2" x14ac:dyDescent="0.25">
      <c r="A33757">
        <v>73029000000</v>
      </c>
      <c r="B33757" t="e">
        <f>-Los demas</f>
        <v>#NAME?</v>
      </c>
    </row>
    <row r="33758" spans="1:2" x14ac:dyDescent="0.25">
      <c r="A33758">
        <v>73030000</v>
      </c>
      <c r="B33758" t="s">
        <v>10029</v>
      </c>
    </row>
    <row r="33759" spans="1:2" x14ac:dyDescent="0.25">
      <c r="A33759">
        <v>73030000100</v>
      </c>
      <c r="B33759" t="s">
        <v>524</v>
      </c>
    </row>
    <row r="33760" spans="1:2" x14ac:dyDescent="0.25">
      <c r="A33760">
        <v>73030000900</v>
      </c>
      <c r="B33760" t="s">
        <v>10</v>
      </c>
    </row>
    <row r="33761" spans="1:2" x14ac:dyDescent="0.25">
      <c r="A33761">
        <v>7304</v>
      </c>
      <c r="B33761" t="s">
        <v>10030</v>
      </c>
    </row>
    <row r="33762" spans="1:2" x14ac:dyDescent="0.25">
      <c r="A33762">
        <v>73041</v>
      </c>
      <c r="B33762" t="s">
        <v>10031</v>
      </c>
    </row>
    <row r="33763" spans="1:2" x14ac:dyDescent="0.25">
      <c r="A33763">
        <v>73041100000</v>
      </c>
      <c r="B33763" t="s">
        <v>9795</v>
      </c>
    </row>
    <row r="33764" spans="1:2" x14ac:dyDescent="0.25">
      <c r="A33764">
        <v>73041900</v>
      </c>
      <c r="B33764" t="e">
        <f>- - Los demas</f>
        <v>#NAME?</v>
      </c>
    </row>
    <row r="33765" spans="1:2" x14ac:dyDescent="0.25">
      <c r="A33765">
        <v>73041900100</v>
      </c>
      <c r="B33765" t="s">
        <v>10032</v>
      </c>
    </row>
    <row r="33766" spans="1:2" x14ac:dyDescent="0.25">
      <c r="A33766">
        <v>73041900900</v>
      </c>
      <c r="B33766" t="s">
        <v>10</v>
      </c>
    </row>
    <row r="33767" spans="1:2" x14ac:dyDescent="0.25">
      <c r="A33767">
        <v>73042</v>
      </c>
      <c r="B33767" t="s">
        <v>10033</v>
      </c>
    </row>
    <row r="33768" spans="1:2" x14ac:dyDescent="0.25">
      <c r="A33768">
        <v>73042200000</v>
      </c>
      <c r="B33768" t="e">
        <f>--Tubos de perforacion de acero inoxidable</f>
        <v>#NAME?</v>
      </c>
    </row>
    <row r="33769" spans="1:2" x14ac:dyDescent="0.25">
      <c r="A33769">
        <v>730423</v>
      </c>
      <c r="B33769" t="e">
        <f>- - Los demas Tubos de perforacion</f>
        <v>#NAME?</v>
      </c>
    </row>
    <row r="33770" spans="1:2" x14ac:dyDescent="0.25">
      <c r="A33770">
        <v>73042310000</v>
      </c>
      <c r="B33770" t="s">
        <v>10034</v>
      </c>
    </row>
    <row r="33771" spans="1:2" x14ac:dyDescent="0.25">
      <c r="A33771">
        <v>73042390000</v>
      </c>
      <c r="B33771" t="s">
        <v>10</v>
      </c>
    </row>
    <row r="33772" spans="1:2" x14ac:dyDescent="0.25">
      <c r="A33772">
        <v>73042400000</v>
      </c>
      <c r="B33772" t="e">
        <f>--Los demas. de acero inoxidable</f>
        <v>#NAME?</v>
      </c>
    </row>
    <row r="33773" spans="1:2" x14ac:dyDescent="0.25">
      <c r="A33773">
        <v>730429</v>
      </c>
      <c r="B33773" t="e">
        <f>- - Los demas</f>
        <v>#NAME?</v>
      </c>
    </row>
    <row r="33774" spans="1:2" x14ac:dyDescent="0.25">
      <c r="A33774">
        <v>73042910</v>
      </c>
      <c r="B33774" t="s">
        <v>10034</v>
      </c>
    </row>
    <row r="33775" spans="1:2" x14ac:dyDescent="0.25">
      <c r="A33775">
        <v>730429101</v>
      </c>
      <c r="B33775" t="s">
        <v>10035</v>
      </c>
    </row>
    <row r="33776" spans="1:2" x14ac:dyDescent="0.25">
      <c r="A33776">
        <v>73042910110</v>
      </c>
      <c r="B33776" t="s">
        <v>10036</v>
      </c>
    </row>
    <row r="33777" spans="1:2" x14ac:dyDescent="0.25">
      <c r="A33777">
        <v>73042910120</v>
      </c>
      <c r="B33777" t="s">
        <v>10037</v>
      </c>
    </row>
    <row r="33778" spans="1:2" x14ac:dyDescent="0.25">
      <c r="A33778">
        <v>73042910130</v>
      </c>
      <c r="B33778" t="s">
        <v>10038</v>
      </c>
    </row>
    <row r="33779" spans="1:2" x14ac:dyDescent="0.25">
      <c r="A33779">
        <v>73042910190</v>
      </c>
      <c r="B33779" t="s">
        <v>10</v>
      </c>
    </row>
    <row r="33780" spans="1:2" x14ac:dyDescent="0.25">
      <c r="A33780">
        <v>73042910200</v>
      </c>
      <c r="B33780" t="s">
        <v>10039</v>
      </c>
    </row>
    <row r="33781" spans="1:2" x14ac:dyDescent="0.25">
      <c r="A33781">
        <v>73042910900</v>
      </c>
      <c r="B33781" t="s">
        <v>10</v>
      </c>
    </row>
    <row r="33782" spans="1:2" x14ac:dyDescent="0.25">
      <c r="A33782">
        <v>7304293</v>
      </c>
      <c r="B33782" t="s">
        <v>10040</v>
      </c>
    </row>
    <row r="33783" spans="1:2" x14ac:dyDescent="0.25">
      <c r="A33783">
        <v>73042931000</v>
      </c>
      <c r="B33783" t="s">
        <v>10041</v>
      </c>
    </row>
    <row r="33784" spans="1:2" x14ac:dyDescent="0.25">
      <c r="A33784">
        <v>73042939</v>
      </c>
      <c r="B33784" t="s">
        <v>10</v>
      </c>
    </row>
    <row r="33785" spans="1:2" x14ac:dyDescent="0.25">
      <c r="A33785">
        <v>730429391</v>
      </c>
      <c r="B33785" t="s">
        <v>10035</v>
      </c>
    </row>
    <row r="33786" spans="1:2" x14ac:dyDescent="0.25">
      <c r="A33786">
        <v>73042939110</v>
      </c>
      <c r="B33786" t="s">
        <v>10036</v>
      </c>
    </row>
    <row r="33787" spans="1:2" x14ac:dyDescent="0.25">
      <c r="A33787">
        <v>73042939120</v>
      </c>
      <c r="B33787" t="s">
        <v>10037</v>
      </c>
    </row>
    <row r="33788" spans="1:2" x14ac:dyDescent="0.25">
      <c r="A33788">
        <v>73042939130</v>
      </c>
      <c r="B33788" t="s">
        <v>10038</v>
      </c>
    </row>
    <row r="33789" spans="1:2" x14ac:dyDescent="0.25">
      <c r="A33789">
        <v>73042939190</v>
      </c>
      <c r="B33789" t="s">
        <v>10</v>
      </c>
    </row>
    <row r="33790" spans="1:2" x14ac:dyDescent="0.25">
      <c r="A33790">
        <v>73042939200</v>
      </c>
      <c r="B33790" t="s">
        <v>10039</v>
      </c>
    </row>
    <row r="33791" spans="1:2" x14ac:dyDescent="0.25">
      <c r="A33791">
        <v>73042939900</v>
      </c>
      <c r="B33791" t="s">
        <v>10</v>
      </c>
    </row>
    <row r="33792" spans="1:2" x14ac:dyDescent="0.25">
      <c r="A33792">
        <v>73042990</v>
      </c>
      <c r="B33792" t="s">
        <v>10</v>
      </c>
    </row>
    <row r="33793" spans="1:2" x14ac:dyDescent="0.25">
      <c r="A33793">
        <v>73042990100</v>
      </c>
      <c r="B33793" t="s">
        <v>10039</v>
      </c>
    </row>
    <row r="33794" spans="1:2" x14ac:dyDescent="0.25">
      <c r="A33794">
        <v>73042990900</v>
      </c>
      <c r="B33794" t="s">
        <v>10</v>
      </c>
    </row>
    <row r="33795" spans="1:2" x14ac:dyDescent="0.25">
      <c r="A33795">
        <v>73043</v>
      </c>
      <c r="B33795" t="s">
        <v>10042</v>
      </c>
    </row>
    <row r="33796" spans="1:2" x14ac:dyDescent="0.25">
      <c r="A33796">
        <v>730431</v>
      </c>
      <c r="B33796" t="e">
        <f>- - Estirados o laminados En frio</f>
        <v>#NAME?</v>
      </c>
    </row>
    <row r="33797" spans="1:2" x14ac:dyDescent="0.25">
      <c r="A33797">
        <v>73043110</v>
      </c>
      <c r="B33797" t="s">
        <v>10043</v>
      </c>
    </row>
    <row r="33798" spans="1:2" x14ac:dyDescent="0.25">
      <c r="A33798">
        <v>73043110100</v>
      </c>
      <c r="B33798" t="s">
        <v>10044</v>
      </c>
    </row>
    <row r="33799" spans="1:2" x14ac:dyDescent="0.25">
      <c r="A33799">
        <v>73043110900</v>
      </c>
      <c r="B33799" t="s">
        <v>10</v>
      </c>
    </row>
    <row r="33800" spans="1:2" x14ac:dyDescent="0.25">
      <c r="A33800">
        <v>73043190</v>
      </c>
      <c r="B33800" t="s">
        <v>10</v>
      </c>
    </row>
    <row r="33801" spans="1:2" x14ac:dyDescent="0.25">
      <c r="A33801">
        <v>73043190100</v>
      </c>
      <c r="B33801" t="s">
        <v>6649</v>
      </c>
    </row>
    <row r="33802" spans="1:2" x14ac:dyDescent="0.25">
      <c r="A33802">
        <v>73043190900</v>
      </c>
      <c r="B33802" t="s">
        <v>10</v>
      </c>
    </row>
    <row r="33803" spans="1:2" x14ac:dyDescent="0.25">
      <c r="A33803">
        <v>730439</v>
      </c>
      <c r="B33803" t="e">
        <f>- - Los demas</f>
        <v>#NAME?</v>
      </c>
    </row>
    <row r="33804" spans="1:2" x14ac:dyDescent="0.25">
      <c r="A33804">
        <v>73043910</v>
      </c>
      <c r="B33804" t="s">
        <v>10045</v>
      </c>
    </row>
    <row r="33805" spans="1:2" x14ac:dyDescent="0.25">
      <c r="A33805">
        <v>73043910100</v>
      </c>
      <c r="B33805" t="s">
        <v>10044</v>
      </c>
    </row>
    <row r="33806" spans="1:2" x14ac:dyDescent="0.25">
      <c r="A33806">
        <v>73043910900</v>
      </c>
      <c r="B33806" t="s">
        <v>10</v>
      </c>
    </row>
    <row r="33807" spans="1:2" x14ac:dyDescent="0.25">
      <c r="A33807">
        <v>73043920</v>
      </c>
      <c r="B33807" t="s">
        <v>10046</v>
      </c>
    </row>
    <row r="33808" spans="1:2" x14ac:dyDescent="0.25">
      <c r="A33808">
        <v>73043920100</v>
      </c>
      <c r="B33808" t="s">
        <v>10044</v>
      </c>
    </row>
    <row r="33809" spans="1:2" x14ac:dyDescent="0.25">
      <c r="A33809">
        <v>73043920900</v>
      </c>
      <c r="B33809" t="s">
        <v>10</v>
      </c>
    </row>
    <row r="33810" spans="1:2" x14ac:dyDescent="0.25">
      <c r="A33810">
        <v>73043990000</v>
      </c>
      <c r="B33810" t="s">
        <v>10</v>
      </c>
    </row>
    <row r="33811" spans="1:2" x14ac:dyDescent="0.25">
      <c r="A33811">
        <v>73044</v>
      </c>
      <c r="B33811" t="s">
        <v>10047</v>
      </c>
    </row>
    <row r="33812" spans="1:2" x14ac:dyDescent="0.25">
      <c r="A33812">
        <v>730441</v>
      </c>
      <c r="B33812" t="e">
        <f>- - Estirados o laminados En frio</f>
        <v>#NAME?</v>
      </c>
    </row>
    <row r="33813" spans="1:2" x14ac:dyDescent="0.25">
      <c r="A33813">
        <v>73044110000</v>
      </c>
      <c r="B33813" t="s">
        <v>10048</v>
      </c>
    </row>
    <row r="33814" spans="1:2" x14ac:dyDescent="0.25">
      <c r="A33814">
        <v>73044190000</v>
      </c>
      <c r="B33814" t="s">
        <v>10</v>
      </c>
    </row>
    <row r="33815" spans="1:2" x14ac:dyDescent="0.25">
      <c r="A33815">
        <v>73044900000</v>
      </c>
      <c r="B33815" t="e">
        <f>--Los demas</f>
        <v>#NAME?</v>
      </c>
    </row>
    <row r="33816" spans="1:2" x14ac:dyDescent="0.25">
      <c r="A33816">
        <v>73045</v>
      </c>
      <c r="B33816" t="s">
        <v>10049</v>
      </c>
    </row>
    <row r="33817" spans="1:2" x14ac:dyDescent="0.25">
      <c r="A33817">
        <v>730451</v>
      </c>
      <c r="B33817" t="e">
        <f>- - Estirados o laminados En frio</f>
        <v>#NAME?</v>
      </c>
    </row>
    <row r="33818" spans="1:2" x14ac:dyDescent="0.25">
      <c r="A33818">
        <v>7304511</v>
      </c>
      <c r="B33818" t="s">
        <v>10050</v>
      </c>
    </row>
    <row r="33819" spans="1:2" x14ac:dyDescent="0.25">
      <c r="A33819">
        <v>73045111</v>
      </c>
      <c r="B33819" t="s">
        <v>10051</v>
      </c>
    </row>
    <row r="33820" spans="1:2" x14ac:dyDescent="0.25">
      <c r="A33820">
        <v>73045111100</v>
      </c>
      <c r="B33820" t="s">
        <v>6661</v>
      </c>
    </row>
    <row r="33821" spans="1:2" x14ac:dyDescent="0.25">
      <c r="A33821">
        <v>73045111900</v>
      </c>
      <c r="B33821" t="s">
        <v>823</v>
      </c>
    </row>
    <row r="33822" spans="1:2" x14ac:dyDescent="0.25">
      <c r="A33822">
        <v>73045119</v>
      </c>
      <c r="B33822" t="s">
        <v>10</v>
      </c>
    </row>
    <row r="33823" spans="1:2" x14ac:dyDescent="0.25">
      <c r="A33823">
        <v>73045119100</v>
      </c>
      <c r="B33823" t="s">
        <v>10044</v>
      </c>
    </row>
    <row r="33824" spans="1:2" x14ac:dyDescent="0.25">
      <c r="A33824">
        <v>73045119900</v>
      </c>
      <c r="B33824" t="s">
        <v>10</v>
      </c>
    </row>
    <row r="33825" spans="1:2" x14ac:dyDescent="0.25">
      <c r="A33825">
        <v>73045190000</v>
      </c>
      <c r="B33825" t="s">
        <v>10</v>
      </c>
    </row>
    <row r="33826" spans="1:2" x14ac:dyDescent="0.25">
      <c r="A33826">
        <v>730459</v>
      </c>
      <c r="B33826" t="e">
        <f>- - Los demas</f>
        <v>#NAME?</v>
      </c>
    </row>
    <row r="33827" spans="1:2" x14ac:dyDescent="0.25">
      <c r="A33827">
        <v>73045910</v>
      </c>
      <c r="B33827" t="s">
        <v>10050</v>
      </c>
    </row>
    <row r="33828" spans="1:2" x14ac:dyDescent="0.25">
      <c r="A33828">
        <v>73045910100</v>
      </c>
      <c r="B33828" t="s">
        <v>10052</v>
      </c>
    </row>
    <row r="33829" spans="1:2" x14ac:dyDescent="0.25">
      <c r="A33829">
        <v>73045910200</v>
      </c>
      <c r="B33829" t="s">
        <v>10044</v>
      </c>
    </row>
    <row r="33830" spans="1:2" x14ac:dyDescent="0.25">
      <c r="A33830">
        <v>73045910900</v>
      </c>
      <c r="B33830" t="s">
        <v>10</v>
      </c>
    </row>
    <row r="33831" spans="1:2" x14ac:dyDescent="0.25">
      <c r="A33831">
        <v>73045990000</v>
      </c>
      <c r="B33831" t="s">
        <v>10</v>
      </c>
    </row>
    <row r="33832" spans="1:2" x14ac:dyDescent="0.25">
      <c r="A33832">
        <v>730490</v>
      </c>
      <c r="B33832" t="e">
        <f>- Los demas</f>
        <v>#NAME?</v>
      </c>
    </row>
    <row r="33833" spans="1:2" x14ac:dyDescent="0.25">
      <c r="A33833">
        <v>7304901</v>
      </c>
      <c r="B33833" t="s">
        <v>10041</v>
      </c>
    </row>
    <row r="33834" spans="1:2" x14ac:dyDescent="0.25">
      <c r="A33834">
        <v>73049011000</v>
      </c>
      <c r="B33834" t="s">
        <v>9795</v>
      </c>
    </row>
    <row r="33835" spans="1:2" x14ac:dyDescent="0.25">
      <c r="A33835">
        <v>73049019</v>
      </c>
      <c r="B33835" t="s">
        <v>10</v>
      </c>
    </row>
    <row r="33836" spans="1:2" x14ac:dyDescent="0.25">
      <c r="A33836">
        <v>73049019100</v>
      </c>
      <c r="B33836" t="s">
        <v>10044</v>
      </c>
    </row>
    <row r="33837" spans="1:2" x14ac:dyDescent="0.25">
      <c r="A33837">
        <v>73049019900</v>
      </c>
      <c r="B33837" t="s">
        <v>10</v>
      </c>
    </row>
    <row r="33838" spans="1:2" x14ac:dyDescent="0.25">
      <c r="A33838">
        <v>73049090</v>
      </c>
      <c r="B33838" t="s">
        <v>10</v>
      </c>
    </row>
    <row r="33839" spans="1:2" x14ac:dyDescent="0.25">
      <c r="A33839">
        <v>73049090100</v>
      </c>
      <c r="B33839" t="s">
        <v>6661</v>
      </c>
    </row>
    <row r="33840" spans="1:2" x14ac:dyDescent="0.25">
      <c r="A33840">
        <v>73049090900</v>
      </c>
      <c r="B33840" t="s">
        <v>10</v>
      </c>
    </row>
    <row r="33841" spans="1:2" x14ac:dyDescent="0.25">
      <c r="A33841">
        <v>7305</v>
      </c>
      <c r="B33841" t="s">
        <v>10053</v>
      </c>
    </row>
    <row r="33842" spans="1:2" x14ac:dyDescent="0.25">
      <c r="A33842">
        <v>73051</v>
      </c>
      <c r="B33842" t="s">
        <v>10031</v>
      </c>
    </row>
    <row r="33843" spans="1:2" x14ac:dyDescent="0.25">
      <c r="A33843">
        <v>73051100000</v>
      </c>
      <c r="B33843" t="e">
        <f>--Soldados longitudinalmente Con arco sumergido</f>
        <v>#NAME?</v>
      </c>
    </row>
    <row r="33844" spans="1:2" x14ac:dyDescent="0.25">
      <c r="A33844">
        <v>73051200000</v>
      </c>
      <c r="B33844" t="e">
        <f>--Los demas. Soldados longitudinalmente</f>
        <v>#NAME?</v>
      </c>
    </row>
    <row r="33845" spans="1:2" x14ac:dyDescent="0.25">
      <c r="A33845">
        <v>73051900000</v>
      </c>
      <c r="B33845" t="e">
        <f>--Los demas</f>
        <v>#NAME?</v>
      </c>
    </row>
    <row r="33846" spans="1:2" x14ac:dyDescent="0.25">
      <c r="A33846">
        <v>73052000000</v>
      </c>
      <c r="B33846" t="s">
        <v>10054</v>
      </c>
    </row>
    <row r="33847" spans="1:2" x14ac:dyDescent="0.25">
      <c r="A33847">
        <v>73053</v>
      </c>
      <c r="B33847" t="s">
        <v>10055</v>
      </c>
    </row>
    <row r="33848" spans="1:2" x14ac:dyDescent="0.25">
      <c r="A33848">
        <v>73053100000</v>
      </c>
      <c r="B33848" t="e">
        <f>--Soldados longitudinalmente</f>
        <v>#NAME?</v>
      </c>
    </row>
    <row r="33849" spans="1:2" x14ac:dyDescent="0.25">
      <c r="A33849">
        <v>73053900000</v>
      </c>
      <c r="B33849" t="e">
        <f>--Los demas</f>
        <v>#NAME?</v>
      </c>
    </row>
    <row r="33850" spans="1:2" x14ac:dyDescent="0.25">
      <c r="A33850">
        <v>73059000000</v>
      </c>
      <c r="B33850" t="e">
        <f>-Los demas</f>
        <v>#NAME?</v>
      </c>
    </row>
    <row r="33851" spans="1:2" x14ac:dyDescent="0.25">
      <c r="A33851">
        <v>7306</v>
      </c>
      <c r="B33851" t="s">
        <v>10056</v>
      </c>
    </row>
    <row r="33852" spans="1:2" x14ac:dyDescent="0.25">
      <c r="A33852">
        <v>73061</v>
      </c>
      <c r="B33852" t="s">
        <v>10031</v>
      </c>
    </row>
    <row r="33853" spans="1:2" x14ac:dyDescent="0.25">
      <c r="A33853">
        <v>73061100</v>
      </c>
      <c r="B33853" t="e">
        <f>- - Soldados. de acero inoxidable</f>
        <v>#NAME?</v>
      </c>
    </row>
    <row r="33854" spans="1:2" x14ac:dyDescent="0.25">
      <c r="A33854">
        <v>73061100100</v>
      </c>
      <c r="B33854" t="s">
        <v>10057</v>
      </c>
    </row>
    <row r="33855" spans="1:2" x14ac:dyDescent="0.25">
      <c r="A33855">
        <v>73061100900</v>
      </c>
      <c r="B33855" t="s">
        <v>10</v>
      </c>
    </row>
    <row r="33856" spans="1:2" x14ac:dyDescent="0.25">
      <c r="A33856">
        <v>73061900</v>
      </c>
      <c r="B33856" t="e">
        <f>- - Los demas</f>
        <v>#NAME?</v>
      </c>
    </row>
    <row r="33857" spans="1:2" x14ac:dyDescent="0.25">
      <c r="A33857">
        <v>730619001</v>
      </c>
      <c r="B33857" t="s">
        <v>10057</v>
      </c>
    </row>
    <row r="33858" spans="1:2" x14ac:dyDescent="0.25">
      <c r="A33858">
        <v>73061900110</v>
      </c>
      <c r="B33858" t="s">
        <v>10058</v>
      </c>
    </row>
    <row r="33859" spans="1:2" x14ac:dyDescent="0.25">
      <c r="A33859">
        <v>73061900190</v>
      </c>
      <c r="B33859" t="s">
        <v>57</v>
      </c>
    </row>
    <row r="33860" spans="1:2" x14ac:dyDescent="0.25">
      <c r="A33860">
        <v>730619009</v>
      </c>
      <c r="B33860" t="s">
        <v>10</v>
      </c>
    </row>
    <row r="33861" spans="1:2" x14ac:dyDescent="0.25">
      <c r="A33861">
        <v>73061900910</v>
      </c>
      <c r="B33861" t="s">
        <v>10058</v>
      </c>
    </row>
    <row r="33862" spans="1:2" x14ac:dyDescent="0.25">
      <c r="A33862">
        <v>73061900990</v>
      </c>
      <c r="B33862" t="s">
        <v>10</v>
      </c>
    </row>
    <row r="33863" spans="1:2" x14ac:dyDescent="0.25">
      <c r="A33863">
        <v>73062</v>
      </c>
      <c r="B33863" t="s">
        <v>10059</v>
      </c>
    </row>
    <row r="33864" spans="1:2" x14ac:dyDescent="0.25">
      <c r="A33864">
        <v>73062100000</v>
      </c>
      <c r="B33864" t="e">
        <f>--Soldados. de acero inoxidable</f>
        <v>#NAME?</v>
      </c>
    </row>
    <row r="33865" spans="1:2" x14ac:dyDescent="0.25">
      <c r="A33865">
        <v>73062900</v>
      </c>
      <c r="B33865" t="e">
        <f>- - Los demas</f>
        <v>#NAME?</v>
      </c>
    </row>
    <row r="33866" spans="1:2" x14ac:dyDescent="0.25">
      <c r="A33866">
        <v>730629001</v>
      </c>
      <c r="B33866" t="s">
        <v>10035</v>
      </c>
    </row>
    <row r="33867" spans="1:2" x14ac:dyDescent="0.25">
      <c r="A33867">
        <v>73062900110</v>
      </c>
      <c r="B33867" t="s">
        <v>10036</v>
      </c>
    </row>
    <row r="33868" spans="1:2" x14ac:dyDescent="0.25">
      <c r="A33868">
        <v>73062900120</v>
      </c>
      <c r="B33868" t="s">
        <v>10037</v>
      </c>
    </row>
    <row r="33869" spans="1:2" x14ac:dyDescent="0.25">
      <c r="A33869">
        <v>73062900130</v>
      </c>
      <c r="B33869" t="s">
        <v>10038</v>
      </c>
    </row>
    <row r="33870" spans="1:2" x14ac:dyDescent="0.25">
      <c r="A33870">
        <v>73062900190</v>
      </c>
      <c r="B33870" t="s">
        <v>10</v>
      </c>
    </row>
    <row r="33871" spans="1:2" x14ac:dyDescent="0.25">
      <c r="A33871">
        <v>73062900200</v>
      </c>
      <c r="B33871" t="s">
        <v>10039</v>
      </c>
    </row>
    <row r="33872" spans="1:2" x14ac:dyDescent="0.25">
      <c r="A33872">
        <v>73062900900</v>
      </c>
      <c r="B33872" t="s">
        <v>10</v>
      </c>
    </row>
    <row r="33873" spans="1:2" x14ac:dyDescent="0.25">
      <c r="A33873">
        <v>73063000</v>
      </c>
      <c r="B33873" t="e">
        <f>- Los demas. Soldados. de seccion circular. de hierro o acero sin alear</f>
        <v>#NAME?</v>
      </c>
    </row>
    <row r="33874" spans="1:2" x14ac:dyDescent="0.25">
      <c r="A33874">
        <v>730630001</v>
      </c>
      <c r="B33874" t="s">
        <v>10060</v>
      </c>
    </row>
    <row r="33875" spans="1:2" x14ac:dyDescent="0.25">
      <c r="A33875">
        <v>7306300011</v>
      </c>
      <c r="B33875" t="s">
        <v>10061</v>
      </c>
    </row>
    <row r="33876" spans="1:2" x14ac:dyDescent="0.25">
      <c r="A33876">
        <v>73063000111</v>
      </c>
      <c r="B33876" t="s">
        <v>10062</v>
      </c>
    </row>
    <row r="33877" spans="1:2" x14ac:dyDescent="0.25">
      <c r="A33877">
        <v>73063000119</v>
      </c>
      <c r="B33877" t="s">
        <v>10</v>
      </c>
    </row>
    <row r="33878" spans="1:2" x14ac:dyDescent="0.25">
      <c r="A33878">
        <v>7306300012</v>
      </c>
      <c r="B33878" t="s">
        <v>10063</v>
      </c>
    </row>
    <row r="33879" spans="1:2" x14ac:dyDescent="0.25">
      <c r="A33879">
        <v>73063000121</v>
      </c>
      <c r="B33879" t="s">
        <v>10064</v>
      </c>
    </row>
    <row r="33880" spans="1:2" x14ac:dyDescent="0.25">
      <c r="A33880">
        <v>73063000122</v>
      </c>
      <c r="B33880" t="s">
        <v>10065</v>
      </c>
    </row>
    <row r="33881" spans="1:2" x14ac:dyDescent="0.25">
      <c r="A33881">
        <v>73063000123</v>
      </c>
      <c r="B33881" t="s">
        <v>10066</v>
      </c>
    </row>
    <row r="33882" spans="1:2" x14ac:dyDescent="0.25">
      <c r="A33882">
        <v>73063000124</v>
      </c>
      <c r="B33882" t="s">
        <v>10067</v>
      </c>
    </row>
    <row r="33883" spans="1:2" x14ac:dyDescent="0.25">
      <c r="A33883">
        <v>73063000129</v>
      </c>
      <c r="B33883" t="s">
        <v>10</v>
      </c>
    </row>
    <row r="33884" spans="1:2" x14ac:dyDescent="0.25">
      <c r="A33884">
        <v>730630002</v>
      </c>
      <c r="B33884" t="s">
        <v>10068</v>
      </c>
    </row>
    <row r="33885" spans="1:2" x14ac:dyDescent="0.25">
      <c r="A33885">
        <v>7306300021</v>
      </c>
      <c r="B33885" t="s">
        <v>10061</v>
      </c>
    </row>
    <row r="33886" spans="1:2" x14ac:dyDescent="0.25">
      <c r="A33886">
        <v>73063000211</v>
      </c>
      <c r="B33886" t="s">
        <v>10062</v>
      </c>
    </row>
    <row r="33887" spans="1:2" x14ac:dyDescent="0.25">
      <c r="A33887">
        <v>73063000219</v>
      </c>
      <c r="B33887" t="s">
        <v>10</v>
      </c>
    </row>
    <row r="33888" spans="1:2" x14ac:dyDescent="0.25">
      <c r="A33888">
        <v>7306300022</v>
      </c>
      <c r="B33888" t="s">
        <v>10063</v>
      </c>
    </row>
    <row r="33889" spans="1:2" x14ac:dyDescent="0.25">
      <c r="A33889">
        <v>73063000221</v>
      </c>
      <c r="B33889" t="s">
        <v>10064</v>
      </c>
    </row>
    <row r="33890" spans="1:2" x14ac:dyDescent="0.25">
      <c r="A33890">
        <v>73063000222</v>
      </c>
      <c r="B33890" t="s">
        <v>10065</v>
      </c>
    </row>
    <row r="33891" spans="1:2" x14ac:dyDescent="0.25">
      <c r="A33891">
        <v>73063000223</v>
      </c>
      <c r="B33891" t="s">
        <v>10066</v>
      </c>
    </row>
    <row r="33892" spans="1:2" x14ac:dyDescent="0.25">
      <c r="A33892">
        <v>73063000224</v>
      </c>
      <c r="B33892" t="s">
        <v>10067</v>
      </c>
    </row>
    <row r="33893" spans="1:2" x14ac:dyDescent="0.25">
      <c r="A33893">
        <v>73063000229</v>
      </c>
      <c r="B33893" t="s">
        <v>10</v>
      </c>
    </row>
    <row r="33894" spans="1:2" x14ac:dyDescent="0.25">
      <c r="A33894">
        <v>730630003</v>
      </c>
      <c r="B33894" t="s">
        <v>10069</v>
      </c>
    </row>
    <row r="33895" spans="1:2" x14ac:dyDescent="0.25">
      <c r="A33895">
        <v>7306300031</v>
      </c>
      <c r="B33895" t="s">
        <v>10070</v>
      </c>
    </row>
    <row r="33896" spans="1:2" x14ac:dyDescent="0.25">
      <c r="A33896">
        <v>73063000311</v>
      </c>
      <c r="B33896" t="s">
        <v>10044</v>
      </c>
    </row>
    <row r="33897" spans="1:2" x14ac:dyDescent="0.25">
      <c r="A33897">
        <v>73063000319</v>
      </c>
      <c r="B33897" t="s">
        <v>10</v>
      </c>
    </row>
    <row r="33898" spans="1:2" x14ac:dyDescent="0.25">
      <c r="A33898">
        <v>73063000320</v>
      </c>
      <c r="B33898" t="s">
        <v>10071</v>
      </c>
    </row>
    <row r="33899" spans="1:2" x14ac:dyDescent="0.25">
      <c r="A33899">
        <v>7306300039</v>
      </c>
      <c r="B33899" t="s">
        <v>10</v>
      </c>
    </row>
    <row r="33900" spans="1:2" x14ac:dyDescent="0.25">
      <c r="A33900">
        <v>73063000391</v>
      </c>
      <c r="B33900" t="s">
        <v>10044</v>
      </c>
    </row>
    <row r="33901" spans="1:2" x14ac:dyDescent="0.25">
      <c r="A33901">
        <v>73063000392</v>
      </c>
      <c r="B33901" t="s">
        <v>10072</v>
      </c>
    </row>
    <row r="33902" spans="1:2" x14ac:dyDescent="0.25">
      <c r="A33902">
        <v>73063000399</v>
      </c>
      <c r="B33902" t="s">
        <v>10</v>
      </c>
    </row>
    <row r="33903" spans="1:2" x14ac:dyDescent="0.25">
      <c r="A33903">
        <v>730630004</v>
      </c>
      <c r="B33903" t="s">
        <v>10073</v>
      </c>
    </row>
    <row r="33904" spans="1:2" x14ac:dyDescent="0.25">
      <c r="A33904">
        <v>7306300041</v>
      </c>
      <c r="B33904" t="s">
        <v>10074</v>
      </c>
    </row>
    <row r="33905" spans="1:2" x14ac:dyDescent="0.25">
      <c r="A33905">
        <v>73063000411</v>
      </c>
      <c r="B33905" t="s">
        <v>10062</v>
      </c>
    </row>
    <row r="33906" spans="1:2" x14ac:dyDescent="0.25">
      <c r="A33906">
        <v>73063000419</v>
      </c>
      <c r="B33906" t="s">
        <v>10</v>
      </c>
    </row>
    <row r="33907" spans="1:2" x14ac:dyDescent="0.25">
      <c r="A33907">
        <v>7306300042</v>
      </c>
      <c r="B33907" t="s">
        <v>10075</v>
      </c>
    </row>
    <row r="33908" spans="1:2" x14ac:dyDescent="0.25">
      <c r="A33908">
        <v>73063000421</v>
      </c>
      <c r="B33908" t="s">
        <v>10062</v>
      </c>
    </row>
    <row r="33909" spans="1:2" x14ac:dyDescent="0.25">
      <c r="A33909">
        <v>73063000429</v>
      </c>
      <c r="B33909" t="s">
        <v>10</v>
      </c>
    </row>
    <row r="33910" spans="1:2" x14ac:dyDescent="0.25">
      <c r="A33910">
        <v>7306300043</v>
      </c>
      <c r="B33910" t="s">
        <v>10076</v>
      </c>
    </row>
    <row r="33911" spans="1:2" x14ac:dyDescent="0.25">
      <c r="A33911">
        <v>73063000431</v>
      </c>
      <c r="B33911" t="s">
        <v>10062</v>
      </c>
    </row>
    <row r="33912" spans="1:2" x14ac:dyDescent="0.25">
      <c r="A33912">
        <v>73063000439</v>
      </c>
      <c r="B33912" t="s">
        <v>10</v>
      </c>
    </row>
    <row r="33913" spans="1:2" x14ac:dyDescent="0.25">
      <c r="A33913">
        <v>7306300044</v>
      </c>
      <c r="B33913" t="s">
        <v>10077</v>
      </c>
    </row>
    <row r="33914" spans="1:2" x14ac:dyDescent="0.25">
      <c r="A33914">
        <v>73063000441</v>
      </c>
      <c r="B33914" t="s">
        <v>10064</v>
      </c>
    </row>
    <row r="33915" spans="1:2" x14ac:dyDescent="0.25">
      <c r="A33915">
        <v>73063000442</v>
      </c>
      <c r="B33915" t="s">
        <v>10065</v>
      </c>
    </row>
    <row r="33916" spans="1:2" x14ac:dyDescent="0.25">
      <c r="A33916">
        <v>73063000443</v>
      </c>
      <c r="B33916" t="s">
        <v>10066</v>
      </c>
    </row>
    <row r="33917" spans="1:2" x14ac:dyDescent="0.25">
      <c r="A33917">
        <v>73063000444</v>
      </c>
      <c r="B33917" t="s">
        <v>10067</v>
      </c>
    </row>
    <row r="33918" spans="1:2" x14ac:dyDescent="0.25">
      <c r="A33918">
        <v>73063000449</v>
      </c>
      <c r="B33918" t="s">
        <v>10</v>
      </c>
    </row>
    <row r="33919" spans="1:2" x14ac:dyDescent="0.25">
      <c r="A33919">
        <v>7306300045</v>
      </c>
      <c r="B33919" t="s">
        <v>10078</v>
      </c>
    </row>
    <row r="33920" spans="1:2" x14ac:dyDescent="0.25">
      <c r="A33920">
        <v>73063000451</v>
      </c>
      <c r="B33920" t="s">
        <v>10064</v>
      </c>
    </row>
    <row r="33921" spans="1:2" x14ac:dyDescent="0.25">
      <c r="A33921">
        <v>73063000452</v>
      </c>
      <c r="B33921" t="s">
        <v>10065</v>
      </c>
    </row>
    <row r="33922" spans="1:2" x14ac:dyDescent="0.25">
      <c r="A33922">
        <v>73063000453</v>
      </c>
      <c r="B33922" t="s">
        <v>10066</v>
      </c>
    </row>
    <row r="33923" spans="1:2" x14ac:dyDescent="0.25">
      <c r="A33923">
        <v>73063000454</v>
      </c>
      <c r="B33923" t="s">
        <v>10067</v>
      </c>
    </row>
    <row r="33924" spans="1:2" x14ac:dyDescent="0.25">
      <c r="A33924">
        <v>73063000459</v>
      </c>
      <c r="B33924" t="s">
        <v>10</v>
      </c>
    </row>
    <row r="33925" spans="1:2" x14ac:dyDescent="0.25">
      <c r="A33925">
        <v>7306300046</v>
      </c>
      <c r="B33925" t="s">
        <v>10079</v>
      </c>
    </row>
    <row r="33926" spans="1:2" x14ac:dyDescent="0.25">
      <c r="A33926">
        <v>73063000461</v>
      </c>
      <c r="B33926" t="s">
        <v>10064</v>
      </c>
    </row>
    <row r="33927" spans="1:2" x14ac:dyDescent="0.25">
      <c r="A33927">
        <v>73063000462</v>
      </c>
      <c r="B33927" t="s">
        <v>10065</v>
      </c>
    </row>
    <row r="33928" spans="1:2" x14ac:dyDescent="0.25">
      <c r="A33928">
        <v>73063000463</v>
      </c>
      <c r="B33928" t="s">
        <v>10066</v>
      </c>
    </row>
    <row r="33929" spans="1:2" x14ac:dyDescent="0.25">
      <c r="A33929">
        <v>73063000464</v>
      </c>
      <c r="B33929" t="s">
        <v>10067</v>
      </c>
    </row>
    <row r="33930" spans="1:2" x14ac:dyDescent="0.25">
      <c r="A33930">
        <v>73063000469</v>
      </c>
      <c r="B33930" t="s">
        <v>10</v>
      </c>
    </row>
    <row r="33931" spans="1:2" x14ac:dyDescent="0.25">
      <c r="A33931">
        <v>73063000500</v>
      </c>
      <c r="B33931" t="s">
        <v>6661</v>
      </c>
    </row>
    <row r="33932" spans="1:2" x14ac:dyDescent="0.25">
      <c r="A33932">
        <v>73063000900</v>
      </c>
      <c r="B33932" t="s">
        <v>10</v>
      </c>
    </row>
    <row r="33933" spans="1:2" x14ac:dyDescent="0.25">
      <c r="A33933">
        <v>73064000</v>
      </c>
      <c r="B33933" t="e">
        <f>- Los demas. Soldados. de seccion circular. de acero inoxidable</f>
        <v>#NAME?</v>
      </c>
    </row>
    <row r="33934" spans="1:2" x14ac:dyDescent="0.25">
      <c r="A33934">
        <v>730640001</v>
      </c>
      <c r="B33934" t="s">
        <v>10080</v>
      </c>
    </row>
    <row r="33935" spans="1:2" x14ac:dyDescent="0.25">
      <c r="A33935">
        <v>7306400011</v>
      </c>
      <c r="B33935" t="s">
        <v>10081</v>
      </c>
    </row>
    <row r="33936" spans="1:2" x14ac:dyDescent="0.25">
      <c r="A33936">
        <v>73064000111</v>
      </c>
      <c r="B33936" t="s">
        <v>10082</v>
      </c>
    </row>
    <row r="33937" spans="1:2" x14ac:dyDescent="0.25">
      <c r="A33937">
        <v>73064000119</v>
      </c>
      <c r="B33937" t="s">
        <v>10</v>
      </c>
    </row>
    <row r="33938" spans="1:2" x14ac:dyDescent="0.25">
      <c r="A33938">
        <v>73064000190</v>
      </c>
      <c r="B33938" t="s">
        <v>10</v>
      </c>
    </row>
    <row r="33939" spans="1:2" x14ac:dyDescent="0.25">
      <c r="A33939">
        <v>730640009</v>
      </c>
      <c r="B33939" t="s">
        <v>10</v>
      </c>
    </row>
    <row r="33940" spans="1:2" x14ac:dyDescent="0.25">
      <c r="A33940">
        <v>73064000910</v>
      </c>
      <c r="B33940" t="s">
        <v>6649</v>
      </c>
    </row>
    <row r="33941" spans="1:2" x14ac:dyDescent="0.25">
      <c r="A33941">
        <v>73064000990</v>
      </c>
      <c r="B33941" t="s">
        <v>10</v>
      </c>
    </row>
    <row r="33942" spans="1:2" x14ac:dyDescent="0.25">
      <c r="A33942">
        <v>73065000</v>
      </c>
      <c r="B33942" t="e">
        <f>- Los demas. Soldados. de seccion circular. de Los demas aceros aleados</f>
        <v>#NAME?</v>
      </c>
    </row>
    <row r="33943" spans="1:2" x14ac:dyDescent="0.25">
      <c r="A33943">
        <v>730650001</v>
      </c>
      <c r="B33943" t="s">
        <v>10083</v>
      </c>
    </row>
    <row r="33944" spans="1:2" x14ac:dyDescent="0.25">
      <c r="A33944">
        <v>73065000110</v>
      </c>
      <c r="B33944" t="s">
        <v>10044</v>
      </c>
    </row>
    <row r="33945" spans="1:2" x14ac:dyDescent="0.25">
      <c r="A33945">
        <v>73065000190</v>
      </c>
      <c r="B33945" t="s">
        <v>10</v>
      </c>
    </row>
    <row r="33946" spans="1:2" x14ac:dyDescent="0.25">
      <c r="A33946">
        <v>730650002</v>
      </c>
      <c r="B33946" t="s">
        <v>10084</v>
      </c>
    </row>
    <row r="33947" spans="1:2" x14ac:dyDescent="0.25">
      <c r="A33947">
        <v>73065000210</v>
      </c>
      <c r="B33947" t="s">
        <v>6661</v>
      </c>
    </row>
    <row r="33948" spans="1:2" x14ac:dyDescent="0.25">
      <c r="A33948">
        <v>73065000290</v>
      </c>
      <c r="B33948" t="s">
        <v>10</v>
      </c>
    </row>
    <row r="33949" spans="1:2" x14ac:dyDescent="0.25">
      <c r="A33949">
        <v>730650003</v>
      </c>
      <c r="B33949" t="s">
        <v>10085</v>
      </c>
    </row>
    <row r="33950" spans="1:2" x14ac:dyDescent="0.25">
      <c r="A33950">
        <v>73065000310</v>
      </c>
      <c r="B33950" t="s">
        <v>6661</v>
      </c>
    </row>
    <row r="33951" spans="1:2" x14ac:dyDescent="0.25">
      <c r="A33951">
        <v>73065000390</v>
      </c>
      <c r="B33951" t="s">
        <v>10</v>
      </c>
    </row>
    <row r="33952" spans="1:2" x14ac:dyDescent="0.25">
      <c r="A33952">
        <v>730650009</v>
      </c>
      <c r="B33952" t="s">
        <v>10</v>
      </c>
    </row>
    <row r="33953" spans="1:2" x14ac:dyDescent="0.25">
      <c r="A33953">
        <v>73065000910</v>
      </c>
      <c r="B33953" t="s">
        <v>6661</v>
      </c>
    </row>
    <row r="33954" spans="1:2" x14ac:dyDescent="0.25">
      <c r="A33954">
        <v>73065000990</v>
      </c>
      <c r="B33954" t="s">
        <v>10</v>
      </c>
    </row>
    <row r="33955" spans="1:2" x14ac:dyDescent="0.25">
      <c r="A33955">
        <v>73066</v>
      </c>
      <c r="B33955" t="s">
        <v>10086</v>
      </c>
    </row>
    <row r="33956" spans="1:2" x14ac:dyDescent="0.25">
      <c r="A33956">
        <v>73066100</v>
      </c>
      <c r="B33956" t="e">
        <f>- - de seccion cuadrada o rectangular</f>
        <v>#NAME?</v>
      </c>
    </row>
    <row r="33957" spans="1:2" x14ac:dyDescent="0.25">
      <c r="A33957">
        <v>730661001</v>
      </c>
      <c r="B33957" t="s">
        <v>10087</v>
      </c>
    </row>
    <row r="33958" spans="1:2" x14ac:dyDescent="0.25">
      <c r="A33958">
        <v>7306610011</v>
      </c>
      <c r="B33958" t="s">
        <v>10088</v>
      </c>
    </row>
    <row r="33959" spans="1:2" x14ac:dyDescent="0.25">
      <c r="A33959">
        <v>73066100111</v>
      </c>
      <c r="B33959" t="s">
        <v>10082</v>
      </c>
    </row>
    <row r="33960" spans="1:2" x14ac:dyDescent="0.25">
      <c r="A33960">
        <v>73066100119</v>
      </c>
      <c r="B33960" t="s">
        <v>10</v>
      </c>
    </row>
    <row r="33961" spans="1:2" x14ac:dyDescent="0.25">
      <c r="A33961">
        <v>7306610012</v>
      </c>
      <c r="B33961" t="s">
        <v>10089</v>
      </c>
    </row>
    <row r="33962" spans="1:2" x14ac:dyDescent="0.25">
      <c r="A33962">
        <v>73066100121</v>
      </c>
      <c r="B33962" t="s">
        <v>10082</v>
      </c>
    </row>
    <row r="33963" spans="1:2" x14ac:dyDescent="0.25">
      <c r="A33963">
        <v>73066100129</v>
      </c>
      <c r="B33963" t="s">
        <v>10</v>
      </c>
    </row>
    <row r="33964" spans="1:2" x14ac:dyDescent="0.25">
      <c r="A33964">
        <v>73066100190</v>
      </c>
      <c r="B33964" t="s">
        <v>10</v>
      </c>
    </row>
    <row r="33965" spans="1:2" x14ac:dyDescent="0.25">
      <c r="A33965">
        <v>73066100200</v>
      </c>
      <c r="B33965" t="s">
        <v>10090</v>
      </c>
    </row>
    <row r="33966" spans="1:2" x14ac:dyDescent="0.25">
      <c r="A33966">
        <v>730661003</v>
      </c>
      <c r="B33966" t="s">
        <v>10091</v>
      </c>
    </row>
    <row r="33967" spans="1:2" x14ac:dyDescent="0.25">
      <c r="A33967">
        <v>7306610031</v>
      </c>
      <c r="B33967" t="s">
        <v>9980</v>
      </c>
    </row>
    <row r="33968" spans="1:2" x14ac:dyDescent="0.25">
      <c r="A33968">
        <v>73066100311</v>
      </c>
      <c r="B33968" t="s">
        <v>10092</v>
      </c>
    </row>
    <row r="33969" spans="1:2" x14ac:dyDescent="0.25">
      <c r="A33969">
        <v>73066100319</v>
      </c>
      <c r="B33969" t="s">
        <v>10</v>
      </c>
    </row>
    <row r="33970" spans="1:2" x14ac:dyDescent="0.25">
      <c r="A33970">
        <v>7306610039</v>
      </c>
      <c r="B33970" t="s">
        <v>10</v>
      </c>
    </row>
    <row r="33971" spans="1:2" x14ac:dyDescent="0.25">
      <c r="A33971">
        <v>73066100391</v>
      </c>
      <c r="B33971" t="s">
        <v>10092</v>
      </c>
    </row>
    <row r="33972" spans="1:2" x14ac:dyDescent="0.25">
      <c r="A33972">
        <v>73066100399</v>
      </c>
      <c r="B33972" t="s">
        <v>10</v>
      </c>
    </row>
    <row r="33973" spans="1:2" x14ac:dyDescent="0.25">
      <c r="A33973">
        <v>73066100900</v>
      </c>
      <c r="B33973" t="s">
        <v>10</v>
      </c>
    </row>
    <row r="33974" spans="1:2" x14ac:dyDescent="0.25">
      <c r="A33974">
        <v>73066900</v>
      </c>
      <c r="B33974" t="e">
        <f>- - Los demas</f>
        <v>#NAME?</v>
      </c>
    </row>
    <row r="33975" spans="1:2" x14ac:dyDescent="0.25">
      <c r="A33975">
        <v>73066900100</v>
      </c>
      <c r="B33975" t="s">
        <v>9795</v>
      </c>
    </row>
    <row r="33976" spans="1:2" x14ac:dyDescent="0.25">
      <c r="A33976">
        <v>73066900200</v>
      </c>
      <c r="B33976" t="s">
        <v>10090</v>
      </c>
    </row>
    <row r="33977" spans="1:2" x14ac:dyDescent="0.25">
      <c r="A33977">
        <v>730669003</v>
      </c>
      <c r="B33977" t="s">
        <v>10091</v>
      </c>
    </row>
    <row r="33978" spans="1:2" x14ac:dyDescent="0.25">
      <c r="A33978">
        <v>7306690031</v>
      </c>
      <c r="B33978" t="s">
        <v>9980</v>
      </c>
    </row>
    <row r="33979" spans="1:2" x14ac:dyDescent="0.25">
      <c r="A33979">
        <v>73066900311</v>
      </c>
      <c r="B33979" t="s">
        <v>10092</v>
      </c>
    </row>
    <row r="33980" spans="1:2" x14ac:dyDescent="0.25">
      <c r="A33980">
        <v>73066900319</v>
      </c>
      <c r="B33980" t="s">
        <v>10</v>
      </c>
    </row>
    <row r="33981" spans="1:2" x14ac:dyDescent="0.25">
      <c r="A33981">
        <v>7306690039</v>
      </c>
      <c r="B33981" t="s">
        <v>10</v>
      </c>
    </row>
    <row r="33982" spans="1:2" x14ac:dyDescent="0.25">
      <c r="A33982">
        <v>73066900391</v>
      </c>
      <c r="B33982" t="s">
        <v>10092</v>
      </c>
    </row>
    <row r="33983" spans="1:2" x14ac:dyDescent="0.25">
      <c r="A33983">
        <v>73066900399</v>
      </c>
      <c r="B33983" t="s">
        <v>10</v>
      </c>
    </row>
    <row r="33984" spans="1:2" x14ac:dyDescent="0.25">
      <c r="A33984">
        <v>73066900900</v>
      </c>
      <c r="B33984" t="s">
        <v>10</v>
      </c>
    </row>
    <row r="33985" spans="1:2" x14ac:dyDescent="0.25">
      <c r="A33985">
        <v>730690</v>
      </c>
      <c r="B33985" t="e">
        <f>- Los demas</f>
        <v>#NAME?</v>
      </c>
    </row>
    <row r="33986" spans="1:2" x14ac:dyDescent="0.25">
      <c r="A33986">
        <v>73069010</v>
      </c>
      <c r="B33986" t="s">
        <v>10093</v>
      </c>
    </row>
    <row r="33987" spans="1:2" x14ac:dyDescent="0.25">
      <c r="A33987">
        <v>73069010100</v>
      </c>
      <c r="B33987" t="s">
        <v>10094</v>
      </c>
    </row>
    <row r="33988" spans="1:2" x14ac:dyDescent="0.25">
      <c r="A33988">
        <v>73069010900</v>
      </c>
      <c r="B33988" t="s">
        <v>10</v>
      </c>
    </row>
    <row r="33989" spans="1:2" x14ac:dyDescent="0.25">
      <c r="A33989">
        <v>73069020000</v>
      </c>
      <c r="B33989" t="s">
        <v>9795</v>
      </c>
    </row>
    <row r="33990" spans="1:2" x14ac:dyDescent="0.25">
      <c r="A33990">
        <v>73069090000</v>
      </c>
      <c r="B33990" t="s">
        <v>10</v>
      </c>
    </row>
    <row r="33991" spans="1:2" x14ac:dyDescent="0.25">
      <c r="A33991">
        <v>7307</v>
      </c>
      <c r="B33991" t="s">
        <v>10095</v>
      </c>
    </row>
    <row r="33992" spans="1:2" x14ac:dyDescent="0.25">
      <c r="A33992">
        <v>73071</v>
      </c>
      <c r="B33992" t="s">
        <v>10096</v>
      </c>
    </row>
    <row r="33993" spans="1:2" x14ac:dyDescent="0.25">
      <c r="A33993">
        <v>73071100</v>
      </c>
      <c r="B33993" t="e">
        <f>- - de fundicion no maleable</f>
        <v>#NAME?</v>
      </c>
    </row>
    <row r="33994" spans="1:2" x14ac:dyDescent="0.25">
      <c r="A33994">
        <v>73071100100</v>
      </c>
      <c r="B33994" t="s">
        <v>10097</v>
      </c>
    </row>
    <row r="33995" spans="1:2" x14ac:dyDescent="0.25">
      <c r="A33995">
        <v>73071100200</v>
      </c>
      <c r="B33995" t="s">
        <v>6661</v>
      </c>
    </row>
    <row r="33996" spans="1:2" x14ac:dyDescent="0.25">
      <c r="A33996">
        <v>73071100900</v>
      </c>
      <c r="B33996" t="s">
        <v>10</v>
      </c>
    </row>
    <row r="33997" spans="1:2" x14ac:dyDescent="0.25">
      <c r="A33997">
        <v>730719</v>
      </c>
      <c r="B33997" t="e">
        <f>- - Los demas</f>
        <v>#NAME?</v>
      </c>
    </row>
    <row r="33998" spans="1:2" x14ac:dyDescent="0.25">
      <c r="A33998">
        <v>73071910</v>
      </c>
      <c r="B33998" t="s">
        <v>10098</v>
      </c>
    </row>
    <row r="33999" spans="1:2" x14ac:dyDescent="0.25">
      <c r="A33999">
        <v>730719101</v>
      </c>
      <c r="B33999" t="s">
        <v>10099</v>
      </c>
    </row>
    <row r="34000" spans="1:2" x14ac:dyDescent="0.25">
      <c r="A34000">
        <v>7307191011</v>
      </c>
      <c r="B34000" t="s">
        <v>10100</v>
      </c>
    </row>
    <row r="34001" spans="1:2" x14ac:dyDescent="0.25">
      <c r="A34001">
        <v>73071910111</v>
      </c>
      <c r="B34001" t="s">
        <v>10101</v>
      </c>
    </row>
    <row r="34002" spans="1:2" x14ac:dyDescent="0.25">
      <c r="A34002">
        <v>73071910112</v>
      </c>
      <c r="B34002" t="s">
        <v>10102</v>
      </c>
    </row>
    <row r="34003" spans="1:2" x14ac:dyDescent="0.25">
      <c r="A34003">
        <v>73071910113</v>
      </c>
      <c r="B34003" t="s">
        <v>10103</v>
      </c>
    </row>
    <row r="34004" spans="1:2" x14ac:dyDescent="0.25">
      <c r="A34004">
        <v>73071910114</v>
      </c>
      <c r="B34004" t="s">
        <v>10104</v>
      </c>
    </row>
    <row r="34005" spans="1:2" x14ac:dyDescent="0.25">
      <c r="A34005">
        <v>73071910115</v>
      </c>
      <c r="B34005" t="s">
        <v>10105</v>
      </c>
    </row>
    <row r="34006" spans="1:2" x14ac:dyDescent="0.25">
      <c r="A34006">
        <v>73071910118</v>
      </c>
      <c r="B34006" t="s">
        <v>10106</v>
      </c>
    </row>
    <row r="34007" spans="1:2" x14ac:dyDescent="0.25">
      <c r="A34007">
        <v>73071910119</v>
      </c>
      <c r="B34007" t="s">
        <v>57</v>
      </c>
    </row>
    <row r="34008" spans="1:2" x14ac:dyDescent="0.25">
      <c r="A34008">
        <v>7307191012</v>
      </c>
      <c r="B34008" t="s">
        <v>6671</v>
      </c>
    </row>
    <row r="34009" spans="1:2" x14ac:dyDescent="0.25">
      <c r="A34009">
        <v>73071910121</v>
      </c>
      <c r="B34009" t="s">
        <v>10101</v>
      </c>
    </row>
    <row r="34010" spans="1:2" x14ac:dyDescent="0.25">
      <c r="A34010">
        <v>73071910122</v>
      </c>
      <c r="B34010" t="s">
        <v>10102</v>
      </c>
    </row>
    <row r="34011" spans="1:2" x14ac:dyDescent="0.25">
      <c r="A34011">
        <v>73071910123</v>
      </c>
      <c r="B34011" t="s">
        <v>10103</v>
      </c>
    </row>
    <row r="34012" spans="1:2" x14ac:dyDescent="0.25">
      <c r="A34012">
        <v>73071910124</v>
      </c>
      <c r="B34012" t="s">
        <v>10104</v>
      </c>
    </row>
    <row r="34013" spans="1:2" x14ac:dyDescent="0.25">
      <c r="A34013">
        <v>73071910125</v>
      </c>
      <c r="B34013" t="s">
        <v>10105</v>
      </c>
    </row>
    <row r="34014" spans="1:2" x14ac:dyDescent="0.25">
      <c r="A34014">
        <v>73071910128</v>
      </c>
      <c r="B34014" t="s">
        <v>10107</v>
      </c>
    </row>
    <row r="34015" spans="1:2" x14ac:dyDescent="0.25">
      <c r="A34015">
        <v>73071910129</v>
      </c>
      <c r="B34015" t="s">
        <v>10</v>
      </c>
    </row>
    <row r="34016" spans="1:2" x14ac:dyDescent="0.25">
      <c r="A34016">
        <v>7307191013</v>
      </c>
      <c r="B34016" t="s">
        <v>10108</v>
      </c>
    </row>
    <row r="34017" spans="1:2" x14ac:dyDescent="0.25">
      <c r="A34017">
        <v>73071910131</v>
      </c>
      <c r="B34017" t="s">
        <v>10101</v>
      </c>
    </row>
    <row r="34018" spans="1:2" x14ac:dyDescent="0.25">
      <c r="A34018">
        <v>73071910132</v>
      </c>
      <c r="B34018" t="s">
        <v>10102</v>
      </c>
    </row>
    <row r="34019" spans="1:2" x14ac:dyDescent="0.25">
      <c r="A34019">
        <v>73071910133</v>
      </c>
      <c r="B34019" t="s">
        <v>10103</v>
      </c>
    </row>
    <row r="34020" spans="1:2" x14ac:dyDescent="0.25">
      <c r="A34020">
        <v>73071910134</v>
      </c>
      <c r="B34020" t="s">
        <v>10104</v>
      </c>
    </row>
    <row r="34021" spans="1:2" x14ac:dyDescent="0.25">
      <c r="A34021">
        <v>73071910135</v>
      </c>
      <c r="B34021" t="s">
        <v>10105</v>
      </c>
    </row>
    <row r="34022" spans="1:2" x14ac:dyDescent="0.25">
      <c r="A34022">
        <v>73071910138</v>
      </c>
      <c r="B34022" t="s">
        <v>10106</v>
      </c>
    </row>
    <row r="34023" spans="1:2" x14ac:dyDescent="0.25">
      <c r="A34023">
        <v>73071910139</v>
      </c>
      <c r="B34023" t="s">
        <v>57</v>
      </c>
    </row>
    <row r="34024" spans="1:2" x14ac:dyDescent="0.25">
      <c r="A34024">
        <v>7307191014</v>
      </c>
      <c r="B34024" t="s">
        <v>10109</v>
      </c>
    </row>
    <row r="34025" spans="1:2" x14ac:dyDescent="0.25">
      <c r="A34025">
        <v>73071910141</v>
      </c>
      <c r="B34025" t="s">
        <v>10101</v>
      </c>
    </row>
    <row r="34026" spans="1:2" x14ac:dyDescent="0.25">
      <c r="A34026">
        <v>73071910142</v>
      </c>
      <c r="B34026" t="s">
        <v>10102</v>
      </c>
    </row>
    <row r="34027" spans="1:2" x14ac:dyDescent="0.25">
      <c r="A34027">
        <v>73071910143</v>
      </c>
      <c r="B34027" t="s">
        <v>10103</v>
      </c>
    </row>
    <row r="34028" spans="1:2" x14ac:dyDescent="0.25">
      <c r="A34028">
        <v>73071910144</v>
      </c>
      <c r="B34028" t="s">
        <v>10104</v>
      </c>
    </row>
    <row r="34029" spans="1:2" x14ac:dyDescent="0.25">
      <c r="A34029">
        <v>73071910145</v>
      </c>
      <c r="B34029" t="s">
        <v>10105</v>
      </c>
    </row>
    <row r="34030" spans="1:2" x14ac:dyDescent="0.25">
      <c r="A34030">
        <v>73071910148</v>
      </c>
      <c r="B34030" t="s">
        <v>10106</v>
      </c>
    </row>
    <row r="34031" spans="1:2" x14ac:dyDescent="0.25">
      <c r="A34031">
        <v>73071910149</v>
      </c>
      <c r="B34031" t="s">
        <v>57</v>
      </c>
    </row>
    <row r="34032" spans="1:2" x14ac:dyDescent="0.25">
      <c r="A34032">
        <v>7307191015</v>
      </c>
      <c r="B34032" t="s">
        <v>10110</v>
      </c>
    </row>
    <row r="34033" spans="1:2" x14ac:dyDescent="0.25">
      <c r="A34033">
        <v>73071910151</v>
      </c>
      <c r="B34033" t="s">
        <v>10101</v>
      </c>
    </row>
    <row r="34034" spans="1:2" x14ac:dyDescent="0.25">
      <c r="A34034">
        <v>73071910152</v>
      </c>
      <c r="B34034" t="s">
        <v>10102</v>
      </c>
    </row>
    <row r="34035" spans="1:2" x14ac:dyDescent="0.25">
      <c r="A34035">
        <v>73071910153</v>
      </c>
      <c r="B34035" t="s">
        <v>10103</v>
      </c>
    </row>
    <row r="34036" spans="1:2" x14ac:dyDescent="0.25">
      <c r="A34036">
        <v>73071910154</v>
      </c>
      <c r="B34036" t="s">
        <v>10104</v>
      </c>
    </row>
    <row r="34037" spans="1:2" x14ac:dyDescent="0.25">
      <c r="A34037">
        <v>73071910155</v>
      </c>
      <c r="B34037" t="s">
        <v>10105</v>
      </c>
    </row>
    <row r="34038" spans="1:2" x14ac:dyDescent="0.25">
      <c r="A34038">
        <v>73071910158</v>
      </c>
      <c r="B34038" t="s">
        <v>10106</v>
      </c>
    </row>
    <row r="34039" spans="1:2" x14ac:dyDescent="0.25">
      <c r="A34039">
        <v>73071910159</v>
      </c>
      <c r="B34039" t="s">
        <v>57</v>
      </c>
    </row>
    <row r="34040" spans="1:2" x14ac:dyDescent="0.25">
      <c r="A34040">
        <v>7307191019</v>
      </c>
      <c r="B34040" t="s">
        <v>10</v>
      </c>
    </row>
    <row r="34041" spans="1:2" x14ac:dyDescent="0.25">
      <c r="A34041">
        <v>73071910191</v>
      </c>
      <c r="B34041" t="s">
        <v>10097</v>
      </c>
    </row>
    <row r="34042" spans="1:2" x14ac:dyDescent="0.25">
      <c r="A34042">
        <v>73071910199</v>
      </c>
      <c r="B34042" t="s">
        <v>10</v>
      </c>
    </row>
    <row r="34043" spans="1:2" x14ac:dyDescent="0.25">
      <c r="A34043">
        <v>730719102</v>
      </c>
      <c r="B34043" t="s">
        <v>10111</v>
      </c>
    </row>
    <row r="34044" spans="1:2" x14ac:dyDescent="0.25">
      <c r="A34044">
        <v>7307191021</v>
      </c>
      <c r="B34044" t="s">
        <v>10100</v>
      </c>
    </row>
    <row r="34045" spans="1:2" x14ac:dyDescent="0.25">
      <c r="A34045">
        <v>73071910211</v>
      </c>
      <c r="B34045" t="s">
        <v>10101</v>
      </c>
    </row>
    <row r="34046" spans="1:2" x14ac:dyDescent="0.25">
      <c r="A34046">
        <v>73071910212</v>
      </c>
      <c r="B34046" t="s">
        <v>10102</v>
      </c>
    </row>
    <row r="34047" spans="1:2" x14ac:dyDescent="0.25">
      <c r="A34047">
        <v>73071910213</v>
      </c>
      <c r="B34047" t="s">
        <v>10103</v>
      </c>
    </row>
    <row r="34048" spans="1:2" x14ac:dyDescent="0.25">
      <c r="A34048">
        <v>73071910214</v>
      </c>
      <c r="B34048" t="s">
        <v>10104</v>
      </c>
    </row>
    <row r="34049" spans="1:2" x14ac:dyDescent="0.25">
      <c r="A34049">
        <v>73071910215</v>
      </c>
      <c r="B34049" t="s">
        <v>10105</v>
      </c>
    </row>
    <row r="34050" spans="1:2" x14ac:dyDescent="0.25">
      <c r="A34050">
        <v>73071910218</v>
      </c>
      <c r="B34050" t="s">
        <v>10106</v>
      </c>
    </row>
    <row r="34051" spans="1:2" x14ac:dyDescent="0.25">
      <c r="A34051">
        <v>73071910219</v>
      </c>
      <c r="B34051" t="s">
        <v>57</v>
      </c>
    </row>
    <row r="34052" spans="1:2" x14ac:dyDescent="0.25">
      <c r="A34052">
        <v>7307191022</v>
      </c>
      <c r="B34052" t="s">
        <v>6671</v>
      </c>
    </row>
    <row r="34053" spans="1:2" x14ac:dyDescent="0.25">
      <c r="A34053">
        <v>73071910221</v>
      </c>
      <c r="B34053" t="s">
        <v>10101</v>
      </c>
    </row>
    <row r="34054" spans="1:2" x14ac:dyDescent="0.25">
      <c r="A34054">
        <v>73071910222</v>
      </c>
      <c r="B34054" t="s">
        <v>10102</v>
      </c>
    </row>
    <row r="34055" spans="1:2" x14ac:dyDescent="0.25">
      <c r="A34055">
        <v>73071910223</v>
      </c>
      <c r="B34055" t="s">
        <v>10103</v>
      </c>
    </row>
    <row r="34056" spans="1:2" x14ac:dyDescent="0.25">
      <c r="A34056">
        <v>73071910224</v>
      </c>
      <c r="B34056" t="s">
        <v>10104</v>
      </c>
    </row>
    <row r="34057" spans="1:2" x14ac:dyDescent="0.25">
      <c r="A34057">
        <v>73071910225</v>
      </c>
      <c r="B34057" t="s">
        <v>10105</v>
      </c>
    </row>
    <row r="34058" spans="1:2" x14ac:dyDescent="0.25">
      <c r="A34058">
        <v>73071910228</v>
      </c>
      <c r="B34058" t="s">
        <v>10107</v>
      </c>
    </row>
    <row r="34059" spans="1:2" x14ac:dyDescent="0.25">
      <c r="A34059">
        <v>73071910229</v>
      </c>
      <c r="B34059" t="s">
        <v>10</v>
      </c>
    </row>
    <row r="34060" spans="1:2" x14ac:dyDescent="0.25">
      <c r="A34060">
        <v>7307191023</v>
      </c>
      <c r="B34060" t="s">
        <v>10108</v>
      </c>
    </row>
    <row r="34061" spans="1:2" x14ac:dyDescent="0.25">
      <c r="A34061">
        <v>73071910231</v>
      </c>
      <c r="B34061" t="s">
        <v>10101</v>
      </c>
    </row>
    <row r="34062" spans="1:2" x14ac:dyDescent="0.25">
      <c r="A34062">
        <v>73071910232</v>
      </c>
      <c r="B34062" t="s">
        <v>10102</v>
      </c>
    </row>
    <row r="34063" spans="1:2" x14ac:dyDescent="0.25">
      <c r="A34063">
        <v>73071910233</v>
      </c>
      <c r="B34063" t="s">
        <v>10103</v>
      </c>
    </row>
    <row r="34064" spans="1:2" x14ac:dyDescent="0.25">
      <c r="A34064">
        <v>73071910234</v>
      </c>
      <c r="B34064" t="s">
        <v>10104</v>
      </c>
    </row>
    <row r="34065" spans="1:2" x14ac:dyDescent="0.25">
      <c r="A34065">
        <v>73071910235</v>
      </c>
      <c r="B34065" t="s">
        <v>10105</v>
      </c>
    </row>
    <row r="34066" spans="1:2" x14ac:dyDescent="0.25">
      <c r="A34066">
        <v>73071910238</v>
      </c>
      <c r="B34066" t="s">
        <v>10106</v>
      </c>
    </row>
    <row r="34067" spans="1:2" x14ac:dyDescent="0.25">
      <c r="A34067">
        <v>73071910239</v>
      </c>
      <c r="B34067" t="s">
        <v>57</v>
      </c>
    </row>
    <row r="34068" spans="1:2" x14ac:dyDescent="0.25">
      <c r="A34068">
        <v>7307191024</v>
      </c>
      <c r="B34068" t="s">
        <v>10109</v>
      </c>
    </row>
    <row r="34069" spans="1:2" x14ac:dyDescent="0.25">
      <c r="A34069">
        <v>73071910241</v>
      </c>
      <c r="B34069" t="s">
        <v>10101</v>
      </c>
    </row>
    <row r="34070" spans="1:2" x14ac:dyDescent="0.25">
      <c r="A34070">
        <v>73071910242</v>
      </c>
      <c r="B34070" t="s">
        <v>10102</v>
      </c>
    </row>
    <row r="34071" spans="1:2" x14ac:dyDescent="0.25">
      <c r="A34071">
        <v>73071910243</v>
      </c>
      <c r="B34071" t="s">
        <v>10103</v>
      </c>
    </row>
    <row r="34072" spans="1:2" x14ac:dyDescent="0.25">
      <c r="A34072">
        <v>73071910244</v>
      </c>
      <c r="B34072" t="s">
        <v>10104</v>
      </c>
    </row>
    <row r="34073" spans="1:2" x14ac:dyDescent="0.25">
      <c r="A34073">
        <v>73071910245</v>
      </c>
      <c r="B34073" t="s">
        <v>10105</v>
      </c>
    </row>
    <row r="34074" spans="1:2" x14ac:dyDescent="0.25">
      <c r="A34074">
        <v>73071910248</v>
      </c>
      <c r="B34074" t="s">
        <v>10106</v>
      </c>
    </row>
    <row r="34075" spans="1:2" x14ac:dyDescent="0.25">
      <c r="A34075">
        <v>73071910249</v>
      </c>
      <c r="B34075" t="s">
        <v>57</v>
      </c>
    </row>
    <row r="34076" spans="1:2" x14ac:dyDescent="0.25">
      <c r="A34076">
        <v>7307191025</v>
      </c>
      <c r="B34076" t="s">
        <v>10110</v>
      </c>
    </row>
    <row r="34077" spans="1:2" x14ac:dyDescent="0.25">
      <c r="A34077">
        <v>73071910251</v>
      </c>
      <c r="B34077" t="s">
        <v>10101</v>
      </c>
    </row>
    <row r="34078" spans="1:2" x14ac:dyDescent="0.25">
      <c r="A34078">
        <v>73071910252</v>
      </c>
      <c r="B34078" t="s">
        <v>10102</v>
      </c>
    </row>
    <row r="34079" spans="1:2" x14ac:dyDescent="0.25">
      <c r="A34079">
        <v>73071910253</v>
      </c>
      <c r="B34079" t="s">
        <v>10103</v>
      </c>
    </row>
    <row r="34080" spans="1:2" x14ac:dyDescent="0.25">
      <c r="A34080">
        <v>73071910254</v>
      </c>
      <c r="B34080" t="s">
        <v>10104</v>
      </c>
    </row>
    <row r="34081" spans="1:2" x14ac:dyDescent="0.25">
      <c r="A34081">
        <v>73071910255</v>
      </c>
      <c r="B34081" t="s">
        <v>10105</v>
      </c>
    </row>
    <row r="34082" spans="1:2" x14ac:dyDescent="0.25">
      <c r="A34082">
        <v>73071910258</v>
      </c>
      <c r="B34082" t="s">
        <v>10106</v>
      </c>
    </row>
    <row r="34083" spans="1:2" x14ac:dyDescent="0.25">
      <c r="A34083">
        <v>73071910259</v>
      </c>
      <c r="B34083" t="s">
        <v>57</v>
      </c>
    </row>
    <row r="34084" spans="1:2" x14ac:dyDescent="0.25">
      <c r="A34084">
        <v>7307191029</v>
      </c>
      <c r="B34084" t="s">
        <v>10</v>
      </c>
    </row>
    <row r="34085" spans="1:2" x14ac:dyDescent="0.25">
      <c r="A34085">
        <v>73071910291</v>
      </c>
      <c r="B34085" t="s">
        <v>10097</v>
      </c>
    </row>
    <row r="34086" spans="1:2" x14ac:dyDescent="0.25">
      <c r="A34086">
        <v>73071910299</v>
      </c>
      <c r="B34086" t="s">
        <v>10</v>
      </c>
    </row>
    <row r="34087" spans="1:2" x14ac:dyDescent="0.25">
      <c r="A34087">
        <v>730719103</v>
      </c>
      <c r="B34087" t="s">
        <v>10112</v>
      </c>
    </row>
    <row r="34088" spans="1:2" x14ac:dyDescent="0.25">
      <c r="A34088">
        <v>7307191031</v>
      </c>
      <c r="B34088" t="s">
        <v>10100</v>
      </c>
    </row>
    <row r="34089" spans="1:2" x14ac:dyDescent="0.25">
      <c r="A34089">
        <v>73071910311</v>
      </c>
      <c r="B34089" t="s">
        <v>10101</v>
      </c>
    </row>
    <row r="34090" spans="1:2" x14ac:dyDescent="0.25">
      <c r="A34090">
        <v>73071910312</v>
      </c>
      <c r="B34090" t="s">
        <v>10102</v>
      </c>
    </row>
    <row r="34091" spans="1:2" x14ac:dyDescent="0.25">
      <c r="A34091">
        <v>73071910313</v>
      </c>
      <c r="B34091" t="s">
        <v>10103</v>
      </c>
    </row>
    <row r="34092" spans="1:2" x14ac:dyDescent="0.25">
      <c r="A34092">
        <v>73071910314</v>
      </c>
      <c r="B34092" t="s">
        <v>10104</v>
      </c>
    </row>
    <row r="34093" spans="1:2" x14ac:dyDescent="0.25">
      <c r="A34093">
        <v>73071910315</v>
      </c>
      <c r="B34093" t="s">
        <v>10105</v>
      </c>
    </row>
    <row r="34094" spans="1:2" x14ac:dyDescent="0.25">
      <c r="A34094">
        <v>73071910318</v>
      </c>
      <c r="B34094" t="s">
        <v>10106</v>
      </c>
    </row>
    <row r="34095" spans="1:2" x14ac:dyDescent="0.25">
      <c r="A34095">
        <v>73071910319</v>
      </c>
      <c r="B34095" t="s">
        <v>57</v>
      </c>
    </row>
    <row r="34096" spans="1:2" x14ac:dyDescent="0.25">
      <c r="A34096">
        <v>7307191032</v>
      </c>
      <c r="B34096" t="s">
        <v>6671</v>
      </c>
    </row>
    <row r="34097" spans="1:2" x14ac:dyDescent="0.25">
      <c r="A34097">
        <v>73071910321</v>
      </c>
      <c r="B34097" t="s">
        <v>10101</v>
      </c>
    </row>
    <row r="34098" spans="1:2" x14ac:dyDescent="0.25">
      <c r="A34098">
        <v>73071910322</v>
      </c>
      <c r="B34098" t="s">
        <v>10102</v>
      </c>
    </row>
    <row r="34099" spans="1:2" x14ac:dyDescent="0.25">
      <c r="A34099">
        <v>73071910323</v>
      </c>
      <c r="B34099" t="s">
        <v>10103</v>
      </c>
    </row>
    <row r="34100" spans="1:2" x14ac:dyDescent="0.25">
      <c r="A34100">
        <v>73071910324</v>
      </c>
      <c r="B34100" t="s">
        <v>10104</v>
      </c>
    </row>
    <row r="34101" spans="1:2" x14ac:dyDescent="0.25">
      <c r="A34101">
        <v>73071910325</v>
      </c>
      <c r="B34101" t="s">
        <v>10105</v>
      </c>
    </row>
    <row r="34102" spans="1:2" x14ac:dyDescent="0.25">
      <c r="A34102">
        <v>73071910328</v>
      </c>
      <c r="B34102" t="s">
        <v>10107</v>
      </c>
    </row>
    <row r="34103" spans="1:2" x14ac:dyDescent="0.25">
      <c r="A34103">
        <v>73071910329</v>
      </c>
      <c r="B34103" t="s">
        <v>10</v>
      </c>
    </row>
    <row r="34104" spans="1:2" x14ac:dyDescent="0.25">
      <c r="A34104">
        <v>7307191033</v>
      </c>
      <c r="B34104" t="s">
        <v>10108</v>
      </c>
    </row>
    <row r="34105" spans="1:2" x14ac:dyDescent="0.25">
      <c r="A34105">
        <v>73071910331</v>
      </c>
      <c r="B34105" t="s">
        <v>10101</v>
      </c>
    </row>
    <row r="34106" spans="1:2" x14ac:dyDescent="0.25">
      <c r="A34106">
        <v>73071910332</v>
      </c>
      <c r="B34106" t="s">
        <v>10102</v>
      </c>
    </row>
    <row r="34107" spans="1:2" x14ac:dyDescent="0.25">
      <c r="A34107">
        <v>73071910333</v>
      </c>
      <c r="B34107" t="s">
        <v>10103</v>
      </c>
    </row>
    <row r="34108" spans="1:2" x14ac:dyDescent="0.25">
      <c r="A34108">
        <v>73071910334</v>
      </c>
      <c r="B34108" t="s">
        <v>10104</v>
      </c>
    </row>
    <row r="34109" spans="1:2" x14ac:dyDescent="0.25">
      <c r="A34109">
        <v>73071910335</v>
      </c>
      <c r="B34109" t="s">
        <v>10105</v>
      </c>
    </row>
    <row r="34110" spans="1:2" x14ac:dyDescent="0.25">
      <c r="A34110">
        <v>73071910338</v>
      </c>
      <c r="B34110" t="s">
        <v>10106</v>
      </c>
    </row>
    <row r="34111" spans="1:2" x14ac:dyDescent="0.25">
      <c r="A34111">
        <v>73071910339</v>
      </c>
      <c r="B34111" t="s">
        <v>57</v>
      </c>
    </row>
    <row r="34112" spans="1:2" x14ac:dyDescent="0.25">
      <c r="A34112">
        <v>7307191034</v>
      </c>
      <c r="B34112" t="s">
        <v>10109</v>
      </c>
    </row>
    <row r="34113" spans="1:2" x14ac:dyDescent="0.25">
      <c r="A34113">
        <v>73071910341</v>
      </c>
      <c r="B34113" t="s">
        <v>10101</v>
      </c>
    </row>
    <row r="34114" spans="1:2" x14ac:dyDescent="0.25">
      <c r="A34114">
        <v>73071910342</v>
      </c>
      <c r="B34114" t="s">
        <v>10102</v>
      </c>
    </row>
    <row r="34115" spans="1:2" x14ac:dyDescent="0.25">
      <c r="A34115">
        <v>73071910343</v>
      </c>
      <c r="B34115" t="s">
        <v>10103</v>
      </c>
    </row>
    <row r="34116" spans="1:2" x14ac:dyDescent="0.25">
      <c r="A34116">
        <v>73071910344</v>
      </c>
      <c r="B34116" t="s">
        <v>10104</v>
      </c>
    </row>
    <row r="34117" spans="1:2" x14ac:dyDescent="0.25">
      <c r="A34117">
        <v>73071910345</v>
      </c>
      <c r="B34117" t="s">
        <v>10105</v>
      </c>
    </row>
    <row r="34118" spans="1:2" x14ac:dyDescent="0.25">
      <c r="A34118">
        <v>73071910348</v>
      </c>
      <c r="B34118" t="s">
        <v>10106</v>
      </c>
    </row>
    <row r="34119" spans="1:2" x14ac:dyDescent="0.25">
      <c r="A34119">
        <v>73071910349</v>
      </c>
      <c r="B34119" t="s">
        <v>57</v>
      </c>
    </row>
    <row r="34120" spans="1:2" x14ac:dyDescent="0.25">
      <c r="A34120">
        <v>7307191035</v>
      </c>
      <c r="B34120" t="s">
        <v>10110</v>
      </c>
    </row>
    <row r="34121" spans="1:2" x14ac:dyDescent="0.25">
      <c r="A34121">
        <v>73071910351</v>
      </c>
      <c r="B34121" t="s">
        <v>10101</v>
      </c>
    </row>
    <row r="34122" spans="1:2" x14ac:dyDescent="0.25">
      <c r="A34122">
        <v>73071910352</v>
      </c>
      <c r="B34122" t="s">
        <v>10102</v>
      </c>
    </row>
    <row r="34123" spans="1:2" x14ac:dyDescent="0.25">
      <c r="A34123">
        <v>73071910353</v>
      </c>
      <c r="B34123" t="s">
        <v>10103</v>
      </c>
    </row>
    <row r="34124" spans="1:2" x14ac:dyDescent="0.25">
      <c r="A34124">
        <v>73071910354</v>
      </c>
      <c r="B34124" t="s">
        <v>10104</v>
      </c>
    </row>
    <row r="34125" spans="1:2" x14ac:dyDescent="0.25">
      <c r="A34125">
        <v>73071910355</v>
      </c>
      <c r="B34125" t="s">
        <v>10105</v>
      </c>
    </row>
    <row r="34126" spans="1:2" x14ac:dyDescent="0.25">
      <c r="A34126">
        <v>73071910358</v>
      </c>
      <c r="B34126" t="s">
        <v>10106</v>
      </c>
    </row>
    <row r="34127" spans="1:2" x14ac:dyDescent="0.25">
      <c r="A34127">
        <v>73071910359</v>
      </c>
      <c r="B34127" t="s">
        <v>57</v>
      </c>
    </row>
    <row r="34128" spans="1:2" x14ac:dyDescent="0.25">
      <c r="A34128">
        <v>7307191039</v>
      </c>
      <c r="B34128" t="s">
        <v>10</v>
      </c>
    </row>
    <row r="34129" spans="1:2" x14ac:dyDescent="0.25">
      <c r="A34129">
        <v>73071910391</v>
      </c>
      <c r="B34129" t="s">
        <v>10097</v>
      </c>
    </row>
    <row r="34130" spans="1:2" x14ac:dyDescent="0.25">
      <c r="A34130">
        <v>73071910399</v>
      </c>
      <c r="B34130" t="s">
        <v>10</v>
      </c>
    </row>
    <row r="34131" spans="1:2" x14ac:dyDescent="0.25">
      <c r="A34131">
        <v>730719109</v>
      </c>
      <c r="B34131" t="s">
        <v>10</v>
      </c>
    </row>
    <row r="34132" spans="1:2" x14ac:dyDescent="0.25">
      <c r="A34132">
        <v>7307191091</v>
      </c>
      <c r="B34132" t="s">
        <v>10097</v>
      </c>
    </row>
    <row r="34133" spans="1:2" x14ac:dyDescent="0.25">
      <c r="A34133">
        <v>73071910911</v>
      </c>
      <c r="B34133" t="s">
        <v>10113</v>
      </c>
    </row>
    <row r="34134" spans="1:2" x14ac:dyDescent="0.25">
      <c r="A34134">
        <v>73071910919</v>
      </c>
      <c r="B34134" t="s">
        <v>10</v>
      </c>
    </row>
    <row r="34135" spans="1:2" x14ac:dyDescent="0.25">
      <c r="A34135">
        <v>7307191099</v>
      </c>
      <c r="B34135" t="s">
        <v>10</v>
      </c>
    </row>
    <row r="34136" spans="1:2" x14ac:dyDescent="0.25">
      <c r="A34136">
        <v>73071910991</v>
      </c>
      <c r="B34136" t="s">
        <v>10113</v>
      </c>
    </row>
    <row r="34137" spans="1:2" x14ac:dyDescent="0.25">
      <c r="A34137">
        <v>73071910999</v>
      </c>
      <c r="B34137" t="s">
        <v>10</v>
      </c>
    </row>
    <row r="34138" spans="1:2" x14ac:dyDescent="0.25">
      <c r="A34138">
        <v>73071920</v>
      </c>
      <c r="B34138" t="s">
        <v>9792</v>
      </c>
    </row>
    <row r="34139" spans="1:2" x14ac:dyDescent="0.25">
      <c r="A34139">
        <v>730719201</v>
      </c>
      <c r="B34139" t="s">
        <v>10114</v>
      </c>
    </row>
    <row r="34140" spans="1:2" x14ac:dyDescent="0.25">
      <c r="A34140">
        <v>7307192011</v>
      </c>
      <c r="B34140" t="s">
        <v>10115</v>
      </c>
    </row>
    <row r="34141" spans="1:2" x14ac:dyDescent="0.25">
      <c r="A34141">
        <v>73071920111</v>
      </c>
      <c r="B34141" t="s">
        <v>10116</v>
      </c>
    </row>
    <row r="34142" spans="1:2" x14ac:dyDescent="0.25">
      <c r="A34142">
        <v>73071920112</v>
      </c>
      <c r="B34142" t="s">
        <v>10117</v>
      </c>
    </row>
    <row r="34143" spans="1:2" x14ac:dyDescent="0.25">
      <c r="A34143">
        <v>73071920113</v>
      </c>
      <c r="B34143" t="s">
        <v>10118</v>
      </c>
    </row>
    <row r="34144" spans="1:2" x14ac:dyDescent="0.25">
      <c r="A34144">
        <v>73071920114</v>
      </c>
      <c r="B34144" t="s">
        <v>10119</v>
      </c>
    </row>
    <row r="34145" spans="1:2" x14ac:dyDescent="0.25">
      <c r="A34145">
        <v>73071920115</v>
      </c>
      <c r="B34145" t="s">
        <v>10120</v>
      </c>
    </row>
    <row r="34146" spans="1:2" x14ac:dyDescent="0.25">
      <c r="A34146">
        <v>73071920119</v>
      </c>
      <c r="B34146" t="s">
        <v>10</v>
      </c>
    </row>
    <row r="34147" spans="1:2" x14ac:dyDescent="0.25">
      <c r="A34147">
        <v>7307192012</v>
      </c>
      <c r="B34147" t="s">
        <v>10121</v>
      </c>
    </row>
    <row r="34148" spans="1:2" x14ac:dyDescent="0.25">
      <c r="A34148">
        <v>73071920121</v>
      </c>
      <c r="B34148" t="s">
        <v>10116</v>
      </c>
    </row>
    <row r="34149" spans="1:2" x14ac:dyDescent="0.25">
      <c r="A34149">
        <v>73071920122</v>
      </c>
      <c r="B34149" t="s">
        <v>10117</v>
      </c>
    </row>
    <row r="34150" spans="1:2" x14ac:dyDescent="0.25">
      <c r="A34150">
        <v>73071920123</v>
      </c>
      <c r="B34150" t="s">
        <v>10118</v>
      </c>
    </row>
    <row r="34151" spans="1:2" x14ac:dyDescent="0.25">
      <c r="A34151">
        <v>73071920124</v>
      </c>
      <c r="B34151" t="s">
        <v>10119</v>
      </c>
    </row>
    <row r="34152" spans="1:2" x14ac:dyDescent="0.25">
      <c r="A34152">
        <v>73071920125</v>
      </c>
      <c r="B34152" t="s">
        <v>10120</v>
      </c>
    </row>
    <row r="34153" spans="1:2" x14ac:dyDescent="0.25">
      <c r="A34153">
        <v>73071920129</v>
      </c>
      <c r="B34153" t="s">
        <v>10</v>
      </c>
    </row>
    <row r="34154" spans="1:2" x14ac:dyDescent="0.25">
      <c r="A34154">
        <v>7307192013</v>
      </c>
      <c r="B34154" t="s">
        <v>10122</v>
      </c>
    </row>
    <row r="34155" spans="1:2" x14ac:dyDescent="0.25">
      <c r="A34155">
        <v>73071920131</v>
      </c>
      <c r="B34155" t="s">
        <v>10116</v>
      </c>
    </row>
    <row r="34156" spans="1:2" x14ac:dyDescent="0.25">
      <c r="A34156">
        <v>73071920132</v>
      </c>
      <c r="B34156" t="s">
        <v>10117</v>
      </c>
    </row>
    <row r="34157" spans="1:2" x14ac:dyDescent="0.25">
      <c r="A34157">
        <v>73071920133</v>
      </c>
      <c r="B34157" t="s">
        <v>10118</v>
      </c>
    </row>
    <row r="34158" spans="1:2" x14ac:dyDescent="0.25">
      <c r="A34158">
        <v>73071920134</v>
      </c>
      <c r="B34158" t="s">
        <v>10119</v>
      </c>
    </row>
    <row r="34159" spans="1:2" x14ac:dyDescent="0.25">
      <c r="A34159">
        <v>73071920135</v>
      </c>
      <c r="B34159" t="s">
        <v>10120</v>
      </c>
    </row>
    <row r="34160" spans="1:2" x14ac:dyDescent="0.25">
      <c r="A34160">
        <v>73071920139</v>
      </c>
      <c r="B34160" t="s">
        <v>10</v>
      </c>
    </row>
    <row r="34161" spans="1:2" x14ac:dyDescent="0.25">
      <c r="A34161">
        <v>7307192014</v>
      </c>
      <c r="B34161" t="s">
        <v>10123</v>
      </c>
    </row>
    <row r="34162" spans="1:2" x14ac:dyDescent="0.25">
      <c r="A34162">
        <v>73071920141</v>
      </c>
      <c r="B34162" t="s">
        <v>10116</v>
      </c>
    </row>
    <row r="34163" spans="1:2" x14ac:dyDescent="0.25">
      <c r="A34163">
        <v>73071920142</v>
      </c>
      <c r="B34163" t="s">
        <v>10117</v>
      </c>
    </row>
    <row r="34164" spans="1:2" x14ac:dyDescent="0.25">
      <c r="A34164">
        <v>73071920143</v>
      </c>
      <c r="B34164" t="s">
        <v>10118</v>
      </c>
    </row>
    <row r="34165" spans="1:2" x14ac:dyDescent="0.25">
      <c r="A34165">
        <v>73071920144</v>
      </c>
      <c r="B34165" t="s">
        <v>10119</v>
      </c>
    </row>
    <row r="34166" spans="1:2" x14ac:dyDescent="0.25">
      <c r="A34166">
        <v>73071920145</v>
      </c>
      <c r="B34166" t="s">
        <v>10120</v>
      </c>
    </row>
    <row r="34167" spans="1:2" x14ac:dyDescent="0.25">
      <c r="A34167">
        <v>73071920149</v>
      </c>
      <c r="B34167" t="s">
        <v>10</v>
      </c>
    </row>
    <row r="34168" spans="1:2" x14ac:dyDescent="0.25">
      <c r="A34168">
        <v>7307192015</v>
      </c>
      <c r="B34168" t="s">
        <v>10124</v>
      </c>
    </row>
    <row r="34169" spans="1:2" x14ac:dyDescent="0.25">
      <c r="A34169">
        <v>73071920151</v>
      </c>
      <c r="B34169" t="s">
        <v>10116</v>
      </c>
    </row>
    <row r="34170" spans="1:2" x14ac:dyDescent="0.25">
      <c r="A34170">
        <v>73071920152</v>
      </c>
      <c r="B34170" t="s">
        <v>10117</v>
      </c>
    </row>
    <row r="34171" spans="1:2" x14ac:dyDescent="0.25">
      <c r="A34171">
        <v>73071920153</v>
      </c>
      <c r="B34171" t="s">
        <v>10118</v>
      </c>
    </row>
    <row r="34172" spans="1:2" x14ac:dyDescent="0.25">
      <c r="A34172">
        <v>73071920154</v>
      </c>
      <c r="B34172" t="s">
        <v>10119</v>
      </c>
    </row>
    <row r="34173" spans="1:2" x14ac:dyDescent="0.25">
      <c r="A34173">
        <v>73071920155</v>
      </c>
      <c r="B34173" t="s">
        <v>10120</v>
      </c>
    </row>
    <row r="34174" spans="1:2" x14ac:dyDescent="0.25">
      <c r="A34174">
        <v>73071920159</v>
      </c>
      <c r="B34174" t="s">
        <v>10</v>
      </c>
    </row>
    <row r="34175" spans="1:2" x14ac:dyDescent="0.25">
      <c r="A34175">
        <v>7307192016</v>
      </c>
      <c r="B34175" t="s">
        <v>10125</v>
      </c>
    </row>
    <row r="34176" spans="1:2" x14ac:dyDescent="0.25">
      <c r="A34176">
        <v>73071920161</v>
      </c>
      <c r="B34176" t="s">
        <v>10126</v>
      </c>
    </row>
    <row r="34177" spans="1:2" x14ac:dyDescent="0.25">
      <c r="A34177">
        <v>73071920162</v>
      </c>
      <c r="B34177" t="s">
        <v>10127</v>
      </c>
    </row>
    <row r="34178" spans="1:2" x14ac:dyDescent="0.25">
      <c r="A34178">
        <v>73071920163</v>
      </c>
      <c r="B34178" t="s">
        <v>10128</v>
      </c>
    </row>
    <row r="34179" spans="1:2" x14ac:dyDescent="0.25">
      <c r="A34179">
        <v>73071920164</v>
      </c>
      <c r="B34179" t="s">
        <v>10129</v>
      </c>
    </row>
    <row r="34180" spans="1:2" x14ac:dyDescent="0.25">
      <c r="A34180">
        <v>73071920165</v>
      </c>
      <c r="B34180" t="s">
        <v>10130</v>
      </c>
    </row>
    <row r="34181" spans="1:2" x14ac:dyDescent="0.25">
      <c r="A34181">
        <v>73071920169</v>
      </c>
      <c r="B34181" t="s">
        <v>10</v>
      </c>
    </row>
    <row r="34182" spans="1:2" x14ac:dyDescent="0.25">
      <c r="A34182">
        <v>7307192017</v>
      </c>
      <c r="B34182" t="s">
        <v>10131</v>
      </c>
    </row>
    <row r="34183" spans="1:2" x14ac:dyDescent="0.25">
      <c r="A34183">
        <v>73071920171</v>
      </c>
      <c r="B34183" t="s">
        <v>10132</v>
      </c>
    </row>
    <row r="34184" spans="1:2" x14ac:dyDescent="0.25">
      <c r="A34184">
        <v>73071920172</v>
      </c>
      <c r="B34184" t="s">
        <v>10133</v>
      </c>
    </row>
    <row r="34185" spans="1:2" x14ac:dyDescent="0.25">
      <c r="A34185">
        <v>73071920173</v>
      </c>
      <c r="B34185" t="s">
        <v>10118</v>
      </c>
    </row>
    <row r="34186" spans="1:2" x14ac:dyDescent="0.25">
      <c r="A34186">
        <v>73071920174</v>
      </c>
      <c r="B34186" t="s">
        <v>10119</v>
      </c>
    </row>
    <row r="34187" spans="1:2" x14ac:dyDescent="0.25">
      <c r="A34187">
        <v>73071920175</v>
      </c>
      <c r="B34187" t="s">
        <v>10120</v>
      </c>
    </row>
    <row r="34188" spans="1:2" x14ac:dyDescent="0.25">
      <c r="A34188">
        <v>73071920179</v>
      </c>
      <c r="B34188" t="s">
        <v>10</v>
      </c>
    </row>
    <row r="34189" spans="1:2" x14ac:dyDescent="0.25">
      <c r="A34189">
        <v>7307192018</v>
      </c>
      <c r="B34189" t="s">
        <v>10134</v>
      </c>
    </row>
    <row r="34190" spans="1:2" x14ac:dyDescent="0.25">
      <c r="A34190">
        <v>73071920181</v>
      </c>
      <c r="B34190" t="s">
        <v>10126</v>
      </c>
    </row>
    <row r="34191" spans="1:2" x14ac:dyDescent="0.25">
      <c r="A34191">
        <v>73071920182</v>
      </c>
      <c r="B34191" t="s">
        <v>10127</v>
      </c>
    </row>
    <row r="34192" spans="1:2" x14ac:dyDescent="0.25">
      <c r="A34192">
        <v>73071920183</v>
      </c>
      <c r="B34192" t="s">
        <v>10128</v>
      </c>
    </row>
    <row r="34193" spans="1:2" x14ac:dyDescent="0.25">
      <c r="A34193">
        <v>73071920184</v>
      </c>
      <c r="B34193" t="s">
        <v>10129</v>
      </c>
    </row>
    <row r="34194" spans="1:2" x14ac:dyDescent="0.25">
      <c r="A34194">
        <v>73071920185</v>
      </c>
      <c r="B34194" t="s">
        <v>10130</v>
      </c>
    </row>
    <row r="34195" spans="1:2" x14ac:dyDescent="0.25">
      <c r="A34195">
        <v>73071920189</v>
      </c>
      <c r="B34195" t="s">
        <v>10</v>
      </c>
    </row>
    <row r="34196" spans="1:2" x14ac:dyDescent="0.25">
      <c r="A34196">
        <v>73071920190</v>
      </c>
      <c r="B34196" t="s">
        <v>823</v>
      </c>
    </row>
    <row r="34197" spans="1:2" x14ac:dyDescent="0.25">
      <c r="A34197">
        <v>730719202</v>
      </c>
      <c r="B34197" t="s">
        <v>10135</v>
      </c>
    </row>
    <row r="34198" spans="1:2" x14ac:dyDescent="0.25">
      <c r="A34198">
        <v>7307192021</v>
      </c>
      <c r="B34198" t="s">
        <v>10136</v>
      </c>
    </row>
    <row r="34199" spans="1:2" x14ac:dyDescent="0.25">
      <c r="A34199">
        <v>73071920211</v>
      </c>
      <c r="B34199" t="s">
        <v>10137</v>
      </c>
    </row>
    <row r="34200" spans="1:2" x14ac:dyDescent="0.25">
      <c r="A34200">
        <v>73071920212</v>
      </c>
      <c r="B34200" t="s">
        <v>10138</v>
      </c>
    </row>
    <row r="34201" spans="1:2" x14ac:dyDescent="0.25">
      <c r="A34201">
        <v>73071920213</v>
      </c>
      <c r="B34201" t="s">
        <v>10139</v>
      </c>
    </row>
    <row r="34202" spans="1:2" x14ac:dyDescent="0.25">
      <c r="A34202">
        <v>73071920214</v>
      </c>
      <c r="B34202" t="s">
        <v>10140</v>
      </c>
    </row>
    <row r="34203" spans="1:2" x14ac:dyDescent="0.25">
      <c r="A34203">
        <v>73071920215</v>
      </c>
      <c r="B34203" t="s">
        <v>10141</v>
      </c>
    </row>
    <row r="34204" spans="1:2" x14ac:dyDescent="0.25">
      <c r="A34204">
        <v>73071920219</v>
      </c>
      <c r="B34204" t="s">
        <v>10</v>
      </c>
    </row>
    <row r="34205" spans="1:2" x14ac:dyDescent="0.25">
      <c r="A34205">
        <v>7307192022</v>
      </c>
      <c r="B34205" t="s">
        <v>10121</v>
      </c>
    </row>
    <row r="34206" spans="1:2" x14ac:dyDescent="0.25">
      <c r="A34206">
        <v>73071920221</v>
      </c>
      <c r="B34206" t="s">
        <v>10137</v>
      </c>
    </row>
    <row r="34207" spans="1:2" x14ac:dyDescent="0.25">
      <c r="A34207">
        <v>73071920222</v>
      </c>
      <c r="B34207" t="s">
        <v>10138</v>
      </c>
    </row>
    <row r="34208" spans="1:2" x14ac:dyDescent="0.25">
      <c r="A34208">
        <v>73071920223</v>
      </c>
      <c r="B34208" t="s">
        <v>10139</v>
      </c>
    </row>
    <row r="34209" spans="1:2" x14ac:dyDescent="0.25">
      <c r="A34209">
        <v>73071920224</v>
      </c>
      <c r="B34209" t="s">
        <v>10140</v>
      </c>
    </row>
    <row r="34210" spans="1:2" x14ac:dyDescent="0.25">
      <c r="A34210">
        <v>73071920225</v>
      </c>
      <c r="B34210" t="s">
        <v>10141</v>
      </c>
    </row>
    <row r="34211" spans="1:2" x14ac:dyDescent="0.25">
      <c r="A34211">
        <v>73071920229</v>
      </c>
      <c r="B34211" t="s">
        <v>10</v>
      </c>
    </row>
    <row r="34212" spans="1:2" x14ac:dyDescent="0.25">
      <c r="A34212">
        <v>7307192023</v>
      </c>
      <c r="B34212" t="s">
        <v>10122</v>
      </c>
    </row>
    <row r="34213" spans="1:2" x14ac:dyDescent="0.25">
      <c r="A34213">
        <v>73071920231</v>
      </c>
      <c r="B34213" t="s">
        <v>10137</v>
      </c>
    </row>
    <row r="34214" spans="1:2" x14ac:dyDescent="0.25">
      <c r="A34214">
        <v>73071920232</v>
      </c>
      <c r="B34214" t="s">
        <v>10138</v>
      </c>
    </row>
    <row r="34215" spans="1:2" x14ac:dyDescent="0.25">
      <c r="A34215">
        <v>73071920233</v>
      </c>
      <c r="B34215" t="s">
        <v>10139</v>
      </c>
    </row>
    <row r="34216" spans="1:2" x14ac:dyDescent="0.25">
      <c r="A34216">
        <v>73071920234</v>
      </c>
      <c r="B34216" t="s">
        <v>10140</v>
      </c>
    </row>
    <row r="34217" spans="1:2" x14ac:dyDescent="0.25">
      <c r="A34217">
        <v>73071920235</v>
      </c>
      <c r="B34217" t="s">
        <v>10141</v>
      </c>
    </row>
    <row r="34218" spans="1:2" x14ac:dyDescent="0.25">
      <c r="A34218">
        <v>73071920239</v>
      </c>
      <c r="B34218" t="s">
        <v>10</v>
      </c>
    </row>
    <row r="34219" spans="1:2" x14ac:dyDescent="0.25">
      <c r="A34219">
        <v>7307192024</v>
      </c>
      <c r="B34219" t="s">
        <v>10123</v>
      </c>
    </row>
    <row r="34220" spans="1:2" x14ac:dyDescent="0.25">
      <c r="A34220">
        <v>73071920241</v>
      </c>
      <c r="B34220" t="s">
        <v>10137</v>
      </c>
    </row>
    <row r="34221" spans="1:2" x14ac:dyDescent="0.25">
      <c r="A34221">
        <v>73071920242</v>
      </c>
      <c r="B34221" t="s">
        <v>10138</v>
      </c>
    </row>
    <row r="34222" spans="1:2" x14ac:dyDescent="0.25">
      <c r="A34222">
        <v>73071920243</v>
      </c>
      <c r="B34222" t="s">
        <v>10139</v>
      </c>
    </row>
    <row r="34223" spans="1:2" x14ac:dyDescent="0.25">
      <c r="A34223">
        <v>73071920244</v>
      </c>
      <c r="B34223" t="s">
        <v>10140</v>
      </c>
    </row>
    <row r="34224" spans="1:2" x14ac:dyDescent="0.25">
      <c r="A34224">
        <v>73071920245</v>
      </c>
      <c r="B34224" t="s">
        <v>10141</v>
      </c>
    </row>
    <row r="34225" spans="1:2" x14ac:dyDescent="0.25">
      <c r="A34225">
        <v>73071920249</v>
      </c>
      <c r="B34225" t="s">
        <v>10</v>
      </c>
    </row>
    <row r="34226" spans="1:2" x14ac:dyDescent="0.25">
      <c r="A34226">
        <v>7307192025</v>
      </c>
      <c r="B34226" t="s">
        <v>10124</v>
      </c>
    </row>
    <row r="34227" spans="1:2" x14ac:dyDescent="0.25">
      <c r="A34227">
        <v>73071920251</v>
      </c>
      <c r="B34227" t="s">
        <v>10137</v>
      </c>
    </row>
    <row r="34228" spans="1:2" x14ac:dyDescent="0.25">
      <c r="A34228">
        <v>73071920252</v>
      </c>
      <c r="B34228" t="s">
        <v>10138</v>
      </c>
    </row>
    <row r="34229" spans="1:2" x14ac:dyDescent="0.25">
      <c r="A34229">
        <v>73071920253</v>
      </c>
      <c r="B34229" t="s">
        <v>10139</v>
      </c>
    </row>
    <row r="34230" spans="1:2" x14ac:dyDescent="0.25">
      <c r="A34230">
        <v>73071920254</v>
      </c>
      <c r="B34230" t="s">
        <v>10140</v>
      </c>
    </row>
    <row r="34231" spans="1:2" x14ac:dyDescent="0.25">
      <c r="A34231">
        <v>73071920255</v>
      </c>
      <c r="B34231" t="s">
        <v>10141</v>
      </c>
    </row>
    <row r="34232" spans="1:2" x14ac:dyDescent="0.25">
      <c r="A34232">
        <v>73071920259</v>
      </c>
      <c r="B34232" t="s">
        <v>10</v>
      </c>
    </row>
    <row r="34233" spans="1:2" x14ac:dyDescent="0.25">
      <c r="A34233">
        <v>7307192026</v>
      </c>
      <c r="B34233" t="s">
        <v>10125</v>
      </c>
    </row>
    <row r="34234" spans="1:2" x14ac:dyDescent="0.25">
      <c r="A34234">
        <v>73071920261</v>
      </c>
      <c r="B34234" t="s">
        <v>10142</v>
      </c>
    </row>
    <row r="34235" spans="1:2" x14ac:dyDescent="0.25">
      <c r="A34235">
        <v>73071920262</v>
      </c>
      <c r="B34235" t="s">
        <v>10143</v>
      </c>
    </row>
    <row r="34236" spans="1:2" x14ac:dyDescent="0.25">
      <c r="A34236">
        <v>73071920263</v>
      </c>
      <c r="B34236" t="s">
        <v>10144</v>
      </c>
    </row>
    <row r="34237" spans="1:2" x14ac:dyDescent="0.25">
      <c r="A34237">
        <v>73071920264</v>
      </c>
      <c r="B34237" t="s">
        <v>10145</v>
      </c>
    </row>
    <row r="34238" spans="1:2" x14ac:dyDescent="0.25">
      <c r="A34238">
        <v>73071920265</v>
      </c>
      <c r="B34238" t="s">
        <v>10146</v>
      </c>
    </row>
    <row r="34239" spans="1:2" x14ac:dyDescent="0.25">
      <c r="A34239">
        <v>73071920269</v>
      </c>
      <c r="B34239" t="s">
        <v>10</v>
      </c>
    </row>
    <row r="34240" spans="1:2" x14ac:dyDescent="0.25">
      <c r="A34240">
        <v>7307192027</v>
      </c>
      <c r="B34240" t="s">
        <v>10131</v>
      </c>
    </row>
    <row r="34241" spans="1:2" x14ac:dyDescent="0.25">
      <c r="A34241">
        <v>73071920271</v>
      </c>
      <c r="B34241" t="s">
        <v>10147</v>
      </c>
    </row>
    <row r="34242" spans="1:2" x14ac:dyDescent="0.25">
      <c r="A34242">
        <v>73071920272</v>
      </c>
      <c r="B34242" t="s">
        <v>10138</v>
      </c>
    </row>
    <row r="34243" spans="1:2" x14ac:dyDescent="0.25">
      <c r="A34243">
        <v>73071920273</v>
      </c>
      <c r="B34243" t="s">
        <v>10139</v>
      </c>
    </row>
    <row r="34244" spans="1:2" x14ac:dyDescent="0.25">
      <c r="A34244">
        <v>73071920274</v>
      </c>
      <c r="B34244" t="s">
        <v>10140</v>
      </c>
    </row>
    <row r="34245" spans="1:2" x14ac:dyDescent="0.25">
      <c r="A34245">
        <v>73071920275</v>
      </c>
      <c r="B34245" t="s">
        <v>10141</v>
      </c>
    </row>
    <row r="34246" spans="1:2" x14ac:dyDescent="0.25">
      <c r="A34246">
        <v>73071920279</v>
      </c>
      <c r="B34246" t="s">
        <v>10</v>
      </c>
    </row>
    <row r="34247" spans="1:2" x14ac:dyDescent="0.25">
      <c r="A34247">
        <v>7307192028</v>
      </c>
      <c r="B34247" t="s">
        <v>10134</v>
      </c>
    </row>
    <row r="34248" spans="1:2" x14ac:dyDescent="0.25">
      <c r="A34248">
        <v>73071920281</v>
      </c>
      <c r="B34248" t="s">
        <v>10142</v>
      </c>
    </row>
    <row r="34249" spans="1:2" x14ac:dyDescent="0.25">
      <c r="A34249">
        <v>73071920282</v>
      </c>
      <c r="B34249" t="s">
        <v>10143</v>
      </c>
    </row>
    <row r="34250" spans="1:2" x14ac:dyDescent="0.25">
      <c r="A34250">
        <v>73071920283</v>
      </c>
      <c r="B34250" t="s">
        <v>10144</v>
      </c>
    </row>
    <row r="34251" spans="1:2" x14ac:dyDescent="0.25">
      <c r="A34251">
        <v>73071920284</v>
      </c>
      <c r="B34251" t="s">
        <v>10145</v>
      </c>
    </row>
    <row r="34252" spans="1:2" x14ac:dyDescent="0.25">
      <c r="A34252">
        <v>73071920285</v>
      </c>
      <c r="B34252" t="s">
        <v>10146</v>
      </c>
    </row>
    <row r="34253" spans="1:2" x14ac:dyDescent="0.25">
      <c r="A34253">
        <v>73071920289</v>
      </c>
      <c r="B34253" t="s">
        <v>10</v>
      </c>
    </row>
    <row r="34254" spans="1:2" x14ac:dyDescent="0.25">
      <c r="A34254">
        <v>73071920290</v>
      </c>
      <c r="B34254" t="s">
        <v>10</v>
      </c>
    </row>
    <row r="34255" spans="1:2" x14ac:dyDescent="0.25">
      <c r="A34255">
        <v>730719203</v>
      </c>
      <c r="B34255" t="s">
        <v>10148</v>
      </c>
    </row>
    <row r="34256" spans="1:2" x14ac:dyDescent="0.25">
      <c r="A34256">
        <v>73071920310</v>
      </c>
      <c r="B34256" t="s">
        <v>10149</v>
      </c>
    </row>
    <row r="34257" spans="1:2" x14ac:dyDescent="0.25">
      <c r="A34257">
        <v>73071920320</v>
      </c>
      <c r="B34257" t="s">
        <v>10150</v>
      </c>
    </row>
    <row r="34258" spans="1:2" x14ac:dyDescent="0.25">
      <c r="A34258">
        <v>73071920330</v>
      </c>
      <c r="B34258" t="s">
        <v>10151</v>
      </c>
    </row>
    <row r="34259" spans="1:2" x14ac:dyDescent="0.25">
      <c r="A34259">
        <v>73071920340</v>
      </c>
      <c r="B34259" t="s">
        <v>10152</v>
      </c>
    </row>
    <row r="34260" spans="1:2" x14ac:dyDescent="0.25">
      <c r="A34260">
        <v>73071920350</v>
      </c>
      <c r="B34260" t="s">
        <v>10153</v>
      </c>
    </row>
    <row r="34261" spans="1:2" x14ac:dyDescent="0.25">
      <c r="A34261">
        <v>73071920360</v>
      </c>
      <c r="B34261" t="s">
        <v>10154</v>
      </c>
    </row>
    <row r="34262" spans="1:2" x14ac:dyDescent="0.25">
      <c r="A34262">
        <v>73071920370</v>
      </c>
      <c r="B34262" t="s">
        <v>10155</v>
      </c>
    </row>
    <row r="34263" spans="1:2" x14ac:dyDescent="0.25">
      <c r="A34263">
        <v>73071920380</v>
      </c>
      <c r="B34263" t="s">
        <v>10156</v>
      </c>
    </row>
    <row r="34264" spans="1:2" x14ac:dyDescent="0.25">
      <c r="A34264">
        <v>73071920390</v>
      </c>
      <c r="B34264" t="s">
        <v>10</v>
      </c>
    </row>
    <row r="34265" spans="1:2" x14ac:dyDescent="0.25">
      <c r="A34265">
        <v>730719204</v>
      </c>
      <c r="B34265" t="s">
        <v>10157</v>
      </c>
    </row>
    <row r="34266" spans="1:2" x14ac:dyDescent="0.25">
      <c r="A34266">
        <v>7307192041</v>
      </c>
      <c r="B34266" t="s">
        <v>10149</v>
      </c>
    </row>
    <row r="34267" spans="1:2" x14ac:dyDescent="0.25">
      <c r="A34267">
        <v>73071920411</v>
      </c>
      <c r="B34267" t="s">
        <v>10147</v>
      </c>
    </row>
    <row r="34268" spans="1:2" x14ac:dyDescent="0.25">
      <c r="A34268">
        <v>73071920412</v>
      </c>
      <c r="B34268" t="s">
        <v>10138</v>
      </c>
    </row>
    <row r="34269" spans="1:2" x14ac:dyDescent="0.25">
      <c r="A34269">
        <v>73071920413</v>
      </c>
      <c r="B34269" t="s">
        <v>10139</v>
      </c>
    </row>
    <row r="34270" spans="1:2" x14ac:dyDescent="0.25">
      <c r="A34270">
        <v>73071920414</v>
      </c>
      <c r="B34270" t="s">
        <v>10140</v>
      </c>
    </row>
    <row r="34271" spans="1:2" x14ac:dyDescent="0.25">
      <c r="A34271">
        <v>73071920415</v>
      </c>
      <c r="B34271" t="s">
        <v>10141</v>
      </c>
    </row>
    <row r="34272" spans="1:2" x14ac:dyDescent="0.25">
      <c r="A34272">
        <v>73071920419</v>
      </c>
      <c r="B34272" t="s">
        <v>10</v>
      </c>
    </row>
    <row r="34273" spans="1:2" x14ac:dyDescent="0.25">
      <c r="A34273">
        <v>7307192042</v>
      </c>
      <c r="B34273" t="s">
        <v>10150</v>
      </c>
    </row>
    <row r="34274" spans="1:2" x14ac:dyDescent="0.25">
      <c r="A34274">
        <v>73071920421</v>
      </c>
      <c r="B34274" t="s">
        <v>10147</v>
      </c>
    </row>
    <row r="34275" spans="1:2" x14ac:dyDescent="0.25">
      <c r="A34275">
        <v>73071920422</v>
      </c>
      <c r="B34275" t="s">
        <v>10138</v>
      </c>
    </row>
    <row r="34276" spans="1:2" x14ac:dyDescent="0.25">
      <c r="A34276">
        <v>73071920423</v>
      </c>
      <c r="B34276" t="s">
        <v>10158</v>
      </c>
    </row>
    <row r="34277" spans="1:2" x14ac:dyDescent="0.25">
      <c r="A34277">
        <v>73071920424</v>
      </c>
      <c r="B34277" t="s">
        <v>10140</v>
      </c>
    </row>
    <row r="34278" spans="1:2" x14ac:dyDescent="0.25">
      <c r="A34278">
        <v>73071920425</v>
      </c>
      <c r="B34278" t="s">
        <v>10141</v>
      </c>
    </row>
    <row r="34279" spans="1:2" x14ac:dyDescent="0.25">
      <c r="A34279">
        <v>73071920429</v>
      </c>
      <c r="B34279" t="s">
        <v>10</v>
      </c>
    </row>
    <row r="34280" spans="1:2" x14ac:dyDescent="0.25">
      <c r="A34280">
        <v>7307192043</v>
      </c>
      <c r="B34280" t="s">
        <v>10151</v>
      </c>
    </row>
    <row r="34281" spans="1:2" x14ac:dyDescent="0.25">
      <c r="A34281">
        <v>73071920431</v>
      </c>
      <c r="B34281" t="s">
        <v>10147</v>
      </c>
    </row>
    <row r="34282" spans="1:2" x14ac:dyDescent="0.25">
      <c r="A34282">
        <v>73071920432</v>
      </c>
      <c r="B34282" t="s">
        <v>10138</v>
      </c>
    </row>
    <row r="34283" spans="1:2" x14ac:dyDescent="0.25">
      <c r="A34283">
        <v>73071920433</v>
      </c>
      <c r="B34283" t="s">
        <v>10139</v>
      </c>
    </row>
    <row r="34284" spans="1:2" x14ac:dyDescent="0.25">
      <c r="A34284">
        <v>73071920434</v>
      </c>
      <c r="B34284" t="s">
        <v>10140</v>
      </c>
    </row>
    <row r="34285" spans="1:2" x14ac:dyDescent="0.25">
      <c r="A34285">
        <v>73071920435</v>
      </c>
      <c r="B34285" t="s">
        <v>10141</v>
      </c>
    </row>
    <row r="34286" spans="1:2" x14ac:dyDescent="0.25">
      <c r="A34286">
        <v>73071920439</v>
      </c>
      <c r="B34286" t="s">
        <v>10</v>
      </c>
    </row>
    <row r="34287" spans="1:2" x14ac:dyDescent="0.25">
      <c r="A34287">
        <v>73071920440</v>
      </c>
      <c r="B34287" t="s">
        <v>10152</v>
      </c>
    </row>
    <row r="34288" spans="1:2" x14ac:dyDescent="0.25">
      <c r="A34288">
        <v>73071920450</v>
      </c>
      <c r="B34288" t="s">
        <v>10153</v>
      </c>
    </row>
    <row r="34289" spans="1:2" x14ac:dyDescent="0.25">
      <c r="A34289">
        <v>73071920460</v>
      </c>
      <c r="B34289" t="s">
        <v>10125</v>
      </c>
    </row>
    <row r="34290" spans="1:2" x14ac:dyDescent="0.25">
      <c r="A34290">
        <v>73071920470</v>
      </c>
      <c r="B34290" t="s">
        <v>10131</v>
      </c>
    </row>
    <row r="34291" spans="1:2" x14ac:dyDescent="0.25">
      <c r="A34291">
        <v>73071920480</v>
      </c>
      <c r="B34291" t="s">
        <v>10134</v>
      </c>
    </row>
    <row r="34292" spans="1:2" x14ac:dyDescent="0.25">
      <c r="A34292">
        <v>73071920490</v>
      </c>
      <c r="B34292" t="s">
        <v>10</v>
      </c>
    </row>
    <row r="34293" spans="1:2" x14ac:dyDescent="0.25">
      <c r="A34293">
        <v>73071920500</v>
      </c>
      <c r="B34293" t="s">
        <v>6661</v>
      </c>
    </row>
    <row r="34294" spans="1:2" x14ac:dyDescent="0.25">
      <c r="A34294">
        <v>730719209</v>
      </c>
      <c r="B34294" t="s">
        <v>10</v>
      </c>
    </row>
    <row r="34295" spans="1:2" x14ac:dyDescent="0.25">
      <c r="A34295">
        <v>73071920910</v>
      </c>
      <c r="B34295" t="s">
        <v>10097</v>
      </c>
    </row>
    <row r="34296" spans="1:2" x14ac:dyDescent="0.25">
      <c r="A34296">
        <v>73071920990</v>
      </c>
      <c r="B34296" t="s">
        <v>10</v>
      </c>
    </row>
    <row r="34297" spans="1:2" x14ac:dyDescent="0.25">
      <c r="A34297">
        <v>73071990</v>
      </c>
      <c r="B34297" t="s">
        <v>10</v>
      </c>
    </row>
    <row r="34298" spans="1:2" x14ac:dyDescent="0.25">
      <c r="A34298">
        <v>730719901</v>
      </c>
      <c r="B34298" t="s">
        <v>10159</v>
      </c>
    </row>
    <row r="34299" spans="1:2" x14ac:dyDescent="0.25">
      <c r="A34299">
        <v>7307199011</v>
      </c>
      <c r="B34299" t="s">
        <v>10100</v>
      </c>
    </row>
    <row r="34300" spans="1:2" x14ac:dyDescent="0.25">
      <c r="A34300">
        <v>73071990111</v>
      </c>
      <c r="B34300" t="s">
        <v>10160</v>
      </c>
    </row>
    <row r="34301" spans="1:2" x14ac:dyDescent="0.25">
      <c r="A34301">
        <v>73071990112</v>
      </c>
      <c r="B34301" t="s">
        <v>10161</v>
      </c>
    </row>
    <row r="34302" spans="1:2" x14ac:dyDescent="0.25">
      <c r="A34302">
        <v>73071990113</v>
      </c>
      <c r="B34302" t="s">
        <v>10162</v>
      </c>
    </row>
    <row r="34303" spans="1:2" x14ac:dyDescent="0.25">
      <c r="A34303">
        <v>73071990114</v>
      </c>
      <c r="B34303" t="s">
        <v>10163</v>
      </c>
    </row>
    <row r="34304" spans="1:2" x14ac:dyDescent="0.25">
      <c r="A34304">
        <v>73071990115</v>
      </c>
      <c r="B34304" t="s">
        <v>10164</v>
      </c>
    </row>
    <row r="34305" spans="1:2" x14ac:dyDescent="0.25">
      <c r="A34305">
        <v>73071990116</v>
      </c>
      <c r="B34305" t="s">
        <v>10165</v>
      </c>
    </row>
    <row r="34306" spans="1:2" x14ac:dyDescent="0.25">
      <c r="A34306">
        <v>73071990118</v>
      </c>
      <c r="B34306" t="s">
        <v>10106</v>
      </c>
    </row>
    <row r="34307" spans="1:2" x14ac:dyDescent="0.25">
      <c r="A34307">
        <v>73071990119</v>
      </c>
      <c r="B34307" t="s">
        <v>57</v>
      </c>
    </row>
    <row r="34308" spans="1:2" x14ac:dyDescent="0.25">
      <c r="A34308">
        <v>7307199012</v>
      </c>
      <c r="B34308" t="s">
        <v>6671</v>
      </c>
    </row>
    <row r="34309" spans="1:2" x14ac:dyDescent="0.25">
      <c r="A34309">
        <v>73071990121</v>
      </c>
      <c r="B34309" t="s">
        <v>10160</v>
      </c>
    </row>
    <row r="34310" spans="1:2" x14ac:dyDescent="0.25">
      <c r="A34310">
        <v>73071990122</v>
      </c>
      <c r="B34310" t="s">
        <v>10161</v>
      </c>
    </row>
    <row r="34311" spans="1:2" x14ac:dyDescent="0.25">
      <c r="A34311">
        <v>73071990123</v>
      </c>
      <c r="B34311" t="s">
        <v>10162</v>
      </c>
    </row>
    <row r="34312" spans="1:2" x14ac:dyDescent="0.25">
      <c r="A34312">
        <v>73071990124</v>
      </c>
      <c r="B34312" t="s">
        <v>10163</v>
      </c>
    </row>
    <row r="34313" spans="1:2" x14ac:dyDescent="0.25">
      <c r="A34313">
        <v>73071990125</v>
      </c>
      <c r="B34313" t="s">
        <v>10164</v>
      </c>
    </row>
    <row r="34314" spans="1:2" x14ac:dyDescent="0.25">
      <c r="A34314">
        <v>73071990126</v>
      </c>
      <c r="B34314" t="s">
        <v>10165</v>
      </c>
    </row>
    <row r="34315" spans="1:2" x14ac:dyDescent="0.25">
      <c r="A34315">
        <v>73071990128</v>
      </c>
      <c r="B34315" t="s">
        <v>10107</v>
      </c>
    </row>
    <row r="34316" spans="1:2" x14ac:dyDescent="0.25">
      <c r="A34316">
        <v>73071990129</v>
      </c>
      <c r="B34316" t="s">
        <v>10</v>
      </c>
    </row>
    <row r="34317" spans="1:2" x14ac:dyDescent="0.25">
      <c r="A34317">
        <v>7307199013</v>
      </c>
      <c r="B34317" t="s">
        <v>10108</v>
      </c>
    </row>
    <row r="34318" spans="1:2" x14ac:dyDescent="0.25">
      <c r="A34318">
        <v>73071990131</v>
      </c>
      <c r="B34318" t="s">
        <v>10160</v>
      </c>
    </row>
    <row r="34319" spans="1:2" x14ac:dyDescent="0.25">
      <c r="A34319">
        <v>73071990132</v>
      </c>
      <c r="B34319" t="s">
        <v>10161</v>
      </c>
    </row>
    <row r="34320" spans="1:2" x14ac:dyDescent="0.25">
      <c r="A34320">
        <v>73071990133</v>
      </c>
      <c r="B34320" t="s">
        <v>10162</v>
      </c>
    </row>
    <row r="34321" spans="1:2" x14ac:dyDescent="0.25">
      <c r="A34321">
        <v>73071990134</v>
      </c>
      <c r="B34321" t="s">
        <v>10163</v>
      </c>
    </row>
    <row r="34322" spans="1:2" x14ac:dyDescent="0.25">
      <c r="A34322">
        <v>73071990135</v>
      </c>
      <c r="B34322" t="s">
        <v>10164</v>
      </c>
    </row>
    <row r="34323" spans="1:2" x14ac:dyDescent="0.25">
      <c r="A34323">
        <v>73071990136</v>
      </c>
      <c r="B34323" t="s">
        <v>10165</v>
      </c>
    </row>
    <row r="34324" spans="1:2" x14ac:dyDescent="0.25">
      <c r="A34324">
        <v>73071990138</v>
      </c>
      <c r="B34324" t="s">
        <v>10106</v>
      </c>
    </row>
    <row r="34325" spans="1:2" x14ac:dyDescent="0.25">
      <c r="A34325">
        <v>73071990139</v>
      </c>
      <c r="B34325" t="s">
        <v>57</v>
      </c>
    </row>
    <row r="34326" spans="1:2" x14ac:dyDescent="0.25">
      <c r="A34326">
        <v>7307199014</v>
      </c>
      <c r="B34326" t="s">
        <v>10109</v>
      </c>
    </row>
    <row r="34327" spans="1:2" x14ac:dyDescent="0.25">
      <c r="A34327">
        <v>73071990141</v>
      </c>
      <c r="B34327" t="s">
        <v>10160</v>
      </c>
    </row>
    <row r="34328" spans="1:2" x14ac:dyDescent="0.25">
      <c r="A34328">
        <v>73071990142</v>
      </c>
      <c r="B34328" t="s">
        <v>10161</v>
      </c>
    </row>
    <row r="34329" spans="1:2" x14ac:dyDescent="0.25">
      <c r="A34329">
        <v>73071990143</v>
      </c>
      <c r="B34329" t="s">
        <v>10162</v>
      </c>
    </row>
    <row r="34330" spans="1:2" x14ac:dyDescent="0.25">
      <c r="A34330">
        <v>73071990144</v>
      </c>
      <c r="B34330" t="s">
        <v>10163</v>
      </c>
    </row>
    <row r="34331" spans="1:2" x14ac:dyDescent="0.25">
      <c r="A34331">
        <v>73071990145</v>
      </c>
      <c r="B34331" t="s">
        <v>10164</v>
      </c>
    </row>
    <row r="34332" spans="1:2" x14ac:dyDescent="0.25">
      <c r="A34332">
        <v>73071990146</v>
      </c>
      <c r="B34332" t="s">
        <v>10165</v>
      </c>
    </row>
    <row r="34333" spans="1:2" x14ac:dyDescent="0.25">
      <c r="A34333">
        <v>73071990148</v>
      </c>
      <c r="B34333" t="s">
        <v>10106</v>
      </c>
    </row>
    <row r="34334" spans="1:2" x14ac:dyDescent="0.25">
      <c r="A34334">
        <v>73071990149</v>
      </c>
      <c r="B34334" t="s">
        <v>57</v>
      </c>
    </row>
    <row r="34335" spans="1:2" x14ac:dyDescent="0.25">
      <c r="A34335">
        <v>7307199015</v>
      </c>
      <c r="B34335" t="s">
        <v>10110</v>
      </c>
    </row>
    <row r="34336" spans="1:2" x14ac:dyDescent="0.25">
      <c r="A34336">
        <v>73071990151</v>
      </c>
      <c r="B34336" t="s">
        <v>10160</v>
      </c>
    </row>
    <row r="34337" spans="1:2" x14ac:dyDescent="0.25">
      <c r="A34337">
        <v>73071990152</v>
      </c>
      <c r="B34337" t="s">
        <v>10161</v>
      </c>
    </row>
    <row r="34338" spans="1:2" x14ac:dyDescent="0.25">
      <c r="A34338">
        <v>73071990153</v>
      </c>
      <c r="B34338" t="s">
        <v>10162</v>
      </c>
    </row>
    <row r="34339" spans="1:2" x14ac:dyDescent="0.25">
      <c r="A34339">
        <v>73071990154</v>
      </c>
      <c r="B34339" t="s">
        <v>10163</v>
      </c>
    </row>
    <row r="34340" spans="1:2" x14ac:dyDescent="0.25">
      <c r="A34340">
        <v>73071990155</v>
      </c>
      <c r="B34340" t="s">
        <v>10164</v>
      </c>
    </row>
    <row r="34341" spans="1:2" x14ac:dyDescent="0.25">
      <c r="A34341">
        <v>73071990156</v>
      </c>
      <c r="B34341" t="s">
        <v>10165</v>
      </c>
    </row>
    <row r="34342" spans="1:2" x14ac:dyDescent="0.25">
      <c r="A34342">
        <v>73071990158</v>
      </c>
      <c r="B34342" t="s">
        <v>10106</v>
      </c>
    </row>
    <row r="34343" spans="1:2" x14ac:dyDescent="0.25">
      <c r="A34343">
        <v>73071990159</v>
      </c>
      <c r="B34343" t="s">
        <v>57</v>
      </c>
    </row>
    <row r="34344" spans="1:2" x14ac:dyDescent="0.25">
      <c r="A34344">
        <v>7307199019</v>
      </c>
      <c r="B34344" t="s">
        <v>10</v>
      </c>
    </row>
    <row r="34345" spans="1:2" x14ac:dyDescent="0.25">
      <c r="A34345">
        <v>73071990191</v>
      </c>
      <c r="B34345" t="s">
        <v>10097</v>
      </c>
    </row>
    <row r="34346" spans="1:2" x14ac:dyDescent="0.25">
      <c r="A34346">
        <v>73071990199</v>
      </c>
      <c r="B34346" t="s">
        <v>10</v>
      </c>
    </row>
    <row r="34347" spans="1:2" x14ac:dyDescent="0.25">
      <c r="A34347">
        <v>730719902</v>
      </c>
      <c r="B34347" t="s">
        <v>10166</v>
      </c>
    </row>
    <row r="34348" spans="1:2" x14ac:dyDescent="0.25">
      <c r="A34348">
        <v>7307199021</v>
      </c>
      <c r="B34348" t="s">
        <v>10100</v>
      </c>
    </row>
    <row r="34349" spans="1:2" x14ac:dyDescent="0.25">
      <c r="A34349">
        <v>73071990211</v>
      </c>
      <c r="B34349" t="s">
        <v>10160</v>
      </c>
    </row>
    <row r="34350" spans="1:2" x14ac:dyDescent="0.25">
      <c r="A34350">
        <v>73071990212</v>
      </c>
      <c r="B34350" t="s">
        <v>10161</v>
      </c>
    </row>
    <row r="34351" spans="1:2" x14ac:dyDescent="0.25">
      <c r="A34351">
        <v>73071990213</v>
      </c>
      <c r="B34351" t="s">
        <v>10162</v>
      </c>
    </row>
    <row r="34352" spans="1:2" x14ac:dyDescent="0.25">
      <c r="A34352">
        <v>73071990214</v>
      </c>
      <c r="B34352" t="s">
        <v>10163</v>
      </c>
    </row>
    <row r="34353" spans="1:2" x14ac:dyDescent="0.25">
      <c r="A34353">
        <v>73071990215</v>
      </c>
      <c r="B34353" t="s">
        <v>10164</v>
      </c>
    </row>
    <row r="34354" spans="1:2" x14ac:dyDescent="0.25">
      <c r="A34354">
        <v>73071990216</v>
      </c>
      <c r="B34354" t="s">
        <v>10165</v>
      </c>
    </row>
    <row r="34355" spans="1:2" x14ac:dyDescent="0.25">
      <c r="A34355">
        <v>73071990218</v>
      </c>
      <c r="B34355" t="s">
        <v>10106</v>
      </c>
    </row>
    <row r="34356" spans="1:2" x14ac:dyDescent="0.25">
      <c r="A34356">
        <v>73071990219</v>
      </c>
      <c r="B34356" t="s">
        <v>57</v>
      </c>
    </row>
    <row r="34357" spans="1:2" x14ac:dyDescent="0.25">
      <c r="A34357">
        <v>7307199022</v>
      </c>
      <c r="B34357" t="s">
        <v>6671</v>
      </c>
    </row>
    <row r="34358" spans="1:2" x14ac:dyDescent="0.25">
      <c r="A34358">
        <v>73071990221</v>
      </c>
      <c r="B34358" t="s">
        <v>10160</v>
      </c>
    </row>
    <row r="34359" spans="1:2" x14ac:dyDescent="0.25">
      <c r="A34359">
        <v>73071990222</v>
      </c>
      <c r="B34359" t="s">
        <v>10161</v>
      </c>
    </row>
    <row r="34360" spans="1:2" x14ac:dyDescent="0.25">
      <c r="A34360">
        <v>73071990223</v>
      </c>
      <c r="B34360" t="s">
        <v>10162</v>
      </c>
    </row>
    <row r="34361" spans="1:2" x14ac:dyDescent="0.25">
      <c r="A34361">
        <v>73071990224</v>
      </c>
      <c r="B34361" t="s">
        <v>10163</v>
      </c>
    </row>
    <row r="34362" spans="1:2" x14ac:dyDescent="0.25">
      <c r="A34362">
        <v>73071990225</v>
      </c>
      <c r="B34362" t="s">
        <v>10164</v>
      </c>
    </row>
    <row r="34363" spans="1:2" x14ac:dyDescent="0.25">
      <c r="A34363">
        <v>73071990226</v>
      </c>
      <c r="B34363" t="s">
        <v>10165</v>
      </c>
    </row>
    <row r="34364" spans="1:2" x14ac:dyDescent="0.25">
      <c r="A34364">
        <v>73071990228</v>
      </c>
      <c r="B34364" t="s">
        <v>10107</v>
      </c>
    </row>
    <row r="34365" spans="1:2" x14ac:dyDescent="0.25">
      <c r="A34365">
        <v>73071990229</v>
      </c>
      <c r="B34365" t="s">
        <v>10</v>
      </c>
    </row>
    <row r="34366" spans="1:2" x14ac:dyDescent="0.25">
      <c r="A34366">
        <v>7307199023</v>
      </c>
      <c r="B34366" t="s">
        <v>10108</v>
      </c>
    </row>
    <row r="34367" spans="1:2" x14ac:dyDescent="0.25">
      <c r="A34367">
        <v>73071990231</v>
      </c>
      <c r="B34367" t="s">
        <v>10160</v>
      </c>
    </row>
    <row r="34368" spans="1:2" x14ac:dyDescent="0.25">
      <c r="A34368">
        <v>73071990232</v>
      </c>
      <c r="B34368" t="s">
        <v>10161</v>
      </c>
    </row>
    <row r="34369" spans="1:2" x14ac:dyDescent="0.25">
      <c r="A34369">
        <v>73071990233</v>
      </c>
      <c r="B34369" t="s">
        <v>10162</v>
      </c>
    </row>
    <row r="34370" spans="1:2" x14ac:dyDescent="0.25">
      <c r="A34370">
        <v>73071990234</v>
      </c>
      <c r="B34370" t="s">
        <v>10163</v>
      </c>
    </row>
    <row r="34371" spans="1:2" x14ac:dyDescent="0.25">
      <c r="A34371">
        <v>73071990235</v>
      </c>
      <c r="B34371" t="s">
        <v>10164</v>
      </c>
    </row>
    <row r="34372" spans="1:2" x14ac:dyDescent="0.25">
      <c r="A34372">
        <v>73071990236</v>
      </c>
      <c r="B34372" t="s">
        <v>10165</v>
      </c>
    </row>
    <row r="34373" spans="1:2" x14ac:dyDescent="0.25">
      <c r="A34373">
        <v>73071990238</v>
      </c>
      <c r="B34373" t="s">
        <v>10106</v>
      </c>
    </row>
    <row r="34374" spans="1:2" x14ac:dyDescent="0.25">
      <c r="A34374">
        <v>73071990239</v>
      </c>
      <c r="B34374" t="s">
        <v>57</v>
      </c>
    </row>
    <row r="34375" spans="1:2" x14ac:dyDescent="0.25">
      <c r="A34375">
        <v>7307199024</v>
      </c>
      <c r="B34375" t="s">
        <v>10109</v>
      </c>
    </row>
    <row r="34376" spans="1:2" x14ac:dyDescent="0.25">
      <c r="A34376">
        <v>73071990241</v>
      </c>
      <c r="B34376" t="s">
        <v>10160</v>
      </c>
    </row>
    <row r="34377" spans="1:2" x14ac:dyDescent="0.25">
      <c r="A34377">
        <v>73071990242</v>
      </c>
      <c r="B34377" t="s">
        <v>10161</v>
      </c>
    </row>
    <row r="34378" spans="1:2" x14ac:dyDescent="0.25">
      <c r="A34378">
        <v>73071990243</v>
      </c>
      <c r="B34378" t="s">
        <v>10162</v>
      </c>
    </row>
    <row r="34379" spans="1:2" x14ac:dyDescent="0.25">
      <c r="A34379">
        <v>73071990244</v>
      </c>
      <c r="B34379" t="s">
        <v>10163</v>
      </c>
    </row>
    <row r="34380" spans="1:2" x14ac:dyDescent="0.25">
      <c r="A34380">
        <v>73071990245</v>
      </c>
      <c r="B34380" t="s">
        <v>10164</v>
      </c>
    </row>
    <row r="34381" spans="1:2" x14ac:dyDescent="0.25">
      <c r="A34381">
        <v>73071990246</v>
      </c>
      <c r="B34381" t="s">
        <v>10165</v>
      </c>
    </row>
    <row r="34382" spans="1:2" x14ac:dyDescent="0.25">
      <c r="A34382">
        <v>73071990248</v>
      </c>
      <c r="B34382" t="s">
        <v>10106</v>
      </c>
    </row>
    <row r="34383" spans="1:2" x14ac:dyDescent="0.25">
      <c r="A34383">
        <v>73071990249</v>
      </c>
      <c r="B34383" t="s">
        <v>57</v>
      </c>
    </row>
    <row r="34384" spans="1:2" x14ac:dyDescent="0.25">
      <c r="A34384">
        <v>7307199025</v>
      </c>
      <c r="B34384" t="s">
        <v>10110</v>
      </c>
    </row>
    <row r="34385" spans="1:2" x14ac:dyDescent="0.25">
      <c r="A34385">
        <v>73071990251</v>
      </c>
      <c r="B34385" t="s">
        <v>10160</v>
      </c>
    </row>
    <row r="34386" spans="1:2" x14ac:dyDescent="0.25">
      <c r="A34386">
        <v>73071990252</v>
      </c>
      <c r="B34386" t="s">
        <v>10161</v>
      </c>
    </row>
    <row r="34387" spans="1:2" x14ac:dyDescent="0.25">
      <c r="A34387">
        <v>73071990253</v>
      </c>
      <c r="B34387" t="s">
        <v>10162</v>
      </c>
    </row>
    <row r="34388" spans="1:2" x14ac:dyDescent="0.25">
      <c r="A34388">
        <v>73071990254</v>
      </c>
      <c r="B34388" t="s">
        <v>10163</v>
      </c>
    </row>
    <row r="34389" spans="1:2" x14ac:dyDescent="0.25">
      <c r="A34389">
        <v>73071990255</v>
      </c>
      <c r="B34389" t="s">
        <v>10164</v>
      </c>
    </row>
    <row r="34390" spans="1:2" x14ac:dyDescent="0.25">
      <c r="A34390">
        <v>73071990256</v>
      </c>
      <c r="B34390" t="s">
        <v>10165</v>
      </c>
    </row>
    <row r="34391" spans="1:2" x14ac:dyDescent="0.25">
      <c r="A34391">
        <v>73071990258</v>
      </c>
      <c r="B34391" t="s">
        <v>10106</v>
      </c>
    </row>
    <row r="34392" spans="1:2" x14ac:dyDescent="0.25">
      <c r="A34392">
        <v>73071990259</v>
      </c>
      <c r="B34392" t="s">
        <v>57</v>
      </c>
    </row>
    <row r="34393" spans="1:2" x14ac:dyDescent="0.25">
      <c r="A34393">
        <v>7307199029</v>
      </c>
      <c r="B34393" t="s">
        <v>10</v>
      </c>
    </row>
    <row r="34394" spans="1:2" x14ac:dyDescent="0.25">
      <c r="A34394">
        <v>73071990291</v>
      </c>
      <c r="B34394" t="s">
        <v>10097</v>
      </c>
    </row>
    <row r="34395" spans="1:2" x14ac:dyDescent="0.25">
      <c r="A34395">
        <v>73071990299</v>
      </c>
      <c r="B34395" t="s">
        <v>10</v>
      </c>
    </row>
    <row r="34396" spans="1:2" x14ac:dyDescent="0.25">
      <c r="A34396">
        <v>730719903</v>
      </c>
      <c r="B34396" t="s">
        <v>10167</v>
      </c>
    </row>
    <row r="34397" spans="1:2" x14ac:dyDescent="0.25">
      <c r="A34397">
        <v>7307199031</v>
      </c>
      <c r="B34397" t="s">
        <v>10100</v>
      </c>
    </row>
    <row r="34398" spans="1:2" x14ac:dyDescent="0.25">
      <c r="A34398">
        <v>73071990311</v>
      </c>
      <c r="B34398" t="s">
        <v>10160</v>
      </c>
    </row>
    <row r="34399" spans="1:2" x14ac:dyDescent="0.25">
      <c r="A34399">
        <v>73071990312</v>
      </c>
      <c r="B34399" t="s">
        <v>10161</v>
      </c>
    </row>
    <row r="34400" spans="1:2" x14ac:dyDescent="0.25">
      <c r="A34400">
        <v>73071990313</v>
      </c>
      <c r="B34400" t="s">
        <v>10162</v>
      </c>
    </row>
    <row r="34401" spans="1:2" x14ac:dyDescent="0.25">
      <c r="A34401">
        <v>73071990314</v>
      </c>
      <c r="B34401" t="s">
        <v>10163</v>
      </c>
    </row>
    <row r="34402" spans="1:2" x14ac:dyDescent="0.25">
      <c r="A34402">
        <v>73071990315</v>
      </c>
      <c r="B34402" t="s">
        <v>10164</v>
      </c>
    </row>
    <row r="34403" spans="1:2" x14ac:dyDescent="0.25">
      <c r="A34403">
        <v>73071990316</v>
      </c>
      <c r="B34403" t="s">
        <v>10165</v>
      </c>
    </row>
    <row r="34404" spans="1:2" x14ac:dyDescent="0.25">
      <c r="A34404">
        <v>73071990318</v>
      </c>
      <c r="B34404" t="s">
        <v>10106</v>
      </c>
    </row>
    <row r="34405" spans="1:2" x14ac:dyDescent="0.25">
      <c r="A34405">
        <v>73071990319</v>
      </c>
      <c r="B34405" t="s">
        <v>57</v>
      </c>
    </row>
    <row r="34406" spans="1:2" x14ac:dyDescent="0.25">
      <c r="A34406">
        <v>7307199032</v>
      </c>
      <c r="B34406" t="s">
        <v>6671</v>
      </c>
    </row>
    <row r="34407" spans="1:2" x14ac:dyDescent="0.25">
      <c r="A34407">
        <v>73071990321</v>
      </c>
      <c r="B34407" t="s">
        <v>10160</v>
      </c>
    </row>
    <row r="34408" spans="1:2" x14ac:dyDescent="0.25">
      <c r="A34408">
        <v>73071990322</v>
      </c>
      <c r="B34408" t="s">
        <v>10161</v>
      </c>
    </row>
    <row r="34409" spans="1:2" x14ac:dyDescent="0.25">
      <c r="A34409">
        <v>73071990323</v>
      </c>
      <c r="B34409" t="s">
        <v>10162</v>
      </c>
    </row>
    <row r="34410" spans="1:2" x14ac:dyDescent="0.25">
      <c r="A34410">
        <v>73071990324</v>
      </c>
      <c r="B34410" t="s">
        <v>10163</v>
      </c>
    </row>
    <row r="34411" spans="1:2" x14ac:dyDescent="0.25">
      <c r="A34411">
        <v>73071990325</v>
      </c>
      <c r="B34411" t="s">
        <v>10164</v>
      </c>
    </row>
    <row r="34412" spans="1:2" x14ac:dyDescent="0.25">
      <c r="A34412">
        <v>73071990326</v>
      </c>
      <c r="B34412" t="s">
        <v>10165</v>
      </c>
    </row>
    <row r="34413" spans="1:2" x14ac:dyDescent="0.25">
      <c r="A34413">
        <v>73071990328</v>
      </c>
      <c r="B34413" t="s">
        <v>10107</v>
      </c>
    </row>
    <row r="34414" spans="1:2" x14ac:dyDescent="0.25">
      <c r="A34414">
        <v>73071990329</v>
      </c>
      <c r="B34414" t="s">
        <v>10</v>
      </c>
    </row>
    <row r="34415" spans="1:2" x14ac:dyDescent="0.25">
      <c r="A34415">
        <v>7307199033</v>
      </c>
      <c r="B34415" t="s">
        <v>10108</v>
      </c>
    </row>
    <row r="34416" spans="1:2" x14ac:dyDescent="0.25">
      <c r="A34416">
        <v>73071990331</v>
      </c>
      <c r="B34416" t="s">
        <v>10160</v>
      </c>
    </row>
    <row r="34417" spans="1:2" x14ac:dyDescent="0.25">
      <c r="A34417">
        <v>73071990332</v>
      </c>
      <c r="B34417" t="s">
        <v>10161</v>
      </c>
    </row>
    <row r="34418" spans="1:2" x14ac:dyDescent="0.25">
      <c r="A34418">
        <v>73071990333</v>
      </c>
      <c r="B34418" t="s">
        <v>10162</v>
      </c>
    </row>
    <row r="34419" spans="1:2" x14ac:dyDescent="0.25">
      <c r="A34419">
        <v>73071990334</v>
      </c>
      <c r="B34419" t="s">
        <v>10163</v>
      </c>
    </row>
    <row r="34420" spans="1:2" x14ac:dyDescent="0.25">
      <c r="A34420">
        <v>73071990335</v>
      </c>
      <c r="B34420" t="s">
        <v>10164</v>
      </c>
    </row>
    <row r="34421" spans="1:2" x14ac:dyDescent="0.25">
      <c r="A34421">
        <v>73071990336</v>
      </c>
      <c r="B34421" t="s">
        <v>10165</v>
      </c>
    </row>
    <row r="34422" spans="1:2" x14ac:dyDescent="0.25">
      <c r="A34422">
        <v>73071990338</v>
      </c>
      <c r="B34422" t="s">
        <v>10106</v>
      </c>
    </row>
    <row r="34423" spans="1:2" x14ac:dyDescent="0.25">
      <c r="A34423">
        <v>73071990339</v>
      </c>
      <c r="B34423" t="s">
        <v>57</v>
      </c>
    </row>
    <row r="34424" spans="1:2" x14ac:dyDescent="0.25">
      <c r="A34424">
        <v>7307199034</v>
      </c>
      <c r="B34424" t="s">
        <v>10109</v>
      </c>
    </row>
    <row r="34425" spans="1:2" x14ac:dyDescent="0.25">
      <c r="A34425">
        <v>73071990341</v>
      </c>
      <c r="B34425" t="s">
        <v>10160</v>
      </c>
    </row>
    <row r="34426" spans="1:2" x14ac:dyDescent="0.25">
      <c r="A34426">
        <v>73071990342</v>
      </c>
      <c r="B34426" t="s">
        <v>10161</v>
      </c>
    </row>
    <row r="34427" spans="1:2" x14ac:dyDescent="0.25">
      <c r="A34427">
        <v>73071990343</v>
      </c>
      <c r="B34427" t="s">
        <v>10162</v>
      </c>
    </row>
    <row r="34428" spans="1:2" x14ac:dyDescent="0.25">
      <c r="A34428">
        <v>73071990344</v>
      </c>
      <c r="B34428" t="s">
        <v>10163</v>
      </c>
    </row>
    <row r="34429" spans="1:2" x14ac:dyDescent="0.25">
      <c r="A34429">
        <v>73071990345</v>
      </c>
      <c r="B34429" t="s">
        <v>10164</v>
      </c>
    </row>
    <row r="34430" spans="1:2" x14ac:dyDescent="0.25">
      <c r="A34430">
        <v>73071990346</v>
      </c>
      <c r="B34430" t="s">
        <v>10165</v>
      </c>
    </row>
    <row r="34431" spans="1:2" x14ac:dyDescent="0.25">
      <c r="A34431">
        <v>73071990348</v>
      </c>
      <c r="B34431" t="s">
        <v>10106</v>
      </c>
    </row>
    <row r="34432" spans="1:2" x14ac:dyDescent="0.25">
      <c r="A34432">
        <v>73071990349</v>
      </c>
      <c r="B34432" t="s">
        <v>57</v>
      </c>
    </row>
    <row r="34433" spans="1:2" x14ac:dyDescent="0.25">
      <c r="A34433">
        <v>7307199035</v>
      </c>
      <c r="B34433" t="s">
        <v>10110</v>
      </c>
    </row>
    <row r="34434" spans="1:2" x14ac:dyDescent="0.25">
      <c r="A34434">
        <v>73071990351</v>
      </c>
      <c r="B34434" t="s">
        <v>10160</v>
      </c>
    </row>
    <row r="34435" spans="1:2" x14ac:dyDescent="0.25">
      <c r="A34435">
        <v>73071990352</v>
      </c>
      <c r="B34435" t="s">
        <v>10161</v>
      </c>
    </row>
    <row r="34436" spans="1:2" x14ac:dyDescent="0.25">
      <c r="A34436">
        <v>73071990353</v>
      </c>
      <c r="B34436" t="s">
        <v>10162</v>
      </c>
    </row>
    <row r="34437" spans="1:2" x14ac:dyDescent="0.25">
      <c r="A34437">
        <v>73071990354</v>
      </c>
      <c r="B34437" t="s">
        <v>10163</v>
      </c>
    </row>
    <row r="34438" spans="1:2" x14ac:dyDescent="0.25">
      <c r="A34438">
        <v>73071990355</v>
      </c>
      <c r="B34438" t="s">
        <v>10164</v>
      </c>
    </row>
    <row r="34439" spans="1:2" x14ac:dyDescent="0.25">
      <c r="A34439">
        <v>73071990356</v>
      </c>
      <c r="B34439" t="s">
        <v>10165</v>
      </c>
    </row>
    <row r="34440" spans="1:2" x14ac:dyDescent="0.25">
      <c r="A34440">
        <v>73071990358</v>
      </c>
      <c r="B34440" t="s">
        <v>10106</v>
      </c>
    </row>
    <row r="34441" spans="1:2" x14ac:dyDescent="0.25">
      <c r="A34441">
        <v>73071990359</v>
      </c>
      <c r="B34441" t="s">
        <v>57</v>
      </c>
    </row>
    <row r="34442" spans="1:2" x14ac:dyDescent="0.25">
      <c r="A34442">
        <v>7307199039</v>
      </c>
      <c r="B34442" t="s">
        <v>10</v>
      </c>
    </row>
    <row r="34443" spans="1:2" x14ac:dyDescent="0.25">
      <c r="A34443">
        <v>73071990391</v>
      </c>
      <c r="B34443" t="s">
        <v>10097</v>
      </c>
    </row>
    <row r="34444" spans="1:2" x14ac:dyDescent="0.25">
      <c r="A34444">
        <v>73071990399</v>
      </c>
      <c r="B34444" t="s">
        <v>10</v>
      </c>
    </row>
    <row r="34445" spans="1:2" x14ac:dyDescent="0.25">
      <c r="A34445">
        <v>73071990500</v>
      </c>
      <c r="B34445" t="s">
        <v>6661</v>
      </c>
    </row>
    <row r="34446" spans="1:2" x14ac:dyDescent="0.25">
      <c r="A34446">
        <v>730719909</v>
      </c>
      <c r="B34446" t="s">
        <v>10</v>
      </c>
    </row>
    <row r="34447" spans="1:2" x14ac:dyDescent="0.25">
      <c r="A34447">
        <v>7307199091</v>
      </c>
      <c r="B34447" t="s">
        <v>10097</v>
      </c>
    </row>
    <row r="34448" spans="1:2" x14ac:dyDescent="0.25">
      <c r="A34448">
        <v>73071990911</v>
      </c>
      <c r="B34448" t="s">
        <v>10168</v>
      </c>
    </row>
    <row r="34449" spans="1:2" x14ac:dyDescent="0.25">
      <c r="A34449">
        <v>73071990919</v>
      </c>
      <c r="B34449" t="s">
        <v>10</v>
      </c>
    </row>
    <row r="34450" spans="1:2" x14ac:dyDescent="0.25">
      <c r="A34450">
        <v>7307199099</v>
      </c>
      <c r="B34450" t="s">
        <v>10</v>
      </c>
    </row>
    <row r="34451" spans="1:2" x14ac:dyDescent="0.25">
      <c r="A34451">
        <v>73071990991</v>
      </c>
      <c r="B34451" t="s">
        <v>10168</v>
      </c>
    </row>
    <row r="34452" spans="1:2" x14ac:dyDescent="0.25">
      <c r="A34452">
        <v>73071990999</v>
      </c>
      <c r="B34452" t="s">
        <v>10</v>
      </c>
    </row>
    <row r="34453" spans="1:2" x14ac:dyDescent="0.25">
      <c r="A34453">
        <v>73072</v>
      </c>
      <c r="B34453" t="s">
        <v>10169</v>
      </c>
    </row>
    <row r="34454" spans="1:2" x14ac:dyDescent="0.25">
      <c r="A34454">
        <v>73072100</v>
      </c>
      <c r="B34454" t="e">
        <f>- - bridas</f>
        <v>#NAME?</v>
      </c>
    </row>
    <row r="34455" spans="1:2" x14ac:dyDescent="0.25">
      <c r="A34455">
        <v>73072100100</v>
      </c>
      <c r="B34455" t="s">
        <v>10170</v>
      </c>
    </row>
    <row r="34456" spans="1:2" x14ac:dyDescent="0.25">
      <c r="A34456">
        <v>73072100900</v>
      </c>
      <c r="B34456" t="s">
        <v>57</v>
      </c>
    </row>
    <row r="34457" spans="1:2" x14ac:dyDescent="0.25">
      <c r="A34457">
        <v>73072200000</v>
      </c>
      <c r="B34457" t="e">
        <f>--Codos. curvas y manguitos. roscados</f>
        <v>#NAME?</v>
      </c>
    </row>
    <row r="34458" spans="1:2" x14ac:dyDescent="0.25">
      <c r="A34458">
        <v>73072300000</v>
      </c>
      <c r="B34458" t="e">
        <f>--accesorios de soldar a tope</f>
        <v>#NAME?</v>
      </c>
    </row>
    <row r="34459" spans="1:2" x14ac:dyDescent="0.25">
      <c r="A34459">
        <v>73072900</v>
      </c>
      <c r="B34459" t="e">
        <f>- - Los demas</f>
        <v>#NAME?</v>
      </c>
    </row>
    <row r="34460" spans="1:2" x14ac:dyDescent="0.25">
      <c r="A34460">
        <v>73072900100</v>
      </c>
      <c r="B34460" t="s">
        <v>10097</v>
      </c>
    </row>
    <row r="34461" spans="1:2" x14ac:dyDescent="0.25">
      <c r="A34461">
        <v>73072900900</v>
      </c>
      <c r="B34461" t="s">
        <v>10</v>
      </c>
    </row>
    <row r="34462" spans="1:2" x14ac:dyDescent="0.25">
      <c r="A34462">
        <v>73079</v>
      </c>
      <c r="B34462" t="s">
        <v>28</v>
      </c>
    </row>
    <row r="34463" spans="1:2" x14ac:dyDescent="0.25">
      <c r="A34463">
        <v>73079100</v>
      </c>
      <c r="B34463" t="e">
        <f>- - bridas</f>
        <v>#NAME?</v>
      </c>
    </row>
    <row r="34464" spans="1:2" x14ac:dyDescent="0.25">
      <c r="A34464">
        <v>73079100100</v>
      </c>
      <c r="B34464" t="s">
        <v>10170</v>
      </c>
    </row>
    <row r="34465" spans="1:2" x14ac:dyDescent="0.25">
      <c r="A34465">
        <v>73079100900</v>
      </c>
      <c r="B34465" t="s">
        <v>57</v>
      </c>
    </row>
    <row r="34466" spans="1:2" x14ac:dyDescent="0.25">
      <c r="A34466">
        <v>73079200000</v>
      </c>
      <c r="B34466" t="e">
        <f>--Codos. curvas y manguitos. roscados</f>
        <v>#NAME?</v>
      </c>
    </row>
    <row r="34467" spans="1:2" x14ac:dyDescent="0.25">
      <c r="A34467">
        <v>73079300</v>
      </c>
      <c r="B34467" t="e">
        <f>- - accesorios para soldar a tope</f>
        <v>#NAME?</v>
      </c>
    </row>
    <row r="34468" spans="1:2" x14ac:dyDescent="0.25">
      <c r="A34468">
        <v>730793001</v>
      </c>
      <c r="B34468" t="s">
        <v>10171</v>
      </c>
    </row>
    <row r="34469" spans="1:2" x14ac:dyDescent="0.25">
      <c r="A34469">
        <v>7307930011</v>
      </c>
      <c r="B34469" t="s">
        <v>10136</v>
      </c>
    </row>
    <row r="34470" spans="1:2" x14ac:dyDescent="0.25">
      <c r="A34470">
        <v>73079300111</v>
      </c>
      <c r="B34470" t="s">
        <v>10116</v>
      </c>
    </row>
    <row r="34471" spans="1:2" x14ac:dyDescent="0.25">
      <c r="A34471">
        <v>73079300112</v>
      </c>
      <c r="B34471" t="s">
        <v>10117</v>
      </c>
    </row>
    <row r="34472" spans="1:2" x14ac:dyDescent="0.25">
      <c r="A34472">
        <v>73079300113</v>
      </c>
      <c r="B34472" t="s">
        <v>10118</v>
      </c>
    </row>
    <row r="34473" spans="1:2" x14ac:dyDescent="0.25">
      <c r="A34473">
        <v>73079300114</v>
      </c>
      <c r="B34473" t="s">
        <v>10119</v>
      </c>
    </row>
    <row r="34474" spans="1:2" x14ac:dyDescent="0.25">
      <c r="A34474">
        <v>73079300115</v>
      </c>
      <c r="B34474" t="s">
        <v>10120</v>
      </c>
    </row>
    <row r="34475" spans="1:2" x14ac:dyDescent="0.25">
      <c r="A34475">
        <v>73079300119</v>
      </c>
      <c r="B34475" t="s">
        <v>10</v>
      </c>
    </row>
    <row r="34476" spans="1:2" x14ac:dyDescent="0.25">
      <c r="A34476">
        <v>7307930012</v>
      </c>
      <c r="B34476" t="s">
        <v>10172</v>
      </c>
    </row>
    <row r="34477" spans="1:2" x14ac:dyDescent="0.25">
      <c r="A34477">
        <v>73079300121</v>
      </c>
      <c r="B34477" t="s">
        <v>10116</v>
      </c>
    </row>
    <row r="34478" spans="1:2" x14ac:dyDescent="0.25">
      <c r="A34478">
        <v>73079300122</v>
      </c>
      <c r="B34478" t="s">
        <v>10117</v>
      </c>
    </row>
    <row r="34479" spans="1:2" x14ac:dyDescent="0.25">
      <c r="A34479">
        <v>73079300123</v>
      </c>
      <c r="B34479" t="s">
        <v>10118</v>
      </c>
    </row>
    <row r="34480" spans="1:2" x14ac:dyDescent="0.25">
      <c r="A34480">
        <v>73079300124</v>
      </c>
      <c r="B34480" t="s">
        <v>10119</v>
      </c>
    </row>
    <row r="34481" spans="1:2" x14ac:dyDescent="0.25">
      <c r="A34481">
        <v>73079300125</v>
      </c>
      <c r="B34481" t="s">
        <v>10120</v>
      </c>
    </row>
    <row r="34482" spans="1:2" x14ac:dyDescent="0.25">
      <c r="A34482">
        <v>73079300129</v>
      </c>
      <c r="B34482" t="s">
        <v>10</v>
      </c>
    </row>
    <row r="34483" spans="1:2" x14ac:dyDescent="0.25">
      <c r="A34483">
        <v>7307930013</v>
      </c>
      <c r="B34483" t="s">
        <v>10173</v>
      </c>
    </row>
    <row r="34484" spans="1:2" x14ac:dyDescent="0.25">
      <c r="A34484">
        <v>73079300131</v>
      </c>
      <c r="B34484" t="s">
        <v>10116</v>
      </c>
    </row>
    <row r="34485" spans="1:2" x14ac:dyDescent="0.25">
      <c r="A34485">
        <v>73079300132</v>
      </c>
      <c r="B34485" t="s">
        <v>10117</v>
      </c>
    </row>
    <row r="34486" spans="1:2" x14ac:dyDescent="0.25">
      <c r="A34486">
        <v>73079300133</v>
      </c>
      <c r="B34486" t="s">
        <v>10118</v>
      </c>
    </row>
    <row r="34487" spans="1:2" x14ac:dyDescent="0.25">
      <c r="A34487">
        <v>73079300134</v>
      </c>
      <c r="B34487" t="s">
        <v>10119</v>
      </c>
    </row>
    <row r="34488" spans="1:2" x14ac:dyDescent="0.25">
      <c r="A34488">
        <v>73079300135</v>
      </c>
      <c r="B34488" t="s">
        <v>10120</v>
      </c>
    </row>
    <row r="34489" spans="1:2" x14ac:dyDescent="0.25">
      <c r="A34489">
        <v>73079300139</v>
      </c>
      <c r="B34489" t="s">
        <v>10</v>
      </c>
    </row>
    <row r="34490" spans="1:2" x14ac:dyDescent="0.25">
      <c r="A34490">
        <v>7307930014</v>
      </c>
      <c r="B34490" t="s">
        <v>10123</v>
      </c>
    </row>
    <row r="34491" spans="1:2" x14ac:dyDescent="0.25">
      <c r="A34491">
        <v>73079300141</v>
      </c>
      <c r="B34491" t="s">
        <v>10116</v>
      </c>
    </row>
    <row r="34492" spans="1:2" x14ac:dyDescent="0.25">
      <c r="A34492">
        <v>73079300142</v>
      </c>
      <c r="B34492" t="s">
        <v>10117</v>
      </c>
    </row>
    <row r="34493" spans="1:2" x14ac:dyDescent="0.25">
      <c r="A34493">
        <v>73079300143</v>
      </c>
      <c r="B34493" t="s">
        <v>10118</v>
      </c>
    </row>
    <row r="34494" spans="1:2" x14ac:dyDescent="0.25">
      <c r="A34494">
        <v>73079300144</v>
      </c>
      <c r="B34494" t="s">
        <v>10119</v>
      </c>
    </row>
    <row r="34495" spans="1:2" x14ac:dyDescent="0.25">
      <c r="A34495">
        <v>73079300145</v>
      </c>
      <c r="B34495" t="s">
        <v>10120</v>
      </c>
    </row>
    <row r="34496" spans="1:2" x14ac:dyDescent="0.25">
      <c r="A34496">
        <v>73079300149</v>
      </c>
      <c r="B34496" t="s">
        <v>10</v>
      </c>
    </row>
    <row r="34497" spans="1:2" x14ac:dyDescent="0.25">
      <c r="A34497">
        <v>7307930015</v>
      </c>
      <c r="B34497" t="s">
        <v>10124</v>
      </c>
    </row>
    <row r="34498" spans="1:2" x14ac:dyDescent="0.25">
      <c r="A34498">
        <v>73079300151</v>
      </c>
      <c r="B34498" t="s">
        <v>10116</v>
      </c>
    </row>
    <row r="34499" spans="1:2" x14ac:dyDescent="0.25">
      <c r="A34499">
        <v>73079300152</v>
      </c>
      <c r="B34499" t="s">
        <v>10117</v>
      </c>
    </row>
    <row r="34500" spans="1:2" x14ac:dyDescent="0.25">
      <c r="A34500">
        <v>73079300153</v>
      </c>
      <c r="B34500" t="s">
        <v>10118</v>
      </c>
    </row>
    <row r="34501" spans="1:2" x14ac:dyDescent="0.25">
      <c r="A34501">
        <v>73079300154</v>
      </c>
      <c r="B34501" t="s">
        <v>10119</v>
      </c>
    </row>
    <row r="34502" spans="1:2" x14ac:dyDescent="0.25">
      <c r="A34502">
        <v>73079300155</v>
      </c>
      <c r="B34502" t="s">
        <v>10120</v>
      </c>
    </row>
    <row r="34503" spans="1:2" x14ac:dyDescent="0.25">
      <c r="A34503">
        <v>73079300159</v>
      </c>
      <c r="B34503" t="s">
        <v>10</v>
      </c>
    </row>
    <row r="34504" spans="1:2" x14ac:dyDescent="0.25">
      <c r="A34504">
        <v>7307930016</v>
      </c>
      <c r="B34504" t="s">
        <v>10125</v>
      </c>
    </row>
    <row r="34505" spans="1:2" x14ac:dyDescent="0.25">
      <c r="A34505">
        <v>73079300161</v>
      </c>
      <c r="B34505" t="s">
        <v>10126</v>
      </c>
    </row>
    <row r="34506" spans="1:2" x14ac:dyDescent="0.25">
      <c r="A34506">
        <v>73079300162</v>
      </c>
      <c r="B34506" t="s">
        <v>10127</v>
      </c>
    </row>
    <row r="34507" spans="1:2" x14ac:dyDescent="0.25">
      <c r="A34507">
        <v>73079300163</v>
      </c>
      <c r="B34507" t="s">
        <v>10128</v>
      </c>
    </row>
    <row r="34508" spans="1:2" x14ac:dyDescent="0.25">
      <c r="A34508">
        <v>73079300164</v>
      </c>
      <c r="B34508" t="s">
        <v>10129</v>
      </c>
    </row>
    <row r="34509" spans="1:2" x14ac:dyDescent="0.25">
      <c r="A34509">
        <v>73079300165</v>
      </c>
      <c r="B34509" t="s">
        <v>10130</v>
      </c>
    </row>
    <row r="34510" spans="1:2" x14ac:dyDescent="0.25">
      <c r="A34510">
        <v>73079300169</v>
      </c>
      <c r="B34510" t="s">
        <v>10</v>
      </c>
    </row>
    <row r="34511" spans="1:2" x14ac:dyDescent="0.25">
      <c r="A34511">
        <v>7307930017</v>
      </c>
      <c r="B34511" t="s">
        <v>10131</v>
      </c>
    </row>
    <row r="34512" spans="1:2" x14ac:dyDescent="0.25">
      <c r="A34512">
        <v>73079300171</v>
      </c>
      <c r="B34512" t="s">
        <v>10132</v>
      </c>
    </row>
    <row r="34513" spans="1:2" x14ac:dyDescent="0.25">
      <c r="A34513">
        <v>73079300172</v>
      </c>
      <c r="B34513" t="s">
        <v>10133</v>
      </c>
    </row>
    <row r="34514" spans="1:2" x14ac:dyDescent="0.25">
      <c r="A34514">
        <v>73079300173</v>
      </c>
      <c r="B34514" t="s">
        <v>10118</v>
      </c>
    </row>
    <row r="34515" spans="1:2" x14ac:dyDescent="0.25">
      <c r="A34515">
        <v>73079300174</v>
      </c>
      <c r="B34515" t="s">
        <v>10119</v>
      </c>
    </row>
    <row r="34516" spans="1:2" x14ac:dyDescent="0.25">
      <c r="A34516">
        <v>73079300175</v>
      </c>
      <c r="B34516" t="s">
        <v>10120</v>
      </c>
    </row>
    <row r="34517" spans="1:2" x14ac:dyDescent="0.25">
      <c r="A34517">
        <v>73079300179</v>
      </c>
      <c r="B34517" t="s">
        <v>10</v>
      </c>
    </row>
    <row r="34518" spans="1:2" x14ac:dyDescent="0.25">
      <c r="A34518">
        <v>7307930018</v>
      </c>
      <c r="B34518" t="s">
        <v>10134</v>
      </c>
    </row>
    <row r="34519" spans="1:2" x14ac:dyDescent="0.25">
      <c r="A34519">
        <v>73079300181</v>
      </c>
      <c r="B34519" t="s">
        <v>10126</v>
      </c>
    </row>
    <row r="34520" spans="1:2" x14ac:dyDescent="0.25">
      <c r="A34520">
        <v>73079300182</v>
      </c>
      <c r="B34520" t="s">
        <v>10127</v>
      </c>
    </row>
    <row r="34521" spans="1:2" x14ac:dyDescent="0.25">
      <c r="A34521">
        <v>73079300183</v>
      </c>
      <c r="B34521" t="s">
        <v>10128</v>
      </c>
    </row>
    <row r="34522" spans="1:2" x14ac:dyDescent="0.25">
      <c r="A34522">
        <v>73079300184</v>
      </c>
      <c r="B34522" t="s">
        <v>10129</v>
      </c>
    </row>
    <row r="34523" spans="1:2" x14ac:dyDescent="0.25">
      <c r="A34523">
        <v>73079300185</v>
      </c>
      <c r="B34523" t="s">
        <v>10130</v>
      </c>
    </row>
    <row r="34524" spans="1:2" x14ac:dyDescent="0.25">
      <c r="A34524">
        <v>73079300189</v>
      </c>
      <c r="B34524" t="s">
        <v>10</v>
      </c>
    </row>
    <row r="34525" spans="1:2" x14ac:dyDescent="0.25">
      <c r="A34525">
        <v>73079300190</v>
      </c>
      <c r="B34525" t="s">
        <v>10</v>
      </c>
    </row>
    <row r="34526" spans="1:2" x14ac:dyDescent="0.25">
      <c r="A34526">
        <v>730793002</v>
      </c>
      <c r="B34526" t="s">
        <v>10174</v>
      </c>
    </row>
    <row r="34527" spans="1:2" x14ac:dyDescent="0.25">
      <c r="A34527">
        <v>7307930021</v>
      </c>
      <c r="B34527" t="s">
        <v>10115</v>
      </c>
    </row>
    <row r="34528" spans="1:2" x14ac:dyDescent="0.25">
      <c r="A34528">
        <v>73079300211</v>
      </c>
      <c r="B34528" t="s">
        <v>10137</v>
      </c>
    </row>
    <row r="34529" spans="1:2" x14ac:dyDescent="0.25">
      <c r="A34529">
        <v>73079300212</v>
      </c>
      <c r="B34529" t="s">
        <v>10138</v>
      </c>
    </row>
    <row r="34530" spans="1:2" x14ac:dyDescent="0.25">
      <c r="A34530">
        <v>73079300213</v>
      </c>
      <c r="B34530" t="s">
        <v>10139</v>
      </c>
    </row>
    <row r="34531" spans="1:2" x14ac:dyDescent="0.25">
      <c r="A34531">
        <v>73079300214</v>
      </c>
      <c r="B34531" t="s">
        <v>10140</v>
      </c>
    </row>
    <row r="34532" spans="1:2" x14ac:dyDescent="0.25">
      <c r="A34532">
        <v>73079300215</v>
      </c>
      <c r="B34532" t="s">
        <v>10141</v>
      </c>
    </row>
    <row r="34533" spans="1:2" x14ac:dyDescent="0.25">
      <c r="A34533">
        <v>73079300219</v>
      </c>
      <c r="B34533" t="s">
        <v>10</v>
      </c>
    </row>
    <row r="34534" spans="1:2" x14ac:dyDescent="0.25">
      <c r="A34534">
        <v>7307930022</v>
      </c>
      <c r="B34534" t="s">
        <v>10172</v>
      </c>
    </row>
    <row r="34535" spans="1:2" x14ac:dyDescent="0.25">
      <c r="A34535">
        <v>73079300221</v>
      </c>
      <c r="B34535" t="s">
        <v>10137</v>
      </c>
    </row>
    <row r="34536" spans="1:2" x14ac:dyDescent="0.25">
      <c r="A34536">
        <v>73079300222</v>
      </c>
      <c r="B34536" t="s">
        <v>10138</v>
      </c>
    </row>
    <row r="34537" spans="1:2" x14ac:dyDescent="0.25">
      <c r="A34537">
        <v>73079300223</v>
      </c>
      <c r="B34537" t="s">
        <v>10139</v>
      </c>
    </row>
    <row r="34538" spans="1:2" x14ac:dyDescent="0.25">
      <c r="A34538">
        <v>73079300224</v>
      </c>
      <c r="B34538" t="s">
        <v>10140</v>
      </c>
    </row>
    <row r="34539" spans="1:2" x14ac:dyDescent="0.25">
      <c r="A34539">
        <v>73079300225</v>
      </c>
      <c r="B34539" t="s">
        <v>10141</v>
      </c>
    </row>
    <row r="34540" spans="1:2" x14ac:dyDescent="0.25">
      <c r="A34540">
        <v>73079300229</v>
      </c>
      <c r="B34540" t="s">
        <v>10</v>
      </c>
    </row>
    <row r="34541" spans="1:2" x14ac:dyDescent="0.25">
      <c r="A34541">
        <v>7307930023</v>
      </c>
      <c r="B34541" t="s">
        <v>10173</v>
      </c>
    </row>
    <row r="34542" spans="1:2" x14ac:dyDescent="0.25">
      <c r="A34542">
        <v>73079300231</v>
      </c>
      <c r="B34542" t="s">
        <v>10137</v>
      </c>
    </row>
    <row r="34543" spans="1:2" x14ac:dyDescent="0.25">
      <c r="A34543">
        <v>73079300232</v>
      </c>
      <c r="B34543" t="s">
        <v>10138</v>
      </c>
    </row>
    <row r="34544" spans="1:2" x14ac:dyDescent="0.25">
      <c r="A34544">
        <v>73079300233</v>
      </c>
      <c r="B34544" t="s">
        <v>10139</v>
      </c>
    </row>
    <row r="34545" spans="1:2" x14ac:dyDescent="0.25">
      <c r="A34545">
        <v>73079300234</v>
      </c>
      <c r="B34545" t="s">
        <v>10140</v>
      </c>
    </row>
    <row r="34546" spans="1:2" x14ac:dyDescent="0.25">
      <c r="A34546">
        <v>73079300235</v>
      </c>
      <c r="B34546" t="s">
        <v>10141</v>
      </c>
    </row>
    <row r="34547" spans="1:2" x14ac:dyDescent="0.25">
      <c r="A34547">
        <v>73079300239</v>
      </c>
      <c r="B34547" t="s">
        <v>10</v>
      </c>
    </row>
    <row r="34548" spans="1:2" x14ac:dyDescent="0.25">
      <c r="A34548">
        <v>7307930024</v>
      </c>
      <c r="B34548" t="s">
        <v>10123</v>
      </c>
    </row>
    <row r="34549" spans="1:2" x14ac:dyDescent="0.25">
      <c r="A34549">
        <v>73079300241</v>
      </c>
      <c r="B34549" t="s">
        <v>10137</v>
      </c>
    </row>
    <row r="34550" spans="1:2" x14ac:dyDescent="0.25">
      <c r="A34550">
        <v>73079300242</v>
      </c>
      <c r="B34550" t="s">
        <v>10138</v>
      </c>
    </row>
    <row r="34551" spans="1:2" x14ac:dyDescent="0.25">
      <c r="A34551">
        <v>73079300243</v>
      </c>
      <c r="B34551" t="s">
        <v>10139</v>
      </c>
    </row>
    <row r="34552" spans="1:2" x14ac:dyDescent="0.25">
      <c r="A34552">
        <v>73079300244</v>
      </c>
      <c r="B34552" t="s">
        <v>10140</v>
      </c>
    </row>
    <row r="34553" spans="1:2" x14ac:dyDescent="0.25">
      <c r="A34553">
        <v>73079300245</v>
      </c>
      <c r="B34553" t="s">
        <v>10141</v>
      </c>
    </row>
    <row r="34554" spans="1:2" x14ac:dyDescent="0.25">
      <c r="A34554">
        <v>73079300249</v>
      </c>
      <c r="B34554" t="s">
        <v>10</v>
      </c>
    </row>
    <row r="34555" spans="1:2" x14ac:dyDescent="0.25">
      <c r="A34555">
        <v>7307930025</v>
      </c>
      <c r="B34555" t="s">
        <v>10124</v>
      </c>
    </row>
    <row r="34556" spans="1:2" x14ac:dyDescent="0.25">
      <c r="A34556">
        <v>73079300251</v>
      </c>
      <c r="B34556" t="s">
        <v>10137</v>
      </c>
    </row>
    <row r="34557" spans="1:2" x14ac:dyDescent="0.25">
      <c r="A34557">
        <v>73079300252</v>
      </c>
      <c r="B34557" t="s">
        <v>10138</v>
      </c>
    </row>
    <row r="34558" spans="1:2" x14ac:dyDescent="0.25">
      <c r="A34558">
        <v>73079300253</v>
      </c>
      <c r="B34558" t="s">
        <v>10139</v>
      </c>
    </row>
    <row r="34559" spans="1:2" x14ac:dyDescent="0.25">
      <c r="A34559">
        <v>73079300254</v>
      </c>
      <c r="B34559" t="s">
        <v>10140</v>
      </c>
    </row>
    <row r="34560" spans="1:2" x14ac:dyDescent="0.25">
      <c r="A34560">
        <v>73079300255</v>
      </c>
      <c r="B34560" t="s">
        <v>10141</v>
      </c>
    </row>
    <row r="34561" spans="1:2" x14ac:dyDescent="0.25">
      <c r="A34561">
        <v>73079300259</v>
      </c>
      <c r="B34561" t="s">
        <v>10</v>
      </c>
    </row>
    <row r="34562" spans="1:2" x14ac:dyDescent="0.25">
      <c r="A34562">
        <v>7307930026</v>
      </c>
      <c r="B34562" t="s">
        <v>10125</v>
      </c>
    </row>
    <row r="34563" spans="1:2" x14ac:dyDescent="0.25">
      <c r="A34563">
        <v>73079300261</v>
      </c>
      <c r="B34563" t="s">
        <v>10142</v>
      </c>
    </row>
    <row r="34564" spans="1:2" x14ac:dyDescent="0.25">
      <c r="A34564">
        <v>73079300262</v>
      </c>
      <c r="B34564" t="s">
        <v>10143</v>
      </c>
    </row>
    <row r="34565" spans="1:2" x14ac:dyDescent="0.25">
      <c r="A34565">
        <v>73079300263</v>
      </c>
      <c r="B34565" t="s">
        <v>10144</v>
      </c>
    </row>
    <row r="34566" spans="1:2" x14ac:dyDescent="0.25">
      <c r="A34566">
        <v>73079300264</v>
      </c>
      <c r="B34566" t="s">
        <v>10145</v>
      </c>
    </row>
    <row r="34567" spans="1:2" x14ac:dyDescent="0.25">
      <c r="A34567">
        <v>73079300265</v>
      </c>
      <c r="B34567" t="s">
        <v>10146</v>
      </c>
    </row>
    <row r="34568" spans="1:2" x14ac:dyDescent="0.25">
      <c r="A34568">
        <v>73079300269</v>
      </c>
      <c r="B34568" t="s">
        <v>10</v>
      </c>
    </row>
    <row r="34569" spans="1:2" x14ac:dyDescent="0.25">
      <c r="A34569">
        <v>7307930027</v>
      </c>
      <c r="B34569" t="s">
        <v>10131</v>
      </c>
    </row>
    <row r="34570" spans="1:2" x14ac:dyDescent="0.25">
      <c r="A34570">
        <v>73079300271</v>
      </c>
      <c r="B34570" t="s">
        <v>10147</v>
      </c>
    </row>
    <row r="34571" spans="1:2" x14ac:dyDescent="0.25">
      <c r="A34571">
        <v>73079300272</v>
      </c>
      <c r="B34571" t="s">
        <v>10138</v>
      </c>
    </row>
    <row r="34572" spans="1:2" x14ac:dyDescent="0.25">
      <c r="A34572">
        <v>73079300273</v>
      </c>
      <c r="B34572" t="s">
        <v>10139</v>
      </c>
    </row>
    <row r="34573" spans="1:2" x14ac:dyDescent="0.25">
      <c r="A34573">
        <v>73079300274</v>
      </c>
      <c r="B34573" t="s">
        <v>10140</v>
      </c>
    </row>
    <row r="34574" spans="1:2" x14ac:dyDescent="0.25">
      <c r="A34574">
        <v>73079300275</v>
      </c>
      <c r="B34574" t="s">
        <v>10141</v>
      </c>
    </row>
    <row r="34575" spans="1:2" x14ac:dyDescent="0.25">
      <c r="A34575">
        <v>73079300279</v>
      </c>
      <c r="B34575" t="s">
        <v>10</v>
      </c>
    </row>
    <row r="34576" spans="1:2" x14ac:dyDescent="0.25">
      <c r="A34576">
        <v>7307930028</v>
      </c>
      <c r="B34576" t="s">
        <v>10134</v>
      </c>
    </row>
    <row r="34577" spans="1:2" x14ac:dyDescent="0.25">
      <c r="A34577">
        <v>73079300281</v>
      </c>
      <c r="B34577" t="s">
        <v>10142</v>
      </c>
    </row>
    <row r="34578" spans="1:2" x14ac:dyDescent="0.25">
      <c r="A34578">
        <v>73079300282</v>
      </c>
      <c r="B34578" t="s">
        <v>10143</v>
      </c>
    </row>
    <row r="34579" spans="1:2" x14ac:dyDescent="0.25">
      <c r="A34579">
        <v>73079300283</v>
      </c>
      <c r="B34579" t="s">
        <v>10144</v>
      </c>
    </row>
    <row r="34580" spans="1:2" x14ac:dyDescent="0.25">
      <c r="A34580">
        <v>73079300284</v>
      </c>
      <c r="B34580" t="s">
        <v>10145</v>
      </c>
    </row>
    <row r="34581" spans="1:2" x14ac:dyDescent="0.25">
      <c r="A34581">
        <v>73079300285</v>
      </c>
      <c r="B34581" t="s">
        <v>10146</v>
      </c>
    </row>
    <row r="34582" spans="1:2" x14ac:dyDescent="0.25">
      <c r="A34582">
        <v>73079300289</v>
      </c>
      <c r="B34582" t="s">
        <v>10</v>
      </c>
    </row>
    <row r="34583" spans="1:2" x14ac:dyDescent="0.25">
      <c r="A34583">
        <v>73079300290</v>
      </c>
      <c r="B34583" t="s">
        <v>10</v>
      </c>
    </row>
    <row r="34584" spans="1:2" x14ac:dyDescent="0.25">
      <c r="A34584">
        <v>730793003</v>
      </c>
      <c r="B34584" t="s">
        <v>10175</v>
      </c>
    </row>
    <row r="34585" spans="1:2" x14ac:dyDescent="0.25">
      <c r="A34585">
        <v>73079300310</v>
      </c>
      <c r="B34585" t="s">
        <v>10176</v>
      </c>
    </row>
    <row r="34586" spans="1:2" x14ac:dyDescent="0.25">
      <c r="A34586">
        <v>73079300320</v>
      </c>
      <c r="B34586" t="s">
        <v>10177</v>
      </c>
    </row>
    <row r="34587" spans="1:2" x14ac:dyDescent="0.25">
      <c r="A34587">
        <v>73079300330</v>
      </c>
      <c r="B34587" t="s">
        <v>10178</v>
      </c>
    </row>
    <row r="34588" spans="1:2" x14ac:dyDescent="0.25">
      <c r="A34588">
        <v>7307930034</v>
      </c>
      <c r="B34588" t="s">
        <v>10123</v>
      </c>
    </row>
    <row r="34589" spans="1:2" x14ac:dyDescent="0.25">
      <c r="A34589">
        <v>73079300341</v>
      </c>
      <c r="B34589" t="s">
        <v>10179</v>
      </c>
    </row>
    <row r="34590" spans="1:2" x14ac:dyDescent="0.25">
      <c r="A34590">
        <v>73079300342</v>
      </c>
      <c r="B34590" t="s">
        <v>10180</v>
      </c>
    </row>
    <row r="34591" spans="1:2" x14ac:dyDescent="0.25">
      <c r="A34591">
        <v>73079300343</v>
      </c>
      <c r="B34591" t="s">
        <v>10181</v>
      </c>
    </row>
    <row r="34592" spans="1:2" x14ac:dyDescent="0.25">
      <c r="A34592">
        <v>73079300344</v>
      </c>
      <c r="B34592" t="s">
        <v>10182</v>
      </c>
    </row>
    <row r="34593" spans="1:2" x14ac:dyDescent="0.25">
      <c r="A34593">
        <v>73079300345</v>
      </c>
      <c r="B34593" t="s">
        <v>10183</v>
      </c>
    </row>
    <row r="34594" spans="1:2" x14ac:dyDescent="0.25">
      <c r="A34594">
        <v>73079300349</v>
      </c>
      <c r="B34594" t="s">
        <v>10</v>
      </c>
    </row>
    <row r="34595" spans="1:2" x14ac:dyDescent="0.25">
      <c r="A34595">
        <v>73079300350</v>
      </c>
      <c r="B34595" t="s">
        <v>10184</v>
      </c>
    </row>
    <row r="34596" spans="1:2" x14ac:dyDescent="0.25">
      <c r="A34596">
        <v>73079300360</v>
      </c>
      <c r="B34596" t="s">
        <v>10125</v>
      </c>
    </row>
    <row r="34597" spans="1:2" x14ac:dyDescent="0.25">
      <c r="A34597">
        <v>73079300370</v>
      </c>
      <c r="B34597" t="s">
        <v>10131</v>
      </c>
    </row>
    <row r="34598" spans="1:2" x14ac:dyDescent="0.25">
      <c r="A34598">
        <v>73079300380</v>
      </c>
      <c r="B34598" t="s">
        <v>10134</v>
      </c>
    </row>
    <row r="34599" spans="1:2" x14ac:dyDescent="0.25">
      <c r="A34599">
        <v>73079300390</v>
      </c>
      <c r="B34599" t="s">
        <v>10</v>
      </c>
    </row>
    <row r="34600" spans="1:2" x14ac:dyDescent="0.25">
      <c r="A34600">
        <v>730793004</v>
      </c>
      <c r="B34600" t="s">
        <v>10185</v>
      </c>
    </row>
    <row r="34601" spans="1:2" x14ac:dyDescent="0.25">
      <c r="A34601">
        <v>7307930041</v>
      </c>
      <c r="B34601" t="s">
        <v>10176</v>
      </c>
    </row>
    <row r="34602" spans="1:2" x14ac:dyDescent="0.25">
      <c r="A34602">
        <v>73079300411</v>
      </c>
      <c r="B34602" t="s">
        <v>10186</v>
      </c>
    </row>
    <row r="34603" spans="1:2" x14ac:dyDescent="0.25">
      <c r="A34603">
        <v>73079300412</v>
      </c>
      <c r="B34603" t="s">
        <v>10187</v>
      </c>
    </row>
    <row r="34604" spans="1:2" x14ac:dyDescent="0.25">
      <c r="A34604">
        <v>73079300413</v>
      </c>
      <c r="B34604" t="s">
        <v>10188</v>
      </c>
    </row>
    <row r="34605" spans="1:2" x14ac:dyDescent="0.25">
      <c r="A34605">
        <v>73079300414</v>
      </c>
      <c r="B34605" t="s">
        <v>10189</v>
      </c>
    </row>
    <row r="34606" spans="1:2" x14ac:dyDescent="0.25">
      <c r="A34606">
        <v>73079300415</v>
      </c>
      <c r="B34606" t="s">
        <v>10190</v>
      </c>
    </row>
    <row r="34607" spans="1:2" x14ac:dyDescent="0.25">
      <c r="A34607">
        <v>73079300419</v>
      </c>
      <c r="B34607" t="s">
        <v>10</v>
      </c>
    </row>
    <row r="34608" spans="1:2" x14ac:dyDescent="0.25">
      <c r="A34608">
        <v>7307930042</v>
      </c>
      <c r="B34608" t="s">
        <v>10177</v>
      </c>
    </row>
    <row r="34609" spans="1:2" x14ac:dyDescent="0.25">
      <c r="A34609">
        <v>73079300421</v>
      </c>
      <c r="B34609" t="s">
        <v>10186</v>
      </c>
    </row>
    <row r="34610" spans="1:2" x14ac:dyDescent="0.25">
      <c r="A34610">
        <v>73079300422</v>
      </c>
      <c r="B34610" t="s">
        <v>10187</v>
      </c>
    </row>
    <row r="34611" spans="1:2" x14ac:dyDescent="0.25">
      <c r="A34611">
        <v>73079300423</v>
      </c>
      <c r="B34611" t="s">
        <v>10188</v>
      </c>
    </row>
    <row r="34612" spans="1:2" x14ac:dyDescent="0.25">
      <c r="A34612">
        <v>73079300424</v>
      </c>
      <c r="B34612" t="s">
        <v>10189</v>
      </c>
    </row>
    <row r="34613" spans="1:2" x14ac:dyDescent="0.25">
      <c r="A34613">
        <v>73079300425</v>
      </c>
      <c r="B34613" t="s">
        <v>10191</v>
      </c>
    </row>
    <row r="34614" spans="1:2" x14ac:dyDescent="0.25">
      <c r="A34614">
        <v>73079300429</v>
      </c>
      <c r="B34614" t="s">
        <v>10</v>
      </c>
    </row>
    <row r="34615" spans="1:2" x14ac:dyDescent="0.25">
      <c r="A34615">
        <v>7307930043</v>
      </c>
      <c r="B34615" t="s">
        <v>10178</v>
      </c>
    </row>
    <row r="34616" spans="1:2" x14ac:dyDescent="0.25">
      <c r="A34616">
        <v>73079300431</v>
      </c>
      <c r="B34616" t="s">
        <v>10186</v>
      </c>
    </row>
    <row r="34617" spans="1:2" x14ac:dyDescent="0.25">
      <c r="A34617">
        <v>73079300432</v>
      </c>
      <c r="B34617" t="s">
        <v>10187</v>
      </c>
    </row>
    <row r="34618" spans="1:2" x14ac:dyDescent="0.25">
      <c r="A34618">
        <v>73079300433</v>
      </c>
      <c r="B34618" t="s">
        <v>10188</v>
      </c>
    </row>
    <row r="34619" spans="1:2" x14ac:dyDescent="0.25">
      <c r="A34619">
        <v>73079300434</v>
      </c>
      <c r="B34619" t="s">
        <v>10189</v>
      </c>
    </row>
    <row r="34620" spans="1:2" x14ac:dyDescent="0.25">
      <c r="A34620">
        <v>73079300435</v>
      </c>
      <c r="B34620" t="s">
        <v>10191</v>
      </c>
    </row>
    <row r="34621" spans="1:2" x14ac:dyDescent="0.25">
      <c r="A34621">
        <v>73079300439</v>
      </c>
      <c r="B34621" t="s">
        <v>10</v>
      </c>
    </row>
    <row r="34622" spans="1:2" x14ac:dyDescent="0.25">
      <c r="A34622">
        <v>73079300440</v>
      </c>
      <c r="B34622" t="s">
        <v>10123</v>
      </c>
    </row>
    <row r="34623" spans="1:2" x14ac:dyDescent="0.25">
      <c r="A34623">
        <v>73079300450</v>
      </c>
      <c r="B34623" t="s">
        <v>10124</v>
      </c>
    </row>
    <row r="34624" spans="1:2" x14ac:dyDescent="0.25">
      <c r="A34624">
        <v>73079300460</v>
      </c>
      <c r="B34624" t="s">
        <v>10125</v>
      </c>
    </row>
    <row r="34625" spans="1:2" x14ac:dyDescent="0.25">
      <c r="A34625">
        <v>73079300470</v>
      </c>
      <c r="B34625" t="s">
        <v>10131</v>
      </c>
    </row>
    <row r="34626" spans="1:2" x14ac:dyDescent="0.25">
      <c r="A34626">
        <v>73079300480</v>
      </c>
      <c r="B34626" t="s">
        <v>10134</v>
      </c>
    </row>
    <row r="34627" spans="1:2" x14ac:dyDescent="0.25">
      <c r="A34627">
        <v>73079300490</v>
      </c>
      <c r="B34627" t="s">
        <v>10</v>
      </c>
    </row>
    <row r="34628" spans="1:2" x14ac:dyDescent="0.25">
      <c r="A34628">
        <v>73079900</v>
      </c>
      <c r="B34628" t="e">
        <f>- - Los demas</f>
        <v>#NAME?</v>
      </c>
    </row>
    <row r="34629" spans="1:2" x14ac:dyDescent="0.25">
      <c r="A34629">
        <v>73079900100</v>
      </c>
      <c r="B34629" t="s">
        <v>10097</v>
      </c>
    </row>
    <row r="34630" spans="1:2" x14ac:dyDescent="0.25">
      <c r="A34630">
        <v>73079900900</v>
      </c>
      <c r="B34630" t="s">
        <v>10</v>
      </c>
    </row>
    <row r="34631" spans="1:2" x14ac:dyDescent="0.25">
      <c r="A34631">
        <v>7308</v>
      </c>
      <c r="B34631" t="s">
        <v>10192</v>
      </c>
    </row>
    <row r="34632" spans="1:2" x14ac:dyDescent="0.25">
      <c r="A34632">
        <v>73081000</v>
      </c>
      <c r="B34632" t="e">
        <f>- Puentes y sus partes</f>
        <v>#NAME?</v>
      </c>
    </row>
    <row r="34633" spans="1:2" x14ac:dyDescent="0.25">
      <c r="A34633">
        <v>73081000100</v>
      </c>
      <c r="B34633" t="s">
        <v>10193</v>
      </c>
    </row>
    <row r="34634" spans="1:2" x14ac:dyDescent="0.25">
      <c r="A34634">
        <v>73081000200</v>
      </c>
      <c r="B34634" t="s">
        <v>10194</v>
      </c>
    </row>
    <row r="34635" spans="1:2" x14ac:dyDescent="0.25">
      <c r="A34635">
        <v>73082000</v>
      </c>
      <c r="B34635" t="e">
        <f>- Torres y castilletes</f>
        <v>#NAME?</v>
      </c>
    </row>
    <row r="34636" spans="1:2" x14ac:dyDescent="0.25">
      <c r="A34636">
        <v>73082000100</v>
      </c>
      <c r="B34636" t="s">
        <v>10195</v>
      </c>
    </row>
    <row r="34637" spans="1:2" x14ac:dyDescent="0.25">
      <c r="A34637">
        <v>73082000200</v>
      </c>
      <c r="B34637" t="s">
        <v>10196</v>
      </c>
    </row>
    <row r="34638" spans="1:2" x14ac:dyDescent="0.25">
      <c r="A34638">
        <v>73082000900</v>
      </c>
      <c r="B34638" t="s">
        <v>10</v>
      </c>
    </row>
    <row r="34639" spans="1:2" x14ac:dyDescent="0.25">
      <c r="A34639">
        <v>73083000</v>
      </c>
      <c r="B34639" t="e">
        <f>- puertas y ventanas y sus marcos. contramarcos y umbrales</f>
        <v>#NAME?</v>
      </c>
    </row>
    <row r="34640" spans="1:2" x14ac:dyDescent="0.25">
      <c r="A34640">
        <v>730830001</v>
      </c>
      <c r="B34640" t="s">
        <v>10197</v>
      </c>
    </row>
    <row r="34641" spans="1:2" x14ac:dyDescent="0.25">
      <c r="A34641">
        <v>73083000110</v>
      </c>
      <c r="B34641" t="s">
        <v>10198</v>
      </c>
    </row>
    <row r="34642" spans="1:2" x14ac:dyDescent="0.25">
      <c r="A34642">
        <v>73083000190</v>
      </c>
      <c r="B34642" t="s">
        <v>57</v>
      </c>
    </row>
    <row r="34643" spans="1:2" x14ac:dyDescent="0.25">
      <c r="A34643">
        <v>73083000200</v>
      </c>
      <c r="B34643" t="s">
        <v>10199</v>
      </c>
    </row>
    <row r="34644" spans="1:2" x14ac:dyDescent="0.25">
      <c r="A34644">
        <v>73083000300</v>
      </c>
      <c r="B34644" t="s">
        <v>10200</v>
      </c>
    </row>
    <row r="34645" spans="1:2" x14ac:dyDescent="0.25">
      <c r="A34645">
        <v>73083000900</v>
      </c>
      <c r="B34645" t="s">
        <v>10</v>
      </c>
    </row>
    <row r="34646" spans="1:2" x14ac:dyDescent="0.25">
      <c r="A34646">
        <v>73084000</v>
      </c>
      <c r="B34646" t="e">
        <f>- Material de andamiaje. encofrado. apeo o apuntalamiento</f>
        <v>#NAME?</v>
      </c>
    </row>
    <row r="34647" spans="1:2" x14ac:dyDescent="0.25">
      <c r="A34647">
        <v>73084000100</v>
      </c>
      <c r="B34647" t="s">
        <v>10201</v>
      </c>
    </row>
    <row r="34648" spans="1:2" x14ac:dyDescent="0.25">
      <c r="A34648">
        <v>73084000200</v>
      </c>
      <c r="B34648" t="s">
        <v>10202</v>
      </c>
    </row>
    <row r="34649" spans="1:2" x14ac:dyDescent="0.25">
      <c r="A34649">
        <v>73084000900</v>
      </c>
      <c r="B34649" t="s">
        <v>10</v>
      </c>
    </row>
    <row r="34650" spans="1:2" x14ac:dyDescent="0.25">
      <c r="A34650">
        <v>730890</v>
      </c>
      <c r="B34650" t="e">
        <f>- Los demas</f>
        <v>#NAME?</v>
      </c>
    </row>
    <row r="34651" spans="1:2" x14ac:dyDescent="0.25">
      <c r="A34651">
        <v>73089010</v>
      </c>
      <c r="B34651" t="s">
        <v>10203</v>
      </c>
    </row>
    <row r="34652" spans="1:2" x14ac:dyDescent="0.25">
      <c r="A34652">
        <v>73089010100</v>
      </c>
      <c r="B34652" t="s">
        <v>10204</v>
      </c>
    </row>
    <row r="34653" spans="1:2" x14ac:dyDescent="0.25">
      <c r="A34653">
        <v>73089010200</v>
      </c>
      <c r="B34653" t="s">
        <v>10205</v>
      </c>
    </row>
    <row r="34654" spans="1:2" x14ac:dyDescent="0.25">
      <c r="A34654">
        <v>730890103</v>
      </c>
      <c r="B34654" t="s">
        <v>10206</v>
      </c>
    </row>
    <row r="34655" spans="1:2" x14ac:dyDescent="0.25">
      <c r="A34655">
        <v>73089010310</v>
      </c>
      <c r="B34655" t="s">
        <v>10207</v>
      </c>
    </row>
    <row r="34656" spans="1:2" x14ac:dyDescent="0.25">
      <c r="A34656">
        <v>73089010320</v>
      </c>
      <c r="B34656" t="s">
        <v>10208</v>
      </c>
    </row>
    <row r="34657" spans="1:2" x14ac:dyDescent="0.25">
      <c r="A34657">
        <v>73089010330</v>
      </c>
      <c r="B34657" t="s">
        <v>10209</v>
      </c>
    </row>
    <row r="34658" spans="1:2" x14ac:dyDescent="0.25">
      <c r="A34658">
        <v>7308901039</v>
      </c>
      <c r="B34658" t="s">
        <v>10</v>
      </c>
    </row>
    <row r="34659" spans="1:2" x14ac:dyDescent="0.25">
      <c r="A34659">
        <v>73089010391</v>
      </c>
      <c r="B34659" t="s">
        <v>10210</v>
      </c>
    </row>
    <row r="34660" spans="1:2" x14ac:dyDescent="0.25">
      <c r="A34660">
        <v>73089010399</v>
      </c>
      <c r="B34660" t="s">
        <v>10</v>
      </c>
    </row>
    <row r="34661" spans="1:2" x14ac:dyDescent="0.25">
      <c r="A34661">
        <v>73089010900</v>
      </c>
      <c r="B34661" t="s">
        <v>10</v>
      </c>
    </row>
    <row r="34662" spans="1:2" x14ac:dyDescent="0.25">
      <c r="A34662">
        <v>73089090</v>
      </c>
      <c r="B34662" t="s">
        <v>10</v>
      </c>
    </row>
    <row r="34663" spans="1:2" x14ac:dyDescent="0.25">
      <c r="A34663">
        <v>73089090100</v>
      </c>
      <c r="B34663" t="s">
        <v>10211</v>
      </c>
    </row>
    <row r="34664" spans="1:2" x14ac:dyDescent="0.25">
      <c r="A34664">
        <v>73089090200</v>
      </c>
      <c r="B34664" t="s">
        <v>10212</v>
      </c>
    </row>
    <row r="34665" spans="1:2" x14ac:dyDescent="0.25">
      <c r="A34665">
        <v>73089090300</v>
      </c>
      <c r="B34665" t="s">
        <v>10213</v>
      </c>
    </row>
    <row r="34666" spans="1:2" x14ac:dyDescent="0.25">
      <c r="A34666">
        <v>73089090400</v>
      </c>
      <c r="B34666" t="s">
        <v>10214</v>
      </c>
    </row>
    <row r="34667" spans="1:2" x14ac:dyDescent="0.25">
      <c r="A34667">
        <v>73089090500</v>
      </c>
      <c r="B34667" t="s">
        <v>10215</v>
      </c>
    </row>
    <row r="34668" spans="1:2" x14ac:dyDescent="0.25">
      <c r="A34668">
        <v>73089090600</v>
      </c>
      <c r="B34668" t="s">
        <v>10216</v>
      </c>
    </row>
    <row r="34669" spans="1:2" x14ac:dyDescent="0.25">
      <c r="A34669">
        <v>73089090700</v>
      </c>
      <c r="B34669" t="s">
        <v>10217</v>
      </c>
    </row>
    <row r="34670" spans="1:2" x14ac:dyDescent="0.25">
      <c r="A34670">
        <v>73089090800</v>
      </c>
      <c r="B34670" t="s">
        <v>10218</v>
      </c>
    </row>
    <row r="34671" spans="1:2" x14ac:dyDescent="0.25">
      <c r="A34671">
        <v>73089090900</v>
      </c>
      <c r="B34671" t="s">
        <v>10</v>
      </c>
    </row>
    <row r="34672" spans="1:2" x14ac:dyDescent="0.25">
      <c r="A34672">
        <v>730900</v>
      </c>
      <c r="B34672" t="s">
        <v>10219</v>
      </c>
    </row>
    <row r="34673" spans="1:2" x14ac:dyDescent="0.25">
      <c r="A34673">
        <v>73090010000</v>
      </c>
      <c r="B34673" t="s">
        <v>10220</v>
      </c>
    </row>
    <row r="34674" spans="1:2" x14ac:dyDescent="0.25">
      <c r="A34674">
        <v>73090020000</v>
      </c>
      <c r="B34674" t="s">
        <v>10221</v>
      </c>
    </row>
    <row r="34675" spans="1:2" x14ac:dyDescent="0.25">
      <c r="A34675">
        <v>73090090000</v>
      </c>
      <c r="B34675" t="s">
        <v>10</v>
      </c>
    </row>
    <row r="34676" spans="1:2" x14ac:dyDescent="0.25">
      <c r="A34676">
        <v>7310</v>
      </c>
      <c r="B34676" t="s">
        <v>10222</v>
      </c>
    </row>
    <row r="34677" spans="1:2" x14ac:dyDescent="0.25">
      <c r="A34677">
        <v>731010</v>
      </c>
      <c r="B34677" t="s">
        <v>10223</v>
      </c>
    </row>
    <row r="34678" spans="1:2" x14ac:dyDescent="0.25">
      <c r="A34678">
        <v>73101010000</v>
      </c>
      <c r="B34678" t="s">
        <v>10221</v>
      </c>
    </row>
    <row r="34679" spans="1:2" x14ac:dyDescent="0.25">
      <c r="A34679">
        <v>73101090</v>
      </c>
      <c r="B34679" t="s">
        <v>10</v>
      </c>
    </row>
    <row r="34680" spans="1:2" x14ac:dyDescent="0.25">
      <c r="A34680">
        <v>731010901</v>
      </c>
      <c r="B34680" t="s">
        <v>6648</v>
      </c>
    </row>
    <row r="34681" spans="1:2" x14ac:dyDescent="0.25">
      <c r="A34681">
        <v>73101090110</v>
      </c>
      <c r="B34681" t="s">
        <v>10224</v>
      </c>
    </row>
    <row r="34682" spans="1:2" x14ac:dyDescent="0.25">
      <c r="A34682">
        <v>73101090190</v>
      </c>
      <c r="B34682" t="s">
        <v>10</v>
      </c>
    </row>
    <row r="34683" spans="1:2" x14ac:dyDescent="0.25">
      <c r="A34683">
        <v>731010909</v>
      </c>
      <c r="B34683" t="s">
        <v>10</v>
      </c>
    </row>
    <row r="34684" spans="1:2" x14ac:dyDescent="0.25">
      <c r="A34684">
        <v>73101090910</v>
      </c>
      <c r="B34684" t="s">
        <v>10225</v>
      </c>
    </row>
    <row r="34685" spans="1:2" x14ac:dyDescent="0.25">
      <c r="A34685">
        <v>73101090990</v>
      </c>
      <c r="B34685" t="s">
        <v>10</v>
      </c>
    </row>
    <row r="34686" spans="1:2" x14ac:dyDescent="0.25">
      <c r="A34686">
        <v>73102</v>
      </c>
      <c r="B34686" t="s">
        <v>10226</v>
      </c>
    </row>
    <row r="34687" spans="1:2" x14ac:dyDescent="0.25">
      <c r="A34687">
        <v>731021</v>
      </c>
      <c r="B34687" t="e">
        <f>- - Latas o botes para ser cerrados por soldadura o rebordeado</f>
        <v>#NAME?</v>
      </c>
    </row>
    <row r="34688" spans="1:2" x14ac:dyDescent="0.25">
      <c r="A34688">
        <v>73102110</v>
      </c>
      <c r="B34688" t="s">
        <v>10227</v>
      </c>
    </row>
    <row r="34689" spans="1:2" x14ac:dyDescent="0.25">
      <c r="A34689">
        <v>73102110100</v>
      </c>
      <c r="B34689" t="s">
        <v>10228</v>
      </c>
    </row>
    <row r="34690" spans="1:2" x14ac:dyDescent="0.25">
      <c r="A34690">
        <v>73102110200</v>
      </c>
      <c r="B34690" t="s">
        <v>10229</v>
      </c>
    </row>
    <row r="34691" spans="1:2" x14ac:dyDescent="0.25">
      <c r="A34691">
        <v>73102110300</v>
      </c>
      <c r="B34691" t="s">
        <v>10230</v>
      </c>
    </row>
    <row r="34692" spans="1:2" x14ac:dyDescent="0.25">
      <c r="A34692">
        <v>73102110400</v>
      </c>
      <c r="B34692" t="s">
        <v>10231</v>
      </c>
    </row>
    <row r="34693" spans="1:2" x14ac:dyDescent="0.25">
      <c r="A34693">
        <v>73102110900</v>
      </c>
      <c r="B34693" t="s">
        <v>10</v>
      </c>
    </row>
    <row r="34694" spans="1:2" x14ac:dyDescent="0.25">
      <c r="A34694">
        <v>73102190</v>
      </c>
      <c r="B34694" t="s">
        <v>10</v>
      </c>
    </row>
    <row r="34695" spans="1:2" x14ac:dyDescent="0.25">
      <c r="A34695">
        <v>73102190100</v>
      </c>
      <c r="B34695" t="s">
        <v>10232</v>
      </c>
    </row>
    <row r="34696" spans="1:2" x14ac:dyDescent="0.25">
      <c r="A34696">
        <v>73102190200</v>
      </c>
      <c r="B34696" t="s">
        <v>10233</v>
      </c>
    </row>
    <row r="34697" spans="1:2" x14ac:dyDescent="0.25">
      <c r="A34697">
        <v>73102190300</v>
      </c>
      <c r="B34697" t="s">
        <v>10234</v>
      </c>
    </row>
    <row r="34698" spans="1:2" x14ac:dyDescent="0.25">
      <c r="A34698">
        <v>73102190900</v>
      </c>
      <c r="B34698" t="s">
        <v>10</v>
      </c>
    </row>
    <row r="34699" spans="1:2" x14ac:dyDescent="0.25">
      <c r="A34699">
        <v>731029</v>
      </c>
      <c r="B34699" t="e">
        <f>- - Los demas</f>
        <v>#NAME?</v>
      </c>
    </row>
    <row r="34700" spans="1:2" x14ac:dyDescent="0.25">
      <c r="A34700">
        <v>73102910</v>
      </c>
      <c r="B34700" t="s">
        <v>10227</v>
      </c>
    </row>
    <row r="34701" spans="1:2" x14ac:dyDescent="0.25">
      <c r="A34701">
        <v>73102910100</v>
      </c>
      <c r="B34701" t="s">
        <v>10228</v>
      </c>
    </row>
    <row r="34702" spans="1:2" x14ac:dyDescent="0.25">
      <c r="A34702">
        <v>73102910200</v>
      </c>
      <c r="B34702" t="s">
        <v>10235</v>
      </c>
    </row>
    <row r="34703" spans="1:2" x14ac:dyDescent="0.25">
      <c r="A34703">
        <v>73102910300</v>
      </c>
      <c r="B34703" t="s">
        <v>10236</v>
      </c>
    </row>
    <row r="34704" spans="1:2" x14ac:dyDescent="0.25">
      <c r="A34704">
        <v>73102910400</v>
      </c>
      <c r="B34704" t="s">
        <v>10233</v>
      </c>
    </row>
    <row r="34705" spans="1:2" x14ac:dyDescent="0.25">
      <c r="A34705">
        <v>73102910900</v>
      </c>
      <c r="B34705" t="s">
        <v>10</v>
      </c>
    </row>
    <row r="34706" spans="1:2" x14ac:dyDescent="0.25">
      <c r="A34706">
        <v>73102920000</v>
      </c>
      <c r="B34706" t="s">
        <v>10221</v>
      </c>
    </row>
    <row r="34707" spans="1:2" x14ac:dyDescent="0.25">
      <c r="A34707">
        <v>73102990</v>
      </c>
      <c r="B34707" t="s">
        <v>10</v>
      </c>
    </row>
    <row r="34708" spans="1:2" x14ac:dyDescent="0.25">
      <c r="A34708">
        <v>73102990100</v>
      </c>
      <c r="B34708" t="s">
        <v>10237</v>
      </c>
    </row>
    <row r="34709" spans="1:2" x14ac:dyDescent="0.25">
      <c r="A34709">
        <v>73102990200</v>
      </c>
      <c r="B34709" t="s">
        <v>10238</v>
      </c>
    </row>
    <row r="34710" spans="1:2" x14ac:dyDescent="0.25">
      <c r="A34710">
        <v>73102990300</v>
      </c>
      <c r="B34710" t="s">
        <v>10239</v>
      </c>
    </row>
    <row r="34711" spans="1:2" x14ac:dyDescent="0.25">
      <c r="A34711">
        <v>73102990400</v>
      </c>
      <c r="B34711" t="s">
        <v>10240</v>
      </c>
    </row>
    <row r="34712" spans="1:2" x14ac:dyDescent="0.25">
      <c r="A34712">
        <v>73102990500</v>
      </c>
      <c r="B34712" t="s">
        <v>10241</v>
      </c>
    </row>
    <row r="34713" spans="1:2" x14ac:dyDescent="0.25">
      <c r="A34713">
        <v>73102990600</v>
      </c>
      <c r="B34713" t="s">
        <v>10242</v>
      </c>
    </row>
    <row r="34714" spans="1:2" x14ac:dyDescent="0.25">
      <c r="A34714">
        <v>73102990900</v>
      </c>
      <c r="B34714" t="s">
        <v>10</v>
      </c>
    </row>
    <row r="34715" spans="1:2" x14ac:dyDescent="0.25">
      <c r="A34715">
        <v>73110000</v>
      </c>
      <c r="B34715" t="s">
        <v>10243</v>
      </c>
    </row>
    <row r="34716" spans="1:2" x14ac:dyDescent="0.25">
      <c r="A34716">
        <v>731100001</v>
      </c>
      <c r="B34716" t="s">
        <v>10244</v>
      </c>
    </row>
    <row r="34717" spans="1:2" x14ac:dyDescent="0.25">
      <c r="A34717">
        <v>73110000110</v>
      </c>
      <c r="B34717" t="s">
        <v>10245</v>
      </c>
    </row>
    <row r="34718" spans="1:2" x14ac:dyDescent="0.25">
      <c r="A34718">
        <v>73110000190</v>
      </c>
      <c r="B34718" t="s">
        <v>10246</v>
      </c>
    </row>
    <row r="34719" spans="1:2" x14ac:dyDescent="0.25">
      <c r="A34719">
        <v>73110000200</v>
      </c>
      <c r="B34719" t="s">
        <v>10247</v>
      </c>
    </row>
    <row r="34720" spans="1:2" x14ac:dyDescent="0.25">
      <c r="A34720">
        <v>73110000300</v>
      </c>
      <c r="B34720" t="s">
        <v>10248</v>
      </c>
    </row>
    <row r="34721" spans="1:2" x14ac:dyDescent="0.25">
      <c r="A34721">
        <v>731100009</v>
      </c>
      <c r="B34721" t="s">
        <v>10</v>
      </c>
    </row>
    <row r="34722" spans="1:2" x14ac:dyDescent="0.25">
      <c r="A34722">
        <v>73110000910</v>
      </c>
      <c r="B34722" t="s">
        <v>10249</v>
      </c>
    </row>
    <row r="34723" spans="1:2" x14ac:dyDescent="0.25">
      <c r="A34723">
        <v>73110000920</v>
      </c>
      <c r="B34723" t="s">
        <v>10236</v>
      </c>
    </row>
    <row r="34724" spans="1:2" x14ac:dyDescent="0.25">
      <c r="A34724">
        <v>73110000930</v>
      </c>
      <c r="B34724" t="s">
        <v>10233</v>
      </c>
    </row>
    <row r="34725" spans="1:2" x14ac:dyDescent="0.25">
      <c r="A34725">
        <v>73110000940</v>
      </c>
      <c r="B34725" t="s">
        <v>10250</v>
      </c>
    </row>
    <row r="34726" spans="1:2" x14ac:dyDescent="0.25">
      <c r="A34726">
        <v>73110000950</v>
      </c>
      <c r="B34726" t="s">
        <v>10251</v>
      </c>
    </row>
    <row r="34727" spans="1:2" x14ac:dyDescent="0.25">
      <c r="A34727">
        <v>73110000960</v>
      </c>
      <c r="B34727" t="s">
        <v>10252</v>
      </c>
    </row>
    <row r="34728" spans="1:2" x14ac:dyDescent="0.25">
      <c r="A34728">
        <v>73110000970</v>
      </c>
      <c r="B34728" t="s">
        <v>10253</v>
      </c>
    </row>
    <row r="34729" spans="1:2" x14ac:dyDescent="0.25">
      <c r="A34729">
        <v>73110000980</v>
      </c>
      <c r="B34729" t="s">
        <v>10254</v>
      </c>
    </row>
    <row r="34730" spans="1:2" x14ac:dyDescent="0.25">
      <c r="A34730">
        <v>73110000990</v>
      </c>
      <c r="B34730" t="s">
        <v>10</v>
      </c>
    </row>
    <row r="34731" spans="1:2" x14ac:dyDescent="0.25">
      <c r="A34731">
        <v>7312</v>
      </c>
      <c r="B34731" t="s">
        <v>10255</v>
      </c>
    </row>
    <row r="34732" spans="1:2" x14ac:dyDescent="0.25">
      <c r="A34732">
        <v>731210</v>
      </c>
      <c r="B34732" t="e">
        <f>- cables</f>
        <v>#NAME?</v>
      </c>
    </row>
    <row r="34733" spans="1:2" x14ac:dyDescent="0.25">
      <c r="A34733">
        <v>73121010000</v>
      </c>
      <c r="B34733" t="s">
        <v>10256</v>
      </c>
    </row>
    <row r="34734" spans="1:2" x14ac:dyDescent="0.25">
      <c r="A34734">
        <v>73121090</v>
      </c>
      <c r="B34734" t="s">
        <v>10</v>
      </c>
    </row>
    <row r="34735" spans="1:2" x14ac:dyDescent="0.25">
      <c r="A34735">
        <v>731210901</v>
      </c>
      <c r="B34735" t="s">
        <v>10257</v>
      </c>
    </row>
    <row r="34736" spans="1:2" x14ac:dyDescent="0.25">
      <c r="A34736">
        <v>7312109011</v>
      </c>
      <c r="B34736" t="s">
        <v>10258</v>
      </c>
    </row>
    <row r="34737" spans="1:2" x14ac:dyDescent="0.25">
      <c r="A34737">
        <v>73121090111</v>
      </c>
      <c r="B34737" t="s">
        <v>10259</v>
      </c>
    </row>
    <row r="34738" spans="1:2" x14ac:dyDescent="0.25">
      <c r="A34738">
        <v>73121090119</v>
      </c>
      <c r="B34738" t="s">
        <v>10</v>
      </c>
    </row>
    <row r="34739" spans="1:2" x14ac:dyDescent="0.25">
      <c r="A34739">
        <v>7312109012</v>
      </c>
      <c r="B34739" t="s">
        <v>10260</v>
      </c>
    </row>
    <row r="34740" spans="1:2" x14ac:dyDescent="0.25">
      <c r="A34740">
        <v>73121090121</v>
      </c>
      <c r="B34740" t="s">
        <v>10259</v>
      </c>
    </row>
    <row r="34741" spans="1:2" x14ac:dyDescent="0.25">
      <c r="A34741">
        <v>73121090129</v>
      </c>
      <c r="B34741" t="s">
        <v>10</v>
      </c>
    </row>
    <row r="34742" spans="1:2" x14ac:dyDescent="0.25">
      <c r="A34742">
        <v>7312109013</v>
      </c>
      <c r="B34742" t="s">
        <v>10261</v>
      </c>
    </row>
    <row r="34743" spans="1:2" x14ac:dyDescent="0.25">
      <c r="A34743">
        <v>73121090131</v>
      </c>
      <c r="B34743" t="s">
        <v>10262</v>
      </c>
    </row>
    <row r="34744" spans="1:2" x14ac:dyDescent="0.25">
      <c r="A34744">
        <v>73121090132</v>
      </c>
      <c r="B34744" t="s">
        <v>10263</v>
      </c>
    </row>
    <row r="34745" spans="1:2" x14ac:dyDescent="0.25">
      <c r="A34745">
        <v>73121090133</v>
      </c>
      <c r="B34745" t="s">
        <v>10264</v>
      </c>
    </row>
    <row r="34746" spans="1:2" x14ac:dyDescent="0.25">
      <c r="A34746">
        <v>73121090134</v>
      </c>
      <c r="B34746" t="s">
        <v>10265</v>
      </c>
    </row>
    <row r="34747" spans="1:2" x14ac:dyDescent="0.25">
      <c r="A34747">
        <v>73121090135</v>
      </c>
      <c r="B34747" t="s">
        <v>10266</v>
      </c>
    </row>
    <row r="34748" spans="1:2" x14ac:dyDescent="0.25">
      <c r="A34748">
        <v>73121090136</v>
      </c>
      <c r="B34748" t="s">
        <v>10267</v>
      </c>
    </row>
    <row r="34749" spans="1:2" x14ac:dyDescent="0.25">
      <c r="A34749">
        <v>73121090139</v>
      </c>
      <c r="B34749" t="s">
        <v>10</v>
      </c>
    </row>
    <row r="34750" spans="1:2" x14ac:dyDescent="0.25">
      <c r="A34750">
        <v>7312109014</v>
      </c>
      <c r="B34750" t="s">
        <v>10268</v>
      </c>
    </row>
    <row r="34751" spans="1:2" x14ac:dyDescent="0.25">
      <c r="A34751">
        <v>73121090141</v>
      </c>
      <c r="B34751" t="s">
        <v>10269</v>
      </c>
    </row>
    <row r="34752" spans="1:2" x14ac:dyDescent="0.25">
      <c r="A34752">
        <v>73121090142</v>
      </c>
      <c r="B34752" t="s">
        <v>10270</v>
      </c>
    </row>
    <row r="34753" spans="1:2" x14ac:dyDescent="0.25">
      <c r="A34753">
        <v>73121090143</v>
      </c>
      <c r="B34753" t="s">
        <v>10271</v>
      </c>
    </row>
    <row r="34754" spans="1:2" x14ac:dyDescent="0.25">
      <c r="A34754">
        <v>73121090149</v>
      </c>
      <c r="B34754" t="s">
        <v>10</v>
      </c>
    </row>
    <row r="34755" spans="1:2" x14ac:dyDescent="0.25">
      <c r="A34755">
        <v>7312109015</v>
      </c>
      <c r="B34755" t="s">
        <v>10272</v>
      </c>
    </row>
    <row r="34756" spans="1:2" x14ac:dyDescent="0.25">
      <c r="A34756">
        <v>73121090151</v>
      </c>
      <c r="B34756" t="s">
        <v>10262</v>
      </c>
    </row>
    <row r="34757" spans="1:2" x14ac:dyDescent="0.25">
      <c r="A34757">
        <v>73121090152</v>
      </c>
      <c r="B34757" t="s">
        <v>10263</v>
      </c>
    </row>
    <row r="34758" spans="1:2" x14ac:dyDescent="0.25">
      <c r="A34758">
        <v>73121090153</v>
      </c>
      <c r="B34758" t="s">
        <v>10264</v>
      </c>
    </row>
    <row r="34759" spans="1:2" x14ac:dyDescent="0.25">
      <c r="A34759">
        <v>73121090154</v>
      </c>
      <c r="B34759" t="s">
        <v>10265</v>
      </c>
    </row>
    <row r="34760" spans="1:2" x14ac:dyDescent="0.25">
      <c r="A34760">
        <v>73121090155</v>
      </c>
      <c r="B34760" t="s">
        <v>10266</v>
      </c>
    </row>
    <row r="34761" spans="1:2" x14ac:dyDescent="0.25">
      <c r="A34761">
        <v>73121090156</v>
      </c>
      <c r="B34761" t="s">
        <v>10267</v>
      </c>
    </row>
    <row r="34762" spans="1:2" x14ac:dyDescent="0.25">
      <c r="A34762">
        <v>73121090157</v>
      </c>
      <c r="B34762" t="s">
        <v>10273</v>
      </c>
    </row>
    <row r="34763" spans="1:2" x14ac:dyDescent="0.25">
      <c r="A34763">
        <v>73121090159</v>
      </c>
      <c r="B34763" t="s">
        <v>10</v>
      </c>
    </row>
    <row r="34764" spans="1:2" x14ac:dyDescent="0.25">
      <c r="A34764">
        <v>73121090190</v>
      </c>
      <c r="B34764" t="s">
        <v>10</v>
      </c>
    </row>
    <row r="34765" spans="1:2" x14ac:dyDescent="0.25">
      <c r="A34765">
        <v>731210902</v>
      </c>
      <c r="B34765" t="s">
        <v>10274</v>
      </c>
    </row>
    <row r="34766" spans="1:2" x14ac:dyDescent="0.25">
      <c r="A34766">
        <v>73121090210</v>
      </c>
      <c r="B34766" t="s">
        <v>10269</v>
      </c>
    </row>
    <row r="34767" spans="1:2" x14ac:dyDescent="0.25">
      <c r="A34767">
        <v>73121090220</v>
      </c>
      <c r="B34767" t="s">
        <v>10270</v>
      </c>
    </row>
    <row r="34768" spans="1:2" x14ac:dyDescent="0.25">
      <c r="A34768">
        <v>73121090230</v>
      </c>
      <c r="B34768" t="s">
        <v>10271</v>
      </c>
    </row>
    <row r="34769" spans="1:2" x14ac:dyDescent="0.25">
      <c r="A34769">
        <v>73121090240</v>
      </c>
      <c r="B34769" t="s">
        <v>10275</v>
      </c>
    </row>
    <row r="34770" spans="1:2" x14ac:dyDescent="0.25">
      <c r="A34770">
        <v>73121090290</v>
      </c>
      <c r="B34770" t="s">
        <v>10</v>
      </c>
    </row>
    <row r="34771" spans="1:2" x14ac:dyDescent="0.25">
      <c r="A34771">
        <v>731210903</v>
      </c>
      <c r="B34771" t="s">
        <v>10276</v>
      </c>
    </row>
    <row r="34772" spans="1:2" x14ac:dyDescent="0.25">
      <c r="A34772">
        <v>73121090310</v>
      </c>
      <c r="B34772" t="s">
        <v>10269</v>
      </c>
    </row>
    <row r="34773" spans="1:2" x14ac:dyDescent="0.25">
      <c r="A34773">
        <v>73121090320</v>
      </c>
      <c r="B34773" t="s">
        <v>10270</v>
      </c>
    </row>
    <row r="34774" spans="1:2" x14ac:dyDescent="0.25">
      <c r="A34774">
        <v>73121090330</v>
      </c>
      <c r="B34774" t="s">
        <v>10271</v>
      </c>
    </row>
    <row r="34775" spans="1:2" x14ac:dyDescent="0.25">
      <c r="A34775">
        <v>73121090340</v>
      </c>
      <c r="B34775" t="s">
        <v>10275</v>
      </c>
    </row>
    <row r="34776" spans="1:2" x14ac:dyDescent="0.25">
      <c r="A34776">
        <v>73121090390</v>
      </c>
      <c r="B34776" t="s">
        <v>10</v>
      </c>
    </row>
    <row r="34777" spans="1:2" x14ac:dyDescent="0.25">
      <c r="A34777">
        <v>731210904</v>
      </c>
      <c r="B34777" t="s">
        <v>10277</v>
      </c>
    </row>
    <row r="34778" spans="1:2" x14ac:dyDescent="0.25">
      <c r="A34778">
        <v>73121090410</v>
      </c>
      <c r="B34778" t="s">
        <v>10269</v>
      </c>
    </row>
    <row r="34779" spans="1:2" x14ac:dyDescent="0.25">
      <c r="A34779">
        <v>73121090420</v>
      </c>
      <c r="B34779" t="s">
        <v>10270</v>
      </c>
    </row>
    <row r="34780" spans="1:2" x14ac:dyDescent="0.25">
      <c r="A34780">
        <v>73121090430</v>
      </c>
      <c r="B34780" t="s">
        <v>10271</v>
      </c>
    </row>
    <row r="34781" spans="1:2" x14ac:dyDescent="0.25">
      <c r="A34781">
        <v>73121090440</v>
      </c>
      <c r="B34781" t="s">
        <v>10275</v>
      </c>
    </row>
    <row r="34782" spans="1:2" x14ac:dyDescent="0.25">
      <c r="A34782">
        <v>73121090490</v>
      </c>
      <c r="B34782" t="s">
        <v>10</v>
      </c>
    </row>
    <row r="34783" spans="1:2" x14ac:dyDescent="0.25">
      <c r="A34783">
        <v>731210905</v>
      </c>
      <c r="B34783" t="s">
        <v>10278</v>
      </c>
    </row>
    <row r="34784" spans="1:2" x14ac:dyDescent="0.25">
      <c r="A34784">
        <v>73121090510</v>
      </c>
      <c r="B34784" t="s">
        <v>10269</v>
      </c>
    </row>
    <row r="34785" spans="1:2" x14ac:dyDescent="0.25">
      <c r="A34785">
        <v>73121090520</v>
      </c>
      <c r="B34785" t="s">
        <v>10270</v>
      </c>
    </row>
    <row r="34786" spans="1:2" x14ac:dyDescent="0.25">
      <c r="A34786">
        <v>73121090530</v>
      </c>
      <c r="B34786" t="s">
        <v>10271</v>
      </c>
    </row>
    <row r="34787" spans="1:2" x14ac:dyDescent="0.25">
      <c r="A34787">
        <v>73121090540</v>
      </c>
      <c r="B34787" t="s">
        <v>10275</v>
      </c>
    </row>
    <row r="34788" spans="1:2" x14ac:dyDescent="0.25">
      <c r="A34788">
        <v>73121090590</v>
      </c>
      <c r="B34788" t="s">
        <v>10</v>
      </c>
    </row>
    <row r="34789" spans="1:2" x14ac:dyDescent="0.25">
      <c r="A34789">
        <v>731210906</v>
      </c>
      <c r="B34789" t="s">
        <v>10279</v>
      </c>
    </row>
    <row r="34790" spans="1:2" x14ac:dyDescent="0.25">
      <c r="A34790">
        <v>73121090610</v>
      </c>
      <c r="B34790" t="s">
        <v>10269</v>
      </c>
    </row>
    <row r="34791" spans="1:2" x14ac:dyDescent="0.25">
      <c r="A34791">
        <v>73121090620</v>
      </c>
      <c r="B34791" t="s">
        <v>10270</v>
      </c>
    </row>
    <row r="34792" spans="1:2" x14ac:dyDescent="0.25">
      <c r="A34792">
        <v>73121090630</v>
      </c>
      <c r="B34792" t="s">
        <v>10271</v>
      </c>
    </row>
    <row r="34793" spans="1:2" x14ac:dyDescent="0.25">
      <c r="A34793">
        <v>73121090640</v>
      </c>
      <c r="B34793" t="s">
        <v>10275</v>
      </c>
    </row>
    <row r="34794" spans="1:2" x14ac:dyDescent="0.25">
      <c r="A34794">
        <v>73121090690</v>
      </c>
      <c r="B34794" t="s">
        <v>10</v>
      </c>
    </row>
    <row r="34795" spans="1:2" x14ac:dyDescent="0.25">
      <c r="A34795">
        <v>731210907</v>
      </c>
      <c r="B34795" t="s">
        <v>10280</v>
      </c>
    </row>
    <row r="34796" spans="1:2" x14ac:dyDescent="0.25">
      <c r="A34796">
        <v>73121090710</v>
      </c>
      <c r="B34796" t="s">
        <v>10269</v>
      </c>
    </row>
    <row r="34797" spans="1:2" x14ac:dyDescent="0.25">
      <c r="A34797">
        <v>73121090720</v>
      </c>
      <c r="B34797" t="s">
        <v>10270</v>
      </c>
    </row>
    <row r="34798" spans="1:2" x14ac:dyDescent="0.25">
      <c r="A34798">
        <v>73121090730</v>
      </c>
      <c r="B34798" t="s">
        <v>10271</v>
      </c>
    </row>
    <row r="34799" spans="1:2" x14ac:dyDescent="0.25">
      <c r="A34799">
        <v>73121090740</v>
      </c>
      <c r="B34799" t="s">
        <v>10275</v>
      </c>
    </row>
    <row r="34800" spans="1:2" x14ac:dyDescent="0.25">
      <c r="A34800">
        <v>73121090790</v>
      </c>
      <c r="B34800" t="s">
        <v>10</v>
      </c>
    </row>
    <row r="34801" spans="1:2" x14ac:dyDescent="0.25">
      <c r="A34801">
        <v>731210909</v>
      </c>
      <c r="B34801" t="s">
        <v>10</v>
      </c>
    </row>
    <row r="34802" spans="1:2" x14ac:dyDescent="0.25">
      <c r="A34802">
        <v>73121090910</v>
      </c>
      <c r="B34802" t="s">
        <v>6661</v>
      </c>
    </row>
    <row r="34803" spans="1:2" x14ac:dyDescent="0.25">
      <c r="A34803">
        <v>73121090990</v>
      </c>
      <c r="B34803" t="s">
        <v>10</v>
      </c>
    </row>
    <row r="34804" spans="1:2" x14ac:dyDescent="0.25">
      <c r="A34804">
        <v>73129000000</v>
      </c>
      <c r="B34804" t="e">
        <f>-Los demas</f>
        <v>#NAME?</v>
      </c>
    </row>
    <row r="34805" spans="1:2" x14ac:dyDescent="0.25">
      <c r="A34805">
        <v>73130000000</v>
      </c>
      <c r="B34805" t="s">
        <v>10281</v>
      </c>
    </row>
    <row r="34806" spans="1:2" x14ac:dyDescent="0.25">
      <c r="A34806">
        <v>7314</v>
      </c>
      <c r="B34806" t="s">
        <v>10282</v>
      </c>
    </row>
    <row r="34807" spans="1:2" x14ac:dyDescent="0.25">
      <c r="A34807">
        <v>73141</v>
      </c>
      <c r="B34807" t="s">
        <v>10283</v>
      </c>
    </row>
    <row r="34808" spans="1:2" x14ac:dyDescent="0.25">
      <c r="A34808">
        <v>73141200000</v>
      </c>
      <c r="B34808" t="e">
        <f>--Telas metalicas continuas o sin fin. de acero inoxidable. para maquinas</f>
        <v>#NAME?</v>
      </c>
    </row>
    <row r="34809" spans="1:2" x14ac:dyDescent="0.25">
      <c r="A34809">
        <v>73141400000</v>
      </c>
      <c r="B34809" t="e">
        <f>--las demas Telas metalicas tejidas. de acero inoxidable</f>
        <v>#NAME?</v>
      </c>
    </row>
    <row r="34810" spans="1:2" x14ac:dyDescent="0.25">
      <c r="A34810">
        <v>73141900</v>
      </c>
      <c r="B34810" t="e">
        <f>- - las demas</f>
        <v>#NAME?</v>
      </c>
    </row>
    <row r="34811" spans="1:2" x14ac:dyDescent="0.25">
      <c r="A34811">
        <v>73141900100</v>
      </c>
      <c r="B34811" t="s">
        <v>10284</v>
      </c>
    </row>
    <row r="34812" spans="1:2" x14ac:dyDescent="0.25">
      <c r="A34812">
        <v>73141900900</v>
      </c>
      <c r="B34812" t="s">
        <v>57</v>
      </c>
    </row>
    <row r="34813" spans="1:2" x14ac:dyDescent="0.25">
      <c r="A34813">
        <v>73142000</v>
      </c>
      <c r="B34813" t="s">
        <v>10285</v>
      </c>
    </row>
    <row r="34814" spans="1:2" x14ac:dyDescent="0.25">
      <c r="A34814">
        <v>73142000100</v>
      </c>
      <c r="B34814" t="s">
        <v>10286</v>
      </c>
    </row>
    <row r="34815" spans="1:2" x14ac:dyDescent="0.25">
      <c r="A34815">
        <v>73142000900</v>
      </c>
      <c r="B34815" t="s">
        <v>57</v>
      </c>
    </row>
    <row r="34816" spans="1:2" x14ac:dyDescent="0.25">
      <c r="A34816">
        <v>73143</v>
      </c>
      <c r="B34816" t="s">
        <v>10287</v>
      </c>
    </row>
    <row r="34817" spans="1:2" x14ac:dyDescent="0.25">
      <c r="A34817">
        <v>73143100000</v>
      </c>
      <c r="B34817" t="e">
        <f>--Cincadas</f>
        <v>#NAME?</v>
      </c>
    </row>
    <row r="34818" spans="1:2" x14ac:dyDescent="0.25">
      <c r="A34818">
        <v>73143900000</v>
      </c>
      <c r="B34818" t="e">
        <f>--las demas</f>
        <v>#NAME?</v>
      </c>
    </row>
    <row r="34819" spans="1:2" x14ac:dyDescent="0.25">
      <c r="A34819">
        <v>73144</v>
      </c>
      <c r="B34819" t="s">
        <v>10288</v>
      </c>
    </row>
    <row r="34820" spans="1:2" x14ac:dyDescent="0.25">
      <c r="A34820">
        <v>73144100000</v>
      </c>
      <c r="B34820" t="e">
        <f>--Cincadas</f>
        <v>#NAME?</v>
      </c>
    </row>
    <row r="34821" spans="1:2" x14ac:dyDescent="0.25">
      <c r="A34821">
        <v>73144200000</v>
      </c>
      <c r="B34821" t="e">
        <f>--Revestidas de plastico</f>
        <v>#NAME?</v>
      </c>
    </row>
    <row r="34822" spans="1:2" x14ac:dyDescent="0.25">
      <c r="A34822">
        <v>73144900000</v>
      </c>
      <c r="B34822" t="e">
        <f>--las demas</f>
        <v>#NAME?</v>
      </c>
    </row>
    <row r="34823" spans="1:2" x14ac:dyDescent="0.25">
      <c r="A34823">
        <v>73145000000</v>
      </c>
      <c r="B34823" t="e">
        <f>-Chapas y tiras. extendidas (desplegadas)</f>
        <v>#NAME?</v>
      </c>
    </row>
    <row r="34824" spans="1:2" x14ac:dyDescent="0.25">
      <c r="A34824">
        <v>7315</v>
      </c>
      <c r="B34824" t="s">
        <v>10289</v>
      </c>
    </row>
    <row r="34825" spans="1:2" x14ac:dyDescent="0.25">
      <c r="A34825">
        <v>73151</v>
      </c>
      <c r="B34825" t="s">
        <v>10290</v>
      </c>
    </row>
    <row r="34826" spans="1:2" x14ac:dyDescent="0.25">
      <c r="A34826">
        <v>73151100</v>
      </c>
      <c r="B34826" t="e">
        <f>- - Cadenas de rodillos</f>
        <v>#NAME?</v>
      </c>
    </row>
    <row r="34827" spans="1:2" x14ac:dyDescent="0.25">
      <c r="A34827">
        <v>731511001</v>
      </c>
      <c r="B34827" t="s">
        <v>9630</v>
      </c>
    </row>
    <row r="34828" spans="1:2" x14ac:dyDescent="0.25">
      <c r="A34828">
        <v>73151100110</v>
      </c>
      <c r="B34828" t="s">
        <v>10291</v>
      </c>
    </row>
    <row r="34829" spans="1:2" x14ac:dyDescent="0.25">
      <c r="A34829">
        <v>73151100120</v>
      </c>
      <c r="B34829" t="s">
        <v>10292</v>
      </c>
    </row>
    <row r="34830" spans="1:2" x14ac:dyDescent="0.25">
      <c r="A34830">
        <v>73151100190</v>
      </c>
      <c r="B34830" t="s">
        <v>57</v>
      </c>
    </row>
    <row r="34831" spans="1:2" x14ac:dyDescent="0.25">
      <c r="A34831">
        <v>731511009</v>
      </c>
      <c r="B34831" t="s">
        <v>57</v>
      </c>
    </row>
    <row r="34832" spans="1:2" x14ac:dyDescent="0.25">
      <c r="A34832">
        <v>73151100910</v>
      </c>
      <c r="B34832" t="s">
        <v>10293</v>
      </c>
    </row>
    <row r="34833" spans="1:2" x14ac:dyDescent="0.25">
      <c r="A34833">
        <v>73151100920</v>
      </c>
      <c r="B34833" t="s">
        <v>10294</v>
      </c>
    </row>
    <row r="34834" spans="1:2" x14ac:dyDescent="0.25">
      <c r="A34834">
        <v>73151100930</v>
      </c>
      <c r="B34834" t="s">
        <v>6673</v>
      </c>
    </row>
    <row r="34835" spans="1:2" x14ac:dyDescent="0.25">
      <c r="A34835">
        <v>73151100990</v>
      </c>
      <c r="B34835" t="s">
        <v>57</v>
      </c>
    </row>
    <row r="34836" spans="1:2" x14ac:dyDescent="0.25">
      <c r="A34836">
        <v>731512</v>
      </c>
      <c r="B34836" t="e">
        <f>- - las demas Cadenas</f>
        <v>#NAME?</v>
      </c>
    </row>
    <row r="34837" spans="1:2" x14ac:dyDescent="0.25">
      <c r="A34837">
        <v>73151210</v>
      </c>
      <c r="B34837" t="s">
        <v>6994</v>
      </c>
    </row>
    <row r="34838" spans="1:2" x14ac:dyDescent="0.25">
      <c r="A34838">
        <v>73151210100</v>
      </c>
      <c r="B34838" t="s">
        <v>6673</v>
      </c>
    </row>
    <row r="34839" spans="1:2" x14ac:dyDescent="0.25">
      <c r="A34839">
        <v>73151210900</v>
      </c>
      <c r="B34839" t="s">
        <v>10</v>
      </c>
    </row>
    <row r="34840" spans="1:2" x14ac:dyDescent="0.25">
      <c r="A34840">
        <v>73151290</v>
      </c>
      <c r="B34840" t="s">
        <v>57</v>
      </c>
    </row>
    <row r="34841" spans="1:2" x14ac:dyDescent="0.25">
      <c r="A34841">
        <v>73151290100</v>
      </c>
      <c r="B34841" t="s">
        <v>10295</v>
      </c>
    </row>
    <row r="34842" spans="1:2" x14ac:dyDescent="0.25">
      <c r="A34842">
        <v>73151290900</v>
      </c>
      <c r="B34842" t="s">
        <v>10</v>
      </c>
    </row>
    <row r="34843" spans="1:2" x14ac:dyDescent="0.25">
      <c r="A34843">
        <v>73151900</v>
      </c>
      <c r="B34843" t="e">
        <f>- - partes</f>
        <v>#NAME?</v>
      </c>
    </row>
    <row r="34844" spans="1:2" x14ac:dyDescent="0.25">
      <c r="A34844">
        <v>73151900100</v>
      </c>
      <c r="B34844" t="s">
        <v>10295</v>
      </c>
    </row>
    <row r="34845" spans="1:2" x14ac:dyDescent="0.25">
      <c r="A34845">
        <v>73151900900</v>
      </c>
      <c r="B34845" t="s">
        <v>10</v>
      </c>
    </row>
    <row r="34846" spans="1:2" x14ac:dyDescent="0.25">
      <c r="A34846">
        <v>73152000</v>
      </c>
      <c r="B34846" t="e">
        <f>- Cadenas antideslizantes</f>
        <v>#NAME?</v>
      </c>
    </row>
    <row r="34847" spans="1:2" x14ac:dyDescent="0.25">
      <c r="A34847">
        <v>73152000100</v>
      </c>
      <c r="B34847" t="s">
        <v>10295</v>
      </c>
    </row>
    <row r="34848" spans="1:2" x14ac:dyDescent="0.25">
      <c r="A34848">
        <v>73152000900</v>
      </c>
      <c r="B34848" t="s">
        <v>10</v>
      </c>
    </row>
    <row r="34849" spans="1:2" x14ac:dyDescent="0.25">
      <c r="A34849">
        <v>73158</v>
      </c>
      <c r="B34849" t="s">
        <v>10296</v>
      </c>
    </row>
    <row r="34850" spans="1:2" x14ac:dyDescent="0.25">
      <c r="A34850">
        <v>73158100000</v>
      </c>
      <c r="B34850" t="e">
        <f>--Cadenas de eslabones Con contrete (travesaño)</f>
        <v>#NAME?</v>
      </c>
    </row>
    <row r="34851" spans="1:2" x14ac:dyDescent="0.25">
      <c r="A34851">
        <v>73158200</v>
      </c>
      <c r="B34851" t="e">
        <f>- - las demas cadenas. de eslabones Soldados</f>
        <v>#NAME?</v>
      </c>
    </row>
    <row r="34852" spans="1:2" x14ac:dyDescent="0.25">
      <c r="A34852">
        <v>731582001</v>
      </c>
      <c r="B34852" t="s">
        <v>10297</v>
      </c>
    </row>
    <row r="34853" spans="1:2" x14ac:dyDescent="0.25">
      <c r="A34853">
        <v>7315820011</v>
      </c>
      <c r="B34853" t="s">
        <v>9540</v>
      </c>
    </row>
    <row r="34854" spans="1:2" x14ac:dyDescent="0.25">
      <c r="A34854">
        <v>73158200111</v>
      </c>
      <c r="B34854" t="s">
        <v>10298</v>
      </c>
    </row>
    <row r="34855" spans="1:2" x14ac:dyDescent="0.25">
      <c r="A34855">
        <v>73158200118</v>
      </c>
      <c r="B34855" t="s">
        <v>10299</v>
      </c>
    </row>
    <row r="34856" spans="1:2" x14ac:dyDescent="0.25">
      <c r="A34856">
        <v>73158200119</v>
      </c>
      <c r="B34856" t="s">
        <v>57</v>
      </c>
    </row>
    <row r="34857" spans="1:2" x14ac:dyDescent="0.25">
      <c r="A34857">
        <v>7315820012</v>
      </c>
      <c r="B34857" t="s">
        <v>10300</v>
      </c>
    </row>
    <row r="34858" spans="1:2" x14ac:dyDescent="0.25">
      <c r="A34858">
        <v>73158200121</v>
      </c>
      <c r="B34858" t="s">
        <v>10298</v>
      </c>
    </row>
    <row r="34859" spans="1:2" x14ac:dyDescent="0.25">
      <c r="A34859">
        <v>73158200128</v>
      </c>
      <c r="B34859" t="s">
        <v>10299</v>
      </c>
    </row>
    <row r="34860" spans="1:2" x14ac:dyDescent="0.25">
      <c r="A34860">
        <v>73158200129</v>
      </c>
      <c r="B34860" t="s">
        <v>57</v>
      </c>
    </row>
    <row r="34861" spans="1:2" x14ac:dyDescent="0.25">
      <c r="A34861">
        <v>7315820019</v>
      </c>
      <c r="B34861" t="s">
        <v>57</v>
      </c>
    </row>
    <row r="34862" spans="1:2" x14ac:dyDescent="0.25">
      <c r="A34862">
        <v>73158200191</v>
      </c>
      <c r="B34862" t="s">
        <v>10298</v>
      </c>
    </row>
    <row r="34863" spans="1:2" x14ac:dyDescent="0.25">
      <c r="A34863">
        <v>73158200198</v>
      </c>
      <c r="B34863" t="s">
        <v>10299</v>
      </c>
    </row>
    <row r="34864" spans="1:2" x14ac:dyDescent="0.25">
      <c r="A34864">
        <v>73158200199</v>
      </c>
      <c r="B34864" t="s">
        <v>57</v>
      </c>
    </row>
    <row r="34865" spans="1:2" x14ac:dyDescent="0.25">
      <c r="A34865">
        <v>731582009</v>
      </c>
      <c r="B34865" t="s">
        <v>57</v>
      </c>
    </row>
    <row r="34866" spans="1:2" x14ac:dyDescent="0.25">
      <c r="A34866">
        <v>73158200910</v>
      </c>
      <c r="B34866" t="s">
        <v>10301</v>
      </c>
    </row>
    <row r="34867" spans="1:2" x14ac:dyDescent="0.25">
      <c r="A34867">
        <v>73158200990</v>
      </c>
      <c r="B34867" t="s">
        <v>57</v>
      </c>
    </row>
    <row r="34868" spans="1:2" x14ac:dyDescent="0.25">
      <c r="A34868">
        <v>73158900000</v>
      </c>
      <c r="B34868" t="e">
        <f>--las demas</f>
        <v>#NAME?</v>
      </c>
    </row>
    <row r="34869" spans="1:2" x14ac:dyDescent="0.25">
      <c r="A34869">
        <v>73159000000</v>
      </c>
      <c r="B34869" t="e">
        <f>-las demas partes</f>
        <v>#NAME?</v>
      </c>
    </row>
    <row r="34870" spans="1:2" x14ac:dyDescent="0.25">
      <c r="A34870">
        <v>73160000000</v>
      </c>
      <c r="B34870" t="s">
        <v>10302</v>
      </c>
    </row>
    <row r="34871" spans="1:2" x14ac:dyDescent="0.25">
      <c r="A34871">
        <v>731700</v>
      </c>
      <c r="B34871" t="s">
        <v>10303</v>
      </c>
    </row>
    <row r="34872" spans="1:2" x14ac:dyDescent="0.25">
      <c r="A34872">
        <v>73170010000</v>
      </c>
      <c r="B34872" t="s">
        <v>10304</v>
      </c>
    </row>
    <row r="34873" spans="1:2" x14ac:dyDescent="0.25">
      <c r="A34873">
        <v>73170020000</v>
      </c>
      <c r="B34873" t="s">
        <v>10305</v>
      </c>
    </row>
    <row r="34874" spans="1:2" x14ac:dyDescent="0.25">
      <c r="A34874">
        <v>73170030000</v>
      </c>
      <c r="B34874" t="s">
        <v>10306</v>
      </c>
    </row>
    <row r="34875" spans="1:2" x14ac:dyDescent="0.25">
      <c r="A34875">
        <v>73170090000</v>
      </c>
      <c r="B34875" t="s">
        <v>10</v>
      </c>
    </row>
    <row r="34876" spans="1:2" x14ac:dyDescent="0.25">
      <c r="A34876">
        <v>7318</v>
      </c>
      <c r="B34876" t="s">
        <v>10307</v>
      </c>
    </row>
    <row r="34877" spans="1:2" x14ac:dyDescent="0.25">
      <c r="A34877">
        <v>73181</v>
      </c>
      <c r="B34877" t="s">
        <v>10308</v>
      </c>
    </row>
    <row r="34878" spans="1:2" x14ac:dyDescent="0.25">
      <c r="A34878">
        <v>73181100</v>
      </c>
      <c r="B34878" t="e">
        <f>- - Tirafondos</f>
        <v>#NAME?</v>
      </c>
    </row>
    <row r="34879" spans="1:2" x14ac:dyDescent="0.25">
      <c r="A34879">
        <v>73181100100</v>
      </c>
      <c r="B34879" t="s">
        <v>10309</v>
      </c>
    </row>
    <row r="34880" spans="1:2" x14ac:dyDescent="0.25">
      <c r="A34880">
        <v>73181100900</v>
      </c>
      <c r="B34880" t="s">
        <v>10</v>
      </c>
    </row>
    <row r="34881" spans="1:2" x14ac:dyDescent="0.25">
      <c r="A34881">
        <v>73181200</v>
      </c>
      <c r="B34881" t="e">
        <f>- - Los demas tornillos para madera</f>
        <v>#NAME?</v>
      </c>
    </row>
    <row r="34882" spans="1:2" x14ac:dyDescent="0.25">
      <c r="A34882">
        <v>731812001</v>
      </c>
      <c r="B34882" t="s">
        <v>10034</v>
      </c>
    </row>
    <row r="34883" spans="1:2" x14ac:dyDescent="0.25">
      <c r="A34883">
        <v>7318120011</v>
      </c>
      <c r="B34883" t="s">
        <v>10310</v>
      </c>
    </row>
    <row r="34884" spans="1:2" x14ac:dyDescent="0.25">
      <c r="A34884">
        <v>73181200111</v>
      </c>
      <c r="B34884" t="s">
        <v>10311</v>
      </c>
    </row>
    <row r="34885" spans="1:2" x14ac:dyDescent="0.25">
      <c r="A34885">
        <v>73181200119</v>
      </c>
      <c r="B34885" t="s">
        <v>10</v>
      </c>
    </row>
    <row r="34886" spans="1:2" x14ac:dyDescent="0.25">
      <c r="A34886">
        <v>7318120019</v>
      </c>
      <c r="B34886" t="s">
        <v>10</v>
      </c>
    </row>
    <row r="34887" spans="1:2" x14ac:dyDescent="0.25">
      <c r="A34887">
        <v>73181200191</v>
      </c>
      <c r="B34887" t="s">
        <v>10311</v>
      </c>
    </row>
    <row r="34888" spans="1:2" x14ac:dyDescent="0.25">
      <c r="A34888">
        <v>73181200199</v>
      </c>
      <c r="B34888" t="s">
        <v>10</v>
      </c>
    </row>
    <row r="34889" spans="1:2" x14ac:dyDescent="0.25">
      <c r="A34889">
        <v>731812002</v>
      </c>
      <c r="B34889" t="s">
        <v>9795</v>
      </c>
    </row>
    <row r="34890" spans="1:2" x14ac:dyDescent="0.25">
      <c r="A34890">
        <v>73181200210</v>
      </c>
      <c r="B34890" t="s">
        <v>10311</v>
      </c>
    </row>
    <row r="34891" spans="1:2" x14ac:dyDescent="0.25">
      <c r="A34891">
        <v>73181200290</v>
      </c>
      <c r="B34891" t="s">
        <v>10</v>
      </c>
    </row>
    <row r="34892" spans="1:2" x14ac:dyDescent="0.25">
      <c r="A34892">
        <v>73181200900</v>
      </c>
      <c r="B34892" t="s">
        <v>10</v>
      </c>
    </row>
    <row r="34893" spans="1:2" x14ac:dyDescent="0.25">
      <c r="A34893">
        <v>73181300000</v>
      </c>
      <c r="B34893" t="e">
        <f>--Escarpias y armellas. roscadas</f>
        <v>#NAME?</v>
      </c>
    </row>
    <row r="34894" spans="1:2" x14ac:dyDescent="0.25">
      <c r="A34894">
        <v>73181400</v>
      </c>
      <c r="B34894" t="e">
        <f>- - tornillos taladradores</f>
        <v>#NAME?</v>
      </c>
    </row>
    <row r="34895" spans="1:2" x14ac:dyDescent="0.25">
      <c r="A34895">
        <v>731814001</v>
      </c>
      <c r="B34895" t="s">
        <v>10312</v>
      </c>
    </row>
    <row r="34896" spans="1:2" x14ac:dyDescent="0.25">
      <c r="A34896">
        <v>7318140011</v>
      </c>
      <c r="B34896" t="s">
        <v>10313</v>
      </c>
    </row>
    <row r="34897" spans="1:2" x14ac:dyDescent="0.25">
      <c r="A34897">
        <v>73181400111</v>
      </c>
      <c r="B34897" t="s">
        <v>10314</v>
      </c>
    </row>
    <row r="34898" spans="1:2" x14ac:dyDescent="0.25">
      <c r="A34898">
        <v>73181400119</v>
      </c>
      <c r="B34898" t="s">
        <v>10</v>
      </c>
    </row>
    <row r="34899" spans="1:2" x14ac:dyDescent="0.25">
      <c r="A34899">
        <v>7318140019</v>
      </c>
      <c r="B34899" t="s">
        <v>10</v>
      </c>
    </row>
    <row r="34900" spans="1:2" x14ac:dyDescent="0.25">
      <c r="A34900">
        <v>73181400191</v>
      </c>
      <c r="B34900" t="s">
        <v>10314</v>
      </c>
    </row>
    <row r="34901" spans="1:2" x14ac:dyDescent="0.25">
      <c r="A34901">
        <v>73181400199</v>
      </c>
      <c r="B34901" t="s">
        <v>10</v>
      </c>
    </row>
    <row r="34902" spans="1:2" x14ac:dyDescent="0.25">
      <c r="A34902">
        <v>731814002</v>
      </c>
      <c r="B34902" t="s">
        <v>10315</v>
      </c>
    </row>
    <row r="34903" spans="1:2" x14ac:dyDescent="0.25">
      <c r="A34903">
        <v>7318140021</v>
      </c>
      <c r="B34903" t="s">
        <v>10313</v>
      </c>
    </row>
    <row r="34904" spans="1:2" x14ac:dyDescent="0.25">
      <c r="A34904">
        <v>73181400211</v>
      </c>
      <c r="B34904" t="s">
        <v>10314</v>
      </c>
    </row>
    <row r="34905" spans="1:2" x14ac:dyDescent="0.25">
      <c r="A34905">
        <v>73181400219</v>
      </c>
      <c r="B34905" t="s">
        <v>10</v>
      </c>
    </row>
    <row r="34906" spans="1:2" x14ac:dyDescent="0.25">
      <c r="A34906">
        <v>7318140029</v>
      </c>
      <c r="B34906" t="s">
        <v>10</v>
      </c>
    </row>
    <row r="34907" spans="1:2" x14ac:dyDescent="0.25">
      <c r="A34907">
        <v>73181400291</v>
      </c>
      <c r="B34907" t="s">
        <v>10314</v>
      </c>
    </row>
    <row r="34908" spans="1:2" x14ac:dyDescent="0.25">
      <c r="A34908">
        <v>73181400299</v>
      </c>
      <c r="B34908" t="s">
        <v>10</v>
      </c>
    </row>
    <row r="34909" spans="1:2" x14ac:dyDescent="0.25">
      <c r="A34909">
        <v>731814003</v>
      </c>
      <c r="B34909" t="s">
        <v>9795</v>
      </c>
    </row>
    <row r="34910" spans="1:2" x14ac:dyDescent="0.25">
      <c r="A34910">
        <v>73181400310</v>
      </c>
      <c r="B34910" t="s">
        <v>10314</v>
      </c>
    </row>
    <row r="34911" spans="1:2" x14ac:dyDescent="0.25">
      <c r="A34911">
        <v>73181400390</v>
      </c>
      <c r="B34911" t="s">
        <v>10</v>
      </c>
    </row>
    <row r="34912" spans="1:2" x14ac:dyDescent="0.25">
      <c r="A34912">
        <v>73181400900</v>
      </c>
      <c r="B34912" t="s">
        <v>10</v>
      </c>
    </row>
    <row r="34913" spans="1:2" x14ac:dyDescent="0.25">
      <c r="A34913">
        <v>73181500</v>
      </c>
      <c r="B34913" t="e">
        <f>- - Los demas tornillos y pernos. incluso Con sus tuercas y arandelas</f>
        <v>#NAME?</v>
      </c>
    </row>
    <row r="34914" spans="1:2" x14ac:dyDescent="0.25">
      <c r="A34914">
        <v>731815001</v>
      </c>
      <c r="B34914" t="s">
        <v>10316</v>
      </c>
    </row>
    <row r="34915" spans="1:2" x14ac:dyDescent="0.25">
      <c r="A34915">
        <v>7318150011</v>
      </c>
      <c r="B34915" t="s">
        <v>10317</v>
      </c>
    </row>
    <row r="34916" spans="1:2" x14ac:dyDescent="0.25">
      <c r="A34916">
        <v>73181500111</v>
      </c>
      <c r="B34916" t="s">
        <v>10314</v>
      </c>
    </row>
    <row r="34917" spans="1:2" x14ac:dyDescent="0.25">
      <c r="A34917">
        <v>73181500119</v>
      </c>
      <c r="B34917" t="s">
        <v>10</v>
      </c>
    </row>
    <row r="34918" spans="1:2" x14ac:dyDescent="0.25">
      <c r="A34918">
        <v>7318150019</v>
      </c>
      <c r="B34918" t="s">
        <v>10</v>
      </c>
    </row>
    <row r="34919" spans="1:2" x14ac:dyDescent="0.25">
      <c r="A34919">
        <v>73181500191</v>
      </c>
      <c r="B34919" t="s">
        <v>10314</v>
      </c>
    </row>
    <row r="34920" spans="1:2" x14ac:dyDescent="0.25">
      <c r="A34920">
        <v>73181500199</v>
      </c>
      <c r="B34920" t="s">
        <v>10</v>
      </c>
    </row>
    <row r="34921" spans="1:2" x14ac:dyDescent="0.25">
      <c r="A34921">
        <v>731815002</v>
      </c>
      <c r="B34921" t="s">
        <v>10318</v>
      </c>
    </row>
    <row r="34922" spans="1:2" x14ac:dyDescent="0.25">
      <c r="A34922">
        <v>73181500210</v>
      </c>
      <c r="B34922" t="s">
        <v>10314</v>
      </c>
    </row>
    <row r="34923" spans="1:2" x14ac:dyDescent="0.25">
      <c r="A34923">
        <v>73181500290</v>
      </c>
      <c r="B34923" t="s">
        <v>10</v>
      </c>
    </row>
    <row r="34924" spans="1:2" x14ac:dyDescent="0.25">
      <c r="A34924">
        <v>731815003</v>
      </c>
      <c r="B34924" t="s">
        <v>10319</v>
      </c>
    </row>
    <row r="34925" spans="1:2" x14ac:dyDescent="0.25">
      <c r="A34925">
        <v>73181500310</v>
      </c>
      <c r="B34925" t="s">
        <v>9795</v>
      </c>
    </row>
    <row r="34926" spans="1:2" x14ac:dyDescent="0.25">
      <c r="A34926">
        <v>73181500320</v>
      </c>
      <c r="B34926" t="s">
        <v>10320</v>
      </c>
    </row>
    <row r="34927" spans="1:2" x14ac:dyDescent="0.25">
      <c r="A34927">
        <v>7318150039</v>
      </c>
      <c r="B34927" t="s">
        <v>10</v>
      </c>
    </row>
    <row r="34928" spans="1:2" x14ac:dyDescent="0.25">
      <c r="A34928">
        <v>73181500391</v>
      </c>
      <c r="B34928" t="s">
        <v>10321</v>
      </c>
    </row>
    <row r="34929" spans="1:2" x14ac:dyDescent="0.25">
      <c r="A34929">
        <v>73181500392</v>
      </c>
      <c r="B34929" t="s">
        <v>10322</v>
      </c>
    </row>
    <row r="34930" spans="1:2" x14ac:dyDescent="0.25">
      <c r="A34930">
        <v>73181500393</v>
      </c>
      <c r="B34930" t="s">
        <v>10323</v>
      </c>
    </row>
    <row r="34931" spans="1:2" x14ac:dyDescent="0.25">
      <c r="A34931">
        <v>73181500394</v>
      </c>
      <c r="B34931" t="s">
        <v>10324</v>
      </c>
    </row>
    <row r="34932" spans="1:2" x14ac:dyDescent="0.25">
      <c r="A34932">
        <v>73181500395</v>
      </c>
      <c r="B34932" t="s">
        <v>10325</v>
      </c>
    </row>
    <row r="34933" spans="1:2" x14ac:dyDescent="0.25">
      <c r="A34933">
        <v>73181500396</v>
      </c>
      <c r="B34933" t="s">
        <v>10326</v>
      </c>
    </row>
    <row r="34934" spans="1:2" x14ac:dyDescent="0.25">
      <c r="A34934">
        <v>73181500399</v>
      </c>
      <c r="B34934" t="s">
        <v>10</v>
      </c>
    </row>
    <row r="34935" spans="1:2" x14ac:dyDescent="0.25">
      <c r="A34935">
        <v>731815004</v>
      </c>
      <c r="B34935" t="s">
        <v>10327</v>
      </c>
    </row>
    <row r="34936" spans="1:2" x14ac:dyDescent="0.25">
      <c r="A34936">
        <v>7318150041</v>
      </c>
      <c r="B34936" t="s">
        <v>10034</v>
      </c>
    </row>
    <row r="34937" spans="1:2" x14ac:dyDescent="0.25">
      <c r="A34937">
        <v>73181500411</v>
      </c>
      <c r="B34937" t="s">
        <v>10328</v>
      </c>
    </row>
    <row r="34938" spans="1:2" x14ac:dyDescent="0.25">
      <c r="A34938">
        <v>73181500412</v>
      </c>
      <c r="B34938" t="s">
        <v>10329</v>
      </c>
    </row>
    <row r="34939" spans="1:2" x14ac:dyDescent="0.25">
      <c r="A34939">
        <v>73181500419</v>
      </c>
      <c r="B34939" t="s">
        <v>10</v>
      </c>
    </row>
    <row r="34940" spans="1:2" x14ac:dyDescent="0.25">
      <c r="A34940">
        <v>7318150042</v>
      </c>
      <c r="B34940" t="s">
        <v>9795</v>
      </c>
    </row>
    <row r="34941" spans="1:2" x14ac:dyDescent="0.25">
      <c r="A34941">
        <v>73181500421</v>
      </c>
      <c r="B34941" t="s">
        <v>10328</v>
      </c>
    </row>
    <row r="34942" spans="1:2" x14ac:dyDescent="0.25">
      <c r="A34942">
        <v>73181500429</v>
      </c>
      <c r="B34942" t="s">
        <v>10</v>
      </c>
    </row>
    <row r="34943" spans="1:2" x14ac:dyDescent="0.25">
      <c r="A34943">
        <v>73181500490</v>
      </c>
      <c r="B34943" t="s">
        <v>10</v>
      </c>
    </row>
    <row r="34944" spans="1:2" x14ac:dyDescent="0.25">
      <c r="A34944">
        <v>731815005</v>
      </c>
      <c r="B34944" t="s">
        <v>10330</v>
      </c>
    </row>
    <row r="34945" spans="1:2" x14ac:dyDescent="0.25">
      <c r="A34945">
        <v>73181500510</v>
      </c>
      <c r="B34945" t="s">
        <v>9795</v>
      </c>
    </row>
    <row r="34946" spans="1:2" x14ac:dyDescent="0.25">
      <c r="A34946">
        <v>73181500590</v>
      </c>
      <c r="B34946" t="s">
        <v>10</v>
      </c>
    </row>
    <row r="34947" spans="1:2" x14ac:dyDescent="0.25">
      <c r="A34947">
        <v>731815006</v>
      </c>
      <c r="B34947" t="s">
        <v>1514</v>
      </c>
    </row>
    <row r="34948" spans="1:2" x14ac:dyDescent="0.25">
      <c r="A34948">
        <v>73181500610</v>
      </c>
      <c r="B34948" t="s">
        <v>10034</v>
      </c>
    </row>
    <row r="34949" spans="1:2" x14ac:dyDescent="0.25">
      <c r="A34949">
        <v>73181500620</v>
      </c>
      <c r="B34949" t="s">
        <v>10331</v>
      </c>
    </row>
    <row r="34950" spans="1:2" x14ac:dyDescent="0.25">
      <c r="A34950">
        <v>73181500690</v>
      </c>
      <c r="B34950" t="s">
        <v>10</v>
      </c>
    </row>
    <row r="34951" spans="1:2" x14ac:dyDescent="0.25">
      <c r="A34951">
        <v>731815009</v>
      </c>
      <c r="B34951" t="s">
        <v>10</v>
      </c>
    </row>
    <row r="34952" spans="1:2" x14ac:dyDescent="0.25">
      <c r="A34952">
        <v>73181500910</v>
      </c>
      <c r="B34952" t="s">
        <v>9795</v>
      </c>
    </row>
    <row r="34953" spans="1:2" x14ac:dyDescent="0.25">
      <c r="A34953">
        <v>73181500990</v>
      </c>
      <c r="B34953" t="s">
        <v>10</v>
      </c>
    </row>
    <row r="34954" spans="1:2" x14ac:dyDescent="0.25">
      <c r="A34954">
        <v>73181600</v>
      </c>
      <c r="B34954" t="e">
        <f>- - tuercas</f>
        <v>#NAME?</v>
      </c>
    </row>
    <row r="34955" spans="1:2" x14ac:dyDescent="0.25">
      <c r="A34955">
        <v>731816001</v>
      </c>
      <c r="B34955" t="s">
        <v>10034</v>
      </c>
    </row>
    <row r="34956" spans="1:2" x14ac:dyDescent="0.25">
      <c r="A34956">
        <v>7318160011</v>
      </c>
      <c r="B34956" t="s">
        <v>10313</v>
      </c>
    </row>
    <row r="34957" spans="1:2" x14ac:dyDescent="0.25">
      <c r="A34957">
        <v>73181600111</v>
      </c>
      <c r="B34957" t="s">
        <v>10332</v>
      </c>
    </row>
    <row r="34958" spans="1:2" x14ac:dyDescent="0.25">
      <c r="A34958">
        <v>73181600112</v>
      </c>
      <c r="B34958" t="s">
        <v>10333</v>
      </c>
    </row>
    <row r="34959" spans="1:2" x14ac:dyDescent="0.25">
      <c r="A34959">
        <v>73181600113</v>
      </c>
      <c r="B34959" t="s">
        <v>10334</v>
      </c>
    </row>
    <row r="34960" spans="1:2" x14ac:dyDescent="0.25">
      <c r="A34960">
        <v>73181600119</v>
      </c>
      <c r="B34960" t="s">
        <v>57</v>
      </c>
    </row>
    <row r="34961" spans="1:2" x14ac:dyDescent="0.25">
      <c r="A34961">
        <v>7318160012</v>
      </c>
      <c r="B34961" t="s">
        <v>10335</v>
      </c>
    </row>
    <row r="34962" spans="1:2" x14ac:dyDescent="0.25">
      <c r="A34962">
        <v>73181600121</v>
      </c>
      <c r="B34962" t="s">
        <v>10332</v>
      </c>
    </row>
    <row r="34963" spans="1:2" x14ac:dyDescent="0.25">
      <c r="A34963">
        <v>73181600122</v>
      </c>
      <c r="B34963" t="s">
        <v>10333</v>
      </c>
    </row>
    <row r="34964" spans="1:2" x14ac:dyDescent="0.25">
      <c r="A34964">
        <v>73181600123</v>
      </c>
      <c r="B34964" t="s">
        <v>10334</v>
      </c>
    </row>
    <row r="34965" spans="1:2" x14ac:dyDescent="0.25">
      <c r="A34965">
        <v>73181600129</v>
      </c>
      <c r="B34965" t="s">
        <v>57</v>
      </c>
    </row>
    <row r="34966" spans="1:2" x14ac:dyDescent="0.25">
      <c r="A34966">
        <v>73181600200</v>
      </c>
      <c r="B34966" t="s">
        <v>9795</v>
      </c>
    </row>
    <row r="34967" spans="1:2" x14ac:dyDescent="0.25">
      <c r="A34967">
        <v>73181600900</v>
      </c>
      <c r="B34967" t="s">
        <v>57</v>
      </c>
    </row>
    <row r="34968" spans="1:2" x14ac:dyDescent="0.25">
      <c r="A34968">
        <v>73181900</v>
      </c>
      <c r="B34968" t="e">
        <f>- - Los demas</f>
        <v>#NAME?</v>
      </c>
    </row>
    <row r="34969" spans="1:2" x14ac:dyDescent="0.25">
      <c r="A34969">
        <v>73181900100</v>
      </c>
      <c r="B34969" t="s">
        <v>10336</v>
      </c>
    </row>
    <row r="34970" spans="1:2" x14ac:dyDescent="0.25">
      <c r="A34970">
        <v>73181900900</v>
      </c>
      <c r="B34970" t="s">
        <v>10</v>
      </c>
    </row>
    <row r="34971" spans="1:2" x14ac:dyDescent="0.25">
      <c r="A34971">
        <v>73182</v>
      </c>
      <c r="B34971" t="s">
        <v>10337</v>
      </c>
    </row>
    <row r="34972" spans="1:2" x14ac:dyDescent="0.25">
      <c r="A34972">
        <v>73182100</v>
      </c>
      <c r="B34972" t="e">
        <f>- - arandelas de muelle (resorte) y las demas de seguridad</f>
        <v>#NAME?</v>
      </c>
    </row>
    <row r="34973" spans="1:2" x14ac:dyDescent="0.25">
      <c r="A34973">
        <v>73182100100</v>
      </c>
      <c r="B34973" t="s">
        <v>10338</v>
      </c>
    </row>
    <row r="34974" spans="1:2" x14ac:dyDescent="0.25">
      <c r="A34974">
        <v>73182100900</v>
      </c>
      <c r="B34974" t="s">
        <v>57</v>
      </c>
    </row>
    <row r="34975" spans="1:2" x14ac:dyDescent="0.25">
      <c r="A34975">
        <v>73182200</v>
      </c>
      <c r="B34975" t="e">
        <f>- - las demas arandelas</f>
        <v>#NAME?</v>
      </c>
    </row>
    <row r="34976" spans="1:2" x14ac:dyDescent="0.25">
      <c r="A34976">
        <v>73182200100</v>
      </c>
      <c r="B34976" t="s">
        <v>10034</v>
      </c>
    </row>
    <row r="34977" spans="1:2" x14ac:dyDescent="0.25">
      <c r="A34977">
        <v>73182200200</v>
      </c>
      <c r="B34977" t="s">
        <v>9795</v>
      </c>
    </row>
    <row r="34978" spans="1:2" x14ac:dyDescent="0.25">
      <c r="A34978">
        <v>73182200900</v>
      </c>
      <c r="B34978" t="s">
        <v>57</v>
      </c>
    </row>
    <row r="34979" spans="1:2" x14ac:dyDescent="0.25">
      <c r="A34979">
        <v>73182300</v>
      </c>
      <c r="B34979" t="e">
        <f>- - Remaches</f>
        <v>#NAME?</v>
      </c>
    </row>
    <row r="34980" spans="1:2" x14ac:dyDescent="0.25">
      <c r="A34980">
        <v>731823001</v>
      </c>
      <c r="B34980" t="s">
        <v>10339</v>
      </c>
    </row>
    <row r="34981" spans="1:2" x14ac:dyDescent="0.25">
      <c r="A34981">
        <v>73182300110</v>
      </c>
      <c r="B34981" t="s">
        <v>10034</v>
      </c>
    </row>
    <row r="34982" spans="1:2" x14ac:dyDescent="0.25">
      <c r="A34982">
        <v>73182300120</v>
      </c>
      <c r="B34982" t="s">
        <v>9795</v>
      </c>
    </row>
    <row r="34983" spans="1:2" x14ac:dyDescent="0.25">
      <c r="A34983">
        <v>73182300190</v>
      </c>
      <c r="B34983" t="s">
        <v>10</v>
      </c>
    </row>
    <row r="34984" spans="1:2" x14ac:dyDescent="0.25">
      <c r="A34984">
        <v>731823009</v>
      </c>
      <c r="B34984" t="s">
        <v>10</v>
      </c>
    </row>
    <row r="34985" spans="1:2" x14ac:dyDescent="0.25">
      <c r="A34985">
        <v>73182300910</v>
      </c>
      <c r="B34985" t="s">
        <v>10034</v>
      </c>
    </row>
    <row r="34986" spans="1:2" x14ac:dyDescent="0.25">
      <c r="A34986">
        <v>73182300920</v>
      </c>
      <c r="B34986" t="s">
        <v>9795</v>
      </c>
    </row>
    <row r="34987" spans="1:2" x14ac:dyDescent="0.25">
      <c r="A34987">
        <v>73182300990</v>
      </c>
      <c r="B34987" t="s">
        <v>10</v>
      </c>
    </row>
    <row r="34988" spans="1:2" x14ac:dyDescent="0.25">
      <c r="A34988">
        <v>73182400000</v>
      </c>
      <c r="B34988" t="e">
        <f>--Pasadores. clavijas y chavetas</f>
        <v>#NAME?</v>
      </c>
    </row>
    <row r="34989" spans="1:2" x14ac:dyDescent="0.25">
      <c r="A34989">
        <v>73182900000</v>
      </c>
      <c r="B34989" t="e">
        <f>--Los demas</f>
        <v>#NAME?</v>
      </c>
    </row>
    <row r="34990" spans="1:2" x14ac:dyDescent="0.25">
      <c r="A34990">
        <v>7319</v>
      </c>
      <c r="B34990" t="s">
        <v>10340</v>
      </c>
    </row>
    <row r="34991" spans="1:2" x14ac:dyDescent="0.25">
      <c r="A34991">
        <v>73194000000</v>
      </c>
      <c r="B34991" t="e">
        <f>-Alfileres de gancho (imperdibles) y demas Alfileres</f>
        <v>#NAME?</v>
      </c>
    </row>
    <row r="34992" spans="1:2" x14ac:dyDescent="0.25">
      <c r="A34992">
        <v>73199000</v>
      </c>
      <c r="B34992" t="e">
        <f>- Los demas</f>
        <v>#NAME?</v>
      </c>
    </row>
    <row r="34993" spans="1:2" x14ac:dyDescent="0.25">
      <c r="A34993">
        <v>73199000100</v>
      </c>
      <c r="B34993" t="s">
        <v>10341</v>
      </c>
    </row>
    <row r="34994" spans="1:2" x14ac:dyDescent="0.25">
      <c r="A34994">
        <v>73199000200</v>
      </c>
      <c r="B34994" t="s">
        <v>10342</v>
      </c>
    </row>
    <row r="34995" spans="1:2" x14ac:dyDescent="0.25">
      <c r="A34995">
        <v>73199000300</v>
      </c>
      <c r="B34995" t="s">
        <v>10343</v>
      </c>
    </row>
    <row r="34996" spans="1:2" x14ac:dyDescent="0.25">
      <c r="A34996">
        <v>73199000900</v>
      </c>
      <c r="B34996" t="s">
        <v>10</v>
      </c>
    </row>
    <row r="34997" spans="1:2" x14ac:dyDescent="0.25">
      <c r="A34997">
        <v>7320</v>
      </c>
      <c r="B34997" t="s">
        <v>10344</v>
      </c>
    </row>
    <row r="34998" spans="1:2" x14ac:dyDescent="0.25">
      <c r="A34998">
        <v>73201000000</v>
      </c>
      <c r="B34998" t="e">
        <f>-Ballestas y sus Hojas</f>
        <v>#NAME?</v>
      </c>
    </row>
    <row r="34999" spans="1:2" x14ac:dyDescent="0.25">
      <c r="A34999">
        <v>732020</v>
      </c>
      <c r="B34999" t="e">
        <f>- Muelles (resortes) helicoidales</f>
        <v>#NAME?</v>
      </c>
    </row>
    <row r="35000" spans="1:2" x14ac:dyDescent="0.25">
      <c r="A35000">
        <v>73202010000</v>
      </c>
      <c r="B35000" t="s">
        <v>7517</v>
      </c>
    </row>
    <row r="35001" spans="1:2" x14ac:dyDescent="0.25">
      <c r="A35001">
        <v>73202090000</v>
      </c>
      <c r="B35001" t="s">
        <v>10</v>
      </c>
    </row>
    <row r="35002" spans="1:2" x14ac:dyDescent="0.25">
      <c r="A35002">
        <v>73209000</v>
      </c>
      <c r="B35002" t="e">
        <f>- Los demas</f>
        <v>#NAME?</v>
      </c>
    </row>
    <row r="35003" spans="1:2" x14ac:dyDescent="0.25">
      <c r="A35003">
        <v>73209000100</v>
      </c>
      <c r="B35003" t="s">
        <v>10345</v>
      </c>
    </row>
    <row r="35004" spans="1:2" x14ac:dyDescent="0.25">
      <c r="A35004">
        <v>73209000900</v>
      </c>
      <c r="B35004" t="s">
        <v>10</v>
      </c>
    </row>
    <row r="35005" spans="1:2" x14ac:dyDescent="0.25">
      <c r="A35005">
        <v>7321</v>
      </c>
      <c r="B35005" t="s">
        <v>10346</v>
      </c>
    </row>
    <row r="35006" spans="1:2" x14ac:dyDescent="0.25">
      <c r="A35006">
        <v>73211</v>
      </c>
      <c r="B35006" t="s">
        <v>10347</v>
      </c>
    </row>
    <row r="35007" spans="1:2" x14ac:dyDescent="0.25">
      <c r="A35007">
        <v>73211100</v>
      </c>
      <c r="B35007" t="e">
        <f>- - de combustibles gaseosos. o de Gas y otros combustibles</f>
        <v>#NAME?</v>
      </c>
    </row>
    <row r="35008" spans="1:2" x14ac:dyDescent="0.25">
      <c r="A35008">
        <v>732111001</v>
      </c>
      <c r="B35008" t="s">
        <v>10348</v>
      </c>
    </row>
    <row r="35009" spans="1:2" x14ac:dyDescent="0.25">
      <c r="A35009">
        <v>7321110011</v>
      </c>
      <c r="B35009" t="s">
        <v>10349</v>
      </c>
    </row>
    <row r="35010" spans="1:2" x14ac:dyDescent="0.25">
      <c r="A35010">
        <v>73211100111</v>
      </c>
      <c r="B35010" t="s">
        <v>10350</v>
      </c>
    </row>
    <row r="35011" spans="1:2" x14ac:dyDescent="0.25">
      <c r="A35011">
        <v>73211100112</v>
      </c>
      <c r="B35011" t="s">
        <v>10351</v>
      </c>
    </row>
    <row r="35012" spans="1:2" x14ac:dyDescent="0.25">
      <c r="A35012">
        <v>73211100113</v>
      </c>
      <c r="B35012" t="s">
        <v>10352</v>
      </c>
    </row>
    <row r="35013" spans="1:2" x14ac:dyDescent="0.25">
      <c r="A35013">
        <v>73211100114</v>
      </c>
      <c r="B35013" t="s">
        <v>10353</v>
      </c>
    </row>
    <row r="35014" spans="1:2" x14ac:dyDescent="0.25">
      <c r="A35014">
        <v>7321110012</v>
      </c>
      <c r="B35014" t="s">
        <v>10354</v>
      </c>
    </row>
    <row r="35015" spans="1:2" x14ac:dyDescent="0.25">
      <c r="A35015">
        <v>73211100121</v>
      </c>
      <c r="B35015" t="s">
        <v>10350</v>
      </c>
    </row>
    <row r="35016" spans="1:2" x14ac:dyDescent="0.25">
      <c r="A35016">
        <v>73211100122</v>
      </c>
      <c r="B35016" t="s">
        <v>10351</v>
      </c>
    </row>
    <row r="35017" spans="1:2" x14ac:dyDescent="0.25">
      <c r="A35017">
        <v>73211100123</v>
      </c>
      <c r="B35017" t="s">
        <v>10352</v>
      </c>
    </row>
    <row r="35018" spans="1:2" x14ac:dyDescent="0.25">
      <c r="A35018">
        <v>73211100124</v>
      </c>
      <c r="B35018" t="s">
        <v>10353</v>
      </c>
    </row>
    <row r="35019" spans="1:2" x14ac:dyDescent="0.25">
      <c r="A35019">
        <v>7321110019</v>
      </c>
      <c r="B35019" t="s">
        <v>57</v>
      </c>
    </row>
    <row r="35020" spans="1:2" x14ac:dyDescent="0.25">
      <c r="A35020">
        <v>73211100191</v>
      </c>
      <c r="B35020" t="s">
        <v>10355</v>
      </c>
    </row>
    <row r="35021" spans="1:2" x14ac:dyDescent="0.25">
      <c r="A35021">
        <v>73211100192</v>
      </c>
      <c r="B35021" t="s">
        <v>10351</v>
      </c>
    </row>
    <row r="35022" spans="1:2" x14ac:dyDescent="0.25">
      <c r="A35022">
        <v>73211100193</v>
      </c>
      <c r="B35022" t="s">
        <v>10356</v>
      </c>
    </row>
    <row r="35023" spans="1:2" x14ac:dyDescent="0.25">
      <c r="A35023">
        <v>73211100194</v>
      </c>
      <c r="B35023" t="s">
        <v>10353</v>
      </c>
    </row>
    <row r="35024" spans="1:2" x14ac:dyDescent="0.25">
      <c r="A35024">
        <v>732111002</v>
      </c>
      <c r="B35024" t="s">
        <v>10357</v>
      </c>
    </row>
    <row r="35025" spans="1:2" x14ac:dyDescent="0.25">
      <c r="A35025">
        <v>73211100210</v>
      </c>
      <c r="B35025" t="s">
        <v>10358</v>
      </c>
    </row>
    <row r="35026" spans="1:2" x14ac:dyDescent="0.25">
      <c r="A35026">
        <v>73211100290</v>
      </c>
      <c r="B35026" t="s">
        <v>10</v>
      </c>
    </row>
    <row r="35027" spans="1:2" x14ac:dyDescent="0.25">
      <c r="A35027">
        <v>732111003</v>
      </c>
      <c r="B35027" t="s">
        <v>10359</v>
      </c>
    </row>
    <row r="35028" spans="1:2" x14ac:dyDescent="0.25">
      <c r="A35028">
        <v>7321110031</v>
      </c>
      <c r="B35028" t="s">
        <v>10360</v>
      </c>
    </row>
    <row r="35029" spans="1:2" x14ac:dyDescent="0.25">
      <c r="A35029">
        <v>73211100311</v>
      </c>
      <c r="B35029" t="s">
        <v>10361</v>
      </c>
    </row>
    <row r="35030" spans="1:2" x14ac:dyDescent="0.25">
      <c r="A35030">
        <v>73211100319</v>
      </c>
      <c r="B35030" t="s">
        <v>10</v>
      </c>
    </row>
    <row r="35031" spans="1:2" x14ac:dyDescent="0.25">
      <c r="A35031">
        <v>7321110032</v>
      </c>
      <c r="B35031" t="s">
        <v>10362</v>
      </c>
    </row>
    <row r="35032" spans="1:2" x14ac:dyDescent="0.25">
      <c r="A35032">
        <v>73211100321</v>
      </c>
      <c r="B35032" t="s">
        <v>10363</v>
      </c>
    </row>
    <row r="35033" spans="1:2" x14ac:dyDescent="0.25">
      <c r="A35033">
        <v>73211100322</v>
      </c>
      <c r="B35033" t="s">
        <v>10364</v>
      </c>
    </row>
    <row r="35034" spans="1:2" x14ac:dyDescent="0.25">
      <c r="A35034">
        <v>73211100323</v>
      </c>
      <c r="B35034" t="s">
        <v>10365</v>
      </c>
    </row>
    <row r="35035" spans="1:2" x14ac:dyDescent="0.25">
      <c r="A35035">
        <v>73211100324</v>
      </c>
      <c r="B35035" t="s">
        <v>10366</v>
      </c>
    </row>
    <row r="35036" spans="1:2" x14ac:dyDescent="0.25">
      <c r="A35036">
        <v>7321110033</v>
      </c>
      <c r="B35036" t="s">
        <v>10367</v>
      </c>
    </row>
    <row r="35037" spans="1:2" x14ac:dyDescent="0.25">
      <c r="A35037">
        <v>73211100331</v>
      </c>
      <c r="B35037" t="s">
        <v>10363</v>
      </c>
    </row>
    <row r="35038" spans="1:2" x14ac:dyDescent="0.25">
      <c r="A35038">
        <v>73211100332</v>
      </c>
      <c r="B35038" t="s">
        <v>10364</v>
      </c>
    </row>
    <row r="35039" spans="1:2" x14ac:dyDescent="0.25">
      <c r="A35039">
        <v>73211100333</v>
      </c>
      <c r="B35039" t="s">
        <v>10365</v>
      </c>
    </row>
    <row r="35040" spans="1:2" x14ac:dyDescent="0.25">
      <c r="A35040">
        <v>73211100334</v>
      </c>
      <c r="B35040" t="s">
        <v>10366</v>
      </c>
    </row>
    <row r="35041" spans="1:2" x14ac:dyDescent="0.25">
      <c r="A35041">
        <v>7321110039</v>
      </c>
      <c r="B35041" t="s">
        <v>10</v>
      </c>
    </row>
    <row r="35042" spans="1:2" x14ac:dyDescent="0.25">
      <c r="A35042">
        <v>73211100391</v>
      </c>
      <c r="B35042" t="s">
        <v>10361</v>
      </c>
    </row>
    <row r="35043" spans="1:2" x14ac:dyDescent="0.25">
      <c r="A35043">
        <v>73211100399</v>
      </c>
      <c r="B35043" t="s">
        <v>10</v>
      </c>
    </row>
    <row r="35044" spans="1:2" x14ac:dyDescent="0.25">
      <c r="A35044">
        <v>732111009</v>
      </c>
      <c r="B35044" t="s">
        <v>10</v>
      </c>
    </row>
    <row r="35045" spans="1:2" x14ac:dyDescent="0.25">
      <c r="A35045">
        <v>73211100910</v>
      </c>
      <c r="B35045" t="s">
        <v>10358</v>
      </c>
    </row>
    <row r="35046" spans="1:2" x14ac:dyDescent="0.25">
      <c r="A35046">
        <v>73211100990</v>
      </c>
      <c r="B35046" t="s">
        <v>10</v>
      </c>
    </row>
    <row r="35047" spans="1:2" x14ac:dyDescent="0.25">
      <c r="A35047">
        <v>73211200000</v>
      </c>
      <c r="B35047" t="e">
        <f>--de combustibles liquidos</f>
        <v>#NAME?</v>
      </c>
    </row>
    <row r="35048" spans="1:2" x14ac:dyDescent="0.25">
      <c r="A35048">
        <v>73211900</v>
      </c>
      <c r="B35048" t="e">
        <f>- - Los demas. incluidos Los aparatos de combustibles solidos</f>
        <v>#NAME?</v>
      </c>
    </row>
    <row r="35049" spans="1:2" x14ac:dyDescent="0.25">
      <c r="A35049">
        <v>73211900100</v>
      </c>
      <c r="B35049" t="s">
        <v>10368</v>
      </c>
    </row>
    <row r="35050" spans="1:2" x14ac:dyDescent="0.25">
      <c r="A35050">
        <v>73211900900</v>
      </c>
      <c r="B35050" t="s">
        <v>10</v>
      </c>
    </row>
    <row r="35051" spans="1:2" x14ac:dyDescent="0.25">
      <c r="A35051">
        <v>73218</v>
      </c>
      <c r="B35051" t="s">
        <v>10369</v>
      </c>
    </row>
    <row r="35052" spans="1:2" x14ac:dyDescent="0.25">
      <c r="A35052">
        <v>73218100</v>
      </c>
      <c r="B35052" t="e">
        <f>- - de combustibles gaseosos. o de Gas y otros combustibles</f>
        <v>#NAME?</v>
      </c>
    </row>
    <row r="35053" spans="1:2" x14ac:dyDescent="0.25">
      <c r="A35053">
        <v>732181001</v>
      </c>
      <c r="B35053" t="s">
        <v>10370</v>
      </c>
    </row>
    <row r="35054" spans="1:2" x14ac:dyDescent="0.25">
      <c r="A35054">
        <v>73218100110</v>
      </c>
      <c r="B35054" t="s">
        <v>10371</v>
      </c>
    </row>
    <row r="35055" spans="1:2" x14ac:dyDescent="0.25">
      <c r="A35055">
        <v>73218100120</v>
      </c>
      <c r="B35055" t="s">
        <v>10372</v>
      </c>
    </row>
    <row r="35056" spans="1:2" x14ac:dyDescent="0.25">
      <c r="A35056">
        <v>73218100190</v>
      </c>
      <c r="B35056" t="s">
        <v>10</v>
      </c>
    </row>
    <row r="35057" spans="1:2" x14ac:dyDescent="0.25">
      <c r="A35057">
        <v>732181002</v>
      </c>
      <c r="B35057" t="s">
        <v>10373</v>
      </c>
    </row>
    <row r="35058" spans="1:2" x14ac:dyDescent="0.25">
      <c r="A35058">
        <v>7321810021</v>
      </c>
      <c r="B35058" t="s">
        <v>10374</v>
      </c>
    </row>
    <row r="35059" spans="1:2" x14ac:dyDescent="0.25">
      <c r="A35059">
        <v>73218100211</v>
      </c>
      <c r="B35059" t="s">
        <v>10371</v>
      </c>
    </row>
    <row r="35060" spans="1:2" x14ac:dyDescent="0.25">
      <c r="A35060">
        <v>73218100212</v>
      </c>
      <c r="B35060" t="s">
        <v>10372</v>
      </c>
    </row>
    <row r="35061" spans="1:2" x14ac:dyDescent="0.25">
      <c r="A35061">
        <v>73218100219</v>
      </c>
      <c r="B35061" t="s">
        <v>10</v>
      </c>
    </row>
    <row r="35062" spans="1:2" x14ac:dyDescent="0.25">
      <c r="A35062">
        <v>7321810022</v>
      </c>
      <c r="B35062" t="s">
        <v>10375</v>
      </c>
    </row>
    <row r="35063" spans="1:2" x14ac:dyDescent="0.25">
      <c r="A35063">
        <v>73218100221</v>
      </c>
      <c r="B35063" t="s">
        <v>10371</v>
      </c>
    </row>
    <row r="35064" spans="1:2" x14ac:dyDescent="0.25">
      <c r="A35064">
        <v>73218100222</v>
      </c>
      <c r="B35064" t="s">
        <v>10372</v>
      </c>
    </row>
    <row r="35065" spans="1:2" x14ac:dyDescent="0.25">
      <c r="A35065">
        <v>73218100229</v>
      </c>
      <c r="B35065" t="s">
        <v>10</v>
      </c>
    </row>
    <row r="35066" spans="1:2" x14ac:dyDescent="0.25">
      <c r="A35066">
        <v>73218200000</v>
      </c>
      <c r="B35066" t="e">
        <f>--de combustibles liquidos</f>
        <v>#NAME?</v>
      </c>
    </row>
    <row r="35067" spans="1:2" x14ac:dyDescent="0.25">
      <c r="A35067">
        <v>73218900</v>
      </c>
      <c r="B35067" t="e">
        <f>- - Los demas. incluidos Los aparatos de combustibles solidos</f>
        <v>#NAME?</v>
      </c>
    </row>
    <row r="35068" spans="1:2" x14ac:dyDescent="0.25">
      <c r="A35068">
        <v>73218900100</v>
      </c>
      <c r="B35068" t="s">
        <v>10368</v>
      </c>
    </row>
    <row r="35069" spans="1:2" x14ac:dyDescent="0.25">
      <c r="A35069">
        <v>73218900900</v>
      </c>
      <c r="B35069" t="s">
        <v>10</v>
      </c>
    </row>
    <row r="35070" spans="1:2" x14ac:dyDescent="0.25">
      <c r="A35070">
        <v>73219000000</v>
      </c>
      <c r="B35070" t="e">
        <f>-partes</f>
        <v>#NAME?</v>
      </c>
    </row>
    <row r="35071" spans="1:2" x14ac:dyDescent="0.25">
      <c r="A35071">
        <v>7322</v>
      </c>
      <c r="B35071" t="s">
        <v>10376</v>
      </c>
    </row>
    <row r="35072" spans="1:2" x14ac:dyDescent="0.25">
      <c r="A35072">
        <v>73221</v>
      </c>
      <c r="B35072" t="s">
        <v>10377</v>
      </c>
    </row>
    <row r="35073" spans="1:2" x14ac:dyDescent="0.25">
      <c r="A35073">
        <v>73221100</v>
      </c>
      <c r="B35073" t="e">
        <f>- - de fundicion</f>
        <v>#NAME?</v>
      </c>
    </row>
    <row r="35074" spans="1:2" x14ac:dyDescent="0.25">
      <c r="A35074">
        <v>73221100100</v>
      </c>
      <c r="B35074" t="s">
        <v>10194</v>
      </c>
    </row>
    <row r="35075" spans="1:2" x14ac:dyDescent="0.25">
      <c r="A35075">
        <v>73221100900</v>
      </c>
      <c r="B35075" t="s">
        <v>10</v>
      </c>
    </row>
    <row r="35076" spans="1:2" x14ac:dyDescent="0.25">
      <c r="A35076">
        <v>73221900</v>
      </c>
      <c r="B35076" t="e">
        <f>- - Los demas</f>
        <v>#NAME?</v>
      </c>
    </row>
    <row r="35077" spans="1:2" x14ac:dyDescent="0.25">
      <c r="A35077">
        <v>73221900100</v>
      </c>
      <c r="B35077" t="s">
        <v>10194</v>
      </c>
    </row>
    <row r="35078" spans="1:2" x14ac:dyDescent="0.25">
      <c r="A35078">
        <v>73221900200</v>
      </c>
      <c r="B35078" t="s">
        <v>10378</v>
      </c>
    </row>
    <row r="35079" spans="1:2" x14ac:dyDescent="0.25">
      <c r="A35079">
        <v>73221900900</v>
      </c>
      <c r="B35079" t="s">
        <v>10</v>
      </c>
    </row>
    <row r="35080" spans="1:2" x14ac:dyDescent="0.25">
      <c r="A35080">
        <v>732290</v>
      </c>
      <c r="B35080" t="e">
        <f>- Los demas</f>
        <v>#NAME?</v>
      </c>
    </row>
    <row r="35081" spans="1:2" x14ac:dyDescent="0.25">
      <c r="A35081">
        <v>73229010000</v>
      </c>
      <c r="B35081" t="s">
        <v>10379</v>
      </c>
    </row>
    <row r="35082" spans="1:2" x14ac:dyDescent="0.25">
      <c r="A35082">
        <v>73229090000</v>
      </c>
      <c r="B35082" t="s">
        <v>10</v>
      </c>
    </row>
    <row r="35083" spans="1:2" x14ac:dyDescent="0.25">
      <c r="A35083">
        <v>7323</v>
      </c>
      <c r="B35083" t="s">
        <v>10380</v>
      </c>
    </row>
    <row r="35084" spans="1:2" x14ac:dyDescent="0.25">
      <c r="A35084">
        <v>73231000</v>
      </c>
      <c r="B35084" t="e">
        <f>- lana de hierro o acero, esponjas. estropajos. guantes y Articulos similares para fregar. lustrar o usos analogos</f>
        <v>#NAME?</v>
      </c>
    </row>
    <row r="35085" spans="1:2" x14ac:dyDescent="0.25">
      <c r="A35085">
        <v>732310001</v>
      </c>
      <c r="B35085" t="s">
        <v>10381</v>
      </c>
    </row>
    <row r="35086" spans="1:2" x14ac:dyDescent="0.25">
      <c r="A35086">
        <v>7323100011</v>
      </c>
      <c r="B35086" t="s">
        <v>10382</v>
      </c>
    </row>
    <row r="35087" spans="1:2" x14ac:dyDescent="0.25">
      <c r="A35087">
        <v>73231000111</v>
      </c>
      <c r="B35087" t="s">
        <v>10383</v>
      </c>
    </row>
    <row r="35088" spans="1:2" x14ac:dyDescent="0.25">
      <c r="A35088">
        <v>73231000119</v>
      </c>
      <c r="B35088" t="s">
        <v>57</v>
      </c>
    </row>
    <row r="35089" spans="1:2" x14ac:dyDescent="0.25">
      <c r="A35089">
        <v>7323100019</v>
      </c>
      <c r="B35089" t="s">
        <v>57</v>
      </c>
    </row>
    <row r="35090" spans="1:2" x14ac:dyDescent="0.25">
      <c r="A35090">
        <v>73231000191</v>
      </c>
      <c r="B35090" t="s">
        <v>10383</v>
      </c>
    </row>
    <row r="35091" spans="1:2" x14ac:dyDescent="0.25">
      <c r="A35091">
        <v>73231000199</v>
      </c>
      <c r="B35091" t="s">
        <v>57</v>
      </c>
    </row>
    <row r="35092" spans="1:2" x14ac:dyDescent="0.25">
      <c r="A35092">
        <v>73231000200</v>
      </c>
      <c r="B35092" t="s">
        <v>6982</v>
      </c>
    </row>
    <row r="35093" spans="1:2" x14ac:dyDescent="0.25">
      <c r="A35093">
        <v>732310009</v>
      </c>
      <c r="B35093" t="s">
        <v>10</v>
      </c>
    </row>
    <row r="35094" spans="1:2" x14ac:dyDescent="0.25">
      <c r="A35094">
        <v>7323100091</v>
      </c>
      <c r="B35094" t="s">
        <v>8390</v>
      </c>
    </row>
    <row r="35095" spans="1:2" x14ac:dyDescent="0.25">
      <c r="A35095">
        <v>73231000911</v>
      </c>
      <c r="B35095" t="s">
        <v>9795</v>
      </c>
    </row>
    <row r="35096" spans="1:2" x14ac:dyDescent="0.25">
      <c r="A35096">
        <v>73231000919</v>
      </c>
      <c r="B35096" t="s">
        <v>10</v>
      </c>
    </row>
    <row r="35097" spans="1:2" x14ac:dyDescent="0.25">
      <c r="A35097">
        <v>7323100099</v>
      </c>
      <c r="B35097" t="s">
        <v>10</v>
      </c>
    </row>
    <row r="35098" spans="1:2" x14ac:dyDescent="0.25">
      <c r="A35098">
        <v>73231000991</v>
      </c>
      <c r="B35098" t="s">
        <v>9795</v>
      </c>
    </row>
    <row r="35099" spans="1:2" x14ac:dyDescent="0.25">
      <c r="A35099">
        <v>73231000999</v>
      </c>
      <c r="B35099" t="s">
        <v>10</v>
      </c>
    </row>
    <row r="35100" spans="1:2" x14ac:dyDescent="0.25">
      <c r="A35100">
        <v>73239</v>
      </c>
      <c r="B35100" t="s">
        <v>28</v>
      </c>
    </row>
    <row r="35101" spans="1:2" x14ac:dyDescent="0.25">
      <c r="A35101">
        <v>73239100</v>
      </c>
      <c r="B35101" t="e">
        <f>- - de fundicion. sin esmaltar</f>
        <v>#NAME?</v>
      </c>
    </row>
    <row r="35102" spans="1:2" x14ac:dyDescent="0.25">
      <c r="A35102">
        <v>73239100100</v>
      </c>
      <c r="B35102" t="s">
        <v>10384</v>
      </c>
    </row>
    <row r="35103" spans="1:2" x14ac:dyDescent="0.25">
      <c r="A35103">
        <v>73239100200</v>
      </c>
      <c r="B35103" t="s">
        <v>10385</v>
      </c>
    </row>
    <row r="35104" spans="1:2" x14ac:dyDescent="0.25">
      <c r="A35104">
        <v>732391009</v>
      </c>
      <c r="B35104" t="s">
        <v>10</v>
      </c>
    </row>
    <row r="35105" spans="1:2" x14ac:dyDescent="0.25">
      <c r="A35105">
        <v>73239100910</v>
      </c>
      <c r="B35105" t="s">
        <v>6648</v>
      </c>
    </row>
    <row r="35106" spans="1:2" x14ac:dyDescent="0.25">
      <c r="A35106">
        <v>73239100990</v>
      </c>
      <c r="B35106" t="s">
        <v>10</v>
      </c>
    </row>
    <row r="35107" spans="1:2" x14ac:dyDescent="0.25">
      <c r="A35107">
        <v>73239200</v>
      </c>
      <c r="B35107" t="e">
        <f>- - de fundicion. esmaltados</f>
        <v>#NAME?</v>
      </c>
    </row>
    <row r="35108" spans="1:2" x14ac:dyDescent="0.25">
      <c r="A35108">
        <v>73239200100</v>
      </c>
      <c r="B35108" t="s">
        <v>10384</v>
      </c>
    </row>
    <row r="35109" spans="1:2" x14ac:dyDescent="0.25">
      <c r="A35109">
        <v>732392009</v>
      </c>
      <c r="B35109" t="s">
        <v>10</v>
      </c>
    </row>
    <row r="35110" spans="1:2" x14ac:dyDescent="0.25">
      <c r="A35110">
        <v>73239200910</v>
      </c>
      <c r="B35110" t="s">
        <v>6648</v>
      </c>
    </row>
    <row r="35111" spans="1:2" x14ac:dyDescent="0.25">
      <c r="A35111">
        <v>73239200990</v>
      </c>
      <c r="B35111" t="s">
        <v>10</v>
      </c>
    </row>
    <row r="35112" spans="1:2" x14ac:dyDescent="0.25">
      <c r="A35112">
        <v>73239300</v>
      </c>
      <c r="B35112" t="e">
        <f>- - de acero inoxidable</f>
        <v>#NAME?</v>
      </c>
    </row>
    <row r="35113" spans="1:2" x14ac:dyDescent="0.25">
      <c r="A35113">
        <v>732393001</v>
      </c>
      <c r="B35113" t="s">
        <v>10386</v>
      </c>
    </row>
    <row r="35114" spans="1:2" x14ac:dyDescent="0.25">
      <c r="A35114">
        <v>73239300110</v>
      </c>
      <c r="B35114" t="s">
        <v>10387</v>
      </c>
    </row>
    <row r="35115" spans="1:2" x14ac:dyDescent="0.25">
      <c r="A35115">
        <v>73239300120</v>
      </c>
      <c r="B35115" t="s">
        <v>10388</v>
      </c>
    </row>
    <row r="35116" spans="1:2" x14ac:dyDescent="0.25">
      <c r="A35116">
        <v>73239300130</v>
      </c>
      <c r="B35116" t="s">
        <v>10389</v>
      </c>
    </row>
    <row r="35117" spans="1:2" x14ac:dyDescent="0.25">
      <c r="A35117">
        <v>73239300190</v>
      </c>
      <c r="B35117" t="s">
        <v>10</v>
      </c>
    </row>
    <row r="35118" spans="1:2" x14ac:dyDescent="0.25">
      <c r="A35118">
        <v>73239300200</v>
      </c>
      <c r="B35118" t="s">
        <v>10384</v>
      </c>
    </row>
    <row r="35119" spans="1:2" x14ac:dyDescent="0.25">
      <c r="A35119">
        <v>73239300300</v>
      </c>
      <c r="B35119" t="s">
        <v>10390</v>
      </c>
    </row>
    <row r="35120" spans="1:2" x14ac:dyDescent="0.25">
      <c r="A35120">
        <v>73239300400</v>
      </c>
      <c r="B35120" t="s">
        <v>8187</v>
      </c>
    </row>
    <row r="35121" spans="1:2" x14ac:dyDescent="0.25">
      <c r="A35121">
        <v>73239300500</v>
      </c>
      <c r="B35121" t="s">
        <v>10391</v>
      </c>
    </row>
    <row r="35122" spans="1:2" x14ac:dyDescent="0.25">
      <c r="A35122">
        <v>73239300600</v>
      </c>
      <c r="B35122" t="s">
        <v>10392</v>
      </c>
    </row>
    <row r="35123" spans="1:2" x14ac:dyDescent="0.25">
      <c r="A35123">
        <v>73239300700</v>
      </c>
      <c r="B35123" t="s">
        <v>10393</v>
      </c>
    </row>
    <row r="35124" spans="1:2" x14ac:dyDescent="0.25">
      <c r="A35124">
        <v>732393009</v>
      </c>
      <c r="B35124" t="s">
        <v>10</v>
      </c>
    </row>
    <row r="35125" spans="1:2" x14ac:dyDescent="0.25">
      <c r="A35125">
        <v>73239300910</v>
      </c>
      <c r="B35125" t="s">
        <v>6648</v>
      </c>
    </row>
    <row r="35126" spans="1:2" x14ac:dyDescent="0.25">
      <c r="A35126">
        <v>73239300990</v>
      </c>
      <c r="B35126" t="s">
        <v>10</v>
      </c>
    </row>
    <row r="35127" spans="1:2" x14ac:dyDescent="0.25">
      <c r="A35127">
        <v>73239400</v>
      </c>
      <c r="B35127" t="e">
        <f>- - de hierro o acero. esmaltados</f>
        <v>#NAME?</v>
      </c>
    </row>
    <row r="35128" spans="1:2" x14ac:dyDescent="0.25">
      <c r="A35128">
        <v>732394001</v>
      </c>
      <c r="B35128" t="s">
        <v>10386</v>
      </c>
    </row>
    <row r="35129" spans="1:2" x14ac:dyDescent="0.25">
      <c r="A35129">
        <v>73239400110</v>
      </c>
      <c r="B35129" t="s">
        <v>10387</v>
      </c>
    </row>
    <row r="35130" spans="1:2" x14ac:dyDescent="0.25">
      <c r="A35130">
        <v>73239400120</v>
      </c>
      <c r="B35130" t="s">
        <v>10388</v>
      </c>
    </row>
    <row r="35131" spans="1:2" x14ac:dyDescent="0.25">
      <c r="A35131">
        <v>73239400130</v>
      </c>
      <c r="B35131" t="s">
        <v>10389</v>
      </c>
    </row>
    <row r="35132" spans="1:2" x14ac:dyDescent="0.25">
      <c r="A35132">
        <v>73239400190</v>
      </c>
      <c r="B35132" t="s">
        <v>10</v>
      </c>
    </row>
    <row r="35133" spans="1:2" x14ac:dyDescent="0.25">
      <c r="A35133">
        <v>73239400200</v>
      </c>
      <c r="B35133" t="s">
        <v>10384</v>
      </c>
    </row>
    <row r="35134" spans="1:2" x14ac:dyDescent="0.25">
      <c r="A35134">
        <v>73239400300</v>
      </c>
      <c r="B35134" t="s">
        <v>10390</v>
      </c>
    </row>
    <row r="35135" spans="1:2" x14ac:dyDescent="0.25">
      <c r="A35135">
        <v>73239400400</v>
      </c>
      <c r="B35135" t="s">
        <v>8187</v>
      </c>
    </row>
    <row r="35136" spans="1:2" x14ac:dyDescent="0.25">
      <c r="A35136">
        <v>73239400500</v>
      </c>
      <c r="B35136" t="s">
        <v>10391</v>
      </c>
    </row>
    <row r="35137" spans="1:2" x14ac:dyDescent="0.25">
      <c r="A35137">
        <v>73239400600</v>
      </c>
      <c r="B35137" t="s">
        <v>10392</v>
      </c>
    </row>
    <row r="35138" spans="1:2" x14ac:dyDescent="0.25">
      <c r="A35138">
        <v>73239400700</v>
      </c>
      <c r="B35138" t="s">
        <v>10393</v>
      </c>
    </row>
    <row r="35139" spans="1:2" x14ac:dyDescent="0.25">
      <c r="A35139">
        <v>732394009</v>
      </c>
      <c r="B35139" t="s">
        <v>10</v>
      </c>
    </row>
    <row r="35140" spans="1:2" x14ac:dyDescent="0.25">
      <c r="A35140">
        <v>73239400910</v>
      </c>
      <c r="B35140" t="s">
        <v>6648</v>
      </c>
    </row>
    <row r="35141" spans="1:2" x14ac:dyDescent="0.25">
      <c r="A35141">
        <v>73239400990</v>
      </c>
      <c r="B35141" t="s">
        <v>10</v>
      </c>
    </row>
    <row r="35142" spans="1:2" x14ac:dyDescent="0.25">
      <c r="A35142">
        <v>73239900</v>
      </c>
      <c r="B35142" t="e">
        <f>- - Los demas</f>
        <v>#NAME?</v>
      </c>
    </row>
    <row r="35143" spans="1:2" x14ac:dyDescent="0.25">
      <c r="A35143">
        <v>732399001</v>
      </c>
      <c r="B35143" t="s">
        <v>10386</v>
      </c>
    </row>
    <row r="35144" spans="1:2" x14ac:dyDescent="0.25">
      <c r="A35144">
        <v>73239900110</v>
      </c>
      <c r="B35144" t="s">
        <v>10387</v>
      </c>
    </row>
    <row r="35145" spans="1:2" x14ac:dyDescent="0.25">
      <c r="A35145">
        <v>73239900120</v>
      </c>
      <c r="B35145" t="s">
        <v>10388</v>
      </c>
    </row>
    <row r="35146" spans="1:2" x14ac:dyDescent="0.25">
      <c r="A35146">
        <v>73239900130</v>
      </c>
      <c r="B35146" t="s">
        <v>10389</v>
      </c>
    </row>
    <row r="35147" spans="1:2" x14ac:dyDescent="0.25">
      <c r="A35147">
        <v>73239900190</v>
      </c>
      <c r="B35147" t="s">
        <v>10</v>
      </c>
    </row>
    <row r="35148" spans="1:2" x14ac:dyDescent="0.25">
      <c r="A35148">
        <v>732399002</v>
      </c>
      <c r="B35148" t="s">
        <v>10384</v>
      </c>
    </row>
    <row r="35149" spans="1:2" x14ac:dyDescent="0.25">
      <c r="A35149">
        <v>73239900210</v>
      </c>
      <c r="B35149" t="s">
        <v>10394</v>
      </c>
    </row>
    <row r="35150" spans="1:2" x14ac:dyDescent="0.25">
      <c r="A35150">
        <v>73239900290</v>
      </c>
      <c r="B35150" t="s">
        <v>10</v>
      </c>
    </row>
    <row r="35151" spans="1:2" x14ac:dyDescent="0.25">
      <c r="A35151">
        <v>732399003</v>
      </c>
      <c r="B35151" t="s">
        <v>10395</v>
      </c>
    </row>
    <row r="35152" spans="1:2" x14ac:dyDescent="0.25">
      <c r="A35152">
        <v>73239900310</v>
      </c>
      <c r="B35152" t="s">
        <v>10396</v>
      </c>
    </row>
    <row r="35153" spans="1:2" x14ac:dyDescent="0.25">
      <c r="A35153">
        <v>73239900390</v>
      </c>
      <c r="B35153" t="s">
        <v>10</v>
      </c>
    </row>
    <row r="35154" spans="1:2" x14ac:dyDescent="0.25">
      <c r="A35154">
        <v>73239900400</v>
      </c>
      <c r="B35154" t="s">
        <v>10397</v>
      </c>
    </row>
    <row r="35155" spans="1:2" x14ac:dyDescent="0.25">
      <c r="A35155">
        <v>73239900500</v>
      </c>
      <c r="B35155" t="s">
        <v>10391</v>
      </c>
    </row>
    <row r="35156" spans="1:2" x14ac:dyDescent="0.25">
      <c r="A35156">
        <v>73239900600</v>
      </c>
      <c r="B35156" t="s">
        <v>8187</v>
      </c>
    </row>
    <row r="35157" spans="1:2" x14ac:dyDescent="0.25">
      <c r="A35157">
        <v>732399009</v>
      </c>
      <c r="B35157" t="s">
        <v>10</v>
      </c>
    </row>
    <row r="35158" spans="1:2" x14ac:dyDescent="0.25">
      <c r="A35158">
        <v>73239900910</v>
      </c>
      <c r="B35158" t="s">
        <v>6648</v>
      </c>
    </row>
    <row r="35159" spans="1:2" x14ac:dyDescent="0.25">
      <c r="A35159">
        <v>73239900990</v>
      </c>
      <c r="B35159" t="s">
        <v>10</v>
      </c>
    </row>
    <row r="35160" spans="1:2" x14ac:dyDescent="0.25">
      <c r="A35160">
        <v>7324</v>
      </c>
      <c r="B35160" t="s">
        <v>10398</v>
      </c>
    </row>
    <row r="35161" spans="1:2" x14ac:dyDescent="0.25">
      <c r="A35161">
        <v>73241000</v>
      </c>
      <c r="B35161" t="e">
        <f>- fregaderos (piletas de lavar) y lavabos. de acero inoxidable</f>
        <v>#NAME?</v>
      </c>
    </row>
    <row r="35162" spans="1:2" x14ac:dyDescent="0.25">
      <c r="A35162">
        <v>73241000100</v>
      </c>
      <c r="B35162" t="s">
        <v>9555</v>
      </c>
    </row>
    <row r="35163" spans="1:2" x14ac:dyDescent="0.25">
      <c r="A35163">
        <v>73241000900</v>
      </c>
      <c r="B35163" t="s">
        <v>10</v>
      </c>
    </row>
    <row r="35164" spans="1:2" x14ac:dyDescent="0.25">
      <c r="A35164">
        <v>73242</v>
      </c>
      <c r="B35164" t="s">
        <v>10399</v>
      </c>
    </row>
    <row r="35165" spans="1:2" x14ac:dyDescent="0.25">
      <c r="A35165">
        <v>73242100000</v>
      </c>
      <c r="B35165" t="e">
        <f>--de fundicion. incluso esmaltadas</f>
        <v>#NAME?</v>
      </c>
    </row>
    <row r="35166" spans="1:2" x14ac:dyDescent="0.25">
      <c r="A35166">
        <v>73242900000</v>
      </c>
      <c r="B35166" t="e">
        <f>--las demas</f>
        <v>#NAME?</v>
      </c>
    </row>
    <row r="35167" spans="1:2" x14ac:dyDescent="0.25">
      <c r="A35167">
        <v>73249000000</v>
      </c>
      <c r="B35167" t="e">
        <f>-Los demas. incluidas las partes</f>
        <v>#NAME?</v>
      </c>
    </row>
    <row r="35168" spans="1:2" x14ac:dyDescent="0.25">
      <c r="A35168">
        <v>7325</v>
      </c>
      <c r="B35168" t="s">
        <v>10400</v>
      </c>
    </row>
    <row r="35169" spans="1:2" x14ac:dyDescent="0.25">
      <c r="A35169">
        <v>73251000000</v>
      </c>
      <c r="B35169" t="e">
        <f>-de fundicion no maleable</f>
        <v>#NAME?</v>
      </c>
    </row>
    <row r="35170" spans="1:2" x14ac:dyDescent="0.25">
      <c r="A35170">
        <v>73259</v>
      </c>
      <c r="B35170" t="s">
        <v>567</v>
      </c>
    </row>
    <row r="35171" spans="1:2" x14ac:dyDescent="0.25">
      <c r="A35171">
        <v>73259100000</v>
      </c>
      <c r="B35171" t="e">
        <f>--Bolas y Articulos similares para molinos</f>
        <v>#NAME?</v>
      </c>
    </row>
    <row r="35172" spans="1:2" x14ac:dyDescent="0.25">
      <c r="A35172">
        <v>732599</v>
      </c>
      <c r="B35172" t="e">
        <f>- - las demas</f>
        <v>#NAME?</v>
      </c>
    </row>
    <row r="35173" spans="1:2" x14ac:dyDescent="0.25">
      <c r="A35173">
        <v>73259910</v>
      </c>
      <c r="B35173" t="s">
        <v>9792</v>
      </c>
    </row>
    <row r="35174" spans="1:2" x14ac:dyDescent="0.25">
      <c r="A35174">
        <v>73259910100</v>
      </c>
      <c r="B35174" t="s">
        <v>10401</v>
      </c>
    </row>
    <row r="35175" spans="1:2" x14ac:dyDescent="0.25">
      <c r="A35175">
        <v>73259910900</v>
      </c>
      <c r="B35175" t="s">
        <v>57</v>
      </c>
    </row>
    <row r="35176" spans="1:2" x14ac:dyDescent="0.25">
      <c r="A35176">
        <v>73259990000</v>
      </c>
      <c r="B35176" t="s">
        <v>57</v>
      </c>
    </row>
    <row r="35177" spans="1:2" x14ac:dyDescent="0.25">
      <c r="A35177">
        <v>7326</v>
      </c>
      <c r="B35177" t="s">
        <v>10402</v>
      </c>
    </row>
    <row r="35178" spans="1:2" x14ac:dyDescent="0.25">
      <c r="A35178">
        <v>73261</v>
      </c>
      <c r="B35178" t="s">
        <v>10403</v>
      </c>
    </row>
    <row r="35179" spans="1:2" x14ac:dyDescent="0.25">
      <c r="A35179">
        <v>73261100000</v>
      </c>
      <c r="B35179" t="e">
        <f>--Bolas y Articulos similares para molinos</f>
        <v>#NAME?</v>
      </c>
    </row>
    <row r="35180" spans="1:2" x14ac:dyDescent="0.25">
      <c r="A35180">
        <v>73261900000</v>
      </c>
      <c r="B35180" t="e">
        <f>--las demas</f>
        <v>#NAME?</v>
      </c>
    </row>
    <row r="35181" spans="1:2" x14ac:dyDescent="0.25">
      <c r="A35181">
        <v>73262000</v>
      </c>
      <c r="B35181" t="e">
        <f>- manufacturas de alambre de hierro o acero</f>
        <v>#NAME?</v>
      </c>
    </row>
    <row r="35182" spans="1:2" x14ac:dyDescent="0.25">
      <c r="A35182">
        <v>73262000100</v>
      </c>
      <c r="B35182" t="s">
        <v>10404</v>
      </c>
    </row>
    <row r="35183" spans="1:2" x14ac:dyDescent="0.25">
      <c r="A35183">
        <v>73262000900</v>
      </c>
      <c r="B35183" t="s">
        <v>57</v>
      </c>
    </row>
    <row r="35184" spans="1:2" x14ac:dyDescent="0.25">
      <c r="A35184">
        <v>732690</v>
      </c>
      <c r="B35184" t="e">
        <f>- las demas</f>
        <v>#NAME?</v>
      </c>
    </row>
    <row r="35185" spans="1:2" x14ac:dyDescent="0.25">
      <c r="A35185">
        <v>73269010000</v>
      </c>
      <c r="B35185" t="s">
        <v>10405</v>
      </c>
    </row>
    <row r="35186" spans="1:2" x14ac:dyDescent="0.25">
      <c r="A35186">
        <v>73269090</v>
      </c>
      <c r="B35186" t="s">
        <v>57</v>
      </c>
    </row>
    <row r="35187" spans="1:2" x14ac:dyDescent="0.25">
      <c r="A35187">
        <v>732690901</v>
      </c>
      <c r="B35187" t="s">
        <v>10406</v>
      </c>
    </row>
    <row r="35188" spans="1:2" x14ac:dyDescent="0.25">
      <c r="A35188">
        <v>73269090110</v>
      </c>
      <c r="B35188" t="s">
        <v>6648</v>
      </c>
    </row>
    <row r="35189" spans="1:2" x14ac:dyDescent="0.25">
      <c r="A35189">
        <v>73269090190</v>
      </c>
      <c r="B35189" t="s">
        <v>10</v>
      </c>
    </row>
    <row r="35190" spans="1:2" x14ac:dyDescent="0.25">
      <c r="A35190">
        <v>73269090200</v>
      </c>
      <c r="B35190" t="s">
        <v>10407</v>
      </c>
    </row>
    <row r="35191" spans="1:2" x14ac:dyDescent="0.25">
      <c r="A35191">
        <v>73269090300</v>
      </c>
      <c r="B35191" t="s">
        <v>10408</v>
      </c>
    </row>
    <row r="35192" spans="1:2" x14ac:dyDescent="0.25">
      <c r="A35192">
        <v>73269090400</v>
      </c>
      <c r="B35192" t="s">
        <v>10409</v>
      </c>
    </row>
    <row r="35193" spans="1:2" x14ac:dyDescent="0.25">
      <c r="A35193">
        <v>73269090500</v>
      </c>
      <c r="B35193" t="s">
        <v>10410</v>
      </c>
    </row>
    <row r="35194" spans="1:2" x14ac:dyDescent="0.25">
      <c r="A35194">
        <v>73269090900</v>
      </c>
      <c r="B35194" t="s">
        <v>57</v>
      </c>
    </row>
    <row r="35195" spans="1:2" x14ac:dyDescent="0.25">
      <c r="A35195">
        <v>74010000000</v>
      </c>
      <c r="B35195" t="s">
        <v>10411</v>
      </c>
    </row>
    <row r="35196" spans="1:2" x14ac:dyDescent="0.25">
      <c r="A35196">
        <v>74020000000</v>
      </c>
      <c r="B35196" t="s">
        <v>10412</v>
      </c>
    </row>
    <row r="35197" spans="1:2" x14ac:dyDescent="0.25">
      <c r="A35197">
        <v>7403</v>
      </c>
      <c r="B35197" t="s">
        <v>10413</v>
      </c>
    </row>
    <row r="35198" spans="1:2" x14ac:dyDescent="0.25">
      <c r="A35198">
        <v>74031</v>
      </c>
      <c r="B35198" t="s">
        <v>10414</v>
      </c>
    </row>
    <row r="35199" spans="1:2" x14ac:dyDescent="0.25">
      <c r="A35199">
        <v>74031100000</v>
      </c>
      <c r="B35199" t="e">
        <f>--Catodos y secciones de Catodos</f>
        <v>#NAME?</v>
      </c>
    </row>
    <row r="35200" spans="1:2" x14ac:dyDescent="0.25">
      <c r="A35200">
        <v>74031200000</v>
      </c>
      <c r="B35200" t="s">
        <v>10415</v>
      </c>
    </row>
    <row r="35201" spans="1:2" x14ac:dyDescent="0.25">
      <c r="A35201">
        <v>74031300000</v>
      </c>
      <c r="B35201" t="e">
        <f>--Tochos</f>
        <v>#NAME?</v>
      </c>
    </row>
    <row r="35202" spans="1:2" x14ac:dyDescent="0.25">
      <c r="A35202">
        <v>74031900000</v>
      </c>
      <c r="B35202" t="e">
        <f>--Los demas</f>
        <v>#NAME?</v>
      </c>
    </row>
    <row r="35203" spans="1:2" x14ac:dyDescent="0.25">
      <c r="A35203">
        <v>74032</v>
      </c>
      <c r="B35203" t="s">
        <v>10416</v>
      </c>
    </row>
    <row r="35204" spans="1:2" x14ac:dyDescent="0.25">
      <c r="A35204">
        <v>74032100000</v>
      </c>
      <c r="B35204" t="e">
        <f>--a base de cobre-cinc (laton)</f>
        <v>#NAME?</v>
      </c>
    </row>
    <row r="35205" spans="1:2" x14ac:dyDescent="0.25">
      <c r="A35205">
        <v>74032200000</v>
      </c>
      <c r="B35205" t="e">
        <f>--a base de cobre-estaño (bronce)</f>
        <v>#NAME?</v>
      </c>
    </row>
    <row r="35206" spans="1:2" x14ac:dyDescent="0.25">
      <c r="A35206">
        <v>74032900000</v>
      </c>
      <c r="B35206" t="s">
        <v>10417</v>
      </c>
    </row>
    <row r="35207" spans="1:2" x14ac:dyDescent="0.25">
      <c r="A35207">
        <v>74040000</v>
      </c>
      <c r="B35207" t="s">
        <v>10418</v>
      </c>
    </row>
    <row r="35208" spans="1:2" x14ac:dyDescent="0.25">
      <c r="A35208">
        <v>74040000100</v>
      </c>
      <c r="B35208" t="s">
        <v>10419</v>
      </c>
    </row>
    <row r="35209" spans="1:2" x14ac:dyDescent="0.25">
      <c r="A35209">
        <v>740400009</v>
      </c>
      <c r="B35209" t="s">
        <v>10</v>
      </c>
    </row>
    <row r="35210" spans="1:2" x14ac:dyDescent="0.25">
      <c r="A35210">
        <v>74040000910</v>
      </c>
      <c r="B35210" t="s">
        <v>10420</v>
      </c>
    </row>
    <row r="35211" spans="1:2" x14ac:dyDescent="0.25">
      <c r="A35211">
        <v>74040000920</v>
      </c>
      <c r="B35211" t="s">
        <v>10421</v>
      </c>
    </row>
    <row r="35212" spans="1:2" x14ac:dyDescent="0.25">
      <c r="A35212">
        <v>74040000990</v>
      </c>
      <c r="B35212" t="s">
        <v>10</v>
      </c>
    </row>
    <row r="35213" spans="1:2" x14ac:dyDescent="0.25">
      <c r="A35213">
        <v>74050000000</v>
      </c>
      <c r="B35213" t="s">
        <v>10422</v>
      </c>
    </row>
    <row r="35214" spans="1:2" x14ac:dyDescent="0.25">
      <c r="A35214">
        <v>7406</v>
      </c>
      <c r="B35214" t="s">
        <v>10423</v>
      </c>
    </row>
    <row r="35215" spans="1:2" x14ac:dyDescent="0.25">
      <c r="A35215">
        <v>74061000000</v>
      </c>
      <c r="B35215" t="e">
        <f>-polvo de estructura no laminar</f>
        <v>#NAME?</v>
      </c>
    </row>
    <row r="35216" spans="1:2" x14ac:dyDescent="0.25">
      <c r="A35216">
        <v>74062000000</v>
      </c>
      <c r="B35216" t="e">
        <f>-polvo de estructura laminar, escamillas</f>
        <v>#NAME?</v>
      </c>
    </row>
    <row r="35217" spans="1:2" x14ac:dyDescent="0.25">
      <c r="A35217">
        <v>7407</v>
      </c>
      <c r="B35217" t="s">
        <v>10424</v>
      </c>
    </row>
    <row r="35218" spans="1:2" x14ac:dyDescent="0.25">
      <c r="A35218">
        <v>740710</v>
      </c>
      <c r="B35218" t="e">
        <f>- de cobre refinado</f>
        <v>#NAME?</v>
      </c>
    </row>
    <row r="35219" spans="1:2" x14ac:dyDescent="0.25">
      <c r="A35219">
        <v>74071010000</v>
      </c>
      <c r="B35219" t="s">
        <v>10425</v>
      </c>
    </row>
    <row r="35220" spans="1:2" x14ac:dyDescent="0.25">
      <c r="A35220">
        <v>7407102</v>
      </c>
      <c r="B35220" t="s">
        <v>10206</v>
      </c>
    </row>
    <row r="35221" spans="1:2" x14ac:dyDescent="0.25">
      <c r="A35221">
        <v>74071021000</v>
      </c>
      <c r="B35221" t="s">
        <v>10426</v>
      </c>
    </row>
    <row r="35222" spans="1:2" x14ac:dyDescent="0.25">
      <c r="A35222">
        <v>74071029000</v>
      </c>
      <c r="B35222" t="s">
        <v>10</v>
      </c>
    </row>
    <row r="35223" spans="1:2" x14ac:dyDescent="0.25">
      <c r="A35223">
        <v>74072</v>
      </c>
      <c r="B35223" t="s">
        <v>10427</v>
      </c>
    </row>
    <row r="35224" spans="1:2" x14ac:dyDescent="0.25">
      <c r="A35224">
        <v>740721</v>
      </c>
      <c r="B35224" t="e">
        <f>- - a base de cobre-cinc (laton)</f>
        <v>#NAME?</v>
      </c>
    </row>
    <row r="35225" spans="1:2" x14ac:dyDescent="0.25">
      <c r="A35225">
        <v>74072110000</v>
      </c>
      <c r="B35225" t="s">
        <v>10425</v>
      </c>
    </row>
    <row r="35226" spans="1:2" x14ac:dyDescent="0.25">
      <c r="A35226">
        <v>74072120000</v>
      </c>
      <c r="B35226" t="s">
        <v>10206</v>
      </c>
    </row>
    <row r="35227" spans="1:2" x14ac:dyDescent="0.25">
      <c r="A35227">
        <v>740729</v>
      </c>
      <c r="B35227" t="e">
        <f>- - Los demas</f>
        <v>#NAME?</v>
      </c>
    </row>
    <row r="35228" spans="1:2" x14ac:dyDescent="0.25">
      <c r="A35228">
        <v>74072910000</v>
      </c>
      <c r="B35228" t="s">
        <v>10425</v>
      </c>
    </row>
    <row r="35229" spans="1:2" x14ac:dyDescent="0.25">
      <c r="A35229">
        <v>7407292</v>
      </c>
      <c r="B35229" t="s">
        <v>10206</v>
      </c>
    </row>
    <row r="35230" spans="1:2" x14ac:dyDescent="0.25">
      <c r="A35230">
        <v>74072921000</v>
      </c>
      <c r="B35230" t="s">
        <v>10426</v>
      </c>
    </row>
    <row r="35231" spans="1:2" x14ac:dyDescent="0.25">
      <c r="A35231">
        <v>74072929000</v>
      </c>
      <c r="B35231" t="s">
        <v>10</v>
      </c>
    </row>
    <row r="35232" spans="1:2" x14ac:dyDescent="0.25">
      <c r="A35232">
        <v>7408</v>
      </c>
      <c r="B35232" t="s">
        <v>10428</v>
      </c>
    </row>
    <row r="35233" spans="1:2" x14ac:dyDescent="0.25">
      <c r="A35233">
        <v>74081</v>
      </c>
      <c r="B35233" t="s">
        <v>10429</v>
      </c>
    </row>
    <row r="35234" spans="1:2" x14ac:dyDescent="0.25">
      <c r="A35234">
        <v>74081100000</v>
      </c>
      <c r="B35234" t="s">
        <v>10430</v>
      </c>
    </row>
    <row r="35235" spans="1:2" x14ac:dyDescent="0.25">
      <c r="A35235">
        <v>74081900000</v>
      </c>
      <c r="B35235" t="e">
        <f>--Los demas</f>
        <v>#NAME?</v>
      </c>
    </row>
    <row r="35236" spans="1:2" x14ac:dyDescent="0.25">
      <c r="A35236">
        <v>74082</v>
      </c>
      <c r="B35236" t="s">
        <v>10427</v>
      </c>
    </row>
    <row r="35237" spans="1:2" x14ac:dyDescent="0.25">
      <c r="A35237">
        <v>74082100000</v>
      </c>
      <c r="B35237" t="e">
        <f>--a base de cobre-cinc (laton)</f>
        <v>#NAME?</v>
      </c>
    </row>
    <row r="35238" spans="1:2" x14ac:dyDescent="0.25">
      <c r="A35238">
        <v>74082200000</v>
      </c>
      <c r="B35238" t="e">
        <f>--a base de cobre-niquel (cuproniquel) o de cobre-niquel-cinc (alpaca)</f>
        <v>#NAME?</v>
      </c>
    </row>
    <row r="35239" spans="1:2" x14ac:dyDescent="0.25">
      <c r="A35239">
        <v>740829</v>
      </c>
      <c r="B35239" t="e">
        <f>- - Los demas</f>
        <v>#NAME?</v>
      </c>
    </row>
    <row r="35240" spans="1:2" x14ac:dyDescent="0.25">
      <c r="A35240">
        <v>7408291</v>
      </c>
      <c r="B35240" t="s">
        <v>10421</v>
      </c>
    </row>
    <row r="35241" spans="1:2" x14ac:dyDescent="0.25">
      <c r="A35241">
        <v>74082911000</v>
      </c>
      <c r="B35241" t="s">
        <v>10431</v>
      </c>
    </row>
    <row r="35242" spans="1:2" x14ac:dyDescent="0.25">
      <c r="A35242">
        <v>74082919000</v>
      </c>
      <c r="B35242" t="s">
        <v>10</v>
      </c>
    </row>
    <row r="35243" spans="1:2" x14ac:dyDescent="0.25">
      <c r="A35243">
        <v>74082990000</v>
      </c>
      <c r="B35243" t="s">
        <v>10</v>
      </c>
    </row>
    <row r="35244" spans="1:2" x14ac:dyDescent="0.25">
      <c r="A35244">
        <v>7409</v>
      </c>
      <c r="B35244" t="s">
        <v>10432</v>
      </c>
    </row>
    <row r="35245" spans="1:2" x14ac:dyDescent="0.25">
      <c r="A35245">
        <v>74091</v>
      </c>
      <c r="B35245" t="s">
        <v>10429</v>
      </c>
    </row>
    <row r="35246" spans="1:2" x14ac:dyDescent="0.25">
      <c r="A35246">
        <v>74091100000</v>
      </c>
      <c r="B35246" t="e">
        <f>--enrolladas</f>
        <v>#NAME?</v>
      </c>
    </row>
    <row r="35247" spans="1:2" x14ac:dyDescent="0.25">
      <c r="A35247">
        <v>74091900000</v>
      </c>
      <c r="B35247" t="e">
        <f>--las demas</f>
        <v>#NAME?</v>
      </c>
    </row>
    <row r="35248" spans="1:2" x14ac:dyDescent="0.25">
      <c r="A35248">
        <v>74092</v>
      </c>
      <c r="B35248" t="s">
        <v>10433</v>
      </c>
    </row>
    <row r="35249" spans="1:2" x14ac:dyDescent="0.25">
      <c r="A35249">
        <v>74092100000</v>
      </c>
      <c r="B35249" t="e">
        <f>--enrolladas</f>
        <v>#NAME?</v>
      </c>
    </row>
    <row r="35250" spans="1:2" x14ac:dyDescent="0.25">
      <c r="A35250">
        <v>74092900000</v>
      </c>
      <c r="B35250" t="e">
        <f>--las demas</f>
        <v>#NAME?</v>
      </c>
    </row>
    <row r="35251" spans="1:2" x14ac:dyDescent="0.25">
      <c r="A35251">
        <v>74093</v>
      </c>
      <c r="B35251" t="s">
        <v>10434</v>
      </c>
    </row>
    <row r="35252" spans="1:2" x14ac:dyDescent="0.25">
      <c r="A35252">
        <v>740931</v>
      </c>
      <c r="B35252" t="e">
        <f>- - enrolladas</f>
        <v>#NAME?</v>
      </c>
    </row>
    <row r="35253" spans="1:2" x14ac:dyDescent="0.25">
      <c r="A35253">
        <v>7409311</v>
      </c>
      <c r="B35253" t="s">
        <v>10435</v>
      </c>
    </row>
    <row r="35254" spans="1:2" x14ac:dyDescent="0.25">
      <c r="A35254">
        <v>74093111000</v>
      </c>
      <c r="B35254" t="s">
        <v>10436</v>
      </c>
    </row>
    <row r="35255" spans="1:2" x14ac:dyDescent="0.25">
      <c r="A35255">
        <v>74093119000</v>
      </c>
      <c r="B35255" t="s">
        <v>57</v>
      </c>
    </row>
    <row r="35256" spans="1:2" x14ac:dyDescent="0.25">
      <c r="A35256">
        <v>74093190000</v>
      </c>
      <c r="B35256" t="s">
        <v>57</v>
      </c>
    </row>
    <row r="35257" spans="1:2" x14ac:dyDescent="0.25">
      <c r="A35257">
        <v>74093900000</v>
      </c>
      <c r="B35257" t="e">
        <f>--las demas</f>
        <v>#NAME?</v>
      </c>
    </row>
    <row r="35258" spans="1:2" x14ac:dyDescent="0.25">
      <c r="A35258">
        <v>740940</v>
      </c>
      <c r="B35258" t="e">
        <f>- de aleaciones a base de cobre-niquel (cuproniquel) o de cobre-niquel-cinc (alpaca)</f>
        <v>#NAME?</v>
      </c>
    </row>
    <row r="35259" spans="1:2" x14ac:dyDescent="0.25">
      <c r="A35259">
        <v>74094010000</v>
      </c>
      <c r="B35259" t="s">
        <v>10437</v>
      </c>
    </row>
    <row r="35260" spans="1:2" x14ac:dyDescent="0.25">
      <c r="A35260">
        <v>74094090000</v>
      </c>
      <c r="B35260" t="s">
        <v>57</v>
      </c>
    </row>
    <row r="35261" spans="1:2" x14ac:dyDescent="0.25">
      <c r="A35261">
        <v>74099000000</v>
      </c>
      <c r="B35261" t="e">
        <f>-de las demas aleaciones de cobre</f>
        <v>#NAME?</v>
      </c>
    </row>
    <row r="35262" spans="1:2" x14ac:dyDescent="0.25">
      <c r="A35262">
        <v>7410</v>
      </c>
      <c r="B35262" t="s">
        <v>10438</v>
      </c>
    </row>
    <row r="35263" spans="1:2" x14ac:dyDescent="0.25">
      <c r="A35263">
        <v>74101</v>
      </c>
      <c r="B35263" t="s">
        <v>10439</v>
      </c>
    </row>
    <row r="35264" spans="1:2" x14ac:dyDescent="0.25">
      <c r="A35264">
        <v>741011</v>
      </c>
      <c r="B35264" t="e">
        <f>- - de cobre refinado</f>
        <v>#NAME?</v>
      </c>
    </row>
    <row r="35265" spans="1:2" x14ac:dyDescent="0.25">
      <c r="A35265">
        <v>7410111</v>
      </c>
      <c r="B35265" t="s">
        <v>10440</v>
      </c>
    </row>
    <row r="35266" spans="1:2" x14ac:dyDescent="0.25">
      <c r="A35266">
        <v>74101112000</v>
      </c>
      <c r="B35266" t="s">
        <v>10441</v>
      </c>
    </row>
    <row r="35267" spans="1:2" x14ac:dyDescent="0.25">
      <c r="A35267">
        <v>74101113000</v>
      </c>
      <c r="B35267" t="s">
        <v>10442</v>
      </c>
    </row>
    <row r="35268" spans="1:2" x14ac:dyDescent="0.25">
      <c r="A35268">
        <v>74101119000</v>
      </c>
      <c r="B35268" t="s">
        <v>57</v>
      </c>
    </row>
    <row r="35269" spans="1:2" x14ac:dyDescent="0.25">
      <c r="A35269">
        <v>74101190000</v>
      </c>
      <c r="B35269" t="s">
        <v>57</v>
      </c>
    </row>
    <row r="35270" spans="1:2" x14ac:dyDescent="0.25">
      <c r="A35270">
        <v>74101200000</v>
      </c>
      <c r="B35270" t="e">
        <f>--de aleaciones de cobre</f>
        <v>#NAME?</v>
      </c>
    </row>
    <row r="35271" spans="1:2" x14ac:dyDescent="0.25">
      <c r="A35271">
        <v>74102</v>
      </c>
      <c r="B35271" t="s">
        <v>10443</v>
      </c>
    </row>
    <row r="35272" spans="1:2" x14ac:dyDescent="0.25">
      <c r="A35272">
        <v>741021</v>
      </c>
      <c r="B35272" t="e">
        <f>- - de cobre refinado</f>
        <v>#NAME?</v>
      </c>
    </row>
    <row r="35273" spans="1:2" x14ac:dyDescent="0.25">
      <c r="A35273">
        <v>74102110000</v>
      </c>
      <c r="B35273" t="s">
        <v>10444</v>
      </c>
    </row>
    <row r="35274" spans="1:2" x14ac:dyDescent="0.25">
      <c r="A35274">
        <v>74102120000</v>
      </c>
      <c r="B35274" t="s">
        <v>10445</v>
      </c>
    </row>
    <row r="35275" spans="1:2" x14ac:dyDescent="0.25">
      <c r="A35275">
        <v>74102130000</v>
      </c>
      <c r="B35275" t="s">
        <v>10446</v>
      </c>
    </row>
    <row r="35276" spans="1:2" x14ac:dyDescent="0.25">
      <c r="A35276">
        <v>74102190000</v>
      </c>
      <c r="B35276" t="s">
        <v>57</v>
      </c>
    </row>
    <row r="35277" spans="1:2" x14ac:dyDescent="0.25">
      <c r="A35277">
        <v>74102200000</v>
      </c>
      <c r="B35277" t="e">
        <f>--de aleaciones de cobre</f>
        <v>#NAME?</v>
      </c>
    </row>
    <row r="35278" spans="1:2" x14ac:dyDescent="0.25">
      <c r="A35278">
        <v>7411</v>
      </c>
      <c r="B35278" t="s">
        <v>10447</v>
      </c>
    </row>
    <row r="35279" spans="1:2" x14ac:dyDescent="0.25">
      <c r="A35279">
        <v>741110</v>
      </c>
      <c r="B35279" t="e">
        <f>- de cobre refinado</f>
        <v>#NAME?</v>
      </c>
    </row>
    <row r="35280" spans="1:2" x14ac:dyDescent="0.25">
      <c r="A35280">
        <v>74111010</v>
      </c>
      <c r="B35280" t="s">
        <v>10448</v>
      </c>
    </row>
    <row r="35281" spans="1:2" x14ac:dyDescent="0.25">
      <c r="A35281">
        <v>74111010100</v>
      </c>
      <c r="B35281" t="s">
        <v>10044</v>
      </c>
    </row>
    <row r="35282" spans="1:2" x14ac:dyDescent="0.25">
      <c r="A35282">
        <v>74111010900</v>
      </c>
      <c r="B35282" t="s">
        <v>10</v>
      </c>
    </row>
    <row r="35283" spans="1:2" x14ac:dyDescent="0.25">
      <c r="A35283">
        <v>74111090</v>
      </c>
      <c r="B35283" t="s">
        <v>10</v>
      </c>
    </row>
    <row r="35284" spans="1:2" x14ac:dyDescent="0.25">
      <c r="A35284">
        <v>74111090100</v>
      </c>
      <c r="B35284" t="s">
        <v>10044</v>
      </c>
    </row>
    <row r="35285" spans="1:2" x14ac:dyDescent="0.25">
      <c r="A35285">
        <v>74111090900</v>
      </c>
      <c r="B35285" t="s">
        <v>10</v>
      </c>
    </row>
    <row r="35286" spans="1:2" x14ac:dyDescent="0.25">
      <c r="A35286">
        <v>74112</v>
      </c>
      <c r="B35286" t="s">
        <v>10427</v>
      </c>
    </row>
    <row r="35287" spans="1:2" x14ac:dyDescent="0.25">
      <c r="A35287">
        <v>741121</v>
      </c>
      <c r="B35287" t="e">
        <f>- - a base de cobre-cinc (laton)</f>
        <v>#NAME?</v>
      </c>
    </row>
    <row r="35288" spans="1:2" x14ac:dyDescent="0.25">
      <c r="A35288">
        <v>74112110</v>
      </c>
      <c r="B35288" t="s">
        <v>10448</v>
      </c>
    </row>
    <row r="35289" spans="1:2" x14ac:dyDescent="0.25">
      <c r="A35289">
        <v>74112110100</v>
      </c>
      <c r="B35289" t="s">
        <v>10044</v>
      </c>
    </row>
    <row r="35290" spans="1:2" x14ac:dyDescent="0.25">
      <c r="A35290">
        <v>74112110900</v>
      </c>
      <c r="B35290" t="s">
        <v>10</v>
      </c>
    </row>
    <row r="35291" spans="1:2" x14ac:dyDescent="0.25">
      <c r="A35291">
        <v>74112190</v>
      </c>
      <c r="B35291" t="s">
        <v>10</v>
      </c>
    </row>
    <row r="35292" spans="1:2" x14ac:dyDescent="0.25">
      <c r="A35292">
        <v>74112190100</v>
      </c>
      <c r="B35292" t="s">
        <v>10044</v>
      </c>
    </row>
    <row r="35293" spans="1:2" x14ac:dyDescent="0.25">
      <c r="A35293">
        <v>74112190900</v>
      </c>
      <c r="B35293" t="s">
        <v>10</v>
      </c>
    </row>
    <row r="35294" spans="1:2" x14ac:dyDescent="0.25">
      <c r="A35294">
        <v>741122</v>
      </c>
      <c r="B35294" t="e">
        <f>- - a base de cobre-niquel (cuproniquel) o de cobre-niquel-cinc (alpaca)</f>
        <v>#NAME?</v>
      </c>
    </row>
    <row r="35295" spans="1:2" x14ac:dyDescent="0.25">
      <c r="A35295">
        <v>74112210</v>
      </c>
      <c r="B35295" t="s">
        <v>10448</v>
      </c>
    </row>
    <row r="35296" spans="1:2" x14ac:dyDescent="0.25">
      <c r="A35296">
        <v>74112210100</v>
      </c>
      <c r="B35296" t="s">
        <v>10044</v>
      </c>
    </row>
    <row r="35297" spans="1:2" x14ac:dyDescent="0.25">
      <c r="A35297">
        <v>74112210900</v>
      </c>
      <c r="B35297" t="s">
        <v>10</v>
      </c>
    </row>
    <row r="35298" spans="1:2" x14ac:dyDescent="0.25">
      <c r="A35298">
        <v>74112290</v>
      </c>
      <c r="B35298" t="s">
        <v>10</v>
      </c>
    </row>
    <row r="35299" spans="1:2" x14ac:dyDescent="0.25">
      <c r="A35299">
        <v>74112290100</v>
      </c>
      <c r="B35299" t="s">
        <v>10044</v>
      </c>
    </row>
    <row r="35300" spans="1:2" x14ac:dyDescent="0.25">
      <c r="A35300">
        <v>74112290900</v>
      </c>
      <c r="B35300" t="s">
        <v>10</v>
      </c>
    </row>
    <row r="35301" spans="1:2" x14ac:dyDescent="0.25">
      <c r="A35301">
        <v>741129</v>
      </c>
      <c r="B35301" t="e">
        <f>- - Los demas</f>
        <v>#NAME?</v>
      </c>
    </row>
    <row r="35302" spans="1:2" x14ac:dyDescent="0.25">
      <c r="A35302">
        <v>74112910</v>
      </c>
      <c r="B35302" t="s">
        <v>10448</v>
      </c>
    </row>
    <row r="35303" spans="1:2" x14ac:dyDescent="0.25">
      <c r="A35303">
        <v>74112910100</v>
      </c>
      <c r="B35303" t="s">
        <v>10044</v>
      </c>
    </row>
    <row r="35304" spans="1:2" x14ac:dyDescent="0.25">
      <c r="A35304">
        <v>74112910900</v>
      </c>
      <c r="B35304" t="s">
        <v>10</v>
      </c>
    </row>
    <row r="35305" spans="1:2" x14ac:dyDescent="0.25">
      <c r="A35305">
        <v>74112990</v>
      </c>
      <c r="B35305" t="s">
        <v>10</v>
      </c>
    </row>
    <row r="35306" spans="1:2" x14ac:dyDescent="0.25">
      <c r="A35306">
        <v>74112990100</v>
      </c>
      <c r="B35306" t="s">
        <v>10044</v>
      </c>
    </row>
    <row r="35307" spans="1:2" x14ac:dyDescent="0.25">
      <c r="A35307">
        <v>74112990900</v>
      </c>
      <c r="B35307" t="s">
        <v>10</v>
      </c>
    </row>
    <row r="35308" spans="1:2" x14ac:dyDescent="0.25">
      <c r="A35308">
        <v>7412</v>
      </c>
      <c r="B35308" t="s">
        <v>10449</v>
      </c>
    </row>
    <row r="35309" spans="1:2" x14ac:dyDescent="0.25">
      <c r="A35309">
        <v>74121000</v>
      </c>
      <c r="B35309" t="e">
        <f>- de cobre refinado</f>
        <v>#NAME?</v>
      </c>
    </row>
    <row r="35310" spans="1:2" x14ac:dyDescent="0.25">
      <c r="A35310">
        <v>74121000100</v>
      </c>
      <c r="B35310" t="s">
        <v>10450</v>
      </c>
    </row>
    <row r="35311" spans="1:2" x14ac:dyDescent="0.25">
      <c r="A35311">
        <v>74121000200</v>
      </c>
      <c r="B35311" t="s">
        <v>10451</v>
      </c>
    </row>
    <row r="35312" spans="1:2" x14ac:dyDescent="0.25">
      <c r="A35312">
        <v>74121000900</v>
      </c>
      <c r="B35312" t="s">
        <v>10</v>
      </c>
    </row>
    <row r="35313" spans="1:2" x14ac:dyDescent="0.25">
      <c r="A35313">
        <v>74122000</v>
      </c>
      <c r="B35313" t="e">
        <f>- de aleaciones de cobre</f>
        <v>#NAME?</v>
      </c>
    </row>
    <row r="35314" spans="1:2" x14ac:dyDescent="0.25">
      <c r="A35314">
        <v>741220001</v>
      </c>
      <c r="B35314" t="s">
        <v>10420</v>
      </c>
    </row>
    <row r="35315" spans="1:2" x14ac:dyDescent="0.25">
      <c r="A35315">
        <v>74122000110</v>
      </c>
      <c r="B35315" t="s">
        <v>10450</v>
      </c>
    </row>
    <row r="35316" spans="1:2" x14ac:dyDescent="0.25">
      <c r="A35316">
        <v>74122000120</v>
      </c>
      <c r="B35316" t="s">
        <v>10451</v>
      </c>
    </row>
    <row r="35317" spans="1:2" x14ac:dyDescent="0.25">
      <c r="A35317">
        <v>74122000190</v>
      </c>
      <c r="B35317" t="s">
        <v>10</v>
      </c>
    </row>
    <row r="35318" spans="1:2" x14ac:dyDescent="0.25">
      <c r="A35318">
        <v>741220002</v>
      </c>
      <c r="B35318" t="s">
        <v>10421</v>
      </c>
    </row>
    <row r="35319" spans="1:2" x14ac:dyDescent="0.25">
      <c r="A35319">
        <v>74122000210</v>
      </c>
      <c r="B35319" t="s">
        <v>10450</v>
      </c>
    </row>
    <row r="35320" spans="1:2" x14ac:dyDescent="0.25">
      <c r="A35320">
        <v>74122000290</v>
      </c>
      <c r="B35320" t="s">
        <v>10</v>
      </c>
    </row>
    <row r="35321" spans="1:2" x14ac:dyDescent="0.25">
      <c r="A35321">
        <v>74122000900</v>
      </c>
      <c r="B35321" t="s">
        <v>10</v>
      </c>
    </row>
    <row r="35322" spans="1:2" x14ac:dyDescent="0.25">
      <c r="A35322">
        <v>74130000000</v>
      </c>
      <c r="B35322" t="s">
        <v>10452</v>
      </c>
    </row>
    <row r="35323" spans="1:2" x14ac:dyDescent="0.25">
      <c r="A35323">
        <v>7415</v>
      </c>
      <c r="B35323" t="s">
        <v>10453</v>
      </c>
    </row>
    <row r="35324" spans="1:2" x14ac:dyDescent="0.25">
      <c r="A35324">
        <v>74151000</v>
      </c>
      <c r="B35324" t="s">
        <v>10454</v>
      </c>
    </row>
    <row r="35325" spans="1:2" x14ac:dyDescent="0.25">
      <c r="A35325">
        <v>74151000100</v>
      </c>
      <c r="B35325" t="s">
        <v>10455</v>
      </c>
    </row>
    <row r="35326" spans="1:2" x14ac:dyDescent="0.25">
      <c r="A35326">
        <v>74151000200</v>
      </c>
      <c r="B35326" t="s">
        <v>10456</v>
      </c>
    </row>
    <row r="35327" spans="1:2" x14ac:dyDescent="0.25">
      <c r="A35327">
        <v>74151000900</v>
      </c>
      <c r="B35327" t="s">
        <v>10</v>
      </c>
    </row>
    <row r="35328" spans="1:2" x14ac:dyDescent="0.25">
      <c r="A35328">
        <v>74152</v>
      </c>
      <c r="B35328" t="s">
        <v>10457</v>
      </c>
    </row>
    <row r="35329" spans="1:2" x14ac:dyDescent="0.25">
      <c r="A35329">
        <v>74152100</v>
      </c>
      <c r="B35329" t="e">
        <f>- - arandelas (incluidas las arandelas de muelle (resorte))</f>
        <v>#NAME?</v>
      </c>
    </row>
    <row r="35330" spans="1:2" x14ac:dyDescent="0.25">
      <c r="A35330">
        <v>74152100100</v>
      </c>
      <c r="B35330" t="s">
        <v>10458</v>
      </c>
    </row>
    <row r="35331" spans="1:2" x14ac:dyDescent="0.25">
      <c r="A35331">
        <v>74152100900</v>
      </c>
      <c r="B35331" t="s">
        <v>57</v>
      </c>
    </row>
    <row r="35332" spans="1:2" x14ac:dyDescent="0.25">
      <c r="A35332">
        <v>74152900</v>
      </c>
      <c r="B35332" t="e">
        <f>- - Los demas</f>
        <v>#NAME?</v>
      </c>
    </row>
    <row r="35333" spans="1:2" x14ac:dyDescent="0.25">
      <c r="A35333">
        <v>74152900100</v>
      </c>
      <c r="B35333" t="s">
        <v>10459</v>
      </c>
    </row>
    <row r="35334" spans="1:2" x14ac:dyDescent="0.25">
      <c r="A35334">
        <v>74152900900</v>
      </c>
      <c r="B35334" t="s">
        <v>10</v>
      </c>
    </row>
    <row r="35335" spans="1:2" x14ac:dyDescent="0.25">
      <c r="A35335">
        <v>74153</v>
      </c>
      <c r="B35335" t="s">
        <v>10460</v>
      </c>
    </row>
    <row r="35336" spans="1:2" x14ac:dyDescent="0.25">
      <c r="A35336">
        <v>74153300</v>
      </c>
      <c r="B35336" t="e">
        <f>- - tornillos, pernos y tuercas</f>
        <v>#NAME?</v>
      </c>
    </row>
    <row r="35337" spans="1:2" x14ac:dyDescent="0.25">
      <c r="A35337">
        <v>741533001</v>
      </c>
      <c r="B35337" t="s">
        <v>7005</v>
      </c>
    </row>
    <row r="35338" spans="1:2" x14ac:dyDescent="0.25">
      <c r="A35338">
        <v>74153300110</v>
      </c>
      <c r="B35338" t="s">
        <v>10311</v>
      </c>
    </row>
    <row r="35339" spans="1:2" x14ac:dyDescent="0.25">
      <c r="A35339">
        <v>74153300190</v>
      </c>
      <c r="B35339" t="s">
        <v>10</v>
      </c>
    </row>
    <row r="35340" spans="1:2" x14ac:dyDescent="0.25">
      <c r="A35340">
        <v>74153300200</v>
      </c>
      <c r="B35340" t="s">
        <v>7006</v>
      </c>
    </row>
    <row r="35341" spans="1:2" x14ac:dyDescent="0.25">
      <c r="A35341">
        <v>74153300300</v>
      </c>
      <c r="B35341" t="s">
        <v>10461</v>
      </c>
    </row>
    <row r="35342" spans="1:2" x14ac:dyDescent="0.25">
      <c r="A35342">
        <v>74153900000</v>
      </c>
      <c r="B35342" t="e">
        <f>--Los demas</f>
        <v>#NAME?</v>
      </c>
    </row>
    <row r="35343" spans="1:2" x14ac:dyDescent="0.25">
      <c r="A35343">
        <v>7418</v>
      </c>
      <c r="B35343" t="s">
        <v>10462</v>
      </c>
    </row>
    <row r="35344" spans="1:2" x14ac:dyDescent="0.25">
      <c r="A35344">
        <v>74181000</v>
      </c>
      <c r="B35344" t="e">
        <f>- Articulos de uso domestico y sus partes, esponjas. estropajos. guantes yarticulos similares para fregar. lustrar o usos analogos</f>
        <v>#NAME?</v>
      </c>
    </row>
    <row r="35345" spans="1:2" x14ac:dyDescent="0.25">
      <c r="A35345">
        <v>741810001</v>
      </c>
      <c r="B35345" t="s">
        <v>10463</v>
      </c>
    </row>
    <row r="35346" spans="1:2" x14ac:dyDescent="0.25">
      <c r="A35346">
        <v>74181000110</v>
      </c>
      <c r="B35346" t="s">
        <v>6959</v>
      </c>
    </row>
    <row r="35347" spans="1:2" x14ac:dyDescent="0.25">
      <c r="A35347">
        <v>74181000190</v>
      </c>
      <c r="B35347" t="s">
        <v>10</v>
      </c>
    </row>
    <row r="35348" spans="1:2" x14ac:dyDescent="0.25">
      <c r="A35348">
        <v>741810009</v>
      </c>
      <c r="B35348" t="s">
        <v>10</v>
      </c>
    </row>
    <row r="35349" spans="1:2" x14ac:dyDescent="0.25">
      <c r="A35349">
        <v>74181000910</v>
      </c>
      <c r="B35349" t="s">
        <v>6648</v>
      </c>
    </row>
    <row r="35350" spans="1:2" x14ac:dyDescent="0.25">
      <c r="A35350">
        <v>74181000990</v>
      </c>
      <c r="B35350" t="s">
        <v>10</v>
      </c>
    </row>
    <row r="35351" spans="1:2" x14ac:dyDescent="0.25">
      <c r="A35351">
        <v>74182000</v>
      </c>
      <c r="B35351" t="e">
        <f>- Articulos de higiene o tocador. y sus partes</f>
        <v>#NAME?</v>
      </c>
    </row>
    <row r="35352" spans="1:2" x14ac:dyDescent="0.25">
      <c r="A35352">
        <v>74182000100</v>
      </c>
      <c r="B35352" t="s">
        <v>10194</v>
      </c>
    </row>
    <row r="35353" spans="1:2" x14ac:dyDescent="0.25">
      <c r="A35353">
        <v>74182000900</v>
      </c>
      <c r="B35353" t="s">
        <v>10</v>
      </c>
    </row>
    <row r="35354" spans="1:2" x14ac:dyDescent="0.25">
      <c r="A35354">
        <v>7419</v>
      </c>
      <c r="B35354" t="s">
        <v>10464</v>
      </c>
    </row>
    <row r="35355" spans="1:2" x14ac:dyDescent="0.25">
      <c r="A35355">
        <v>74191000</v>
      </c>
      <c r="B35355" t="e">
        <f>- Cadenas y sus partes</f>
        <v>#NAME?</v>
      </c>
    </row>
    <row r="35356" spans="1:2" x14ac:dyDescent="0.25">
      <c r="A35356">
        <v>74191000100</v>
      </c>
      <c r="B35356" t="s">
        <v>10194</v>
      </c>
    </row>
    <row r="35357" spans="1:2" x14ac:dyDescent="0.25">
      <c r="A35357">
        <v>74191000900</v>
      </c>
      <c r="B35357" t="s">
        <v>57</v>
      </c>
    </row>
    <row r="35358" spans="1:2" x14ac:dyDescent="0.25">
      <c r="A35358">
        <v>74199</v>
      </c>
      <c r="B35358" t="s">
        <v>567</v>
      </c>
    </row>
    <row r="35359" spans="1:2" x14ac:dyDescent="0.25">
      <c r="A35359">
        <v>74199100000</v>
      </c>
      <c r="B35359" t="e">
        <f>--Coladas. moldeadas. estampadas o forjadas. pero sin trabajar de otro modo</f>
        <v>#NAME?</v>
      </c>
    </row>
    <row r="35360" spans="1:2" x14ac:dyDescent="0.25">
      <c r="A35360">
        <v>741999</v>
      </c>
      <c r="B35360" t="e">
        <f>- - las demas</f>
        <v>#NAME?</v>
      </c>
    </row>
    <row r="35361" spans="1:2" x14ac:dyDescent="0.25">
      <c r="A35361">
        <v>74199910000</v>
      </c>
      <c r="B35361" t="s">
        <v>10465</v>
      </c>
    </row>
    <row r="35362" spans="1:2" x14ac:dyDescent="0.25">
      <c r="A35362">
        <v>74199920</v>
      </c>
      <c r="B35362" t="s">
        <v>10466</v>
      </c>
    </row>
    <row r="35363" spans="1:2" x14ac:dyDescent="0.25">
      <c r="A35363">
        <v>74199920100</v>
      </c>
      <c r="B35363" t="s">
        <v>10467</v>
      </c>
    </row>
    <row r="35364" spans="1:2" x14ac:dyDescent="0.25">
      <c r="A35364">
        <v>74199920900</v>
      </c>
      <c r="B35364" t="s">
        <v>57</v>
      </c>
    </row>
    <row r="35365" spans="1:2" x14ac:dyDescent="0.25">
      <c r="A35365">
        <v>74199930000</v>
      </c>
      <c r="B35365" t="s">
        <v>10468</v>
      </c>
    </row>
    <row r="35366" spans="1:2" x14ac:dyDescent="0.25">
      <c r="A35366">
        <v>74199990</v>
      </c>
      <c r="B35366" t="s">
        <v>57</v>
      </c>
    </row>
    <row r="35367" spans="1:2" x14ac:dyDescent="0.25">
      <c r="A35367">
        <v>74199990100</v>
      </c>
      <c r="B35367" t="s">
        <v>10469</v>
      </c>
    </row>
    <row r="35368" spans="1:2" x14ac:dyDescent="0.25">
      <c r="A35368">
        <v>741999902</v>
      </c>
      <c r="B35368" t="s">
        <v>10470</v>
      </c>
    </row>
    <row r="35369" spans="1:2" x14ac:dyDescent="0.25">
      <c r="A35369">
        <v>74199990210</v>
      </c>
      <c r="B35369" t="s">
        <v>10471</v>
      </c>
    </row>
    <row r="35370" spans="1:2" x14ac:dyDescent="0.25">
      <c r="A35370">
        <v>74199990290</v>
      </c>
      <c r="B35370" t="s">
        <v>10</v>
      </c>
    </row>
    <row r="35371" spans="1:2" x14ac:dyDescent="0.25">
      <c r="A35371">
        <v>741999903</v>
      </c>
      <c r="B35371" t="s">
        <v>10472</v>
      </c>
    </row>
    <row r="35372" spans="1:2" x14ac:dyDescent="0.25">
      <c r="A35372">
        <v>74199990310</v>
      </c>
      <c r="B35372" t="s">
        <v>10473</v>
      </c>
    </row>
    <row r="35373" spans="1:2" x14ac:dyDescent="0.25">
      <c r="A35373">
        <v>74199990390</v>
      </c>
      <c r="B35373" t="s">
        <v>10</v>
      </c>
    </row>
    <row r="35374" spans="1:2" x14ac:dyDescent="0.25">
      <c r="A35374">
        <v>74199990900</v>
      </c>
      <c r="B35374" t="s">
        <v>57</v>
      </c>
    </row>
    <row r="35375" spans="1:2" x14ac:dyDescent="0.25">
      <c r="A35375">
        <v>7501</v>
      </c>
      <c r="B35375" t="s">
        <v>10474</v>
      </c>
    </row>
    <row r="35376" spans="1:2" x14ac:dyDescent="0.25">
      <c r="A35376">
        <v>75011000000</v>
      </c>
      <c r="B35376" t="e">
        <f>-Matas de niquel</f>
        <v>#NAME?</v>
      </c>
    </row>
    <row r="35377" spans="1:2" x14ac:dyDescent="0.25">
      <c r="A35377">
        <v>75012000000</v>
      </c>
      <c r="B35377" t="s">
        <v>10475</v>
      </c>
    </row>
    <row r="35378" spans="1:2" x14ac:dyDescent="0.25">
      <c r="A35378">
        <v>7502</v>
      </c>
      <c r="B35378" t="s">
        <v>10476</v>
      </c>
    </row>
    <row r="35379" spans="1:2" x14ac:dyDescent="0.25">
      <c r="A35379">
        <v>750210</v>
      </c>
      <c r="B35379" t="e">
        <f>- niquel sin alear</f>
        <v>#NAME?</v>
      </c>
    </row>
    <row r="35380" spans="1:2" x14ac:dyDescent="0.25">
      <c r="A35380">
        <v>75021010000</v>
      </c>
      <c r="B35380" t="s">
        <v>10477</v>
      </c>
    </row>
    <row r="35381" spans="1:2" x14ac:dyDescent="0.25">
      <c r="A35381">
        <v>75021090000</v>
      </c>
      <c r="B35381" t="s">
        <v>10</v>
      </c>
    </row>
    <row r="35382" spans="1:2" x14ac:dyDescent="0.25">
      <c r="A35382">
        <v>75022000000</v>
      </c>
      <c r="B35382" t="e">
        <f>-aleaciones de niquel</f>
        <v>#NAME?</v>
      </c>
    </row>
    <row r="35383" spans="1:2" x14ac:dyDescent="0.25">
      <c r="A35383">
        <v>75030000000</v>
      </c>
      <c r="B35383" t="s">
        <v>10478</v>
      </c>
    </row>
    <row r="35384" spans="1:2" x14ac:dyDescent="0.25">
      <c r="A35384">
        <v>750400</v>
      </c>
      <c r="B35384" t="s">
        <v>10479</v>
      </c>
    </row>
    <row r="35385" spans="1:2" x14ac:dyDescent="0.25">
      <c r="A35385">
        <v>75040010000</v>
      </c>
      <c r="B35385" t="s">
        <v>10480</v>
      </c>
    </row>
    <row r="35386" spans="1:2" x14ac:dyDescent="0.25">
      <c r="A35386">
        <v>75040090000</v>
      </c>
      <c r="B35386" t="s">
        <v>10</v>
      </c>
    </row>
    <row r="35387" spans="1:2" x14ac:dyDescent="0.25">
      <c r="A35387">
        <v>7505</v>
      </c>
      <c r="B35387" t="s">
        <v>10481</v>
      </c>
    </row>
    <row r="35388" spans="1:2" x14ac:dyDescent="0.25">
      <c r="A35388">
        <v>75051</v>
      </c>
      <c r="B35388" t="s">
        <v>10482</v>
      </c>
    </row>
    <row r="35389" spans="1:2" x14ac:dyDescent="0.25">
      <c r="A35389">
        <v>750511</v>
      </c>
      <c r="B35389" t="e">
        <f>- - de niquel sin alear</f>
        <v>#NAME?</v>
      </c>
    </row>
    <row r="35390" spans="1:2" x14ac:dyDescent="0.25">
      <c r="A35390">
        <v>75051110000</v>
      </c>
      <c r="B35390" t="s">
        <v>10425</v>
      </c>
    </row>
    <row r="35391" spans="1:2" x14ac:dyDescent="0.25">
      <c r="A35391">
        <v>7505112</v>
      </c>
      <c r="B35391" t="s">
        <v>10206</v>
      </c>
    </row>
    <row r="35392" spans="1:2" x14ac:dyDescent="0.25">
      <c r="A35392">
        <v>75051121000</v>
      </c>
      <c r="B35392" t="s">
        <v>10426</v>
      </c>
    </row>
    <row r="35393" spans="1:2" x14ac:dyDescent="0.25">
      <c r="A35393">
        <v>75051129000</v>
      </c>
      <c r="B35393" t="s">
        <v>10</v>
      </c>
    </row>
    <row r="35394" spans="1:2" x14ac:dyDescent="0.25">
      <c r="A35394">
        <v>750512</v>
      </c>
      <c r="B35394" t="e">
        <f>- - de aleaciones de niquel</f>
        <v>#NAME?</v>
      </c>
    </row>
    <row r="35395" spans="1:2" x14ac:dyDescent="0.25">
      <c r="A35395">
        <v>75051210000</v>
      </c>
      <c r="B35395" t="s">
        <v>10425</v>
      </c>
    </row>
    <row r="35396" spans="1:2" x14ac:dyDescent="0.25">
      <c r="A35396">
        <v>7505122</v>
      </c>
      <c r="B35396" t="s">
        <v>10206</v>
      </c>
    </row>
    <row r="35397" spans="1:2" x14ac:dyDescent="0.25">
      <c r="A35397">
        <v>75051221000</v>
      </c>
      <c r="B35397" t="s">
        <v>10426</v>
      </c>
    </row>
    <row r="35398" spans="1:2" x14ac:dyDescent="0.25">
      <c r="A35398">
        <v>75051229000</v>
      </c>
      <c r="B35398" t="s">
        <v>10</v>
      </c>
    </row>
    <row r="35399" spans="1:2" x14ac:dyDescent="0.25">
      <c r="A35399">
        <v>75052</v>
      </c>
      <c r="B35399" t="s">
        <v>10483</v>
      </c>
    </row>
    <row r="35400" spans="1:2" x14ac:dyDescent="0.25">
      <c r="A35400">
        <v>75052100000</v>
      </c>
      <c r="B35400" t="e">
        <f>--de niquel sin alear</f>
        <v>#NAME?</v>
      </c>
    </row>
    <row r="35401" spans="1:2" x14ac:dyDescent="0.25">
      <c r="A35401">
        <v>75052200000</v>
      </c>
      <c r="B35401" t="e">
        <f>--de aleaciones de niquel</f>
        <v>#NAME?</v>
      </c>
    </row>
    <row r="35402" spans="1:2" x14ac:dyDescent="0.25">
      <c r="A35402">
        <v>7506</v>
      </c>
      <c r="B35402" t="s">
        <v>10484</v>
      </c>
    </row>
    <row r="35403" spans="1:2" x14ac:dyDescent="0.25">
      <c r="A35403">
        <v>75061000000</v>
      </c>
      <c r="B35403" t="e">
        <f>-de niquel sin alear</f>
        <v>#NAME?</v>
      </c>
    </row>
    <row r="35404" spans="1:2" x14ac:dyDescent="0.25">
      <c r="A35404">
        <v>75062000000</v>
      </c>
      <c r="B35404" t="e">
        <f>-de aleaciones de niquel</f>
        <v>#NAME?</v>
      </c>
    </row>
    <row r="35405" spans="1:2" x14ac:dyDescent="0.25">
      <c r="A35405">
        <v>7507</v>
      </c>
      <c r="B35405" t="s">
        <v>10485</v>
      </c>
    </row>
    <row r="35406" spans="1:2" x14ac:dyDescent="0.25">
      <c r="A35406">
        <v>75071</v>
      </c>
      <c r="B35406" t="s">
        <v>9585</v>
      </c>
    </row>
    <row r="35407" spans="1:2" x14ac:dyDescent="0.25">
      <c r="A35407">
        <v>75071100000</v>
      </c>
      <c r="B35407" t="e">
        <f>--de niquel sin alear</f>
        <v>#NAME?</v>
      </c>
    </row>
    <row r="35408" spans="1:2" x14ac:dyDescent="0.25">
      <c r="A35408">
        <v>75071200</v>
      </c>
      <c r="B35408" t="e">
        <f>- - de aleaciones de niquel</f>
        <v>#NAME?</v>
      </c>
    </row>
    <row r="35409" spans="1:2" x14ac:dyDescent="0.25">
      <c r="A35409">
        <v>75071200100</v>
      </c>
      <c r="B35409" t="s">
        <v>10486</v>
      </c>
    </row>
    <row r="35410" spans="1:2" x14ac:dyDescent="0.25">
      <c r="A35410">
        <v>75071200900</v>
      </c>
      <c r="B35410" t="s">
        <v>57</v>
      </c>
    </row>
    <row r="35411" spans="1:2" x14ac:dyDescent="0.25">
      <c r="A35411">
        <v>75072000000</v>
      </c>
      <c r="B35411" t="e">
        <f>-accesorios de tuberia</f>
        <v>#NAME?</v>
      </c>
    </row>
    <row r="35412" spans="1:2" x14ac:dyDescent="0.25">
      <c r="A35412">
        <v>7508</v>
      </c>
      <c r="B35412" t="s">
        <v>10487</v>
      </c>
    </row>
    <row r="35413" spans="1:2" x14ac:dyDescent="0.25">
      <c r="A35413">
        <v>75081000000</v>
      </c>
      <c r="B35413" t="e">
        <f>-Telas metalicas. Redes y rejas. de alambre de niquel</f>
        <v>#NAME?</v>
      </c>
    </row>
    <row r="35414" spans="1:2" x14ac:dyDescent="0.25">
      <c r="A35414">
        <v>750890</v>
      </c>
      <c r="B35414" t="e">
        <f>- las demas</f>
        <v>#NAME?</v>
      </c>
    </row>
    <row r="35415" spans="1:2" x14ac:dyDescent="0.25">
      <c r="A35415">
        <v>75089010000</v>
      </c>
      <c r="B35415" t="s">
        <v>10488</v>
      </c>
    </row>
    <row r="35416" spans="1:2" x14ac:dyDescent="0.25">
      <c r="A35416">
        <v>75089090</v>
      </c>
      <c r="B35416" t="s">
        <v>57</v>
      </c>
    </row>
    <row r="35417" spans="1:2" x14ac:dyDescent="0.25">
      <c r="A35417">
        <v>75089090100</v>
      </c>
      <c r="B35417" t="s">
        <v>10489</v>
      </c>
    </row>
    <row r="35418" spans="1:2" x14ac:dyDescent="0.25">
      <c r="A35418">
        <v>75089090200</v>
      </c>
      <c r="B35418" t="s">
        <v>10490</v>
      </c>
    </row>
    <row r="35419" spans="1:2" x14ac:dyDescent="0.25">
      <c r="A35419">
        <v>750890903</v>
      </c>
      <c r="B35419" t="s">
        <v>10470</v>
      </c>
    </row>
    <row r="35420" spans="1:2" x14ac:dyDescent="0.25">
      <c r="A35420">
        <v>75089090310</v>
      </c>
      <c r="B35420" t="s">
        <v>10471</v>
      </c>
    </row>
    <row r="35421" spans="1:2" x14ac:dyDescent="0.25">
      <c r="A35421">
        <v>75089090390</v>
      </c>
      <c r="B35421" t="s">
        <v>10</v>
      </c>
    </row>
    <row r="35422" spans="1:2" x14ac:dyDescent="0.25">
      <c r="A35422">
        <v>75089090900</v>
      </c>
      <c r="B35422" t="s">
        <v>57</v>
      </c>
    </row>
    <row r="35423" spans="1:2" x14ac:dyDescent="0.25">
      <c r="A35423">
        <v>7601</v>
      </c>
      <c r="B35423" t="s">
        <v>10491</v>
      </c>
    </row>
    <row r="35424" spans="1:2" x14ac:dyDescent="0.25">
      <c r="A35424">
        <v>76011000</v>
      </c>
      <c r="B35424" t="e">
        <f>- aluminio sin alear</f>
        <v>#NAME?</v>
      </c>
    </row>
    <row r="35425" spans="1:2" x14ac:dyDescent="0.25">
      <c r="A35425">
        <v>76011000100</v>
      </c>
      <c r="B35425" t="s">
        <v>10492</v>
      </c>
    </row>
    <row r="35426" spans="1:2" x14ac:dyDescent="0.25">
      <c r="A35426">
        <v>76011000900</v>
      </c>
      <c r="B35426" t="s">
        <v>10</v>
      </c>
    </row>
    <row r="35427" spans="1:2" x14ac:dyDescent="0.25">
      <c r="A35427">
        <v>76012000000</v>
      </c>
      <c r="B35427" t="e">
        <f>-aleaciones de aluminio</f>
        <v>#NAME?</v>
      </c>
    </row>
    <row r="35428" spans="1:2" x14ac:dyDescent="0.25">
      <c r="A35428">
        <v>76020000</v>
      </c>
      <c r="B35428" t="s">
        <v>10493</v>
      </c>
    </row>
    <row r="35429" spans="1:2" x14ac:dyDescent="0.25">
      <c r="A35429">
        <v>76020000100</v>
      </c>
      <c r="B35429" t="s">
        <v>10494</v>
      </c>
    </row>
    <row r="35430" spans="1:2" x14ac:dyDescent="0.25">
      <c r="A35430">
        <v>76020000900</v>
      </c>
      <c r="B35430" t="s">
        <v>10</v>
      </c>
    </row>
    <row r="35431" spans="1:2" x14ac:dyDescent="0.25">
      <c r="A35431">
        <v>7603</v>
      </c>
      <c r="B35431" t="s">
        <v>10495</v>
      </c>
    </row>
    <row r="35432" spans="1:2" x14ac:dyDescent="0.25">
      <c r="A35432">
        <v>76031000</v>
      </c>
      <c r="B35432" t="e">
        <f>- polvo de estructura no laminar</f>
        <v>#NAME?</v>
      </c>
    </row>
    <row r="35433" spans="1:2" x14ac:dyDescent="0.25">
      <c r="A35433">
        <v>76031000100</v>
      </c>
      <c r="B35433" t="s">
        <v>10496</v>
      </c>
    </row>
    <row r="35434" spans="1:2" x14ac:dyDescent="0.25">
      <c r="A35434">
        <v>76031000900</v>
      </c>
      <c r="B35434" t="s">
        <v>10</v>
      </c>
    </row>
    <row r="35435" spans="1:2" x14ac:dyDescent="0.25">
      <c r="A35435">
        <v>76032000000</v>
      </c>
      <c r="B35435" t="e">
        <f>-polvo de estructura laminar, escamillas</f>
        <v>#NAME?</v>
      </c>
    </row>
    <row r="35436" spans="1:2" x14ac:dyDescent="0.25">
      <c r="A35436">
        <v>7604</v>
      </c>
      <c r="B35436" t="s">
        <v>10497</v>
      </c>
    </row>
    <row r="35437" spans="1:2" x14ac:dyDescent="0.25">
      <c r="A35437">
        <v>760410</v>
      </c>
      <c r="B35437" t="e">
        <f>- de aluminio sin alear</f>
        <v>#NAME?</v>
      </c>
    </row>
    <row r="35438" spans="1:2" x14ac:dyDescent="0.25">
      <c r="A35438">
        <v>76041010000</v>
      </c>
      <c r="B35438" t="s">
        <v>10425</v>
      </c>
    </row>
    <row r="35439" spans="1:2" x14ac:dyDescent="0.25">
      <c r="A35439">
        <v>7604102</v>
      </c>
      <c r="B35439" t="s">
        <v>10206</v>
      </c>
    </row>
    <row r="35440" spans="1:2" x14ac:dyDescent="0.25">
      <c r="A35440">
        <v>76041021000</v>
      </c>
      <c r="B35440" t="s">
        <v>10426</v>
      </c>
    </row>
    <row r="35441" spans="1:2" x14ac:dyDescent="0.25">
      <c r="A35441">
        <v>76041029</v>
      </c>
      <c r="B35441" t="s">
        <v>10</v>
      </c>
    </row>
    <row r="35442" spans="1:2" x14ac:dyDescent="0.25">
      <c r="A35442">
        <v>76041029100</v>
      </c>
      <c r="B35442" t="s">
        <v>10498</v>
      </c>
    </row>
    <row r="35443" spans="1:2" x14ac:dyDescent="0.25">
      <c r="A35443">
        <v>76041029900</v>
      </c>
      <c r="B35443" t="s">
        <v>10</v>
      </c>
    </row>
    <row r="35444" spans="1:2" x14ac:dyDescent="0.25">
      <c r="A35444">
        <v>76042</v>
      </c>
      <c r="B35444" t="s">
        <v>10499</v>
      </c>
    </row>
    <row r="35445" spans="1:2" x14ac:dyDescent="0.25">
      <c r="A35445">
        <v>76042100</v>
      </c>
      <c r="B35445" t="e">
        <f>--Perfiles huecos</f>
        <v>#NAME?</v>
      </c>
    </row>
    <row r="35446" spans="1:2" x14ac:dyDescent="0.25">
      <c r="A35446">
        <v>76042100100</v>
      </c>
      <c r="B35446" t="s">
        <v>10498</v>
      </c>
    </row>
    <row r="35447" spans="1:2" x14ac:dyDescent="0.25">
      <c r="A35447">
        <v>76042100900</v>
      </c>
      <c r="B35447" t="s">
        <v>10</v>
      </c>
    </row>
    <row r="35448" spans="1:2" x14ac:dyDescent="0.25">
      <c r="A35448">
        <v>760429</v>
      </c>
      <c r="B35448" t="e">
        <f>- - Los demas</f>
        <v>#NAME?</v>
      </c>
    </row>
    <row r="35449" spans="1:2" x14ac:dyDescent="0.25">
      <c r="A35449">
        <v>7604291</v>
      </c>
      <c r="B35449" t="s">
        <v>10425</v>
      </c>
    </row>
    <row r="35450" spans="1:2" x14ac:dyDescent="0.25">
      <c r="A35450">
        <v>76042911000</v>
      </c>
      <c r="B35450" t="s">
        <v>10500</v>
      </c>
    </row>
    <row r="35451" spans="1:2" x14ac:dyDescent="0.25">
      <c r="A35451">
        <v>76042919000</v>
      </c>
      <c r="B35451" t="s">
        <v>57</v>
      </c>
    </row>
    <row r="35452" spans="1:2" x14ac:dyDescent="0.25">
      <c r="A35452">
        <v>76042920</v>
      </c>
      <c r="B35452" t="s">
        <v>10206</v>
      </c>
    </row>
    <row r="35453" spans="1:2" x14ac:dyDescent="0.25">
      <c r="A35453">
        <v>76042920100</v>
      </c>
      <c r="B35453" t="s">
        <v>10498</v>
      </c>
    </row>
    <row r="35454" spans="1:2" x14ac:dyDescent="0.25">
      <c r="A35454">
        <v>76042920900</v>
      </c>
      <c r="B35454" t="s">
        <v>10</v>
      </c>
    </row>
    <row r="35455" spans="1:2" x14ac:dyDescent="0.25">
      <c r="A35455">
        <v>7605</v>
      </c>
      <c r="B35455" t="s">
        <v>10501</v>
      </c>
    </row>
    <row r="35456" spans="1:2" x14ac:dyDescent="0.25">
      <c r="A35456">
        <v>76051</v>
      </c>
      <c r="B35456" t="s">
        <v>10502</v>
      </c>
    </row>
    <row r="35457" spans="1:2" x14ac:dyDescent="0.25">
      <c r="A35457">
        <v>760511</v>
      </c>
      <c r="B35457" t="s">
        <v>10503</v>
      </c>
    </row>
    <row r="35458" spans="1:2" x14ac:dyDescent="0.25">
      <c r="A35458">
        <v>76051110000</v>
      </c>
      <c r="B35458" t="s">
        <v>10504</v>
      </c>
    </row>
    <row r="35459" spans="1:2" x14ac:dyDescent="0.25">
      <c r="A35459">
        <v>76051190000</v>
      </c>
      <c r="B35459" t="s">
        <v>10</v>
      </c>
    </row>
    <row r="35460" spans="1:2" x14ac:dyDescent="0.25">
      <c r="A35460">
        <v>760519</v>
      </c>
      <c r="B35460" t="e">
        <f>- - Los demas</f>
        <v>#NAME?</v>
      </c>
    </row>
    <row r="35461" spans="1:2" x14ac:dyDescent="0.25">
      <c r="A35461">
        <v>76051910000</v>
      </c>
      <c r="B35461" t="s">
        <v>10504</v>
      </c>
    </row>
    <row r="35462" spans="1:2" x14ac:dyDescent="0.25">
      <c r="A35462">
        <v>76051990000</v>
      </c>
      <c r="B35462" t="s">
        <v>10</v>
      </c>
    </row>
    <row r="35463" spans="1:2" x14ac:dyDescent="0.25">
      <c r="A35463">
        <v>76052</v>
      </c>
      <c r="B35463" t="s">
        <v>10499</v>
      </c>
    </row>
    <row r="35464" spans="1:2" x14ac:dyDescent="0.25">
      <c r="A35464">
        <v>760521</v>
      </c>
      <c r="B35464" t="s">
        <v>10503</v>
      </c>
    </row>
    <row r="35465" spans="1:2" x14ac:dyDescent="0.25">
      <c r="A35465">
        <v>76052110000</v>
      </c>
      <c r="B35465" t="s">
        <v>10505</v>
      </c>
    </row>
    <row r="35466" spans="1:2" x14ac:dyDescent="0.25">
      <c r="A35466">
        <v>76052190000</v>
      </c>
      <c r="B35466" t="s">
        <v>10</v>
      </c>
    </row>
    <row r="35467" spans="1:2" x14ac:dyDescent="0.25">
      <c r="A35467">
        <v>760529</v>
      </c>
      <c r="B35467" t="e">
        <f>- - Los demas</f>
        <v>#NAME?</v>
      </c>
    </row>
    <row r="35468" spans="1:2" x14ac:dyDescent="0.25">
      <c r="A35468">
        <v>76052910000</v>
      </c>
      <c r="B35468" t="s">
        <v>10505</v>
      </c>
    </row>
    <row r="35469" spans="1:2" x14ac:dyDescent="0.25">
      <c r="A35469">
        <v>76052990000</v>
      </c>
      <c r="B35469" t="s">
        <v>10</v>
      </c>
    </row>
    <row r="35470" spans="1:2" x14ac:dyDescent="0.25">
      <c r="A35470">
        <v>7606</v>
      </c>
      <c r="B35470" t="s">
        <v>10506</v>
      </c>
    </row>
    <row r="35471" spans="1:2" x14ac:dyDescent="0.25">
      <c r="A35471">
        <v>76061</v>
      </c>
      <c r="B35471" t="s">
        <v>10507</v>
      </c>
    </row>
    <row r="35472" spans="1:2" x14ac:dyDescent="0.25">
      <c r="A35472">
        <v>760611</v>
      </c>
      <c r="B35472" t="e">
        <f>- - de aluminio sin alear</f>
        <v>#NAME?</v>
      </c>
    </row>
    <row r="35473" spans="1:2" x14ac:dyDescent="0.25">
      <c r="A35473">
        <v>76061110000</v>
      </c>
      <c r="B35473" t="s">
        <v>10508</v>
      </c>
    </row>
    <row r="35474" spans="1:2" x14ac:dyDescent="0.25">
      <c r="A35474">
        <v>76061190000</v>
      </c>
      <c r="B35474" t="s">
        <v>57</v>
      </c>
    </row>
    <row r="35475" spans="1:2" x14ac:dyDescent="0.25">
      <c r="A35475">
        <v>760612</v>
      </c>
      <c r="B35475" t="e">
        <f>- - de aleaciones de aluminio</f>
        <v>#NAME?</v>
      </c>
    </row>
    <row r="35476" spans="1:2" x14ac:dyDescent="0.25">
      <c r="A35476">
        <v>76061210000</v>
      </c>
      <c r="B35476" t="s">
        <v>10509</v>
      </c>
    </row>
    <row r="35477" spans="1:2" x14ac:dyDescent="0.25">
      <c r="A35477">
        <v>76061220000</v>
      </c>
      <c r="B35477" t="s">
        <v>10510</v>
      </c>
    </row>
    <row r="35478" spans="1:2" x14ac:dyDescent="0.25">
      <c r="A35478">
        <v>76061290</v>
      </c>
      <c r="B35478" t="s">
        <v>57</v>
      </c>
    </row>
    <row r="35479" spans="1:2" x14ac:dyDescent="0.25">
      <c r="A35479">
        <v>76061290100</v>
      </c>
      <c r="B35479" t="s">
        <v>10511</v>
      </c>
    </row>
    <row r="35480" spans="1:2" x14ac:dyDescent="0.25">
      <c r="A35480">
        <v>76061290200</v>
      </c>
      <c r="B35480" t="s">
        <v>10512</v>
      </c>
    </row>
    <row r="35481" spans="1:2" x14ac:dyDescent="0.25">
      <c r="A35481">
        <v>76061290900</v>
      </c>
      <c r="B35481" t="s">
        <v>57</v>
      </c>
    </row>
    <row r="35482" spans="1:2" x14ac:dyDescent="0.25">
      <c r="A35482">
        <v>76069</v>
      </c>
      <c r="B35482" t="s">
        <v>567</v>
      </c>
    </row>
    <row r="35483" spans="1:2" x14ac:dyDescent="0.25">
      <c r="A35483">
        <v>76069100</v>
      </c>
      <c r="B35483" t="e">
        <f>--de aluminio sin alear</f>
        <v>#NAME?</v>
      </c>
    </row>
    <row r="35484" spans="1:2" x14ac:dyDescent="0.25">
      <c r="A35484">
        <v>76069100100</v>
      </c>
      <c r="B35484" t="s">
        <v>10513</v>
      </c>
    </row>
    <row r="35485" spans="1:2" x14ac:dyDescent="0.25">
      <c r="A35485">
        <v>76069100900</v>
      </c>
      <c r="B35485" t="s">
        <v>57</v>
      </c>
    </row>
    <row r="35486" spans="1:2" x14ac:dyDescent="0.25">
      <c r="A35486">
        <v>76069200</v>
      </c>
      <c r="B35486" t="e">
        <f>--de aleaciones de aluminio</f>
        <v>#NAME?</v>
      </c>
    </row>
    <row r="35487" spans="1:2" x14ac:dyDescent="0.25">
      <c r="A35487">
        <v>76069200100</v>
      </c>
      <c r="B35487" t="s">
        <v>10514</v>
      </c>
    </row>
    <row r="35488" spans="1:2" x14ac:dyDescent="0.25">
      <c r="A35488">
        <v>76069200900</v>
      </c>
      <c r="B35488" t="s">
        <v>57</v>
      </c>
    </row>
    <row r="35489" spans="1:2" x14ac:dyDescent="0.25">
      <c r="A35489">
        <v>7607</v>
      </c>
      <c r="B35489" t="s">
        <v>10515</v>
      </c>
    </row>
    <row r="35490" spans="1:2" x14ac:dyDescent="0.25">
      <c r="A35490">
        <v>76071</v>
      </c>
      <c r="B35490" t="s">
        <v>10439</v>
      </c>
    </row>
    <row r="35491" spans="1:2" x14ac:dyDescent="0.25">
      <c r="A35491">
        <v>760711</v>
      </c>
      <c r="B35491" t="e">
        <f>- - Simplemente laminadas</f>
        <v>#NAME?</v>
      </c>
    </row>
    <row r="35492" spans="1:2" x14ac:dyDescent="0.25">
      <c r="A35492">
        <v>76071110000</v>
      </c>
      <c r="B35492" t="s">
        <v>10516</v>
      </c>
    </row>
    <row r="35493" spans="1:2" x14ac:dyDescent="0.25">
      <c r="A35493">
        <v>76071190</v>
      </c>
      <c r="B35493" t="s">
        <v>57</v>
      </c>
    </row>
    <row r="35494" spans="1:2" x14ac:dyDescent="0.25">
      <c r="A35494">
        <v>76071190100</v>
      </c>
      <c r="B35494" t="s">
        <v>10517</v>
      </c>
    </row>
    <row r="35495" spans="1:2" x14ac:dyDescent="0.25">
      <c r="A35495">
        <v>760711909</v>
      </c>
      <c r="B35495" t="s">
        <v>57</v>
      </c>
    </row>
    <row r="35496" spans="1:2" x14ac:dyDescent="0.25">
      <c r="A35496">
        <v>7607119091</v>
      </c>
      <c r="B35496" t="s">
        <v>10518</v>
      </c>
    </row>
    <row r="35497" spans="1:2" x14ac:dyDescent="0.25">
      <c r="A35497">
        <v>76071190911</v>
      </c>
      <c r="B35497" t="s">
        <v>10519</v>
      </c>
    </row>
    <row r="35498" spans="1:2" x14ac:dyDescent="0.25">
      <c r="A35498">
        <v>76071190919</v>
      </c>
      <c r="B35498" t="s">
        <v>57</v>
      </c>
    </row>
    <row r="35499" spans="1:2" x14ac:dyDescent="0.25">
      <c r="A35499">
        <v>76071190990</v>
      </c>
      <c r="B35499" t="s">
        <v>57</v>
      </c>
    </row>
    <row r="35500" spans="1:2" x14ac:dyDescent="0.25">
      <c r="A35500">
        <v>760719</v>
      </c>
      <c r="B35500" t="e">
        <f>- - las demas</f>
        <v>#NAME?</v>
      </c>
    </row>
    <row r="35501" spans="1:2" x14ac:dyDescent="0.25">
      <c r="A35501">
        <v>76071910000</v>
      </c>
      <c r="B35501" t="s">
        <v>10520</v>
      </c>
    </row>
    <row r="35502" spans="1:2" x14ac:dyDescent="0.25">
      <c r="A35502">
        <v>76071990</v>
      </c>
      <c r="B35502" t="s">
        <v>57</v>
      </c>
    </row>
    <row r="35503" spans="1:2" x14ac:dyDescent="0.25">
      <c r="A35503">
        <v>760719901</v>
      </c>
      <c r="B35503" t="s">
        <v>6684</v>
      </c>
    </row>
    <row r="35504" spans="1:2" x14ac:dyDescent="0.25">
      <c r="A35504">
        <v>76071990110</v>
      </c>
      <c r="B35504" t="s">
        <v>10521</v>
      </c>
    </row>
    <row r="35505" spans="1:2" x14ac:dyDescent="0.25">
      <c r="A35505">
        <v>76071990120</v>
      </c>
      <c r="B35505" t="s">
        <v>10522</v>
      </c>
    </row>
    <row r="35506" spans="1:2" x14ac:dyDescent="0.25">
      <c r="A35506">
        <v>76071990190</v>
      </c>
      <c r="B35506" t="s">
        <v>57</v>
      </c>
    </row>
    <row r="35507" spans="1:2" x14ac:dyDescent="0.25">
      <c r="A35507">
        <v>760719909</v>
      </c>
      <c r="B35507" t="s">
        <v>57</v>
      </c>
    </row>
    <row r="35508" spans="1:2" x14ac:dyDescent="0.25">
      <c r="A35508">
        <v>76071990910</v>
      </c>
      <c r="B35508" t="s">
        <v>10521</v>
      </c>
    </row>
    <row r="35509" spans="1:2" x14ac:dyDescent="0.25">
      <c r="A35509">
        <v>76071990920</v>
      </c>
      <c r="B35509" t="s">
        <v>10522</v>
      </c>
    </row>
    <row r="35510" spans="1:2" x14ac:dyDescent="0.25">
      <c r="A35510">
        <v>76071990990</v>
      </c>
      <c r="B35510" t="s">
        <v>57</v>
      </c>
    </row>
    <row r="35511" spans="1:2" x14ac:dyDescent="0.25">
      <c r="A35511">
        <v>76072000</v>
      </c>
      <c r="B35511" t="e">
        <f>- Con soporte</f>
        <v>#NAME?</v>
      </c>
    </row>
    <row r="35512" spans="1:2" x14ac:dyDescent="0.25">
      <c r="A35512">
        <v>76072000100</v>
      </c>
      <c r="B35512" t="s">
        <v>10523</v>
      </c>
    </row>
    <row r="35513" spans="1:2" x14ac:dyDescent="0.25">
      <c r="A35513">
        <v>76072000200</v>
      </c>
      <c r="B35513" t="s">
        <v>10524</v>
      </c>
    </row>
    <row r="35514" spans="1:2" x14ac:dyDescent="0.25">
      <c r="A35514">
        <v>76072000900</v>
      </c>
      <c r="B35514" t="s">
        <v>57</v>
      </c>
    </row>
    <row r="35515" spans="1:2" x14ac:dyDescent="0.25">
      <c r="A35515">
        <v>7608</v>
      </c>
      <c r="B35515" t="s">
        <v>10525</v>
      </c>
    </row>
    <row r="35516" spans="1:2" x14ac:dyDescent="0.25">
      <c r="A35516">
        <v>76081000</v>
      </c>
      <c r="B35516" t="e">
        <f>- de aluminio sin alear</f>
        <v>#NAME?</v>
      </c>
    </row>
    <row r="35517" spans="1:2" x14ac:dyDescent="0.25">
      <c r="A35517">
        <v>76081000100</v>
      </c>
      <c r="B35517" t="s">
        <v>10044</v>
      </c>
    </row>
    <row r="35518" spans="1:2" x14ac:dyDescent="0.25">
      <c r="A35518">
        <v>76081000200</v>
      </c>
      <c r="B35518" t="s">
        <v>10526</v>
      </c>
    </row>
    <row r="35519" spans="1:2" x14ac:dyDescent="0.25">
      <c r="A35519">
        <v>76081000900</v>
      </c>
      <c r="B35519" t="s">
        <v>10</v>
      </c>
    </row>
    <row r="35520" spans="1:2" x14ac:dyDescent="0.25">
      <c r="A35520">
        <v>760820</v>
      </c>
      <c r="B35520" t="e">
        <f>- de aleaciones de aluminio</f>
        <v>#NAME?</v>
      </c>
    </row>
    <row r="35521" spans="1:2" x14ac:dyDescent="0.25">
      <c r="A35521">
        <v>76082010</v>
      </c>
      <c r="B35521" t="s">
        <v>10527</v>
      </c>
    </row>
    <row r="35522" spans="1:2" x14ac:dyDescent="0.25">
      <c r="A35522">
        <v>76082010100</v>
      </c>
      <c r="B35522" t="s">
        <v>6663</v>
      </c>
    </row>
    <row r="35523" spans="1:2" x14ac:dyDescent="0.25">
      <c r="A35523">
        <v>76082010900</v>
      </c>
      <c r="B35523" t="s">
        <v>57</v>
      </c>
    </row>
    <row r="35524" spans="1:2" x14ac:dyDescent="0.25">
      <c r="A35524">
        <v>76082090</v>
      </c>
      <c r="B35524" t="s">
        <v>10</v>
      </c>
    </row>
    <row r="35525" spans="1:2" x14ac:dyDescent="0.25">
      <c r="A35525">
        <v>760820901</v>
      </c>
      <c r="B35525" t="s">
        <v>10528</v>
      </c>
    </row>
    <row r="35526" spans="1:2" x14ac:dyDescent="0.25">
      <c r="A35526">
        <v>76082090110</v>
      </c>
      <c r="B35526" t="s">
        <v>10529</v>
      </c>
    </row>
    <row r="35527" spans="1:2" x14ac:dyDescent="0.25">
      <c r="A35527">
        <v>76082090190</v>
      </c>
      <c r="B35527" t="s">
        <v>10</v>
      </c>
    </row>
    <row r="35528" spans="1:2" x14ac:dyDescent="0.25">
      <c r="A35528">
        <v>760820902</v>
      </c>
      <c r="B35528" t="s">
        <v>10530</v>
      </c>
    </row>
    <row r="35529" spans="1:2" x14ac:dyDescent="0.25">
      <c r="A35529">
        <v>76082090210</v>
      </c>
      <c r="B35529" t="s">
        <v>10531</v>
      </c>
    </row>
    <row r="35530" spans="1:2" x14ac:dyDescent="0.25">
      <c r="A35530">
        <v>76082090290</v>
      </c>
      <c r="B35530" t="s">
        <v>10</v>
      </c>
    </row>
    <row r="35531" spans="1:2" x14ac:dyDescent="0.25">
      <c r="A35531">
        <v>760820909</v>
      </c>
      <c r="B35531" t="s">
        <v>10</v>
      </c>
    </row>
    <row r="35532" spans="1:2" x14ac:dyDescent="0.25">
      <c r="A35532">
        <v>76082090910</v>
      </c>
      <c r="B35532" t="s">
        <v>10532</v>
      </c>
    </row>
    <row r="35533" spans="1:2" x14ac:dyDescent="0.25">
      <c r="A35533">
        <v>7608209099</v>
      </c>
      <c r="B35533" t="s">
        <v>10</v>
      </c>
    </row>
    <row r="35534" spans="1:2" x14ac:dyDescent="0.25">
      <c r="A35534">
        <v>76082090991</v>
      </c>
      <c r="B35534" t="s">
        <v>10533</v>
      </c>
    </row>
    <row r="35535" spans="1:2" x14ac:dyDescent="0.25">
      <c r="A35535">
        <v>76082090999</v>
      </c>
      <c r="B35535" t="s">
        <v>10</v>
      </c>
    </row>
    <row r="35536" spans="1:2" x14ac:dyDescent="0.25">
      <c r="A35536">
        <v>76090000000</v>
      </c>
      <c r="B35536" t="s">
        <v>10534</v>
      </c>
    </row>
    <row r="35537" spans="1:2" x14ac:dyDescent="0.25">
      <c r="A35537">
        <v>7610</v>
      </c>
      <c r="B35537" t="s">
        <v>10535</v>
      </c>
    </row>
    <row r="35538" spans="1:2" x14ac:dyDescent="0.25">
      <c r="A35538">
        <v>76101000</v>
      </c>
      <c r="B35538" t="e">
        <f>- puertas y ventanas. y sus marcos. contramarcos y umbrales</f>
        <v>#NAME?</v>
      </c>
    </row>
    <row r="35539" spans="1:2" x14ac:dyDescent="0.25">
      <c r="A35539">
        <v>76101000100</v>
      </c>
      <c r="B35539" t="s">
        <v>10197</v>
      </c>
    </row>
    <row r="35540" spans="1:2" x14ac:dyDescent="0.25">
      <c r="A35540">
        <v>76101000200</v>
      </c>
      <c r="B35540" t="s">
        <v>10199</v>
      </c>
    </row>
    <row r="35541" spans="1:2" x14ac:dyDescent="0.25">
      <c r="A35541">
        <v>76101000900</v>
      </c>
      <c r="B35541" t="s">
        <v>10</v>
      </c>
    </row>
    <row r="35542" spans="1:2" x14ac:dyDescent="0.25">
      <c r="A35542">
        <v>76109000</v>
      </c>
      <c r="B35542" t="e">
        <f>- Los demas</f>
        <v>#NAME?</v>
      </c>
    </row>
    <row r="35543" spans="1:2" x14ac:dyDescent="0.25">
      <c r="A35543">
        <v>761090001</v>
      </c>
      <c r="B35543" t="s">
        <v>10536</v>
      </c>
    </row>
    <row r="35544" spans="1:2" x14ac:dyDescent="0.25">
      <c r="A35544">
        <v>76109000110</v>
      </c>
      <c r="B35544" t="s">
        <v>10425</v>
      </c>
    </row>
    <row r="35545" spans="1:2" x14ac:dyDescent="0.25">
      <c r="A35545">
        <v>76109000120</v>
      </c>
      <c r="B35545" t="s">
        <v>10206</v>
      </c>
    </row>
    <row r="35546" spans="1:2" x14ac:dyDescent="0.25">
      <c r="A35546">
        <v>76109000190</v>
      </c>
      <c r="B35546" t="s">
        <v>10</v>
      </c>
    </row>
    <row r="35547" spans="1:2" x14ac:dyDescent="0.25">
      <c r="A35547">
        <v>76109000200</v>
      </c>
      <c r="B35547" t="s">
        <v>10537</v>
      </c>
    </row>
    <row r="35548" spans="1:2" x14ac:dyDescent="0.25">
      <c r="A35548">
        <v>76109000900</v>
      </c>
      <c r="B35548" t="s">
        <v>10</v>
      </c>
    </row>
    <row r="35549" spans="1:2" x14ac:dyDescent="0.25">
      <c r="A35549">
        <v>76110000</v>
      </c>
      <c r="B35549" t="s">
        <v>10538</v>
      </c>
    </row>
    <row r="35550" spans="1:2" x14ac:dyDescent="0.25">
      <c r="A35550">
        <v>76110000100</v>
      </c>
      <c r="B35550" t="s">
        <v>10539</v>
      </c>
    </row>
    <row r="35551" spans="1:2" x14ac:dyDescent="0.25">
      <c r="A35551">
        <v>76110000200</v>
      </c>
      <c r="B35551" t="s">
        <v>10540</v>
      </c>
    </row>
    <row r="35552" spans="1:2" x14ac:dyDescent="0.25">
      <c r="A35552">
        <v>76110000300</v>
      </c>
      <c r="B35552" t="s">
        <v>10541</v>
      </c>
    </row>
    <row r="35553" spans="1:2" x14ac:dyDescent="0.25">
      <c r="A35553">
        <v>76110000400</v>
      </c>
      <c r="B35553" t="s">
        <v>10542</v>
      </c>
    </row>
    <row r="35554" spans="1:2" x14ac:dyDescent="0.25">
      <c r="A35554">
        <v>76110000500</v>
      </c>
      <c r="B35554" t="s">
        <v>10543</v>
      </c>
    </row>
    <row r="35555" spans="1:2" x14ac:dyDescent="0.25">
      <c r="A35555">
        <v>76110000900</v>
      </c>
      <c r="B35555" t="s">
        <v>10</v>
      </c>
    </row>
    <row r="35556" spans="1:2" x14ac:dyDescent="0.25">
      <c r="A35556">
        <v>7612</v>
      </c>
      <c r="B35556" t="s">
        <v>10544</v>
      </c>
    </row>
    <row r="35557" spans="1:2" x14ac:dyDescent="0.25">
      <c r="A35557">
        <v>76121000</v>
      </c>
      <c r="B35557" t="e">
        <f>- envases tubulares flexibles</f>
        <v>#NAME?</v>
      </c>
    </row>
    <row r="35558" spans="1:2" x14ac:dyDescent="0.25">
      <c r="A35558">
        <v>76121000100</v>
      </c>
      <c r="B35558" t="s">
        <v>10545</v>
      </c>
    </row>
    <row r="35559" spans="1:2" x14ac:dyDescent="0.25">
      <c r="A35559">
        <v>76121000200</v>
      </c>
      <c r="B35559" t="s">
        <v>10546</v>
      </c>
    </row>
    <row r="35560" spans="1:2" x14ac:dyDescent="0.25">
      <c r="A35560">
        <v>76121000300</v>
      </c>
      <c r="B35560" t="s">
        <v>10547</v>
      </c>
    </row>
    <row r="35561" spans="1:2" x14ac:dyDescent="0.25">
      <c r="A35561">
        <v>76121000400</v>
      </c>
      <c r="B35561" t="s">
        <v>10548</v>
      </c>
    </row>
    <row r="35562" spans="1:2" x14ac:dyDescent="0.25">
      <c r="A35562">
        <v>76121000900</v>
      </c>
      <c r="B35562" t="s">
        <v>10</v>
      </c>
    </row>
    <row r="35563" spans="1:2" x14ac:dyDescent="0.25">
      <c r="A35563">
        <v>761290</v>
      </c>
      <c r="B35563" t="e">
        <f>- Los demas</f>
        <v>#NAME?</v>
      </c>
    </row>
    <row r="35564" spans="1:2" x14ac:dyDescent="0.25">
      <c r="A35564">
        <v>7612901</v>
      </c>
      <c r="B35564" t="s">
        <v>10549</v>
      </c>
    </row>
    <row r="35565" spans="1:2" x14ac:dyDescent="0.25">
      <c r="A35565">
        <v>76129011000</v>
      </c>
      <c r="B35565" t="s">
        <v>10550</v>
      </c>
    </row>
    <row r="35566" spans="1:2" x14ac:dyDescent="0.25">
      <c r="A35566">
        <v>76129012000</v>
      </c>
      <c r="B35566" t="s">
        <v>10551</v>
      </c>
    </row>
    <row r="35567" spans="1:2" x14ac:dyDescent="0.25">
      <c r="A35567">
        <v>76129019</v>
      </c>
      <c r="B35567" t="s">
        <v>10</v>
      </c>
    </row>
    <row r="35568" spans="1:2" x14ac:dyDescent="0.25">
      <c r="A35568">
        <v>761290191</v>
      </c>
      <c r="B35568" t="s">
        <v>10552</v>
      </c>
    </row>
    <row r="35569" spans="1:2" x14ac:dyDescent="0.25">
      <c r="A35569">
        <v>76129019110</v>
      </c>
      <c r="B35569" t="s">
        <v>10228</v>
      </c>
    </row>
    <row r="35570" spans="1:2" x14ac:dyDescent="0.25">
      <c r="A35570">
        <v>76129019120</v>
      </c>
      <c r="B35570" t="s">
        <v>10547</v>
      </c>
    </row>
    <row r="35571" spans="1:2" x14ac:dyDescent="0.25">
      <c r="A35571">
        <v>76129019130</v>
      </c>
      <c r="B35571" t="s">
        <v>10548</v>
      </c>
    </row>
    <row r="35572" spans="1:2" x14ac:dyDescent="0.25">
      <c r="A35572">
        <v>76129019190</v>
      </c>
      <c r="B35572" t="s">
        <v>10</v>
      </c>
    </row>
    <row r="35573" spans="1:2" x14ac:dyDescent="0.25">
      <c r="A35573">
        <v>761290199</v>
      </c>
      <c r="B35573" t="s">
        <v>10</v>
      </c>
    </row>
    <row r="35574" spans="1:2" x14ac:dyDescent="0.25">
      <c r="A35574">
        <v>76129019910</v>
      </c>
      <c r="B35574" t="s">
        <v>10228</v>
      </c>
    </row>
    <row r="35575" spans="1:2" x14ac:dyDescent="0.25">
      <c r="A35575">
        <v>76129019920</v>
      </c>
      <c r="B35575" t="s">
        <v>10547</v>
      </c>
    </row>
    <row r="35576" spans="1:2" x14ac:dyDescent="0.25">
      <c r="A35576">
        <v>76129019930</v>
      </c>
      <c r="B35576" t="s">
        <v>10548</v>
      </c>
    </row>
    <row r="35577" spans="1:2" x14ac:dyDescent="0.25">
      <c r="A35577">
        <v>76129019990</v>
      </c>
      <c r="B35577" t="s">
        <v>10</v>
      </c>
    </row>
    <row r="35578" spans="1:2" x14ac:dyDescent="0.25">
      <c r="A35578">
        <v>76129090</v>
      </c>
      <c r="B35578" t="s">
        <v>10</v>
      </c>
    </row>
    <row r="35579" spans="1:2" x14ac:dyDescent="0.25">
      <c r="A35579">
        <v>76129090100</v>
      </c>
      <c r="B35579" t="s">
        <v>10553</v>
      </c>
    </row>
    <row r="35580" spans="1:2" x14ac:dyDescent="0.25">
      <c r="A35580">
        <v>76129090200</v>
      </c>
      <c r="B35580" t="s">
        <v>10554</v>
      </c>
    </row>
    <row r="35581" spans="1:2" x14ac:dyDescent="0.25">
      <c r="A35581">
        <v>76129090900</v>
      </c>
      <c r="B35581" t="s">
        <v>10</v>
      </c>
    </row>
    <row r="35582" spans="1:2" x14ac:dyDescent="0.25">
      <c r="A35582">
        <v>76130000</v>
      </c>
      <c r="B35582" t="s">
        <v>10555</v>
      </c>
    </row>
    <row r="35583" spans="1:2" x14ac:dyDescent="0.25">
      <c r="A35583">
        <v>76130000100</v>
      </c>
      <c r="B35583" t="s">
        <v>10249</v>
      </c>
    </row>
    <row r="35584" spans="1:2" x14ac:dyDescent="0.25">
      <c r="A35584">
        <v>76130000200</v>
      </c>
      <c r="B35584" t="s">
        <v>10236</v>
      </c>
    </row>
    <row r="35585" spans="1:2" x14ac:dyDescent="0.25">
      <c r="A35585">
        <v>76130000300</v>
      </c>
      <c r="B35585" t="s">
        <v>10233</v>
      </c>
    </row>
    <row r="35586" spans="1:2" x14ac:dyDescent="0.25">
      <c r="A35586">
        <v>76130000400</v>
      </c>
      <c r="B35586" t="s">
        <v>10250</v>
      </c>
    </row>
    <row r="35587" spans="1:2" x14ac:dyDescent="0.25">
      <c r="A35587">
        <v>76130000500</v>
      </c>
      <c r="B35587" t="s">
        <v>10251</v>
      </c>
    </row>
    <row r="35588" spans="1:2" x14ac:dyDescent="0.25">
      <c r="A35588">
        <v>76130000600</v>
      </c>
      <c r="B35588" t="s">
        <v>10252</v>
      </c>
    </row>
    <row r="35589" spans="1:2" x14ac:dyDescent="0.25">
      <c r="A35589">
        <v>76130000700</v>
      </c>
      <c r="B35589" t="s">
        <v>10253</v>
      </c>
    </row>
    <row r="35590" spans="1:2" x14ac:dyDescent="0.25">
      <c r="A35590">
        <v>76130000900</v>
      </c>
      <c r="B35590" t="s">
        <v>10</v>
      </c>
    </row>
    <row r="35591" spans="1:2" x14ac:dyDescent="0.25">
      <c r="A35591">
        <v>7614</v>
      </c>
      <c r="B35591" t="s">
        <v>10556</v>
      </c>
    </row>
    <row r="35592" spans="1:2" x14ac:dyDescent="0.25">
      <c r="A35592">
        <v>761410</v>
      </c>
      <c r="B35592" t="e">
        <f>- Con alma de acero</f>
        <v>#NAME?</v>
      </c>
    </row>
    <row r="35593" spans="1:2" x14ac:dyDescent="0.25">
      <c r="A35593">
        <v>76141010</v>
      </c>
      <c r="B35593" t="s">
        <v>10557</v>
      </c>
    </row>
    <row r="35594" spans="1:2" x14ac:dyDescent="0.25">
      <c r="A35594">
        <v>761410101</v>
      </c>
      <c r="B35594" t="s">
        <v>10558</v>
      </c>
    </row>
    <row r="35595" spans="1:2" x14ac:dyDescent="0.25">
      <c r="A35595">
        <v>76141010110</v>
      </c>
      <c r="B35595" t="s">
        <v>10559</v>
      </c>
    </row>
    <row r="35596" spans="1:2" x14ac:dyDescent="0.25">
      <c r="A35596">
        <v>76141010120</v>
      </c>
      <c r="B35596" t="s">
        <v>10560</v>
      </c>
    </row>
    <row r="35597" spans="1:2" x14ac:dyDescent="0.25">
      <c r="A35597">
        <v>76141010130</v>
      </c>
      <c r="B35597" t="s">
        <v>10561</v>
      </c>
    </row>
    <row r="35598" spans="1:2" x14ac:dyDescent="0.25">
      <c r="A35598">
        <v>76141010140</v>
      </c>
      <c r="B35598" t="s">
        <v>10562</v>
      </c>
    </row>
    <row r="35599" spans="1:2" x14ac:dyDescent="0.25">
      <c r="A35599">
        <v>76141010150</v>
      </c>
      <c r="B35599" t="s">
        <v>10563</v>
      </c>
    </row>
    <row r="35600" spans="1:2" x14ac:dyDescent="0.25">
      <c r="A35600">
        <v>761410102</v>
      </c>
      <c r="B35600" t="s">
        <v>10564</v>
      </c>
    </row>
    <row r="35601" spans="1:2" x14ac:dyDescent="0.25">
      <c r="A35601">
        <v>76141010210</v>
      </c>
      <c r="B35601" t="s">
        <v>10565</v>
      </c>
    </row>
    <row r="35602" spans="1:2" x14ac:dyDescent="0.25">
      <c r="A35602">
        <v>76141010220</v>
      </c>
      <c r="B35602" t="s">
        <v>10566</v>
      </c>
    </row>
    <row r="35603" spans="1:2" x14ac:dyDescent="0.25">
      <c r="A35603">
        <v>76141010230</v>
      </c>
      <c r="B35603" t="s">
        <v>10567</v>
      </c>
    </row>
    <row r="35604" spans="1:2" x14ac:dyDescent="0.25">
      <c r="A35604">
        <v>76141010240</v>
      </c>
      <c r="B35604" t="s">
        <v>10568</v>
      </c>
    </row>
    <row r="35605" spans="1:2" x14ac:dyDescent="0.25">
      <c r="A35605">
        <v>76141010250</v>
      </c>
      <c r="B35605" t="s">
        <v>10569</v>
      </c>
    </row>
    <row r="35606" spans="1:2" x14ac:dyDescent="0.25">
      <c r="A35606">
        <v>76141010290</v>
      </c>
      <c r="B35606" t="s">
        <v>10</v>
      </c>
    </row>
    <row r="35607" spans="1:2" x14ac:dyDescent="0.25">
      <c r="A35607">
        <v>76141010900</v>
      </c>
      <c r="B35607" t="s">
        <v>10</v>
      </c>
    </row>
    <row r="35608" spans="1:2" x14ac:dyDescent="0.25">
      <c r="A35608">
        <v>76141090000</v>
      </c>
      <c r="B35608" t="s">
        <v>10</v>
      </c>
    </row>
    <row r="35609" spans="1:2" x14ac:dyDescent="0.25">
      <c r="A35609">
        <v>761490</v>
      </c>
      <c r="B35609" t="s">
        <v>10</v>
      </c>
    </row>
    <row r="35610" spans="1:2" x14ac:dyDescent="0.25">
      <c r="A35610">
        <v>76149010</v>
      </c>
      <c r="B35610" t="s">
        <v>10557</v>
      </c>
    </row>
    <row r="35611" spans="1:2" x14ac:dyDescent="0.25">
      <c r="A35611">
        <v>761490101</v>
      </c>
      <c r="B35611" t="s">
        <v>10570</v>
      </c>
    </row>
    <row r="35612" spans="1:2" x14ac:dyDescent="0.25">
      <c r="A35612">
        <v>7614901011</v>
      </c>
      <c r="B35612" t="s">
        <v>10571</v>
      </c>
    </row>
    <row r="35613" spans="1:2" x14ac:dyDescent="0.25">
      <c r="A35613">
        <v>76149010111</v>
      </c>
      <c r="B35613" t="s">
        <v>10572</v>
      </c>
    </row>
    <row r="35614" spans="1:2" x14ac:dyDescent="0.25">
      <c r="A35614">
        <v>76149010112</v>
      </c>
      <c r="B35614" t="s">
        <v>10573</v>
      </c>
    </row>
    <row r="35615" spans="1:2" x14ac:dyDescent="0.25">
      <c r="A35615">
        <v>76149010113</v>
      </c>
      <c r="B35615" t="s">
        <v>10574</v>
      </c>
    </row>
    <row r="35616" spans="1:2" x14ac:dyDescent="0.25">
      <c r="A35616">
        <v>76149010114</v>
      </c>
      <c r="B35616" t="s">
        <v>10575</v>
      </c>
    </row>
    <row r="35617" spans="1:2" x14ac:dyDescent="0.25">
      <c r="A35617">
        <v>76149010115</v>
      </c>
      <c r="B35617" t="s">
        <v>10576</v>
      </c>
    </row>
    <row r="35618" spans="1:2" x14ac:dyDescent="0.25">
      <c r="A35618">
        <v>7614901012</v>
      </c>
      <c r="B35618" t="s">
        <v>10577</v>
      </c>
    </row>
    <row r="35619" spans="1:2" x14ac:dyDescent="0.25">
      <c r="A35619">
        <v>76149010121</v>
      </c>
      <c r="B35619" t="s">
        <v>10578</v>
      </c>
    </row>
    <row r="35620" spans="1:2" x14ac:dyDescent="0.25">
      <c r="A35620">
        <v>76149010122</v>
      </c>
      <c r="B35620" t="s">
        <v>10579</v>
      </c>
    </row>
    <row r="35621" spans="1:2" x14ac:dyDescent="0.25">
      <c r="A35621">
        <v>76149010123</v>
      </c>
      <c r="B35621" t="s">
        <v>10580</v>
      </c>
    </row>
    <row r="35622" spans="1:2" x14ac:dyDescent="0.25">
      <c r="A35622">
        <v>76149010124</v>
      </c>
      <c r="B35622" t="s">
        <v>10581</v>
      </c>
    </row>
    <row r="35623" spans="1:2" x14ac:dyDescent="0.25">
      <c r="A35623">
        <v>76149010125</v>
      </c>
      <c r="B35623" t="s">
        <v>10582</v>
      </c>
    </row>
    <row r="35624" spans="1:2" x14ac:dyDescent="0.25">
      <c r="A35624">
        <v>76149010129</v>
      </c>
      <c r="B35624" t="s">
        <v>10</v>
      </c>
    </row>
    <row r="35625" spans="1:2" x14ac:dyDescent="0.25">
      <c r="A35625">
        <v>761490109</v>
      </c>
      <c r="B35625" t="s">
        <v>10</v>
      </c>
    </row>
    <row r="35626" spans="1:2" x14ac:dyDescent="0.25">
      <c r="A35626">
        <v>7614901091</v>
      </c>
      <c r="B35626" t="s">
        <v>10571</v>
      </c>
    </row>
    <row r="35627" spans="1:2" x14ac:dyDescent="0.25">
      <c r="A35627">
        <v>76149010911</v>
      </c>
      <c r="B35627" t="s">
        <v>10572</v>
      </c>
    </row>
    <row r="35628" spans="1:2" x14ac:dyDescent="0.25">
      <c r="A35628">
        <v>76149010912</v>
      </c>
      <c r="B35628" t="s">
        <v>10573</v>
      </c>
    </row>
    <row r="35629" spans="1:2" x14ac:dyDescent="0.25">
      <c r="A35629">
        <v>76149010913</v>
      </c>
      <c r="B35629" t="s">
        <v>10574</v>
      </c>
    </row>
    <row r="35630" spans="1:2" x14ac:dyDescent="0.25">
      <c r="A35630">
        <v>76149010914</v>
      </c>
      <c r="B35630" t="s">
        <v>10575</v>
      </c>
    </row>
    <row r="35631" spans="1:2" x14ac:dyDescent="0.25">
      <c r="A35631">
        <v>76149010915</v>
      </c>
      <c r="B35631" t="s">
        <v>10576</v>
      </c>
    </row>
    <row r="35632" spans="1:2" x14ac:dyDescent="0.25">
      <c r="A35632">
        <v>7614901092</v>
      </c>
      <c r="B35632" t="s">
        <v>10583</v>
      </c>
    </row>
    <row r="35633" spans="1:2" x14ac:dyDescent="0.25">
      <c r="A35633">
        <v>76149010921</v>
      </c>
      <c r="B35633" t="s">
        <v>10578</v>
      </c>
    </row>
    <row r="35634" spans="1:2" x14ac:dyDescent="0.25">
      <c r="A35634">
        <v>76149010922</v>
      </c>
      <c r="B35634" t="s">
        <v>10579</v>
      </c>
    </row>
    <row r="35635" spans="1:2" x14ac:dyDescent="0.25">
      <c r="A35635">
        <v>76149010923</v>
      </c>
      <c r="B35635" t="s">
        <v>10580</v>
      </c>
    </row>
    <row r="35636" spans="1:2" x14ac:dyDescent="0.25">
      <c r="A35636">
        <v>76149010924</v>
      </c>
      <c r="B35636" t="s">
        <v>10581</v>
      </c>
    </row>
    <row r="35637" spans="1:2" x14ac:dyDescent="0.25">
      <c r="A35637">
        <v>76149010925</v>
      </c>
      <c r="B35637" t="s">
        <v>10582</v>
      </c>
    </row>
    <row r="35638" spans="1:2" x14ac:dyDescent="0.25">
      <c r="A35638">
        <v>76149010929</v>
      </c>
      <c r="B35638" t="s">
        <v>10</v>
      </c>
    </row>
    <row r="35639" spans="1:2" x14ac:dyDescent="0.25">
      <c r="A35639">
        <v>76149090000</v>
      </c>
      <c r="B35639" t="s">
        <v>10</v>
      </c>
    </row>
    <row r="35640" spans="1:2" x14ac:dyDescent="0.25">
      <c r="A35640">
        <v>7615</v>
      </c>
      <c r="B35640" t="s">
        <v>10584</v>
      </c>
    </row>
    <row r="35641" spans="1:2" x14ac:dyDescent="0.25">
      <c r="A35641">
        <v>76151000</v>
      </c>
      <c r="B35641" t="e">
        <f>- Articulos de uso domestico y sus partes, esponjas. estropajos. guantes yarticulos similares para fregar. lustrar o usos analogos</f>
        <v>#NAME?</v>
      </c>
    </row>
    <row r="35642" spans="1:2" x14ac:dyDescent="0.25">
      <c r="A35642">
        <v>76151000100</v>
      </c>
      <c r="B35642" t="s">
        <v>10463</v>
      </c>
    </row>
    <row r="35643" spans="1:2" x14ac:dyDescent="0.25">
      <c r="A35643">
        <v>761510009</v>
      </c>
      <c r="B35643" t="s">
        <v>10</v>
      </c>
    </row>
    <row r="35644" spans="1:2" x14ac:dyDescent="0.25">
      <c r="A35644">
        <v>76151000910</v>
      </c>
      <c r="B35644" t="s">
        <v>6648</v>
      </c>
    </row>
    <row r="35645" spans="1:2" x14ac:dyDescent="0.25">
      <c r="A35645">
        <v>7615100099</v>
      </c>
      <c r="B35645" t="s">
        <v>10</v>
      </c>
    </row>
    <row r="35646" spans="1:2" x14ac:dyDescent="0.25">
      <c r="A35646">
        <v>76151000991</v>
      </c>
      <c r="B35646" t="s">
        <v>10585</v>
      </c>
    </row>
    <row r="35647" spans="1:2" x14ac:dyDescent="0.25">
      <c r="A35647">
        <v>76151000999</v>
      </c>
      <c r="B35647" t="s">
        <v>10</v>
      </c>
    </row>
    <row r="35648" spans="1:2" x14ac:dyDescent="0.25">
      <c r="A35648">
        <v>76152000000</v>
      </c>
      <c r="B35648" t="e">
        <f>-Articulos de higiene o tocador y sus partes</f>
        <v>#NAME?</v>
      </c>
    </row>
    <row r="35649" spans="1:2" x14ac:dyDescent="0.25">
      <c r="A35649">
        <v>7616</v>
      </c>
      <c r="B35649" t="s">
        <v>10586</v>
      </c>
    </row>
    <row r="35650" spans="1:2" x14ac:dyDescent="0.25">
      <c r="A35650">
        <v>76161000</v>
      </c>
      <c r="B35650" t="e">
        <f>- Puntas. clavos. grapas apuntadas. tornillos. pernos. tuercas. Escarpias roscadas. remaches. Pasadores. clavijas. chavetas. arandelas y Articulos similares</f>
        <v>#NAME?</v>
      </c>
    </row>
    <row r="35651" spans="1:2" x14ac:dyDescent="0.25">
      <c r="A35651">
        <v>76161000100</v>
      </c>
      <c r="B35651" t="s">
        <v>7005</v>
      </c>
    </row>
    <row r="35652" spans="1:2" x14ac:dyDescent="0.25">
      <c r="A35652">
        <v>76161000200</v>
      </c>
      <c r="B35652" t="s">
        <v>10461</v>
      </c>
    </row>
    <row r="35653" spans="1:2" x14ac:dyDescent="0.25">
      <c r="A35653">
        <v>761610003</v>
      </c>
      <c r="B35653" t="s">
        <v>10587</v>
      </c>
    </row>
    <row r="35654" spans="1:2" x14ac:dyDescent="0.25">
      <c r="A35654">
        <v>76161000310</v>
      </c>
      <c r="B35654" t="s">
        <v>10339</v>
      </c>
    </row>
    <row r="35655" spans="1:2" x14ac:dyDescent="0.25">
      <c r="A35655">
        <v>76161000390</v>
      </c>
      <c r="B35655" t="s">
        <v>10</v>
      </c>
    </row>
    <row r="35656" spans="1:2" x14ac:dyDescent="0.25">
      <c r="A35656">
        <v>76161000400</v>
      </c>
      <c r="B35656" t="s">
        <v>6992</v>
      </c>
    </row>
    <row r="35657" spans="1:2" x14ac:dyDescent="0.25">
      <c r="A35657">
        <v>76161000900</v>
      </c>
      <c r="B35657" t="s">
        <v>10</v>
      </c>
    </row>
    <row r="35658" spans="1:2" x14ac:dyDescent="0.25">
      <c r="A35658">
        <v>76169</v>
      </c>
      <c r="B35658" t="s">
        <v>567</v>
      </c>
    </row>
    <row r="35659" spans="1:2" x14ac:dyDescent="0.25">
      <c r="A35659">
        <v>76169100000</v>
      </c>
      <c r="B35659" t="e">
        <f>--Telas metalicas. Redes y rejas. de alambre de aluminio</f>
        <v>#NAME?</v>
      </c>
    </row>
    <row r="35660" spans="1:2" x14ac:dyDescent="0.25">
      <c r="A35660">
        <v>76169900</v>
      </c>
      <c r="B35660" t="e">
        <f>- - las demas</f>
        <v>#NAME?</v>
      </c>
    </row>
    <row r="35661" spans="1:2" x14ac:dyDescent="0.25">
      <c r="A35661">
        <v>76169900100</v>
      </c>
      <c r="B35661" t="s">
        <v>6648</v>
      </c>
    </row>
    <row r="35662" spans="1:2" x14ac:dyDescent="0.25">
      <c r="A35662">
        <v>761699009</v>
      </c>
      <c r="B35662" t="s">
        <v>10</v>
      </c>
    </row>
    <row r="35663" spans="1:2" x14ac:dyDescent="0.25">
      <c r="A35663">
        <v>76169900910</v>
      </c>
      <c r="B35663" t="s">
        <v>10406</v>
      </c>
    </row>
    <row r="35664" spans="1:2" x14ac:dyDescent="0.25">
      <c r="A35664">
        <v>76169900920</v>
      </c>
      <c r="B35664" t="s">
        <v>10588</v>
      </c>
    </row>
    <row r="35665" spans="1:2" x14ac:dyDescent="0.25">
      <c r="A35665">
        <v>76169900990</v>
      </c>
      <c r="B35665" t="s">
        <v>10</v>
      </c>
    </row>
    <row r="35666" spans="1:2" x14ac:dyDescent="0.25">
      <c r="A35666">
        <v>7801</v>
      </c>
      <c r="B35666" t="s">
        <v>10589</v>
      </c>
    </row>
    <row r="35667" spans="1:2" x14ac:dyDescent="0.25">
      <c r="A35667">
        <v>780110</v>
      </c>
      <c r="B35667" t="e">
        <f>- plomo refinado</f>
        <v>#NAME?</v>
      </c>
    </row>
    <row r="35668" spans="1:2" x14ac:dyDescent="0.25">
      <c r="A35668">
        <v>7801101</v>
      </c>
      <c r="B35668" t="s">
        <v>10590</v>
      </c>
    </row>
    <row r="35669" spans="1:2" x14ac:dyDescent="0.25">
      <c r="A35669">
        <v>78011011000</v>
      </c>
      <c r="B35669" t="s">
        <v>10591</v>
      </c>
    </row>
    <row r="35670" spans="1:2" x14ac:dyDescent="0.25">
      <c r="A35670">
        <v>78011019000</v>
      </c>
      <c r="B35670" t="s">
        <v>10</v>
      </c>
    </row>
    <row r="35671" spans="1:2" x14ac:dyDescent="0.25">
      <c r="A35671">
        <v>78011090000</v>
      </c>
      <c r="B35671" t="s">
        <v>10</v>
      </c>
    </row>
    <row r="35672" spans="1:2" x14ac:dyDescent="0.25">
      <c r="A35672">
        <v>78019</v>
      </c>
      <c r="B35672" t="s">
        <v>28</v>
      </c>
    </row>
    <row r="35673" spans="1:2" x14ac:dyDescent="0.25">
      <c r="A35673">
        <v>78019100000</v>
      </c>
      <c r="B35673" t="e">
        <f>--Con antimonio como el otro elemento predominante En peso</f>
        <v>#NAME?</v>
      </c>
    </row>
    <row r="35674" spans="1:2" x14ac:dyDescent="0.25">
      <c r="A35674">
        <v>78019900000</v>
      </c>
      <c r="B35674" t="e">
        <f>--Los demas</f>
        <v>#NAME?</v>
      </c>
    </row>
    <row r="35675" spans="1:2" x14ac:dyDescent="0.25">
      <c r="A35675">
        <v>78020000000</v>
      </c>
      <c r="B35675" t="s">
        <v>10592</v>
      </c>
    </row>
    <row r="35676" spans="1:2" x14ac:dyDescent="0.25">
      <c r="A35676">
        <v>7804</v>
      </c>
      <c r="B35676" t="s">
        <v>10593</v>
      </c>
    </row>
    <row r="35677" spans="1:2" x14ac:dyDescent="0.25">
      <c r="A35677">
        <v>78041</v>
      </c>
      <c r="B35677" t="s">
        <v>10594</v>
      </c>
    </row>
    <row r="35678" spans="1:2" x14ac:dyDescent="0.25">
      <c r="A35678">
        <v>78041100000</v>
      </c>
      <c r="B35678" t="s">
        <v>10595</v>
      </c>
    </row>
    <row r="35679" spans="1:2" x14ac:dyDescent="0.25">
      <c r="A35679">
        <v>78041900000</v>
      </c>
      <c r="B35679" t="e">
        <f>--las demas</f>
        <v>#NAME?</v>
      </c>
    </row>
    <row r="35680" spans="1:2" x14ac:dyDescent="0.25">
      <c r="A35680">
        <v>78042000000</v>
      </c>
      <c r="B35680" t="e">
        <f>-polvo y escamillas</f>
        <v>#NAME?</v>
      </c>
    </row>
    <row r="35681" spans="1:2" x14ac:dyDescent="0.25">
      <c r="A35681">
        <v>780600</v>
      </c>
      <c r="B35681" t="s">
        <v>10596</v>
      </c>
    </row>
    <row r="35682" spans="1:2" x14ac:dyDescent="0.25">
      <c r="A35682">
        <v>78060010000</v>
      </c>
      <c r="B35682" t="s">
        <v>10597</v>
      </c>
    </row>
    <row r="35683" spans="1:2" x14ac:dyDescent="0.25">
      <c r="A35683">
        <v>78060020000</v>
      </c>
      <c r="B35683" t="s">
        <v>10598</v>
      </c>
    </row>
    <row r="35684" spans="1:2" x14ac:dyDescent="0.25">
      <c r="A35684">
        <v>78060090000</v>
      </c>
      <c r="B35684" t="s">
        <v>57</v>
      </c>
    </row>
    <row r="35685" spans="1:2" x14ac:dyDescent="0.25">
      <c r="A35685">
        <v>7901</v>
      </c>
      <c r="B35685" t="s">
        <v>10599</v>
      </c>
    </row>
    <row r="35686" spans="1:2" x14ac:dyDescent="0.25">
      <c r="A35686">
        <v>79011</v>
      </c>
      <c r="B35686" t="s">
        <v>10600</v>
      </c>
    </row>
    <row r="35687" spans="1:2" x14ac:dyDescent="0.25">
      <c r="A35687">
        <v>790111</v>
      </c>
      <c r="B35687" t="s">
        <v>10601</v>
      </c>
    </row>
    <row r="35688" spans="1:2" x14ac:dyDescent="0.25">
      <c r="A35688">
        <v>7901111</v>
      </c>
      <c r="B35688" t="s">
        <v>10590</v>
      </c>
    </row>
    <row r="35689" spans="1:2" x14ac:dyDescent="0.25">
      <c r="A35689">
        <v>79011111000</v>
      </c>
      <c r="B35689" t="s">
        <v>10591</v>
      </c>
    </row>
    <row r="35690" spans="1:2" x14ac:dyDescent="0.25">
      <c r="A35690">
        <v>79011119000</v>
      </c>
      <c r="B35690" t="s">
        <v>10</v>
      </c>
    </row>
    <row r="35691" spans="1:2" x14ac:dyDescent="0.25">
      <c r="A35691">
        <v>7901119</v>
      </c>
      <c r="B35691" t="s">
        <v>10</v>
      </c>
    </row>
    <row r="35692" spans="1:2" x14ac:dyDescent="0.25">
      <c r="A35692">
        <v>79011191000</v>
      </c>
      <c r="B35692" t="s">
        <v>10591</v>
      </c>
    </row>
    <row r="35693" spans="1:2" x14ac:dyDescent="0.25">
      <c r="A35693">
        <v>79011199000</v>
      </c>
      <c r="B35693" t="s">
        <v>10</v>
      </c>
    </row>
    <row r="35694" spans="1:2" x14ac:dyDescent="0.25">
      <c r="A35694">
        <v>790112</v>
      </c>
      <c r="B35694" t="s">
        <v>10602</v>
      </c>
    </row>
    <row r="35695" spans="1:2" x14ac:dyDescent="0.25">
      <c r="A35695">
        <v>79011210000</v>
      </c>
      <c r="B35695" t="s">
        <v>10591</v>
      </c>
    </row>
    <row r="35696" spans="1:2" x14ac:dyDescent="0.25">
      <c r="A35696">
        <v>79011290</v>
      </c>
      <c r="B35696" t="s">
        <v>10</v>
      </c>
    </row>
    <row r="35697" spans="1:2" x14ac:dyDescent="0.25">
      <c r="A35697">
        <v>79011290100</v>
      </c>
      <c r="B35697" t="s">
        <v>10603</v>
      </c>
    </row>
    <row r="35698" spans="1:2" x14ac:dyDescent="0.25">
      <c r="A35698">
        <v>79011290900</v>
      </c>
      <c r="B35698" t="s">
        <v>10</v>
      </c>
    </row>
    <row r="35699" spans="1:2" x14ac:dyDescent="0.25">
      <c r="A35699">
        <v>790120</v>
      </c>
      <c r="B35699" t="e">
        <f>- aleaciones de cinc</f>
        <v>#NAME?</v>
      </c>
    </row>
    <row r="35700" spans="1:2" x14ac:dyDescent="0.25">
      <c r="A35700">
        <v>79012010000</v>
      </c>
      <c r="B35700" t="s">
        <v>10591</v>
      </c>
    </row>
    <row r="35701" spans="1:2" x14ac:dyDescent="0.25">
      <c r="A35701">
        <v>79012090000</v>
      </c>
      <c r="B35701" t="s">
        <v>10</v>
      </c>
    </row>
    <row r="35702" spans="1:2" x14ac:dyDescent="0.25">
      <c r="A35702">
        <v>79020000000</v>
      </c>
      <c r="B35702" t="s">
        <v>10604</v>
      </c>
    </row>
    <row r="35703" spans="1:2" x14ac:dyDescent="0.25">
      <c r="A35703">
        <v>7903</v>
      </c>
      <c r="B35703" t="s">
        <v>10605</v>
      </c>
    </row>
    <row r="35704" spans="1:2" x14ac:dyDescent="0.25">
      <c r="A35704">
        <v>79031000000</v>
      </c>
      <c r="B35704" t="e">
        <f>-polvo de condensacion</f>
        <v>#NAME?</v>
      </c>
    </row>
    <row r="35705" spans="1:2" x14ac:dyDescent="0.25">
      <c r="A35705">
        <v>79039000000</v>
      </c>
      <c r="B35705" t="e">
        <f>-Los demas</f>
        <v>#NAME?</v>
      </c>
    </row>
    <row r="35706" spans="1:2" x14ac:dyDescent="0.25">
      <c r="A35706">
        <v>79040000</v>
      </c>
      <c r="B35706" t="s">
        <v>10606</v>
      </c>
    </row>
    <row r="35707" spans="1:2" x14ac:dyDescent="0.25">
      <c r="A35707">
        <v>79040000100</v>
      </c>
      <c r="B35707" t="s">
        <v>10425</v>
      </c>
    </row>
    <row r="35708" spans="1:2" x14ac:dyDescent="0.25">
      <c r="A35708">
        <v>79040000200</v>
      </c>
      <c r="B35708" t="s">
        <v>10206</v>
      </c>
    </row>
    <row r="35709" spans="1:2" x14ac:dyDescent="0.25">
      <c r="A35709">
        <v>79040000300</v>
      </c>
      <c r="B35709" t="s">
        <v>10607</v>
      </c>
    </row>
    <row r="35710" spans="1:2" x14ac:dyDescent="0.25">
      <c r="A35710">
        <v>79050000000</v>
      </c>
      <c r="B35710" t="s">
        <v>10608</v>
      </c>
    </row>
    <row r="35711" spans="1:2" x14ac:dyDescent="0.25">
      <c r="A35711">
        <v>790700</v>
      </c>
      <c r="B35711" t="s">
        <v>10609</v>
      </c>
    </row>
    <row r="35712" spans="1:2" x14ac:dyDescent="0.25">
      <c r="A35712">
        <v>79070010000</v>
      </c>
      <c r="B35712" t="s">
        <v>10598</v>
      </c>
    </row>
    <row r="35713" spans="1:2" x14ac:dyDescent="0.25">
      <c r="A35713">
        <v>79070090000</v>
      </c>
      <c r="B35713" t="s">
        <v>57</v>
      </c>
    </row>
    <row r="35714" spans="1:2" x14ac:dyDescent="0.25">
      <c r="A35714">
        <v>8001</v>
      </c>
      <c r="B35714" t="s">
        <v>10610</v>
      </c>
    </row>
    <row r="35715" spans="1:2" x14ac:dyDescent="0.25">
      <c r="A35715">
        <v>80011000</v>
      </c>
      <c r="B35715" t="e">
        <f>- estaño sin alear</f>
        <v>#NAME?</v>
      </c>
    </row>
    <row r="35716" spans="1:2" x14ac:dyDescent="0.25">
      <c r="A35716">
        <v>80011000100</v>
      </c>
      <c r="B35716" t="s">
        <v>10591</v>
      </c>
    </row>
    <row r="35717" spans="1:2" x14ac:dyDescent="0.25">
      <c r="A35717">
        <v>80011000900</v>
      </c>
      <c r="B35717" t="s">
        <v>10</v>
      </c>
    </row>
    <row r="35718" spans="1:2" x14ac:dyDescent="0.25">
      <c r="A35718">
        <v>80012000</v>
      </c>
      <c r="B35718" t="e">
        <f>- aleaciones de estaño</f>
        <v>#NAME?</v>
      </c>
    </row>
    <row r="35719" spans="1:2" x14ac:dyDescent="0.25">
      <c r="A35719">
        <v>80012000100</v>
      </c>
      <c r="B35719" t="s">
        <v>10591</v>
      </c>
    </row>
    <row r="35720" spans="1:2" x14ac:dyDescent="0.25">
      <c r="A35720">
        <v>80012000900</v>
      </c>
      <c r="B35720" t="s">
        <v>10</v>
      </c>
    </row>
    <row r="35721" spans="1:2" x14ac:dyDescent="0.25">
      <c r="A35721">
        <v>80020000000</v>
      </c>
      <c r="B35721" t="s">
        <v>10611</v>
      </c>
    </row>
    <row r="35722" spans="1:2" x14ac:dyDescent="0.25">
      <c r="A35722">
        <v>80030000</v>
      </c>
      <c r="B35722" t="s">
        <v>10612</v>
      </c>
    </row>
    <row r="35723" spans="1:2" x14ac:dyDescent="0.25">
      <c r="A35723">
        <v>80030000100</v>
      </c>
      <c r="B35723" t="s">
        <v>10425</v>
      </c>
    </row>
    <row r="35724" spans="1:2" x14ac:dyDescent="0.25">
      <c r="A35724">
        <v>80030000200</v>
      </c>
      <c r="B35724" t="s">
        <v>10206</v>
      </c>
    </row>
    <row r="35725" spans="1:2" x14ac:dyDescent="0.25">
      <c r="A35725">
        <v>80030000300</v>
      </c>
      <c r="B35725" t="s">
        <v>10607</v>
      </c>
    </row>
    <row r="35726" spans="1:2" x14ac:dyDescent="0.25">
      <c r="A35726">
        <v>800700</v>
      </c>
      <c r="B35726" t="s">
        <v>10613</v>
      </c>
    </row>
    <row r="35727" spans="1:2" x14ac:dyDescent="0.25">
      <c r="A35727">
        <v>80070010000</v>
      </c>
      <c r="B35727" t="s">
        <v>10614</v>
      </c>
    </row>
    <row r="35728" spans="1:2" x14ac:dyDescent="0.25">
      <c r="A35728">
        <v>80070020000</v>
      </c>
      <c r="B35728" t="s">
        <v>10615</v>
      </c>
    </row>
    <row r="35729" spans="1:2" x14ac:dyDescent="0.25">
      <c r="A35729">
        <v>80070030000</v>
      </c>
      <c r="B35729" t="s">
        <v>10598</v>
      </c>
    </row>
    <row r="35730" spans="1:2" x14ac:dyDescent="0.25">
      <c r="A35730">
        <v>80070090</v>
      </c>
      <c r="B35730" t="s">
        <v>57</v>
      </c>
    </row>
    <row r="35731" spans="1:2" x14ac:dyDescent="0.25">
      <c r="A35731">
        <v>800700901</v>
      </c>
      <c r="B35731" t="s">
        <v>10549</v>
      </c>
    </row>
    <row r="35732" spans="1:2" x14ac:dyDescent="0.25">
      <c r="A35732">
        <v>80070090110</v>
      </c>
      <c r="B35732" t="s">
        <v>7028</v>
      </c>
    </row>
    <row r="35733" spans="1:2" x14ac:dyDescent="0.25">
      <c r="A35733">
        <v>80070090190</v>
      </c>
      <c r="B35733" t="s">
        <v>10</v>
      </c>
    </row>
    <row r="35734" spans="1:2" x14ac:dyDescent="0.25">
      <c r="A35734">
        <v>80070090200</v>
      </c>
      <c r="B35734" t="s">
        <v>10469</v>
      </c>
    </row>
    <row r="35735" spans="1:2" x14ac:dyDescent="0.25">
      <c r="A35735">
        <v>800700909</v>
      </c>
      <c r="B35735" t="s">
        <v>57</v>
      </c>
    </row>
    <row r="35736" spans="1:2" x14ac:dyDescent="0.25">
      <c r="A35736">
        <v>80070090910</v>
      </c>
      <c r="B35736" t="s">
        <v>6648</v>
      </c>
    </row>
    <row r="35737" spans="1:2" x14ac:dyDescent="0.25">
      <c r="A35737">
        <v>80070090990</v>
      </c>
      <c r="B35737" t="s">
        <v>10</v>
      </c>
    </row>
    <row r="35738" spans="1:2" x14ac:dyDescent="0.25">
      <c r="A35738">
        <v>8101</v>
      </c>
      <c r="B35738" t="s">
        <v>10616</v>
      </c>
    </row>
    <row r="35739" spans="1:2" x14ac:dyDescent="0.25">
      <c r="A35739">
        <v>81011000</v>
      </c>
      <c r="B35739" t="e">
        <f>- polvo</f>
        <v>#NAME?</v>
      </c>
    </row>
    <row r="35740" spans="1:2" x14ac:dyDescent="0.25">
      <c r="A35740">
        <v>81011000100</v>
      </c>
      <c r="B35740" t="s">
        <v>10617</v>
      </c>
    </row>
    <row r="35741" spans="1:2" x14ac:dyDescent="0.25">
      <c r="A35741">
        <v>81011000900</v>
      </c>
      <c r="B35741" t="s">
        <v>10</v>
      </c>
    </row>
    <row r="35742" spans="1:2" x14ac:dyDescent="0.25">
      <c r="A35742">
        <v>81019</v>
      </c>
      <c r="B35742" t="s">
        <v>28</v>
      </c>
    </row>
    <row r="35743" spans="1:2" x14ac:dyDescent="0.25">
      <c r="A35743">
        <v>81019400000</v>
      </c>
      <c r="B35743" t="e">
        <f>--volframio (tungsteno) En bruto. incluidas las barras Simplemente obtenidas por sinterizado</f>
        <v>#NAME?</v>
      </c>
    </row>
    <row r="35744" spans="1:2" x14ac:dyDescent="0.25">
      <c r="A35744">
        <v>81019600000</v>
      </c>
      <c r="B35744" t="e">
        <f>--alambre</f>
        <v>#NAME?</v>
      </c>
    </row>
    <row r="35745" spans="1:2" x14ac:dyDescent="0.25">
      <c r="A35745">
        <v>81019700000</v>
      </c>
      <c r="B35745" t="e">
        <f>--desperdicios y desechos</f>
        <v>#NAME?</v>
      </c>
    </row>
    <row r="35746" spans="1:2" x14ac:dyDescent="0.25">
      <c r="A35746">
        <v>810199</v>
      </c>
      <c r="B35746" t="e">
        <f>- - Los demas</f>
        <v>#NAME?</v>
      </c>
    </row>
    <row r="35747" spans="1:2" x14ac:dyDescent="0.25">
      <c r="A35747">
        <v>81019910000</v>
      </c>
      <c r="B35747" t="s">
        <v>10618</v>
      </c>
    </row>
    <row r="35748" spans="1:2" x14ac:dyDescent="0.25">
      <c r="A35748">
        <v>81019990000</v>
      </c>
      <c r="B35748" t="s">
        <v>10</v>
      </c>
    </row>
    <row r="35749" spans="1:2" x14ac:dyDescent="0.25">
      <c r="A35749">
        <v>8102</v>
      </c>
      <c r="B35749" t="s">
        <v>10619</v>
      </c>
    </row>
    <row r="35750" spans="1:2" x14ac:dyDescent="0.25">
      <c r="A35750">
        <v>81021000</v>
      </c>
      <c r="B35750" t="e">
        <f>- polvo</f>
        <v>#NAME?</v>
      </c>
    </row>
    <row r="35751" spans="1:2" x14ac:dyDescent="0.25">
      <c r="A35751">
        <v>81021000100</v>
      </c>
      <c r="B35751" t="s">
        <v>10617</v>
      </c>
    </row>
    <row r="35752" spans="1:2" x14ac:dyDescent="0.25">
      <c r="A35752">
        <v>81021000900</v>
      </c>
      <c r="B35752" t="s">
        <v>10</v>
      </c>
    </row>
    <row r="35753" spans="1:2" x14ac:dyDescent="0.25">
      <c r="A35753">
        <v>81029</v>
      </c>
      <c r="B35753" t="s">
        <v>28</v>
      </c>
    </row>
    <row r="35754" spans="1:2" x14ac:dyDescent="0.25">
      <c r="A35754">
        <v>81029400000</v>
      </c>
      <c r="B35754" t="e">
        <f>--molibdeno En bruto. incluidas las barras Simplemente obtenidas por sinterizado</f>
        <v>#NAME?</v>
      </c>
    </row>
    <row r="35755" spans="1:2" x14ac:dyDescent="0.25">
      <c r="A35755">
        <v>81029500000</v>
      </c>
      <c r="B35755" t="e">
        <f>--barras. excepto las Simplemente obtenidas por sinterizado. perfiles. Chapas. Hojas y tiras</f>
        <v>#NAME?</v>
      </c>
    </row>
    <row r="35756" spans="1:2" x14ac:dyDescent="0.25">
      <c r="A35756">
        <v>81029600000</v>
      </c>
      <c r="B35756" t="e">
        <f>--alambre</f>
        <v>#NAME?</v>
      </c>
    </row>
    <row r="35757" spans="1:2" x14ac:dyDescent="0.25">
      <c r="A35757">
        <v>81029700000</v>
      </c>
      <c r="B35757" t="e">
        <f>--desperdicios y desechos</f>
        <v>#NAME?</v>
      </c>
    </row>
    <row r="35758" spans="1:2" x14ac:dyDescent="0.25">
      <c r="A35758">
        <v>81029900000</v>
      </c>
      <c r="B35758" t="e">
        <f>--Los demas</f>
        <v>#NAME?</v>
      </c>
    </row>
    <row r="35759" spans="1:2" x14ac:dyDescent="0.25">
      <c r="A35759">
        <v>8103</v>
      </c>
      <c r="B35759" t="s">
        <v>10620</v>
      </c>
    </row>
    <row r="35760" spans="1:2" x14ac:dyDescent="0.25">
      <c r="A35760">
        <v>81032000000</v>
      </c>
      <c r="B35760" t="e">
        <f>-Tantalio En bruto. incluidas las barras Simplemente obtenidas por sinterizado, polvo</f>
        <v>#NAME?</v>
      </c>
    </row>
    <row r="35761" spans="1:2" x14ac:dyDescent="0.25">
      <c r="A35761">
        <v>81033000000</v>
      </c>
      <c r="B35761" t="e">
        <f>-desperdicios y desechos</f>
        <v>#NAME?</v>
      </c>
    </row>
    <row r="35762" spans="1:2" x14ac:dyDescent="0.25">
      <c r="A35762">
        <v>81039000000</v>
      </c>
      <c r="B35762" t="e">
        <f>-Los demas</f>
        <v>#NAME?</v>
      </c>
    </row>
    <row r="35763" spans="1:2" x14ac:dyDescent="0.25">
      <c r="A35763">
        <v>8104</v>
      </c>
      <c r="B35763" t="s">
        <v>10621</v>
      </c>
    </row>
    <row r="35764" spans="1:2" x14ac:dyDescent="0.25">
      <c r="A35764">
        <v>81041</v>
      </c>
      <c r="B35764" t="s">
        <v>10622</v>
      </c>
    </row>
    <row r="35765" spans="1:2" x14ac:dyDescent="0.25">
      <c r="A35765">
        <v>81041100</v>
      </c>
      <c r="B35765" t="s">
        <v>10623</v>
      </c>
    </row>
    <row r="35766" spans="1:2" x14ac:dyDescent="0.25">
      <c r="A35766">
        <v>81041100100</v>
      </c>
      <c r="B35766" t="s">
        <v>10624</v>
      </c>
    </row>
    <row r="35767" spans="1:2" x14ac:dyDescent="0.25">
      <c r="A35767">
        <v>81041100900</v>
      </c>
      <c r="B35767" t="s">
        <v>10</v>
      </c>
    </row>
    <row r="35768" spans="1:2" x14ac:dyDescent="0.25">
      <c r="A35768">
        <v>81041900</v>
      </c>
      <c r="B35768" t="e">
        <f>- - Los demas</f>
        <v>#NAME?</v>
      </c>
    </row>
    <row r="35769" spans="1:2" x14ac:dyDescent="0.25">
      <c r="A35769">
        <v>81041900100</v>
      </c>
      <c r="B35769" t="s">
        <v>10624</v>
      </c>
    </row>
    <row r="35770" spans="1:2" x14ac:dyDescent="0.25">
      <c r="A35770">
        <v>81041900900</v>
      </c>
      <c r="B35770" t="s">
        <v>10</v>
      </c>
    </row>
    <row r="35771" spans="1:2" x14ac:dyDescent="0.25">
      <c r="A35771">
        <v>81042000000</v>
      </c>
      <c r="B35771" t="e">
        <f>-desperdicios y desechos</f>
        <v>#NAME?</v>
      </c>
    </row>
    <row r="35772" spans="1:2" x14ac:dyDescent="0.25">
      <c r="A35772">
        <v>81043000</v>
      </c>
      <c r="B35772" t="e">
        <f>- virutas. torneaduras y granulos calibrados, polvo</f>
        <v>#NAME?</v>
      </c>
    </row>
    <row r="35773" spans="1:2" x14ac:dyDescent="0.25">
      <c r="A35773">
        <v>81043000100</v>
      </c>
      <c r="B35773" t="s">
        <v>10625</v>
      </c>
    </row>
    <row r="35774" spans="1:2" x14ac:dyDescent="0.25">
      <c r="A35774">
        <v>81043000900</v>
      </c>
      <c r="B35774" t="s">
        <v>10</v>
      </c>
    </row>
    <row r="35775" spans="1:2" x14ac:dyDescent="0.25">
      <c r="A35775">
        <v>81049000</v>
      </c>
      <c r="B35775" t="e">
        <f>- Los demas</f>
        <v>#NAME?</v>
      </c>
    </row>
    <row r="35776" spans="1:2" x14ac:dyDescent="0.25">
      <c r="A35776">
        <v>81049000100</v>
      </c>
      <c r="B35776" t="s">
        <v>10626</v>
      </c>
    </row>
    <row r="35777" spans="1:2" x14ac:dyDescent="0.25">
      <c r="A35777">
        <v>810490009</v>
      </c>
      <c r="B35777" t="s">
        <v>10</v>
      </c>
    </row>
    <row r="35778" spans="1:2" x14ac:dyDescent="0.25">
      <c r="A35778">
        <v>81049000910</v>
      </c>
      <c r="B35778" t="s">
        <v>10627</v>
      </c>
    </row>
    <row r="35779" spans="1:2" x14ac:dyDescent="0.25">
      <c r="A35779">
        <v>81049000990</v>
      </c>
      <c r="B35779" t="s">
        <v>10</v>
      </c>
    </row>
    <row r="35780" spans="1:2" x14ac:dyDescent="0.25">
      <c r="A35780">
        <v>8105</v>
      </c>
      <c r="B35780" t="s">
        <v>10628</v>
      </c>
    </row>
    <row r="35781" spans="1:2" x14ac:dyDescent="0.25">
      <c r="A35781">
        <v>810520</v>
      </c>
      <c r="B35781" t="e">
        <f>- Matas de cobalto y demas Productos intermedios de la metalurgia del cobalto, cobalto En bruto, polvo</f>
        <v>#NAME?</v>
      </c>
    </row>
    <row r="35782" spans="1:2" x14ac:dyDescent="0.25">
      <c r="A35782">
        <v>81052010</v>
      </c>
      <c r="B35782" t="s">
        <v>1197</v>
      </c>
    </row>
    <row r="35783" spans="1:2" x14ac:dyDescent="0.25">
      <c r="A35783">
        <v>81052010100</v>
      </c>
      <c r="B35783" t="s">
        <v>10624</v>
      </c>
    </row>
    <row r="35784" spans="1:2" x14ac:dyDescent="0.25">
      <c r="A35784">
        <v>81052010900</v>
      </c>
      <c r="B35784" t="s">
        <v>10</v>
      </c>
    </row>
    <row r="35785" spans="1:2" x14ac:dyDescent="0.25">
      <c r="A35785">
        <v>8105202</v>
      </c>
      <c r="B35785" t="s">
        <v>10625</v>
      </c>
    </row>
    <row r="35786" spans="1:2" x14ac:dyDescent="0.25">
      <c r="A35786">
        <v>81052021000</v>
      </c>
      <c r="B35786" t="s">
        <v>10629</v>
      </c>
    </row>
    <row r="35787" spans="1:2" x14ac:dyDescent="0.25">
      <c r="A35787">
        <v>81052029000</v>
      </c>
      <c r="B35787" t="s">
        <v>10</v>
      </c>
    </row>
    <row r="35788" spans="1:2" x14ac:dyDescent="0.25">
      <c r="A35788">
        <v>81052090000</v>
      </c>
      <c r="B35788" t="s">
        <v>10</v>
      </c>
    </row>
    <row r="35789" spans="1:2" x14ac:dyDescent="0.25">
      <c r="A35789">
        <v>81053000000</v>
      </c>
      <c r="B35789" t="e">
        <f>-desperdicios y desechos</f>
        <v>#NAME?</v>
      </c>
    </row>
    <row r="35790" spans="1:2" x14ac:dyDescent="0.25">
      <c r="A35790">
        <v>810590</v>
      </c>
      <c r="B35790" t="e">
        <f>- Los demas</f>
        <v>#NAME?</v>
      </c>
    </row>
    <row r="35791" spans="1:2" x14ac:dyDescent="0.25">
      <c r="A35791">
        <v>81059010</v>
      </c>
      <c r="B35791" t="s">
        <v>10630</v>
      </c>
    </row>
    <row r="35792" spans="1:2" x14ac:dyDescent="0.25">
      <c r="A35792">
        <v>81059010100</v>
      </c>
      <c r="B35792" t="s">
        <v>10607</v>
      </c>
    </row>
    <row r="35793" spans="1:2" x14ac:dyDescent="0.25">
      <c r="A35793">
        <v>81059010900</v>
      </c>
      <c r="B35793" t="s">
        <v>10</v>
      </c>
    </row>
    <row r="35794" spans="1:2" x14ac:dyDescent="0.25">
      <c r="A35794">
        <v>81059090000</v>
      </c>
      <c r="B35794" t="s">
        <v>10</v>
      </c>
    </row>
    <row r="35795" spans="1:2" x14ac:dyDescent="0.25">
      <c r="A35795">
        <v>810600</v>
      </c>
      <c r="B35795" t="s">
        <v>10631</v>
      </c>
    </row>
    <row r="35796" spans="1:2" x14ac:dyDescent="0.25">
      <c r="A35796">
        <v>81060010000</v>
      </c>
      <c r="B35796" t="s">
        <v>1197</v>
      </c>
    </row>
    <row r="35797" spans="1:2" x14ac:dyDescent="0.25">
      <c r="A35797">
        <v>81060090</v>
      </c>
      <c r="B35797" t="s">
        <v>10</v>
      </c>
    </row>
    <row r="35798" spans="1:2" x14ac:dyDescent="0.25">
      <c r="A35798">
        <v>81060090100</v>
      </c>
      <c r="B35798" t="s">
        <v>10632</v>
      </c>
    </row>
    <row r="35799" spans="1:2" x14ac:dyDescent="0.25">
      <c r="A35799">
        <v>81060090900</v>
      </c>
      <c r="B35799" t="s">
        <v>10</v>
      </c>
    </row>
    <row r="35800" spans="1:2" x14ac:dyDescent="0.25">
      <c r="A35800">
        <v>8107</v>
      </c>
      <c r="B35800" t="s">
        <v>10633</v>
      </c>
    </row>
    <row r="35801" spans="1:2" x14ac:dyDescent="0.25">
      <c r="A35801">
        <v>810720</v>
      </c>
      <c r="B35801" t="e">
        <f>- Cadmio En bruto, polvo</f>
        <v>#NAME?</v>
      </c>
    </row>
    <row r="35802" spans="1:2" x14ac:dyDescent="0.25">
      <c r="A35802">
        <v>81072010000</v>
      </c>
      <c r="B35802" t="s">
        <v>1197</v>
      </c>
    </row>
    <row r="35803" spans="1:2" x14ac:dyDescent="0.25">
      <c r="A35803">
        <v>81072020000</v>
      </c>
      <c r="B35803" t="s">
        <v>10625</v>
      </c>
    </row>
    <row r="35804" spans="1:2" x14ac:dyDescent="0.25">
      <c r="A35804">
        <v>81073000000</v>
      </c>
      <c r="B35804" t="e">
        <f>-desperdicios y desechos</f>
        <v>#NAME?</v>
      </c>
    </row>
    <row r="35805" spans="1:2" x14ac:dyDescent="0.25">
      <c r="A35805">
        <v>81079000000</v>
      </c>
      <c r="B35805" t="e">
        <f>-Los demas</f>
        <v>#NAME?</v>
      </c>
    </row>
    <row r="35806" spans="1:2" x14ac:dyDescent="0.25">
      <c r="A35806">
        <v>8108</v>
      </c>
      <c r="B35806" t="s">
        <v>10634</v>
      </c>
    </row>
    <row r="35807" spans="1:2" x14ac:dyDescent="0.25">
      <c r="A35807">
        <v>81082000000</v>
      </c>
      <c r="B35807" t="e">
        <f>-titanio En bruto, polvo</f>
        <v>#NAME?</v>
      </c>
    </row>
    <row r="35808" spans="1:2" x14ac:dyDescent="0.25">
      <c r="A35808">
        <v>81083000000</v>
      </c>
      <c r="B35808" t="e">
        <f>-desperdicios y desechos</f>
        <v>#NAME?</v>
      </c>
    </row>
    <row r="35809" spans="1:2" x14ac:dyDescent="0.25">
      <c r="A35809">
        <v>81089000</v>
      </c>
      <c r="B35809" t="e">
        <f>- Los demas</f>
        <v>#NAME?</v>
      </c>
    </row>
    <row r="35810" spans="1:2" x14ac:dyDescent="0.25">
      <c r="A35810">
        <v>81089000100</v>
      </c>
      <c r="B35810" t="s">
        <v>10425</v>
      </c>
    </row>
    <row r="35811" spans="1:2" x14ac:dyDescent="0.25">
      <c r="A35811">
        <v>81089000200</v>
      </c>
      <c r="B35811" t="s">
        <v>10607</v>
      </c>
    </row>
    <row r="35812" spans="1:2" x14ac:dyDescent="0.25">
      <c r="A35812">
        <v>81089000900</v>
      </c>
      <c r="B35812" t="s">
        <v>10</v>
      </c>
    </row>
    <row r="35813" spans="1:2" x14ac:dyDescent="0.25">
      <c r="A35813">
        <v>8109</v>
      </c>
      <c r="B35813" t="s">
        <v>10635</v>
      </c>
    </row>
    <row r="35814" spans="1:2" x14ac:dyDescent="0.25">
      <c r="A35814">
        <v>81092000000</v>
      </c>
      <c r="B35814" t="e">
        <f>-circonio En bruto, polvo</f>
        <v>#NAME?</v>
      </c>
    </row>
    <row r="35815" spans="1:2" x14ac:dyDescent="0.25">
      <c r="A35815">
        <v>81093000000</v>
      </c>
      <c r="B35815" t="e">
        <f>-desperdicios y desechos</f>
        <v>#NAME?</v>
      </c>
    </row>
    <row r="35816" spans="1:2" x14ac:dyDescent="0.25">
      <c r="A35816">
        <v>81099000</v>
      </c>
      <c r="B35816" t="e">
        <f>- Los demas</f>
        <v>#NAME?</v>
      </c>
    </row>
    <row r="35817" spans="1:2" x14ac:dyDescent="0.25">
      <c r="A35817">
        <v>81099000100</v>
      </c>
      <c r="B35817" t="s">
        <v>524</v>
      </c>
    </row>
    <row r="35818" spans="1:2" x14ac:dyDescent="0.25">
      <c r="A35818">
        <v>81099000200</v>
      </c>
      <c r="B35818" t="s">
        <v>10425</v>
      </c>
    </row>
    <row r="35819" spans="1:2" x14ac:dyDescent="0.25">
      <c r="A35819">
        <v>81099000900</v>
      </c>
      <c r="B35819" t="s">
        <v>10</v>
      </c>
    </row>
    <row r="35820" spans="1:2" x14ac:dyDescent="0.25">
      <c r="A35820">
        <v>8110</v>
      </c>
      <c r="B35820" t="s">
        <v>10636</v>
      </c>
    </row>
    <row r="35821" spans="1:2" x14ac:dyDescent="0.25">
      <c r="A35821">
        <v>811010</v>
      </c>
      <c r="B35821" t="e">
        <f>- antimonio En bruto, polvo</f>
        <v>#NAME?</v>
      </c>
    </row>
    <row r="35822" spans="1:2" x14ac:dyDescent="0.25">
      <c r="A35822">
        <v>81101010000</v>
      </c>
      <c r="B35822" t="s">
        <v>1197</v>
      </c>
    </row>
    <row r="35823" spans="1:2" x14ac:dyDescent="0.25">
      <c r="A35823">
        <v>81101020000</v>
      </c>
      <c r="B35823" t="s">
        <v>10625</v>
      </c>
    </row>
    <row r="35824" spans="1:2" x14ac:dyDescent="0.25">
      <c r="A35824">
        <v>81102000000</v>
      </c>
      <c r="B35824" t="e">
        <f>-desperdicios y desechos</f>
        <v>#NAME?</v>
      </c>
    </row>
    <row r="35825" spans="1:2" x14ac:dyDescent="0.25">
      <c r="A35825">
        <v>81109000000</v>
      </c>
      <c r="B35825" t="e">
        <f>-Los demas</f>
        <v>#NAME?</v>
      </c>
    </row>
    <row r="35826" spans="1:2" x14ac:dyDescent="0.25">
      <c r="A35826">
        <v>811100</v>
      </c>
      <c r="B35826" t="s">
        <v>10637</v>
      </c>
    </row>
    <row r="35827" spans="1:2" x14ac:dyDescent="0.25">
      <c r="A35827">
        <v>81110010000</v>
      </c>
      <c r="B35827" t="s">
        <v>1197</v>
      </c>
    </row>
    <row r="35828" spans="1:2" x14ac:dyDescent="0.25">
      <c r="A35828">
        <v>81110020000</v>
      </c>
      <c r="B35828" t="s">
        <v>10630</v>
      </c>
    </row>
    <row r="35829" spans="1:2" x14ac:dyDescent="0.25">
      <c r="A35829">
        <v>81110090</v>
      </c>
      <c r="B35829" t="s">
        <v>10</v>
      </c>
    </row>
    <row r="35830" spans="1:2" x14ac:dyDescent="0.25">
      <c r="A35830">
        <v>81110090100</v>
      </c>
      <c r="B35830" t="s">
        <v>10632</v>
      </c>
    </row>
    <row r="35831" spans="1:2" x14ac:dyDescent="0.25">
      <c r="A35831">
        <v>81110090200</v>
      </c>
      <c r="B35831" t="s">
        <v>10625</v>
      </c>
    </row>
    <row r="35832" spans="1:2" x14ac:dyDescent="0.25">
      <c r="A35832">
        <v>81110090900</v>
      </c>
      <c r="B35832" t="s">
        <v>10</v>
      </c>
    </row>
    <row r="35833" spans="1:2" x14ac:dyDescent="0.25">
      <c r="A35833">
        <v>8112</v>
      </c>
      <c r="B35833" t="s">
        <v>10638</v>
      </c>
    </row>
    <row r="35834" spans="1:2" x14ac:dyDescent="0.25">
      <c r="A35834">
        <v>81121</v>
      </c>
      <c r="B35834" t="s">
        <v>10639</v>
      </c>
    </row>
    <row r="35835" spans="1:2" x14ac:dyDescent="0.25">
      <c r="A35835">
        <v>81121200000</v>
      </c>
      <c r="B35835" t="e">
        <f>--En bruto, polvo</f>
        <v>#NAME?</v>
      </c>
    </row>
    <row r="35836" spans="1:2" x14ac:dyDescent="0.25">
      <c r="A35836">
        <v>81121300000</v>
      </c>
      <c r="B35836" t="e">
        <f>--desperdicios y desechos</f>
        <v>#NAME?</v>
      </c>
    </row>
    <row r="35837" spans="1:2" x14ac:dyDescent="0.25">
      <c r="A35837">
        <v>81121900000</v>
      </c>
      <c r="B35837" t="e">
        <f>--Los demas</f>
        <v>#NAME?</v>
      </c>
    </row>
    <row r="35838" spans="1:2" x14ac:dyDescent="0.25">
      <c r="A35838">
        <v>81122</v>
      </c>
      <c r="B35838" t="s">
        <v>10640</v>
      </c>
    </row>
    <row r="35839" spans="1:2" x14ac:dyDescent="0.25">
      <c r="A35839">
        <v>811221</v>
      </c>
      <c r="B35839" t="e">
        <f>- - En bruto, polvo</f>
        <v>#NAME?</v>
      </c>
    </row>
    <row r="35840" spans="1:2" x14ac:dyDescent="0.25">
      <c r="A35840">
        <v>81122110000</v>
      </c>
      <c r="B35840" t="s">
        <v>1197</v>
      </c>
    </row>
    <row r="35841" spans="1:2" x14ac:dyDescent="0.25">
      <c r="A35841">
        <v>81122120000</v>
      </c>
      <c r="B35841" t="s">
        <v>10625</v>
      </c>
    </row>
    <row r="35842" spans="1:2" x14ac:dyDescent="0.25">
      <c r="A35842">
        <v>81122200000</v>
      </c>
      <c r="B35842" t="e">
        <f>--desperdicios y desechos</f>
        <v>#NAME?</v>
      </c>
    </row>
    <row r="35843" spans="1:2" x14ac:dyDescent="0.25">
      <c r="A35843">
        <v>81122900000</v>
      </c>
      <c r="B35843" t="e">
        <f>--Los demas</f>
        <v>#NAME?</v>
      </c>
    </row>
    <row r="35844" spans="1:2" x14ac:dyDescent="0.25">
      <c r="A35844">
        <v>81125</v>
      </c>
      <c r="B35844" t="s">
        <v>10641</v>
      </c>
    </row>
    <row r="35845" spans="1:2" x14ac:dyDescent="0.25">
      <c r="A35845">
        <v>81125100000</v>
      </c>
      <c r="B35845" t="e">
        <f>--En bruto, polvo</f>
        <v>#NAME?</v>
      </c>
    </row>
    <row r="35846" spans="1:2" x14ac:dyDescent="0.25">
      <c r="A35846">
        <v>81125200000</v>
      </c>
      <c r="B35846" t="e">
        <f>--desperdicios y desechos</f>
        <v>#NAME?</v>
      </c>
    </row>
    <row r="35847" spans="1:2" x14ac:dyDescent="0.25">
      <c r="A35847">
        <v>81125900000</v>
      </c>
      <c r="B35847" t="e">
        <f>--Los demas</f>
        <v>#NAME?</v>
      </c>
    </row>
    <row r="35848" spans="1:2" x14ac:dyDescent="0.25">
      <c r="A35848">
        <v>81129</v>
      </c>
      <c r="B35848" t="s">
        <v>28</v>
      </c>
    </row>
    <row r="35849" spans="1:2" x14ac:dyDescent="0.25">
      <c r="A35849">
        <v>81129200</v>
      </c>
      <c r="B35849" t="e">
        <f>- - En bruto, desperdicios y desechos, polvo</f>
        <v>#NAME?</v>
      </c>
    </row>
    <row r="35850" spans="1:2" x14ac:dyDescent="0.25">
      <c r="A35850">
        <v>811292001</v>
      </c>
      <c r="B35850" t="s">
        <v>10632</v>
      </c>
    </row>
    <row r="35851" spans="1:2" x14ac:dyDescent="0.25">
      <c r="A35851">
        <v>81129200110</v>
      </c>
      <c r="B35851" t="s">
        <v>10642</v>
      </c>
    </row>
    <row r="35852" spans="1:2" x14ac:dyDescent="0.25">
      <c r="A35852">
        <v>81129200120</v>
      </c>
      <c r="B35852" t="s">
        <v>10643</v>
      </c>
    </row>
    <row r="35853" spans="1:2" x14ac:dyDescent="0.25">
      <c r="A35853">
        <v>81129200130</v>
      </c>
      <c r="B35853" t="s">
        <v>10644</v>
      </c>
    </row>
    <row r="35854" spans="1:2" x14ac:dyDescent="0.25">
      <c r="A35854">
        <v>81129200140</v>
      </c>
      <c r="B35854" t="s">
        <v>10645</v>
      </c>
    </row>
    <row r="35855" spans="1:2" x14ac:dyDescent="0.25">
      <c r="A35855">
        <v>81129200150</v>
      </c>
      <c r="B35855" t="s">
        <v>10646</v>
      </c>
    </row>
    <row r="35856" spans="1:2" x14ac:dyDescent="0.25">
      <c r="A35856">
        <v>81129200160</v>
      </c>
      <c r="B35856" t="s">
        <v>10647</v>
      </c>
    </row>
    <row r="35857" spans="1:2" x14ac:dyDescent="0.25">
      <c r="A35857">
        <v>81129200170</v>
      </c>
      <c r="B35857" t="s">
        <v>10648</v>
      </c>
    </row>
    <row r="35858" spans="1:2" x14ac:dyDescent="0.25">
      <c r="A35858">
        <v>81129200200</v>
      </c>
      <c r="B35858" t="s">
        <v>10625</v>
      </c>
    </row>
    <row r="35859" spans="1:2" x14ac:dyDescent="0.25">
      <c r="A35859">
        <v>811292009</v>
      </c>
      <c r="B35859" t="s">
        <v>10</v>
      </c>
    </row>
    <row r="35860" spans="1:2" x14ac:dyDescent="0.25">
      <c r="A35860">
        <v>81129200910</v>
      </c>
      <c r="B35860" t="s">
        <v>10642</v>
      </c>
    </row>
    <row r="35861" spans="1:2" x14ac:dyDescent="0.25">
      <c r="A35861">
        <v>81129200920</v>
      </c>
      <c r="B35861" t="s">
        <v>10643</v>
      </c>
    </row>
    <row r="35862" spans="1:2" x14ac:dyDescent="0.25">
      <c r="A35862">
        <v>81129200930</v>
      </c>
      <c r="B35862" t="s">
        <v>10644</v>
      </c>
    </row>
    <row r="35863" spans="1:2" x14ac:dyDescent="0.25">
      <c r="A35863">
        <v>81129200940</v>
      </c>
      <c r="B35863" t="s">
        <v>10645</v>
      </c>
    </row>
    <row r="35864" spans="1:2" x14ac:dyDescent="0.25">
      <c r="A35864">
        <v>81129200950</v>
      </c>
      <c r="B35864" t="s">
        <v>10646</v>
      </c>
    </row>
    <row r="35865" spans="1:2" x14ac:dyDescent="0.25">
      <c r="A35865">
        <v>81129200960</v>
      </c>
      <c r="B35865" t="s">
        <v>10647</v>
      </c>
    </row>
    <row r="35866" spans="1:2" x14ac:dyDescent="0.25">
      <c r="A35866">
        <v>81129200970</v>
      </c>
      <c r="B35866" t="s">
        <v>10648</v>
      </c>
    </row>
    <row r="35867" spans="1:2" x14ac:dyDescent="0.25">
      <c r="A35867">
        <v>81129900</v>
      </c>
      <c r="B35867" t="e">
        <f>- - Los demas</f>
        <v>#NAME?</v>
      </c>
    </row>
    <row r="35868" spans="1:2" x14ac:dyDescent="0.25">
      <c r="A35868">
        <v>81129900100</v>
      </c>
      <c r="B35868" t="s">
        <v>10642</v>
      </c>
    </row>
    <row r="35869" spans="1:2" x14ac:dyDescent="0.25">
      <c r="A35869">
        <v>81129900200</v>
      </c>
      <c r="B35869" t="s">
        <v>10643</v>
      </c>
    </row>
    <row r="35870" spans="1:2" x14ac:dyDescent="0.25">
      <c r="A35870">
        <v>81129900300</v>
      </c>
      <c r="B35870" t="s">
        <v>10644</v>
      </c>
    </row>
    <row r="35871" spans="1:2" x14ac:dyDescent="0.25">
      <c r="A35871">
        <v>81129900400</v>
      </c>
      <c r="B35871" t="s">
        <v>10645</v>
      </c>
    </row>
    <row r="35872" spans="1:2" x14ac:dyDescent="0.25">
      <c r="A35872">
        <v>81129900500</v>
      </c>
      <c r="B35872" t="s">
        <v>10646</v>
      </c>
    </row>
    <row r="35873" spans="1:2" x14ac:dyDescent="0.25">
      <c r="A35873">
        <v>81129900600</v>
      </c>
      <c r="B35873" t="s">
        <v>10647</v>
      </c>
    </row>
    <row r="35874" spans="1:2" x14ac:dyDescent="0.25">
      <c r="A35874">
        <v>81129900700</v>
      </c>
      <c r="B35874" t="s">
        <v>10648</v>
      </c>
    </row>
    <row r="35875" spans="1:2" x14ac:dyDescent="0.25">
      <c r="A35875">
        <v>811300</v>
      </c>
      <c r="B35875" t="s">
        <v>10649</v>
      </c>
    </row>
    <row r="35876" spans="1:2" x14ac:dyDescent="0.25">
      <c r="A35876">
        <v>81130010000</v>
      </c>
      <c r="B35876" t="s">
        <v>10630</v>
      </c>
    </row>
    <row r="35877" spans="1:2" x14ac:dyDescent="0.25">
      <c r="A35877">
        <v>81130090</v>
      </c>
      <c r="B35877" t="s">
        <v>10</v>
      </c>
    </row>
    <row r="35878" spans="1:2" x14ac:dyDescent="0.25">
      <c r="A35878">
        <v>81130090100</v>
      </c>
      <c r="B35878" t="s">
        <v>10632</v>
      </c>
    </row>
    <row r="35879" spans="1:2" x14ac:dyDescent="0.25">
      <c r="A35879">
        <v>81130090900</v>
      </c>
      <c r="B35879" t="s">
        <v>10</v>
      </c>
    </row>
    <row r="35880" spans="1:2" x14ac:dyDescent="0.25">
      <c r="A35880">
        <v>8201</v>
      </c>
      <c r="B35880" t="s">
        <v>10650</v>
      </c>
    </row>
    <row r="35881" spans="1:2" x14ac:dyDescent="0.25">
      <c r="A35881">
        <v>82011000</v>
      </c>
      <c r="B35881" t="e">
        <f>- Layas y palas</f>
        <v>#NAME?</v>
      </c>
    </row>
    <row r="35882" spans="1:2" x14ac:dyDescent="0.25">
      <c r="A35882">
        <v>820110001</v>
      </c>
      <c r="B35882" t="s">
        <v>10651</v>
      </c>
    </row>
    <row r="35883" spans="1:2" x14ac:dyDescent="0.25">
      <c r="A35883">
        <v>82011000110</v>
      </c>
      <c r="B35883" t="s">
        <v>10652</v>
      </c>
    </row>
    <row r="35884" spans="1:2" x14ac:dyDescent="0.25">
      <c r="A35884">
        <v>82011000120</v>
      </c>
      <c r="B35884" t="s">
        <v>10653</v>
      </c>
    </row>
    <row r="35885" spans="1:2" x14ac:dyDescent="0.25">
      <c r="A35885">
        <v>82011000130</v>
      </c>
      <c r="B35885" t="s">
        <v>10654</v>
      </c>
    </row>
    <row r="35886" spans="1:2" x14ac:dyDescent="0.25">
      <c r="A35886">
        <v>82011000190</v>
      </c>
      <c r="B35886" t="s">
        <v>57</v>
      </c>
    </row>
    <row r="35887" spans="1:2" x14ac:dyDescent="0.25">
      <c r="A35887">
        <v>820110002</v>
      </c>
      <c r="B35887" t="s">
        <v>10655</v>
      </c>
    </row>
    <row r="35888" spans="1:2" x14ac:dyDescent="0.25">
      <c r="A35888">
        <v>82011000210</v>
      </c>
      <c r="B35888" t="s">
        <v>10652</v>
      </c>
    </row>
    <row r="35889" spans="1:2" x14ac:dyDescent="0.25">
      <c r="A35889">
        <v>82011000220</v>
      </c>
      <c r="B35889" t="s">
        <v>10653</v>
      </c>
    </row>
    <row r="35890" spans="1:2" x14ac:dyDescent="0.25">
      <c r="A35890">
        <v>82011000230</v>
      </c>
      <c r="B35890" t="s">
        <v>10654</v>
      </c>
    </row>
    <row r="35891" spans="1:2" x14ac:dyDescent="0.25">
      <c r="A35891">
        <v>82011000290</v>
      </c>
      <c r="B35891" t="s">
        <v>57</v>
      </c>
    </row>
    <row r="35892" spans="1:2" x14ac:dyDescent="0.25">
      <c r="A35892">
        <v>820110003</v>
      </c>
      <c r="B35892" t="s">
        <v>10656</v>
      </c>
    </row>
    <row r="35893" spans="1:2" x14ac:dyDescent="0.25">
      <c r="A35893">
        <v>82011000310</v>
      </c>
      <c r="B35893" t="s">
        <v>10652</v>
      </c>
    </row>
    <row r="35894" spans="1:2" x14ac:dyDescent="0.25">
      <c r="A35894">
        <v>82011000320</v>
      </c>
      <c r="B35894" t="s">
        <v>10653</v>
      </c>
    </row>
    <row r="35895" spans="1:2" x14ac:dyDescent="0.25">
      <c r="A35895">
        <v>82011000330</v>
      </c>
      <c r="B35895" t="s">
        <v>10654</v>
      </c>
    </row>
    <row r="35896" spans="1:2" x14ac:dyDescent="0.25">
      <c r="A35896">
        <v>82011000390</v>
      </c>
      <c r="B35896" t="s">
        <v>57</v>
      </c>
    </row>
    <row r="35897" spans="1:2" x14ac:dyDescent="0.25">
      <c r="A35897">
        <v>82011000400</v>
      </c>
      <c r="B35897" t="s">
        <v>10657</v>
      </c>
    </row>
    <row r="35898" spans="1:2" x14ac:dyDescent="0.25">
      <c r="A35898">
        <v>82011000900</v>
      </c>
      <c r="B35898" t="s">
        <v>57</v>
      </c>
    </row>
    <row r="35899" spans="1:2" x14ac:dyDescent="0.25">
      <c r="A35899">
        <v>82013000</v>
      </c>
      <c r="B35899" t="e">
        <f>- Azadas. picos. binaderas. rastrillos y raederas</f>
        <v>#NAME?</v>
      </c>
    </row>
    <row r="35900" spans="1:2" x14ac:dyDescent="0.25">
      <c r="A35900">
        <v>820130001</v>
      </c>
      <c r="B35900" t="s">
        <v>10658</v>
      </c>
    </row>
    <row r="35901" spans="1:2" x14ac:dyDescent="0.25">
      <c r="A35901">
        <v>8201300011</v>
      </c>
      <c r="B35901" t="s">
        <v>10659</v>
      </c>
    </row>
    <row r="35902" spans="1:2" x14ac:dyDescent="0.25">
      <c r="A35902">
        <v>82013000111</v>
      </c>
      <c r="B35902" t="s">
        <v>7614</v>
      </c>
    </row>
    <row r="35903" spans="1:2" x14ac:dyDescent="0.25">
      <c r="A35903">
        <v>82013000112</v>
      </c>
      <c r="B35903" t="s">
        <v>7612</v>
      </c>
    </row>
    <row r="35904" spans="1:2" x14ac:dyDescent="0.25">
      <c r="A35904">
        <v>82013000119</v>
      </c>
      <c r="B35904" t="s">
        <v>57</v>
      </c>
    </row>
    <row r="35905" spans="1:2" x14ac:dyDescent="0.25">
      <c r="A35905">
        <v>82013000190</v>
      </c>
      <c r="B35905" t="s">
        <v>57</v>
      </c>
    </row>
    <row r="35906" spans="1:2" x14ac:dyDescent="0.25">
      <c r="A35906">
        <v>820130002</v>
      </c>
      <c r="B35906" t="s">
        <v>10660</v>
      </c>
    </row>
    <row r="35907" spans="1:2" x14ac:dyDescent="0.25">
      <c r="A35907">
        <v>8201300021</v>
      </c>
      <c r="B35907" t="s">
        <v>10659</v>
      </c>
    </row>
    <row r="35908" spans="1:2" x14ac:dyDescent="0.25">
      <c r="A35908">
        <v>82013000211</v>
      </c>
      <c r="B35908" t="s">
        <v>7614</v>
      </c>
    </row>
    <row r="35909" spans="1:2" x14ac:dyDescent="0.25">
      <c r="A35909">
        <v>82013000212</v>
      </c>
      <c r="B35909" t="s">
        <v>7612</v>
      </c>
    </row>
    <row r="35910" spans="1:2" x14ac:dyDescent="0.25">
      <c r="A35910">
        <v>82013000219</v>
      </c>
      <c r="B35910" t="s">
        <v>10</v>
      </c>
    </row>
    <row r="35911" spans="1:2" x14ac:dyDescent="0.25">
      <c r="A35911">
        <v>82013000290</v>
      </c>
      <c r="B35911" t="s">
        <v>10</v>
      </c>
    </row>
    <row r="35912" spans="1:2" x14ac:dyDescent="0.25">
      <c r="A35912">
        <v>820130003</v>
      </c>
      <c r="B35912" t="s">
        <v>10661</v>
      </c>
    </row>
    <row r="35913" spans="1:2" x14ac:dyDescent="0.25">
      <c r="A35913">
        <v>8201300031</v>
      </c>
      <c r="B35913" t="s">
        <v>10662</v>
      </c>
    </row>
    <row r="35914" spans="1:2" x14ac:dyDescent="0.25">
      <c r="A35914">
        <v>82013000311</v>
      </c>
      <c r="B35914" t="s">
        <v>10663</v>
      </c>
    </row>
    <row r="35915" spans="1:2" x14ac:dyDescent="0.25">
      <c r="A35915">
        <v>82013000319</v>
      </c>
      <c r="B35915" t="s">
        <v>10</v>
      </c>
    </row>
    <row r="35916" spans="1:2" x14ac:dyDescent="0.25">
      <c r="A35916">
        <v>8201300039</v>
      </c>
      <c r="B35916" t="s">
        <v>10</v>
      </c>
    </row>
    <row r="35917" spans="1:2" x14ac:dyDescent="0.25">
      <c r="A35917">
        <v>82013000391</v>
      </c>
      <c r="B35917" t="s">
        <v>10664</v>
      </c>
    </row>
    <row r="35918" spans="1:2" x14ac:dyDescent="0.25">
      <c r="A35918">
        <v>82013000399</v>
      </c>
      <c r="B35918" t="s">
        <v>10</v>
      </c>
    </row>
    <row r="35919" spans="1:2" x14ac:dyDescent="0.25">
      <c r="A35919">
        <v>820130004</v>
      </c>
      <c r="B35919" t="s">
        <v>10665</v>
      </c>
    </row>
    <row r="35920" spans="1:2" x14ac:dyDescent="0.25">
      <c r="A35920">
        <v>8201300041</v>
      </c>
      <c r="B35920" t="s">
        <v>10659</v>
      </c>
    </row>
    <row r="35921" spans="1:2" x14ac:dyDescent="0.25">
      <c r="A35921">
        <v>82013000411</v>
      </c>
      <c r="B35921" t="s">
        <v>7614</v>
      </c>
    </row>
    <row r="35922" spans="1:2" x14ac:dyDescent="0.25">
      <c r="A35922">
        <v>82013000412</v>
      </c>
      <c r="B35922" t="s">
        <v>7612</v>
      </c>
    </row>
    <row r="35923" spans="1:2" x14ac:dyDescent="0.25">
      <c r="A35923">
        <v>82013000419</v>
      </c>
      <c r="B35923" t="s">
        <v>10</v>
      </c>
    </row>
    <row r="35924" spans="1:2" x14ac:dyDescent="0.25">
      <c r="A35924">
        <v>82013000490</v>
      </c>
      <c r="B35924" t="s">
        <v>10</v>
      </c>
    </row>
    <row r="35925" spans="1:2" x14ac:dyDescent="0.25">
      <c r="A35925">
        <v>82013000900</v>
      </c>
      <c r="B35925" t="s">
        <v>57</v>
      </c>
    </row>
    <row r="35926" spans="1:2" x14ac:dyDescent="0.25">
      <c r="A35926">
        <v>82014000</v>
      </c>
      <c r="B35926" t="e">
        <f>- Hachas. hocinos y herramientas similares Con filo</f>
        <v>#NAME?</v>
      </c>
    </row>
    <row r="35927" spans="1:2" x14ac:dyDescent="0.25">
      <c r="A35927">
        <v>820140001</v>
      </c>
      <c r="B35927" t="s">
        <v>10666</v>
      </c>
    </row>
    <row r="35928" spans="1:2" x14ac:dyDescent="0.25">
      <c r="A35928">
        <v>8201400011</v>
      </c>
      <c r="B35928" t="s">
        <v>10667</v>
      </c>
    </row>
    <row r="35929" spans="1:2" x14ac:dyDescent="0.25">
      <c r="A35929">
        <v>82014000111</v>
      </c>
      <c r="B35929" t="s">
        <v>10659</v>
      </c>
    </row>
    <row r="35930" spans="1:2" x14ac:dyDescent="0.25">
      <c r="A35930">
        <v>82014000119</v>
      </c>
      <c r="B35930" t="s">
        <v>57</v>
      </c>
    </row>
    <row r="35931" spans="1:2" x14ac:dyDescent="0.25">
      <c r="A35931">
        <v>8201400012</v>
      </c>
      <c r="B35931" t="s">
        <v>10668</v>
      </c>
    </row>
    <row r="35932" spans="1:2" x14ac:dyDescent="0.25">
      <c r="A35932">
        <v>82014000121</v>
      </c>
      <c r="B35932" t="s">
        <v>10659</v>
      </c>
    </row>
    <row r="35933" spans="1:2" x14ac:dyDescent="0.25">
      <c r="A35933">
        <v>82014000129</v>
      </c>
      <c r="B35933" t="s">
        <v>57</v>
      </c>
    </row>
    <row r="35934" spans="1:2" x14ac:dyDescent="0.25">
      <c r="A35934">
        <v>8201400013</v>
      </c>
      <c r="B35934" t="s">
        <v>10669</v>
      </c>
    </row>
    <row r="35935" spans="1:2" x14ac:dyDescent="0.25">
      <c r="A35935">
        <v>82014000131</v>
      </c>
      <c r="B35935" t="s">
        <v>10659</v>
      </c>
    </row>
    <row r="35936" spans="1:2" x14ac:dyDescent="0.25">
      <c r="A35936">
        <v>82014000139</v>
      </c>
      <c r="B35936" t="s">
        <v>57</v>
      </c>
    </row>
    <row r="35937" spans="1:2" x14ac:dyDescent="0.25">
      <c r="A35937">
        <v>82014000190</v>
      </c>
      <c r="B35937" t="s">
        <v>57</v>
      </c>
    </row>
    <row r="35938" spans="1:2" x14ac:dyDescent="0.25">
      <c r="A35938">
        <v>82014000200</v>
      </c>
      <c r="B35938" t="s">
        <v>10670</v>
      </c>
    </row>
    <row r="35939" spans="1:2" x14ac:dyDescent="0.25">
      <c r="A35939">
        <v>82014000900</v>
      </c>
      <c r="B35939" t="s">
        <v>57</v>
      </c>
    </row>
    <row r="35940" spans="1:2" x14ac:dyDescent="0.25">
      <c r="A35940">
        <v>82015000</v>
      </c>
      <c r="B35940" t="e">
        <f>- Tijeras de podar (incluidas las de trinchar Aves) para usar Con una sola mano</f>
        <v>#NAME?</v>
      </c>
    </row>
    <row r="35941" spans="1:2" x14ac:dyDescent="0.25">
      <c r="A35941">
        <v>820150001</v>
      </c>
      <c r="B35941" t="s">
        <v>10671</v>
      </c>
    </row>
    <row r="35942" spans="1:2" x14ac:dyDescent="0.25">
      <c r="A35942">
        <v>82015000110</v>
      </c>
      <c r="B35942" t="s">
        <v>10672</v>
      </c>
    </row>
    <row r="35943" spans="1:2" x14ac:dyDescent="0.25">
      <c r="A35943">
        <v>82015000190</v>
      </c>
      <c r="B35943" t="s">
        <v>57</v>
      </c>
    </row>
    <row r="35944" spans="1:2" x14ac:dyDescent="0.25">
      <c r="A35944">
        <v>820150009</v>
      </c>
      <c r="B35944" t="s">
        <v>57</v>
      </c>
    </row>
    <row r="35945" spans="1:2" x14ac:dyDescent="0.25">
      <c r="A35945">
        <v>82015000910</v>
      </c>
      <c r="B35945" t="s">
        <v>10672</v>
      </c>
    </row>
    <row r="35946" spans="1:2" x14ac:dyDescent="0.25">
      <c r="A35946">
        <v>82015000990</v>
      </c>
      <c r="B35946" t="s">
        <v>57</v>
      </c>
    </row>
    <row r="35947" spans="1:2" x14ac:dyDescent="0.25">
      <c r="A35947">
        <v>82016000</v>
      </c>
      <c r="B35947" t="e">
        <f>- Cizallas para setos. Tijeras de podar y herramientas similares. para usar Con las dos manos</f>
        <v>#NAME?</v>
      </c>
    </row>
    <row r="35948" spans="1:2" x14ac:dyDescent="0.25">
      <c r="A35948">
        <v>820160001</v>
      </c>
      <c r="B35948" t="s">
        <v>10673</v>
      </c>
    </row>
    <row r="35949" spans="1:2" x14ac:dyDescent="0.25">
      <c r="A35949">
        <v>82016000110</v>
      </c>
      <c r="B35949" t="s">
        <v>10651</v>
      </c>
    </row>
    <row r="35950" spans="1:2" x14ac:dyDescent="0.25">
      <c r="A35950">
        <v>82016000120</v>
      </c>
      <c r="B35950" t="s">
        <v>10655</v>
      </c>
    </row>
    <row r="35951" spans="1:2" x14ac:dyDescent="0.25">
      <c r="A35951">
        <v>82016000190</v>
      </c>
      <c r="B35951" t="s">
        <v>57</v>
      </c>
    </row>
    <row r="35952" spans="1:2" x14ac:dyDescent="0.25">
      <c r="A35952">
        <v>820160002</v>
      </c>
      <c r="B35952" t="s">
        <v>10674</v>
      </c>
    </row>
    <row r="35953" spans="1:2" x14ac:dyDescent="0.25">
      <c r="A35953">
        <v>82016000210</v>
      </c>
      <c r="B35953" t="s">
        <v>10651</v>
      </c>
    </row>
    <row r="35954" spans="1:2" x14ac:dyDescent="0.25">
      <c r="A35954">
        <v>82016000220</v>
      </c>
      <c r="B35954" t="s">
        <v>10655</v>
      </c>
    </row>
    <row r="35955" spans="1:2" x14ac:dyDescent="0.25">
      <c r="A35955">
        <v>82016000290</v>
      </c>
      <c r="B35955" t="s">
        <v>57</v>
      </c>
    </row>
    <row r="35956" spans="1:2" x14ac:dyDescent="0.25">
      <c r="A35956">
        <v>820160003</v>
      </c>
      <c r="B35956" t="s">
        <v>10675</v>
      </c>
    </row>
    <row r="35957" spans="1:2" x14ac:dyDescent="0.25">
      <c r="A35957">
        <v>82016000310</v>
      </c>
      <c r="B35957" t="s">
        <v>10651</v>
      </c>
    </row>
    <row r="35958" spans="1:2" x14ac:dyDescent="0.25">
      <c r="A35958">
        <v>82016000320</v>
      </c>
      <c r="B35958" t="s">
        <v>10655</v>
      </c>
    </row>
    <row r="35959" spans="1:2" x14ac:dyDescent="0.25">
      <c r="A35959">
        <v>82016000390</v>
      </c>
      <c r="B35959" t="s">
        <v>57</v>
      </c>
    </row>
    <row r="35960" spans="1:2" x14ac:dyDescent="0.25">
      <c r="A35960">
        <v>82016000900</v>
      </c>
      <c r="B35960" t="s">
        <v>57</v>
      </c>
    </row>
    <row r="35961" spans="1:2" x14ac:dyDescent="0.25">
      <c r="A35961">
        <v>82019000</v>
      </c>
      <c r="B35961" t="e">
        <f>- las demas herramientas de mano. agricolas. horticolas o forestales</f>
        <v>#NAME?</v>
      </c>
    </row>
    <row r="35962" spans="1:2" x14ac:dyDescent="0.25">
      <c r="A35962">
        <v>82019000100</v>
      </c>
      <c r="B35962" t="s">
        <v>10676</v>
      </c>
    </row>
    <row r="35963" spans="1:2" x14ac:dyDescent="0.25">
      <c r="A35963">
        <v>82019000900</v>
      </c>
      <c r="B35963" t="s">
        <v>10</v>
      </c>
    </row>
    <row r="35964" spans="1:2" x14ac:dyDescent="0.25">
      <c r="A35964">
        <v>8202</v>
      </c>
      <c r="B35964" t="s">
        <v>10677</v>
      </c>
    </row>
    <row r="35965" spans="1:2" x14ac:dyDescent="0.25">
      <c r="A35965">
        <v>82021000</v>
      </c>
      <c r="B35965" t="e">
        <f>- Sierras de mano</f>
        <v>#NAME?</v>
      </c>
    </row>
    <row r="35966" spans="1:2" x14ac:dyDescent="0.25">
      <c r="A35966">
        <v>820210001</v>
      </c>
      <c r="B35966" t="s">
        <v>10678</v>
      </c>
    </row>
    <row r="35967" spans="1:2" x14ac:dyDescent="0.25">
      <c r="A35967">
        <v>82021000110</v>
      </c>
      <c r="B35967" t="s">
        <v>10679</v>
      </c>
    </row>
    <row r="35968" spans="1:2" x14ac:dyDescent="0.25">
      <c r="A35968">
        <v>82021000120</v>
      </c>
      <c r="B35968" t="s">
        <v>10680</v>
      </c>
    </row>
    <row r="35969" spans="1:2" x14ac:dyDescent="0.25">
      <c r="A35969">
        <v>82021000190</v>
      </c>
      <c r="B35969" t="s">
        <v>57</v>
      </c>
    </row>
    <row r="35970" spans="1:2" x14ac:dyDescent="0.25">
      <c r="A35970">
        <v>820210002</v>
      </c>
      <c r="B35970" t="s">
        <v>10681</v>
      </c>
    </row>
    <row r="35971" spans="1:2" x14ac:dyDescent="0.25">
      <c r="A35971">
        <v>82021000210</v>
      </c>
      <c r="B35971" t="s">
        <v>10682</v>
      </c>
    </row>
    <row r="35972" spans="1:2" x14ac:dyDescent="0.25">
      <c r="A35972">
        <v>82021000220</v>
      </c>
      <c r="B35972" t="s">
        <v>10683</v>
      </c>
    </row>
    <row r="35973" spans="1:2" x14ac:dyDescent="0.25">
      <c r="A35973">
        <v>82021000230</v>
      </c>
      <c r="B35973" t="s">
        <v>10684</v>
      </c>
    </row>
    <row r="35974" spans="1:2" x14ac:dyDescent="0.25">
      <c r="A35974">
        <v>82021000240</v>
      </c>
      <c r="B35974" t="s">
        <v>10685</v>
      </c>
    </row>
    <row r="35975" spans="1:2" x14ac:dyDescent="0.25">
      <c r="A35975">
        <v>82021000290</v>
      </c>
      <c r="B35975" t="s">
        <v>57</v>
      </c>
    </row>
    <row r="35976" spans="1:2" x14ac:dyDescent="0.25">
      <c r="A35976">
        <v>82021000900</v>
      </c>
      <c r="B35976" t="s">
        <v>57</v>
      </c>
    </row>
    <row r="35977" spans="1:2" x14ac:dyDescent="0.25">
      <c r="A35977">
        <v>82022000000</v>
      </c>
      <c r="B35977" t="e">
        <f>-Hojas de sierra de cinta</f>
        <v>#NAME?</v>
      </c>
    </row>
    <row r="35978" spans="1:2" x14ac:dyDescent="0.25">
      <c r="A35978">
        <v>82023</v>
      </c>
      <c r="B35978" t="s">
        <v>10686</v>
      </c>
    </row>
    <row r="35979" spans="1:2" x14ac:dyDescent="0.25">
      <c r="A35979">
        <v>82023100</v>
      </c>
      <c r="B35979" t="e">
        <f>- - Con parte operante de acero</f>
        <v>#NAME?</v>
      </c>
    </row>
    <row r="35980" spans="1:2" x14ac:dyDescent="0.25">
      <c r="A35980">
        <v>82023100100</v>
      </c>
      <c r="B35980" t="s">
        <v>10687</v>
      </c>
    </row>
    <row r="35981" spans="1:2" x14ac:dyDescent="0.25">
      <c r="A35981">
        <v>82023100900</v>
      </c>
      <c r="B35981" t="s">
        <v>57</v>
      </c>
    </row>
    <row r="35982" spans="1:2" x14ac:dyDescent="0.25">
      <c r="A35982">
        <v>82023900</v>
      </c>
      <c r="B35982" t="e">
        <f>- - las demas. incluidas las partes</f>
        <v>#NAME?</v>
      </c>
    </row>
    <row r="35983" spans="1:2" x14ac:dyDescent="0.25">
      <c r="A35983">
        <v>82023900100</v>
      </c>
      <c r="B35983" t="s">
        <v>10194</v>
      </c>
    </row>
    <row r="35984" spans="1:2" x14ac:dyDescent="0.25">
      <c r="A35984">
        <v>82023900900</v>
      </c>
      <c r="B35984" t="s">
        <v>57</v>
      </c>
    </row>
    <row r="35985" spans="1:2" x14ac:dyDescent="0.25">
      <c r="A35985">
        <v>82024000000</v>
      </c>
      <c r="B35985" t="e">
        <f>-Cadenas cortantes</f>
        <v>#NAME?</v>
      </c>
    </row>
    <row r="35986" spans="1:2" x14ac:dyDescent="0.25">
      <c r="A35986">
        <v>82029</v>
      </c>
      <c r="B35986" t="s">
        <v>10688</v>
      </c>
    </row>
    <row r="35987" spans="1:2" x14ac:dyDescent="0.25">
      <c r="A35987">
        <v>82029100</v>
      </c>
      <c r="B35987" t="e">
        <f>- - Hojas de sierra rectas para trabajar Metal</f>
        <v>#NAME?</v>
      </c>
    </row>
    <row r="35988" spans="1:2" x14ac:dyDescent="0.25">
      <c r="A35988">
        <v>820291001</v>
      </c>
      <c r="B35988" t="s">
        <v>10003</v>
      </c>
    </row>
    <row r="35989" spans="1:2" x14ac:dyDescent="0.25">
      <c r="A35989">
        <v>82029100110</v>
      </c>
      <c r="B35989" t="s">
        <v>10689</v>
      </c>
    </row>
    <row r="35990" spans="1:2" x14ac:dyDescent="0.25">
      <c r="A35990">
        <v>8202910012</v>
      </c>
      <c r="B35990" t="s">
        <v>10690</v>
      </c>
    </row>
    <row r="35991" spans="1:2" x14ac:dyDescent="0.25">
      <c r="A35991">
        <v>82029100121</v>
      </c>
      <c r="B35991" t="s">
        <v>10691</v>
      </c>
    </row>
    <row r="35992" spans="1:2" x14ac:dyDescent="0.25">
      <c r="A35992">
        <v>82029100122</v>
      </c>
      <c r="B35992" t="s">
        <v>10692</v>
      </c>
    </row>
    <row r="35993" spans="1:2" x14ac:dyDescent="0.25">
      <c r="A35993">
        <v>82029100123</v>
      </c>
      <c r="B35993" t="s">
        <v>10693</v>
      </c>
    </row>
    <row r="35994" spans="1:2" x14ac:dyDescent="0.25">
      <c r="A35994">
        <v>82029100124</v>
      </c>
      <c r="B35994" t="s">
        <v>10694</v>
      </c>
    </row>
    <row r="35995" spans="1:2" x14ac:dyDescent="0.25">
      <c r="A35995">
        <v>82029100125</v>
      </c>
      <c r="B35995" t="s">
        <v>10695</v>
      </c>
    </row>
    <row r="35996" spans="1:2" x14ac:dyDescent="0.25">
      <c r="A35996">
        <v>82029100126</v>
      </c>
      <c r="B35996" t="s">
        <v>10696</v>
      </c>
    </row>
    <row r="35997" spans="1:2" x14ac:dyDescent="0.25">
      <c r="A35997">
        <v>82029100127</v>
      </c>
      <c r="B35997" t="s">
        <v>10697</v>
      </c>
    </row>
    <row r="35998" spans="1:2" x14ac:dyDescent="0.25">
      <c r="A35998">
        <v>82029100129</v>
      </c>
      <c r="B35998" t="s">
        <v>57</v>
      </c>
    </row>
    <row r="35999" spans="1:2" x14ac:dyDescent="0.25">
      <c r="A35999">
        <v>8202910013</v>
      </c>
      <c r="B35999" t="s">
        <v>10698</v>
      </c>
    </row>
    <row r="36000" spans="1:2" x14ac:dyDescent="0.25">
      <c r="A36000">
        <v>82029100131</v>
      </c>
      <c r="B36000" t="s">
        <v>10699</v>
      </c>
    </row>
    <row r="36001" spans="1:2" x14ac:dyDescent="0.25">
      <c r="A36001">
        <v>82029100132</v>
      </c>
      <c r="B36001" t="s">
        <v>10700</v>
      </c>
    </row>
    <row r="36002" spans="1:2" x14ac:dyDescent="0.25">
      <c r="A36002">
        <v>82029100133</v>
      </c>
      <c r="B36002" t="s">
        <v>10701</v>
      </c>
    </row>
    <row r="36003" spans="1:2" x14ac:dyDescent="0.25">
      <c r="A36003">
        <v>82029100134</v>
      </c>
      <c r="B36003" t="s">
        <v>10702</v>
      </c>
    </row>
    <row r="36004" spans="1:2" x14ac:dyDescent="0.25">
      <c r="A36004">
        <v>82029100135</v>
      </c>
      <c r="B36004" t="s">
        <v>10703</v>
      </c>
    </row>
    <row r="36005" spans="1:2" x14ac:dyDescent="0.25">
      <c r="A36005">
        <v>82029100136</v>
      </c>
      <c r="B36005" t="s">
        <v>10704</v>
      </c>
    </row>
    <row r="36006" spans="1:2" x14ac:dyDescent="0.25">
      <c r="A36006">
        <v>82029100139</v>
      </c>
      <c r="B36006" t="s">
        <v>57</v>
      </c>
    </row>
    <row r="36007" spans="1:2" x14ac:dyDescent="0.25">
      <c r="A36007">
        <v>820291002</v>
      </c>
      <c r="B36007" t="s">
        <v>10705</v>
      </c>
    </row>
    <row r="36008" spans="1:2" x14ac:dyDescent="0.25">
      <c r="A36008">
        <v>82029100210</v>
      </c>
      <c r="B36008" t="s">
        <v>10706</v>
      </c>
    </row>
    <row r="36009" spans="1:2" x14ac:dyDescent="0.25">
      <c r="A36009">
        <v>82029100290</v>
      </c>
      <c r="B36009" t="s">
        <v>57</v>
      </c>
    </row>
    <row r="36010" spans="1:2" x14ac:dyDescent="0.25">
      <c r="A36010">
        <v>82029100300</v>
      </c>
      <c r="B36010" t="s">
        <v>10707</v>
      </c>
    </row>
    <row r="36011" spans="1:2" x14ac:dyDescent="0.25">
      <c r="A36011">
        <v>82029100400</v>
      </c>
      <c r="B36011" t="s">
        <v>10708</v>
      </c>
    </row>
    <row r="36012" spans="1:2" x14ac:dyDescent="0.25">
      <c r="A36012">
        <v>82029100800</v>
      </c>
      <c r="B36012" t="s">
        <v>10194</v>
      </c>
    </row>
    <row r="36013" spans="1:2" x14ac:dyDescent="0.25">
      <c r="A36013">
        <v>82029100900</v>
      </c>
      <c r="B36013" t="s">
        <v>57</v>
      </c>
    </row>
    <row r="36014" spans="1:2" x14ac:dyDescent="0.25">
      <c r="A36014">
        <v>820299</v>
      </c>
      <c r="B36014" t="e">
        <f>- - las demas</f>
        <v>#NAME?</v>
      </c>
    </row>
    <row r="36015" spans="1:2" x14ac:dyDescent="0.25">
      <c r="A36015">
        <v>82029910000</v>
      </c>
      <c r="B36015" t="s">
        <v>10709</v>
      </c>
    </row>
    <row r="36016" spans="1:2" x14ac:dyDescent="0.25">
      <c r="A36016">
        <v>82029990</v>
      </c>
      <c r="B36016" t="s">
        <v>57</v>
      </c>
    </row>
    <row r="36017" spans="1:2" x14ac:dyDescent="0.25">
      <c r="A36017">
        <v>82029990100</v>
      </c>
      <c r="B36017" t="s">
        <v>10710</v>
      </c>
    </row>
    <row r="36018" spans="1:2" x14ac:dyDescent="0.25">
      <c r="A36018">
        <v>82029990200</v>
      </c>
      <c r="B36018" t="s">
        <v>10711</v>
      </c>
    </row>
    <row r="36019" spans="1:2" x14ac:dyDescent="0.25">
      <c r="A36019">
        <v>82029990300</v>
      </c>
      <c r="B36019" t="s">
        <v>10712</v>
      </c>
    </row>
    <row r="36020" spans="1:2" x14ac:dyDescent="0.25">
      <c r="A36020">
        <v>82029990900</v>
      </c>
      <c r="B36020" t="s">
        <v>57</v>
      </c>
    </row>
    <row r="36021" spans="1:2" x14ac:dyDescent="0.25">
      <c r="A36021">
        <v>8203</v>
      </c>
      <c r="B36021" t="s">
        <v>10713</v>
      </c>
    </row>
    <row r="36022" spans="1:2" x14ac:dyDescent="0.25">
      <c r="A36022">
        <v>820310</v>
      </c>
      <c r="B36022" t="e">
        <f>- Limas. escofinas y herramientas similares</f>
        <v>#NAME?</v>
      </c>
    </row>
    <row r="36023" spans="1:2" x14ac:dyDescent="0.25">
      <c r="A36023">
        <v>82031010</v>
      </c>
      <c r="B36023" t="s">
        <v>10714</v>
      </c>
    </row>
    <row r="36024" spans="1:2" x14ac:dyDescent="0.25">
      <c r="A36024">
        <v>82031010100</v>
      </c>
      <c r="B36024" t="s">
        <v>10715</v>
      </c>
    </row>
    <row r="36025" spans="1:2" x14ac:dyDescent="0.25">
      <c r="A36025">
        <v>82031010200</v>
      </c>
      <c r="B36025" t="s">
        <v>10716</v>
      </c>
    </row>
    <row r="36026" spans="1:2" x14ac:dyDescent="0.25">
      <c r="A36026">
        <v>82031090000</v>
      </c>
      <c r="B36026" t="s">
        <v>57</v>
      </c>
    </row>
    <row r="36027" spans="1:2" x14ac:dyDescent="0.25">
      <c r="A36027">
        <v>820320</v>
      </c>
      <c r="B36027" t="s">
        <v>10717</v>
      </c>
    </row>
    <row r="36028" spans="1:2" x14ac:dyDescent="0.25">
      <c r="A36028">
        <v>82032010</v>
      </c>
      <c r="B36028" t="s">
        <v>10718</v>
      </c>
    </row>
    <row r="36029" spans="1:2" x14ac:dyDescent="0.25">
      <c r="A36029">
        <v>820320101</v>
      </c>
      <c r="B36029" t="s">
        <v>10719</v>
      </c>
    </row>
    <row r="36030" spans="1:2" x14ac:dyDescent="0.25">
      <c r="A36030">
        <v>82032010110</v>
      </c>
      <c r="B36030" t="s">
        <v>10720</v>
      </c>
    </row>
    <row r="36031" spans="1:2" x14ac:dyDescent="0.25">
      <c r="A36031">
        <v>82032010120</v>
      </c>
      <c r="B36031" t="s">
        <v>10721</v>
      </c>
    </row>
    <row r="36032" spans="1:2" x14ac:dyDescent="0.25">
      <c r="A36032">
        <v>82032010190</v>
      </c>
      <c r="B36032" t="s">
        <v>57</v>
      </c>
    </row>
    <row r="36033" spans="1:2" x14ac:dyDescent="0.25">
      <c r="A36033">
        <v>82032010200</v>
      </c>
      <c r="B36033" t="s">
        <v>10722</v>
      </c>
    </row>
    <row r="36034" spans="1:2" x14ac:dyDescent="0.25">
      <c r="A36034">
        <v>820320103</v>
      </c>
      <c r="B36034" t="s">
        <v>10723</v>
      </c>
    </row>
    <row r="36035" spans="1:2" x14ac:dyDescent="0.25">
      <c r="A36035">
        <v>82032010310</v>
      </c>
      <c r="B36035" t="s">
        <v>10724</v>
      </c>
    </row>
    <row r="36036" spans="1:2" x14ac:dyDescent="0.25">
      <c r="A36036">
        <v>82032010320</v>
      </c>
      <c r="B36036" t="s">
        <v>10720</v>
      </c>
    </row>
    <row r="36037" spans="1:2" x14ac:dyDescent="0.25">
      <c r="A36037">
        <v>82032010330</v>
      </c>
      <c r="B36037" t="s">
        <v>10721</v>
      </c>
    </row>
    <row r="36038" spans="1:2" x14ac:dyDescent="0.25">
      <c r="A36038">
        <v>82032010390</v>
      </c>
      <c r="B36038" t="s">
        <v>57</v>
      </c>
    </row>
    <row r="36039" spans="1:2" x14ac:dyDescent="0.25">
      <c r="A36039">
        <v>82032010900</v>
      </c>
      <c r="B36039" t="s">
        <v>57</v>
      </c>
    </row>
    <row r="36040" spans="1:2" x14ac:dyDescent="0.25">
      <c r="A36040">
        <v>82032090</v>
      </c>
      <c r="B36040" t="s">
        <v>57</v>
      </c>
    </row>
    <row r="36041" spans="1:2" x14ac:dyDescent="0.25">
      <c r="A36041">
        <v>82032090100</v>
      </c>
      <c r="B36041" t="s">
        <v>10725</v>
      </c>
    </row>
    <row r="36042" spans="1:2" x14ac:dyDescent="0.25">
      <c r="A36042">
        <v>82032090400</v>
      </c>
      <c r="B36042" t="s">
        <v>10726</v>
      </c>
    </row>
    <row r="36043" spans="1:2" x14ac:dyDescent="0.25">
      <c r="A36043">
        <v>82032090900</v>
      </c>
      <c r="B36043" t="s">
        <v>57</v>
      </c>
    </row>
    <row r="36044" spans="1:2" x14ac:dyDescent="0.25">
      <c r="A36044">
        <v>82033000000</v>
      </c>
      <c r="B36044" t="e">
        <f>-Cizallas para metales y herramientas similares</f>
        <v>#NAME?</v>
      </c>
    </row>
    <row r="36045" spans="1:2" x14ac:dyDescent="0.25">
      <c r="A36045">
        <v>82034000</v>
      </c>
      <c r="B36045" t="e">
        <f>- Cortatubos. cortapernos. sacabocados y herramientas similares</f>
        <v>#NAME?</v>
      </c>
    </row>
    <row r="36046" spans="1:2" x14ac:dyDescent="0.25">
      <c r="A36046">
        <v>82034000100</v>
      </c>
      <c r="B36046" t="s">
        <v>10727</v>
      </c>
    </row>
    <row r="36047" spans="1:2" x14ac:dyDescent="0.25">
      <c r="A36047">
        <v>82034000200</v>
      </c>
      <c r="B36047" t="s">
        <v>10728</v>
      </c>
    </row>
    <row r="36048" spans="1:2" x14ac:dyDescent="0.25">
      <c r="A36048">
        <v>82034000300</v>
      </c>
      <c r="B36048" t="s">
        <v>10729</v>
      </c>
    </row>
    <row r="36049" spans="1:2" x14ac:dyDescent="0.25">
      <c r="A36049">
        <v>82034000900</v>
      </c>
      <c r="B36049" t="s">
        <v>57</v>
      </c>
    </row>
    <row r="36050" spans="1:2" x14ac:dyDescent="0.25">
      <c r="A36050">
        <v>8204</v>
      </c>
      <c r="B36050" t="s">
        <v>10730</v>
      </c>
    </row>
    <row r="36051" spans="1:2" x14ac:dyDescent="0.25">
      <c r="A36051">
        <v>82041</v>
      </c>
      <c r="B36051" t="s">
        <v>10731</v>
      </c>
    </row>
    <row r="36052" spans="1:2" x14ac:dyDescent="0.25">
      <c r="A36052">
        <v>82041100</v>
      </c>
      <c r="B36052" t="e">
        <f>- - no ajustables</f>
        <v>#NAME?</v>
      </c>
    </row>
    <row r="36053" spans="1:2" x14ac:dyDescent="0.25">
      <c r="A36053">
        <v>820411001</v>
      </c>
      <c r="B36053" t="s">
        <v>10732</v>
      </c>
    </row>
    <row r="36054" spans="1:2" x14ac:dyDescent="0.25">
      <c r="A36054">
        <v>8204110011</v>
      </c>
      <c r="B36054" t="s">
        <v>10733</v>
      </c>
    </row>
    <row r="36055" spans="1:2" x14ac:dyDescent="0.25">
      <c r="A36055">
        <v>82041100111</v>
      </c>
      <c r="B36055" t="s">
        <v>10734</v>
      </c>
    </row>
    <row r="36056" spans="1:2" x14ac:dyDescent="0.25">
      <c r="A36056">
        <v>82041100112</v>
      </c>
      <c r="B36056" t="s">
        <v>10735</v>
      </c>
    </row>
    <row r="36057" spans="1:2" x14ac:dyDescent="0.25">
      <c r="A36057">
        <v>82041100113</v>
      </c>
      <c r="B36057" t="s">
        <v>10736</v>
      </c>
    </row>
    <row r="36058" spans="1:2" x14ac:dyDescent="0.25">
      <c r="A36058">
        <v>82041100119</v>
      </c>
      <c r="B36058" t="s">
        <v>57</v>
      </c>
    </row>
    <row r="36059" spans="1:2" x14ac:dyDescent="0.25">
      <c r="A36059">
        <v>8204110012</v>
      </c>
      <c r="B36059" t="s">
        <v>10737</v>
      </c>
    </row>
    <row r="36060" spans="1:2" x14ac:dyDescent="0.25">
      <c r="A36060">
        <v>82041100121</v>
      </c>
      <c r="B36060" t="s">
        <v>10738</v>
      </c>
    </row>
    <row r="36061" spans="1:2" x14ac:dyDescent="0.25">
      <c r="A36061">
        <v>82041100122</v>
      </c>
      <c r="B36061" t="s">
        <v>10739</v>
      </c>
    </row>
    <row r="36062" spans="1:2" x14ac:dyDescent="0.25">
      <c r="A36062">
        <v>82041100123</v>
      </c>
      <c r="B36062" t="s">
        <v>10740</v>
      </c>
    </row>
    <row r="36063" spans="1:2" x14ac:dyDescent="0.25">
      <c r="A36063">
        <v>82041100124</v>
      </c>
      <c r="B36063" t="s">
        <v>10741</v>
      </c>
    </row>
    <row r="36064" spans="1:2" x14ac:dyDescent="0.25">
      <c r="A36064">
        <v>82041100125</v>
      </c>
      <c r="B36064" t="s">
        <v>10742</v>
      </c>
    </row>
    <row r="36065" spans="1:2" x14ac:dyDescent="0.25">
      <c r="A36065">
        <v>82041100126</v>
      </c>
      <c r="B36065" t="s">
        <v>10743</v>
      </c>
    </row>
    <row r="36066" spans="1:2" x14ac:dyDescent="0.25">
      <c r="A36066">
        <v>82041100129</v>
      </c>
      <c r="B36066" t="s">
        <v>57</v>
      </c>
    </row>
    <row r="36067" spans="1:2" x14ac:dyDescent="0.25">
      <c r="A36067">
        <v>82041100190</v>
      </c>
      <c r="B36067" t="s">
        <v>57</v>
      </c>
    </row>
    <row r="36068" spans="1:2" x14ac:dyDescent="0.25">
      <c r="A36068">
        <v>82041100200</v>
      </c>
      <c r="B36068" t="s">
        <v>10744</v>
      </c>
    </row>
    <row r="36069" spans="1:2" x14ac:dyDescent="0.25">
      <c r="A36069">
        <v>82041100300</v>
      </c>
      <c r="B36069" t="s">
        <v>10745</v>
      </c>
    </row>
    <row r="36070" spans="1:2" x14ac:dyDescent="0.25">
      <c r="A36070">
        <v>820411008</v>
      </c>
      <c r="B36070" t="s">
        <v>10746</v>
      </c>
    </row>
    <row r="36071" spans="1:2" x14ac:dyDescent="0.25">
      <c r="A36071">
        <v>82041100810</v>
      </c>
      <c r="B36071" t="s">
        <v>10387</v>
      </c>
    </row>
    <row r="36072" spans="1:2" x14ac:dyDescent="0.25">
      <c r="A36072">
        <v>82041100820</v>
      </c>
      <c r="B36072" t="s">
        <v>10388</v>
      </c>
    </row>
    <row r="36073" spans="1:2" x14ac:dyDescent="0.25">
      <c r="A36073">
        <v>82041100890</v>
      </c>
      <c r="B36073" t="s">
        <v>10</v>
      </c>
    </row>
    <row r="36074" spans="1:2" x14ac:dyDescent="0.25">
      <c r="A36074">
        <v>820411009</v>
      </c>
      <c r="B36074" t="s">
        <v>57</v>
      </c>
    </row>
    <row r="36075" spans="1:2" x14ac:dyDescent="0.25">
      <c r="A36075">
        <v>82041100910</v>
      </c>
      <c r="B36075" t="s">
        <v>10747</v>
      </c>
    </row>
    <row r="36076" spans="1:2" x14ac:dyDescent="0.25">
      <c r="A36076">
        <v>82041100920</v>
      </c>
      <c r="B36076" t="s">
        <v>10748</v>
      </c>
    </row>
    <row r="36077" spans="1:2" x14ac:dyDescent="0.25">
      <c r="A36077">
        <v>82041100930</v>
      </c>
      <c r="B36077" t="s">
        <v>10749</v>
      </c>
    </row>
    <row r="36078" spans="1:2" x14ac:dyDescent="0.25">
      <c r="A36078">
        <v>82041100940</v>
      </c>
      <c r="B36078" t="s">
        <v>10750</v>
      </c>
    </row>
    <row r="36079" spans="1:2" x14ac:dyDescent="0.25">
      <c r="A36079">
        <v>8204110099</v>
      </c>
      <c r="B36079" t="s">
        <v>57</v>
      </c>
    </row>
    <row r="36080" spans="1:2" x14ac:dyDescent="0.25">
      <c r="A36080">
        <v>82041100991</v>
      </c>
      <c r="B36080" t="s">
        <v>10751</v>
      </c>
    </row>
    <row r="36081" spans="1:2" x14ac:dyDescent="0.25">
      <c r="A36081">
        <v>82041100999</v>
      </c>
      <c r="B36081" t="s">
        <v>10</v>
      </c>
    </row>
    <row r="36082" spans="1:2" x14ac:dyDescent="0.25">
      <c r="A36082">
        <v>82041200000</v>
      </c>
      <c r="B36082" t="e">
        <f>--ajustables</f>
        <v>#NAME?</v>
      </c>
    </row>
    <row r="36083" spans="1:2" x14ac:dyDescent="0.25">
      <c r="A36083">
        <v>82042000</v>
      </c>
      <c r="B36083" t="e">
        <f>- Cubos (vasos)* de ajuste intercambiables. incluso Con mango</f>
        <v>#NAME?</v>
      </c>
    </row>
    <row r="36084" spans="1:2" x14ac:dyDescent="0.25">
      <c r="A36084">
        <v>820420001</v>
      </c>
      <c r="B36084" t="s">
        <v>10657</v>
      </c>
    </row>
    <row r="36085" spans="1:2" x14ac:dyDescent="0.25">
      <c r="A36085">
        <v>82042000110</v>
      </c>
      <c r="B36085" t="s">
        <v>10752</v>
      </c>
    </row>
    <row r="36086" spans="1:2" x14ac:dyDescent="0.25">
      <c r="A36086">
        <v>82042000120</v>
      </c>
      <c r="B36086" t="s">
        <v>10753</v>
      </c>
    </row>
    <row r="36087" spans="1:2" x14ac:dyDescent="0.25">
      <c r="A36087">
        <v>82042000130</v>
      </c>
      <c r="B36087" t="s">
        <v>10754</v>
      </c>
    </row>
    <row r="36088" spans="1:2" x14ac:dyDescent="0.25">
      <c r="A36088">
        <v>82042000190</v>
      </c>
      <c r="B36088" t="s">
        <v>10</v>
      </c>
    </row>
    <row r="36089" spans="1:2" x14ac:dyDescent="0.25">
      <c r="A36089">
        <v>82042000300</v>
      </c>
      <c r="B36089" t="s">
        <v>10755</v>
      </c>
    </row>
    <row r="36090" spans="1:2" x14ac:dyDescent="0.25">
      <c r="A36090">
        <v>82042000400</v>
      </c>
      <c r="B36090" t="s">
        <v>10756</v>
      </c>
    </row>
    <row r="36091" spans="1:2" x14ac:dyDescent="0.25">
      <c r="A36091">
        <v>820420008</v>
      </c>
      <c r="B36091" t="s">
        <v>10757</v>
      </c>
    </row>
    <row r="36092" spans="1:2" x14ac:dyDescent="0.25">
      <c r="A36092">
        <v>82042000810</v>
      </c>
      <c r="B36092" t="s">
        <v>10758</v>
      </c>
    </row>
    <row r="36093" spans="1:2" x14ac:dyDescent="0.25">
      <c r="A36093">
        <v>82042000820</v>
      </c>
      <c r="B36093" t="s">
        <v>10759</v>
      </c>
    </row>
    <row r="36094" spans="1:2" x14ac:dyDescent="0.25">
      <c r="A36094">
        <v>82042000890</v>
      </c>
      <c r="B36094" t="s">
        <v>10</v>
      </c>
    </row>
    <row r="36095" spans="1:2" x14ac:dyDescent="0.25">
      <c r="A36095">
        <v>82042000900</v>
      </c>
      <c r="B36095" t="s">
        <v>10</v>
      </c>
    </row>
    <row r="36096" spans="1:2" x14ac:dyDescent="0.25">
      <c r="A36096">
        <v>8205</v>
      </c>
      <c r="B36096" t="s">
        <v>10760</v>
      </c>
    </row>
    <row r="36097" spans="1:2" x14ac:dyDescent="0.25">
      <c r="A36097">
        <v>82051000</v>
      </c>
      <c r="B36097" t="e">
        <f>- herramientas de taladrar o roscar (incluidas las terrajas)</f>
        <v>#NAME?</v>
      </c>
    </row>
    <row r="36098" spans="1:2" x14ac:dyDescent="0.25">
      <c r="A36098">
        <v>82051000100</v>
      </c>
      <c r="B36098" t="s">
        <v>10761</v>
      </c>
    </row>
    <row r="36099" spans="1:2" x14ac:dyDescent="0.25">
      <c r="A36099">
        <v>82051000200</v>
      </c>
      <c r="B36099" t="s">
        <v>10762</v>
      </c>
    </row>
    <row r="36100" spans="1:2" x14ac:dyDescent="0.25">
      <c r="A36100">
        <v>82051000900</v>
      </c>
      <c r="B36100" t="s">
        <v>57</v>
      </c>
    </row>
    <row r="36101" spans="1:2" x14ac:dyDescent="0.25">
      <c r="A36101">
        <v>82052000</v>
      </c>
      <c r="B36101" t="e">
        <f>- Martillos y mazas</f>
        <v>#NAME?</v>
      </c>
    </row>
    <row r="36102" spans="1:2" x14ac:dyDescent="0.25">
      <c r="A36102">
        <v>82052000100</v>
      </c>
      <c r="B36102" t="s">
        <v>10763</v>
      </c>
    </row>
    <row r="36103" spans="1:2" x14ac:dyDescent="0.25">
      <c r="A36103">
        <v>82052000200</v>
      </c>
      <c r="B36103" t="s">
        <v>10764</v>
      </c>
    </row>
    <row r="36104" spans="1:2" x14ac:dyDescent="0.25">
      <c r="A36104">
        <v>82053000</v>
      </c>
      <c r="B36104" t="e">
        <f>- Cepillos. formones. gubias y herramientas cortantes similares para trabajar madera</f>
        <v>#NAME?</v>
      </c>
    </row>
    <row r="36105" spans="1:2" x14ac:dyDescent="0.25">
      <c r="A36105">
        <v>82053000100</v>
      </c>
      <c r="B36105" t="s">
        <v>10765</v>
      </c>
    </row>
    <row r="36106" spans="1:2" x14ac:dyDescent="0.25">
      <c r="A36106">
        <v>82053000200</v>
      </c>
      <c r="B36106" t="s">
        <v>10766</v>
      </c>
    </row>
    <row r="36107" spans="1:2" x14ac:dyDescent="0.25">
      <c r="A36107">
        <v>82053000300</v>
      </c>
      <c r="B36107" t="s">
        <v>10767</v>
      </c>
    </row>
    <row r="36108" spans="1:2" x14ac:dyDescent="0.25">
      <c r="A36108">
        <v>82053000900</v>
      </c>
      <c r="B36108" t="s">
        <v>57</v>
      </c>
    </row>
    <row r="36109" spans="1:2" x14ac:dyDescent="0.25">
      <c r="A36109">
        <v>82054000</v>
      </c>
      <c r="B36109" t="e">
        <f>- Destornilladores</f>
        <v>#NAME?</v>
      </c>
    </row>
    <row r="36110" spans="1:2" x14ac:dyDescent="0.25">
      <c r="A36110">
        <v>820540001</v>
      </c>
      <c r="B36110" t="s">
        <v>10386</v>
      </c>
    </row>
    <row r="36111" spans="1:2" x14ac:dyDescent="0.25">
      <c r="A36111">
        <v>8205400011</v>
      </c>
      <c r="B36111" t="s">
        <v>10768</v>
      </c>
    </row>
    <row r="36112" spans="1:2" x14ac:dyDescent="0.25">
      <c r="A36112">
        <v>82054000111</v>
      </c>
      <c r="B36112" t="s">
        <v>10769</v>
      </c>
    </row>
    <row r="36113" spans="1:2" x14ac:dyDescent="0.25">
      <c r="A36113">
        <v>82054000112</v>
      </c>
      <c r="B36113" t="s">
        <v>10770</v>
      </c>
    </row>
    <row r="36114" spans="1:2" x14ac:dyDescent="0.25">
      <c r="A36114">
        <v>82054000119</v>
      </c>
      <c r="B36114" t="s">
        <v>10</v>
      </c>
    </row>
    <row r="36115" spans="1:2" x14ac:dyDescent="0.25">
      <c r="A36115">
        <v>8205400012</v>
      </c>
      <c r="B36115" t="s">
        <v>10771</v>
      </c>
    </row>
    <row r="36116" spans="1:2" x14ac:dyDescent="0.25">
      <c r="A36116">
        <v>82054000121</v>
      </c>
      <c r="B36116" t="s">
        <v>10387</v>
      </c>
    </row>
    <row r="36117" spans="1:2" x14ac:dyDescent="0.25">
      <c r="A36117">
        <v>82054000122</v>
      </c>
      <c r="B36117" t="s">
        <v>10388</v>
      </c>
    </row>
    <row r="36118" spans="1:2" x14ac:dyDescent="0.25">
      <c r="A36118">
        <v>82054000129</v>
      </c>
      <c r="B36118" t="s">
        <v>10</v>
      </c>
    </row>
    <row r="36119" spans="1:2" x14ac:dyDescent="0.25">
      <c r="A36119">
        <v>8205400013</v>
      </c>
      <c r="B36119" t="s">
        <v>10772</v>
      </c>
    </row>
    <row r="36120" spans="1:2" x14ac:dyDescent="0.25">
      <c r="A36120">
        <v>82054000131</v>
      </c>
      <c r="B36120" t="s">
        <v>10387</v>
      </c>
    </row>
    <row r="36121" spans="1:2" x14ac:dyDescent="0.25">
      <c r="A36121">
        <v>82054000132</v>
      </c>
      <c r="B36121" t="s">
        <v>10388</v>
      </c>
    </row>
    <row r="36122" spans="1:2" x14ac:dyDescent="0.25">
      <c r="A36122">
        <v>82054000139</v>
      </c>
      <c r="B36122" t="s">
        <v>10</v>
      </c>
    </row>
    <row r="36123" spans="1:2" x14ac:dyDescent="0.25">
      <c r="A36123">
        <v>8205400019</v>
      </c>
      <c r="B36123" t="s">
        <v>10</v>
      </c>
    </row>
    <row r="36124" spans="1:2" x14ac:dyDescent="0.25">
      <c r="A36124">
        <v>82054000191</v>
      </c>
      <c r="B36124" t="s">
        <v>10769</v>
      </c>
    </row>
    <row r="36125" spans="1:2" x14ac:dyDescent="0.25">
      <c r="A36125">
        <v>82054000192</v>
      </c>
      <c r="B36125" t="s">
        <v>10770</v>
      </c>
    </row>
    <row r="36126" spans="1:2" x14ac:dyDescent="0.25">
      <c r="A36126">
        <v>82054000193</v>
      </c>
      <c r="B36126" t="s">
        <v>10773</v>
      </c>
    </row>
    <row r="36127" spans="1:2" x14ac:dyDescent="0.25">
      <c r="A36127">
        <v>82054000194</v>
      </c>
      <c r="B36127" t="s">
        <v>10774</v>
      </c>
    </row>
    <row r="36128" spans="1:2" x14ac:dyDescent="0.25">
      <c r="A36128">
        <v>82054000199</v>
      </c>
      <c r="B36128" t="s">
        <v>10</v>
      </c>
    </row>
    <row r="36129" spans="1:2" x14ac:dyDescent="0.25">
      <c r="A36129">
        <v>82054000200</v>
      </c>
      <c r="B36129" t="s">
        <v>10775</v>
      </c>
    </row>
    <row r="36130" spans="1:2" x14ac:dyDescent="0.25">
      <c r="A36130">
        <v>82054000300</v>
      </c>
      <c r="B36130" t="s">
        <v>10776</v>
      </c>
    </row>
    <row r="36131" spans="1:2" x14ac:dyDescent="0.25">
      <c r="A36131">
        <v>820540004</v>
      </c>
      <c r="B36131" t="s">
        <v>10777</v>
      </c>
    </row>
    <row r="36132" spans="1:2" x14ac:dyDescent="0.25">
      <c r="A36132">
        <v>82054000410</v>
      </c>
      <c r="B36132" t="s">
        <v>10778</v>
      </c>
    </row>
    <row r="36133" spans="1:2" x14ac:dyDescent="0.25">
      <c r="A36133">
        <v>82054000420</v>
      </c>
      <c r="B36133" t="s">
        <v>10779</v>
      </c>
    </row>
    <row r="36134" spans="1:2" x14ac:dyDescent="0.25">
      <c r="A36134">
        <v>82054000430</v>
      </c>
      <c r="B36134" t="s">
        <v>10780</v>
      </c>
    </row>
    <row r="36135" spans="1:2" x14ac:dyDescent="0.25">
      <c r="A36135">
        <v>82054000490</v>
      </c>
      <c r="B36135" t="s">
        <v>10</v>
      </c>
    </row>
    <row r="36136" spans="1:2" x14ac:dyDescent="0.25">
      <c r="A36136">
        <v>820540009</v>
      </c>
      <c r="B36136" t="s">
        <v>10</v>
      </c>
    </row>
    <row r="36137" spans="1:2" x14ac:dyDescent="0.25">
      <c r="A36137">
        <v>8205400091</v>
      </c>
      <c r="B36137" t="s">
        <v>10781</v>
      </c>
    </row>
    <row r="36138" spans="1:2" x14ac:dyDescent="0.25">
      <c r="A36138">
        <v>82054000911</v>
      </c>
      <c r="B36138" t="s">
        <v>10782</v>
      </c>
    </row>
    <row r="36139" spans="1:2" x14ac:dyDescent="0.25">
      <c r="A36139">
        <v>82054000919</v>
      </c>
      <c r="B36139" t="s">
        <v>10</v>
      </c>
    </row>
    <row r="36140" spans="1:2" x14ac:dyDescent="0.25">
      <c r="A36140">
        <v>82054000920</v>
      </c>
      <c r="B36140" t="s">
        <v>10783</v>
      </c>
    </row>
    <row r="36141" spans="1:2" x14ac:dyDescent="0.25">
      <c r="A36141">
        <v>82054000930</v>
      </c>
      <c r="B36141" t="s">
        <v>10784</v>
      </c>
    </row>
    <row r="36142" spans="1:2" x14ac:dyDescent="0.25">
      <c r="A36142">
        <v>82054000940</v>
      </c>
      <c r="B36142" t="s">
        <v>10785</v>
      </c>
    </row>
    <row r="36143" spans="1:2" x14ac:dyDescent="0.25">
      <c r="A36143">
        <v>82054000950</v>
      </c>
      <c r="B36143" t="s">
        <v>10786</v>
      </c>
    </row>
    <row r="36144" spans="1:2" x14ac:dyDescent="0.25">
      <c r="A36144">
        <v>82054000990</v>
      </c>
      <c r="B36144" t="s">
        <v>10</v>
      </c>
    </row>
    <row r="36145" spans="1:2" x14ac:dyDescent="0.25">
      <c r="A36145">
        <v>82055</v>
      </c>
      <c r="B36145" t="s">
        <v>10787</v>
      </c>
    </row>
    <row r="36146" spans="1:2" x14ac:dyDescent="0.25">
      <c r="A36146">
        <v>82055100</v>
      </c>
      <c r="B36146" t="e">
        <f>- - de uso domestico</f>
        <v>#NAME?</v>
      </c>
    </row>
    <row r="36147" spans="1:2" x14ac:dyDescent="0.25">
      <c r="A36147">
        <v>82055100100</v>
      </c>
      <c r="B36147" t="s">
        <v>10788</v>
      </c>
    </row>
    <row r="36148" spans="1:2" x14ac:dyDescent="0.25">
      <c r="A36148">
        <v>82055100200</v>
      </c>
      <c r="B36148" t="s">
        <v>10789</v>
      </c>
    </row>
    <row r="36149" spans="1:2" x14ac:dyDescent="0.25">
      <c r="A36149">
        <v>82055100300</v>
      </c>
      <c r="B36149" t="s">
        <v>10790</v>
      </c>
    </row>
    <row r="36150" spans="1:2" x14ac:dyDescent="0.25">
      <c r="A36150">
        <v>82055100400</v>
      </c>
      <c r="B36150" t="s">
        <v>10791</v>
      </c>
    </row>
    <row r="36151" spans="1:2" x14ac:dyDescent="0.25">
      <c r="A36151">
        <v>82055100900</v>
      </c>
      <c r="B36151" t="s">
        <v>57</v>
      </c>
    </row>
    <row r="36152" spans="1:2" x14ac:dyDescent="0.25">
      <c r="A36152">
        <v>82055900</v>
      </c>
      <c r="B36152" t="e">
        <f>- - las demas</f>
        <v>#NAME?</v>
      </c>
    </row>
    <row r="36153" spans="1:2" x14ac:dyDescent="0.25">
      <c r="A36153">
        <v>82055900100</v>
      </c>
      <c r="B36153" t="s">
        <v>10792</v>
      </c>
    </row>
    <row r="36154" spans="1:2" x14ac:dyDescent="0.25">
      <c r="A36154">
        <v>82055900900</v>
      </c>
      <c r="B36154" t="s">
        <v>57</v>
      </c>
    </row>
    <row r="36155" spans="1:2" x14ac:dyDescent="0.25">
      <c r="A36155">
        <v>82056000000</v>
      </c>
      <c r="B36155" t="e">
        <f>-Lamparas de soldar y similares</f>
        <v>#NAME?</v>
      </c>
    </row>
    <row r="36156" spans="1:2" x14ac:dyDescent="0.25">
      <c r="A36156">
        <v>82057000</v>
      </c>
      <c r="B36156" t="e">
        <f>- tornillos de banco. prensas de carpintero y similares</f>
        <v>#NAME?</v>
      </c>
    </row>
    <row r="36157" spans="1:2" x14ac:dyDescent="0.25">
      <c r="A36157">
        <v>82057000100</v>
      </c>
      <c r="B36157" t="s">
        <v>10793</v>
      </c>
    </row>
    <row r="36158" spans="1:2" x14ac:dyDescent="0.25">
      <c r="A36158">
        <v>82057000900</v>
      </c>
      <c r="B36158" t="s">
        <v>10</v>
      </c>
    </row>
    <row r="36159" spans="1:2" x14ac:dyDescent="0.25">
      <c r="A36159">
        <v>82059000</v>
      </c>
      <c r="B36159" t="e">
        <f>- Los demas. incluidos Los juegos de Articulos de dos o mas de las subpartidas anteriores</f>
        <v>#NAME?</v>
      </c>
    </row>
    <row r="36160" spans="1:2" x14ac:dyDescent="0.25">
      <c r="A36160">
        <v>820590001</v>
      </c>
      <c r="B36160" t="s">
        <v>10794</v>
      </c>
    </row>
    <row r="36161" spans="1:2" x14ac:dyDescent="0.25">
      <c r="A36161">
        <v>82059000110</v>
      </c>
      <c r="B36161" t="s">
        <v>10795</v>
      </c>
    </row>
    <row r="36162" spans="1:2" x14ac:dyDescent="0.25">
      <c r="A36162">
        <v>82059000120</v>
      </c>
      <c r="B36162" t="s">
        <v>10796</v>
      </c>
    </row>
    <row r="36163" spans="1:2" x14ac:dyDescent="0.25">
      <c r="A36163">
        <v>82059000130</v>
      </c>
      <c r="B36163" t="s">
        <v>10797</v>
      </c>
    </row>
    <row r="36164" spans="1:2" x14ac:dyDescent="0.25">
      <c r="A36164">
        <v>82059000190</v>
      </c>
      <c r="B36164" t="s">
        <v>10</v>
      </c>
    </row>
    <row r="36165" spans="1:2" x14ac:dyDescent="0.25">
      <c r="A36165">
        <v>82059000400</v>
      </c>
      <c r="B36165" t="s">
        <v>10798</v>
      </c>
    </row>
    <row r="36166" spans="1:2" x14ac:dyDescent="0.25">
      <c r="A36166">
        <v>82059000500</v>
      </c>
      <c r="B36166" t="s">
        <v>10799</v>
      </c>
    </row>
    <row r="36167" spans="1:2" x14ac:dyDescent="0.25">
      <c r="A36167">
        <v>82059000900</v>
      </c>
      <c r="B36167" t="s">
        <v>57</v>
      </c>
    </row>
    <row r="36168" spans="1:2" x14ac:dyDescent="0.25">
      <c r="A36168">
        <v>82060000</v>
      </c>
      <c r="B36168" t="s">
        <v>10800</v>
      </c>
    </row>
    <row r="36169" spans="1:2" x14ac:dyDescent="0.25">
      <c r="A36169">
        <v>82060000100</v>
      </c>
      <c r="B36169" t="s">
        <v>10795</v>
      </c>
    </row>
    <row r="36170" spans="1:2" x14ac:dyDescent="0.25">
      <c r="A36170">
        <v>82060000200</v>
      </c>
      <c r="B36170" t="s">
        <v>10796</v>
      </c>
    </row>
    <row r="36171" spans="1:2" x14ac:dyDescent="0.25">
      <c r="A36171">
        <v>82060000300</v>
      </c>
      <c r="B36171" t="s">
        <v>10797</v>
      </c>
    </row>
    <row r="36172" spans="1:2" x14ac:dyDescent="0.25">
      <c r="A36172">
        <v>82060000400</v>
      </c>
      <c r="B36172" t="s">
        <v>10389</v>
      </c>
    </row>
    <row r="36173" spans="1:2" x14ac:dyDescent="0.25">
      <c r="A36173">
        <v>82060000500</v>
      </c>
      <c r="B36173" t="s">
        <v>10801</v>
      </c>
    </row>
    <row r="36174" spans="1:2" x14ac:dyDescent="0.25">
      <c r="A36174">
        <v>82060000600</v>
      </c>
      <c r="B36174" t="s">
        <v>10802</v>
      </c>
    </row>
    <row r="36175" spans="1:2" x14ac:dyDescent="0.25">
      <c r="A36175">
        <v>82060000700</v>
      </c>
      <c r="B36175" t="s">
        <v>10803</v>
      </c>
    </row>
    <row r="36176" spans="1:2" x14ac:dyDescent="0.25">
      <c r="A36176">
        <v>82060000800</v>
      </c>
      <c r="B36176" t="s">
        <v>10804</v>
      </c>
    </row>
    <row r="36177" spans="1:2" x14ac:dyDescent="0.25">
      <c r="A36177">
        <v>82060000900</v>
      </c>
      <c r="B36177" t="s">
        <v>57</v>
      </c>
    </row>
    <row r="36178" spans="1:2" x14ac:dyDescent="0.25">
      <c r="A36178">
        <v>8207</v>
      </c>
      <c r="B36178" t="s">
        <v>10805</v>
      </c>
    </row>
    <row r="36179" spans="1:2" x14ac:dyDescent="0.25">
      <c r="A36179">
        <v>82071</v>
      </c>
      <c r="B36179" t="s">
        <v>10806</v>
      </c>
    </row>
    <row r="36180" spans="1:2" x14ac:dyDescent="0.25">
      <c r="A36180">
        <v>82071300</v>
      </c>
      <c r="B36180" t="e">
        <f>- - Con parte operante de cermet</f>
        <v>#NAME?</v>
      </c>
    </row>
    <row r="36181" spans="1:2" x14ac:dyDescent="0.25">
      <c r="A36181">
        <v>82071300100</v>
      </c>
      <c r="B36181" t="s">
        <v>10807</v>
      </c>
    </row>
    <row r="36182" spans="1:2" x14ac:dyDescent="0.25">
      <c r="A36182">
        <v>82071300200</v>
      </c>
      <c r="B36182" t="s">
        <v>10808</v>
      </c>
    </row>
    <row r="36183" spans="1:2" x14ac:dyDescent="0.25">
      <c r="A36183">
        <v>82071300300</v>
      </c>
      <c r="B36183" t="s">
        <v>10809</v>
      </c>
    </row>
    <row r="36184" spans="1:2" x14ac:dyDescent="0.25">
      <c r="A36184">
        <v>82071300900</v>
      </c>
      <c r="B36184" t="s">
        <v>10</v>
      </c>
    </row>
    <row r="36185" spans="1:2" x14ac:dyDescent="0.25">
      <c r="A36185">
        <v>82071900</v>
      </c>
      <c r="B36185" t="e">
        <f>- - Los demas. incluidas las partes</f>
        <v>#NAME?</v>
      </c>
    </row>
    <row r="36186" spans="1:2" x14ac:dyDescent="0.25">
      <c r="A36186">
        <v>82071900100</v>
      </c>
      <c r="B36186" t="s">
        <v>10807</v>
      </c>
    </row>
    <row r="36187" spans="1:2" x14ac:dyDescent="0.25">
      <c r="A36187">
        <v>82071900200</v>
      </c>
      <c r="B36187" t="s">
        <v>10808</v>
      </c>
    </row>
    <row r="36188" spans="1:2" x14ac:dyDescent="0.25">
      <c r="A36188">
        <v>82071900300</v>
      </c>
      <c r="B36188" t="s">
        <v>10809</v>
      </c>
    </row>
    <row r="36189" spans="1:2" x14ac:dyDescent="0.25">
      <c r="A36189">
        <v>82071900900</v>
      </c>
      <c r="B36189" t="s">
        <v>10</v>
      </c>
    </row>
    <row r="36190" spans="1:2" x14ac:dyDescent="0.25">
      <c r="A36190">
        <v>82072000</v>
      </c>
      <c r="B36190" t="e">
        <f>- Hileras de extrudir o de trefilar (estirar)* Metal</f>
        <v>#NAME?</v>
      </c>
    </row>
    <row r="36191" spans="1:2" x14ac:dyDescent="0.25">
      <c r="A36191">
        <v>82072000100</v>
      </c>
      <c r="B36191" t="s">
        <v>10810</v>
      </c>
    </row>
    <row r="36192" spans="1:2" x14ac:dyDescent="0.25">
      <c r="A36192">
        <v>82072000900</v>
      </c>
      <c r="B36192" t="s">
        <v>57</v>
      </c>
    </row>
    <row r="36193" spans="1:2" x14ac:dyDescent="0.25">
      <c r="A36193">
        <v>82073000</v>
      </c>
      <c r="B36193" t="e">
        <f>-Ãštiles de embutir. estampar o punzonar</f>
        <v>#NAME?</v>
      </c>
    </row>
    <row r="36194" spans="1:2" x14ac:dyDescent="0.25">
      <c r="A36194">
        <v>82073000100</v>
      </c>
      <c r="B36194" t="s">
        <v>10811</v>
      </c>
    </row>
    <row r="36195" spans="1:2" x14ac:dyDescent="0.25">
      <c r="A36195">
        <v>82073000900</v>
      </c>
      <c r="B36195" t="s">
        <v>10</v>
      </c>
    </row>
    <row r="36196" spans="1:2" x14ac:dyDescent="0.25">
      <c r="A36196">
        <v>820740</v>
      </c>
      <c r="B36196" t="e">
        <f>- Ãštiles de roscar (incluso aterrajar)</f>
        <v>#NAME?</v>
      </c>
    </row>
    <row r="36197" spans="1:2" x14ac:dyDescent="0.25">
      <c r="A36197">
        <v>82074010</v>
      </c>
      <c r="B36197" t="s">
        <v>10812</v>
      </c>
    </row>
    <row r="36198" spans="1:2" x14ac:dyDescent="0.25">
      <c r="A36198">
        <v>820740101</v>
      </c>
      <c r="B36198" t="s">
        <v>10813</v>
      </c>
    </row>
    <row r="36199" spans="1:2" x14ac:dyDescent="0.25">
      <c r="A36199">
        <v>82074010110</v>
      </c>
      <c r="B36199" t="s">
        <v>10814</v>
      </c>
    </row>
    <row r="36200" spans="1:2" x14ac:dyDescent="0.25">
      <c r="A36200">
        <v>82074010120</v>
      </c>
      <c r="B36200" t="s">
        <v>10815</v>
      </c>
    </row>
    <row r="36201" spans="1:2" x14ac:dyDescent="0.25">
      <c r="A36201">
        <v>82074010130</v>
      </c>
      <c r="B36201" t="s">
        <v>10816</v>
      </c>
    </row>
    <row r="36202" spans="1:2" x14ac:dyDescent="0.25">
      <c r="A36202">
        <v>82074010140</v>
      </c>
      <c r="B36202" t="s">
        <v>10817</v>
      </c>
    </row>
    <row r="36203" spans="1:2" x14ac:dyDescent="0.25">
      <c r="A36203">
        <v>82074010150</v>
      </c>
      <c r="B36203" t="s">
        <v>10818</v>
      </c>
    </row>
    <row r="36204" spans="1:2" x14ac:dyDescent="0.25">
      <c r="A36204">
        <v>82074010160</v>
      </c>
      <c r="B36204" t="s">
        <v>10819</v>
      </c>
    </row>
    <row r="36205" spans="1:2" x14ac:dyDescent="0.25">
      <c r="A36205">
        <v>82074010170</v>
      </c>
      <c r="B36205" t="s">
        <v>10820</v>
      </c>
    </row>
    <row r="36206" spans="1:2" x14ac:dyDescent="0.25">
      <c r="A36206">
        <v>82074010180</v>
      </c>
      <c r="B36206" t="s">
        <v>10821</v>
      </c>
    </row>
    <row r="36207" spans="1:2" x14ac:dyDescent="0.25">
      <c r="A36207">
        <v>82074010190</v>
      </c>
      <c r="B36207" t="s">
        <v>10</v>
      </c>
    </row>
    <row r="36208" spans="1:2" x14ac:dyDescent="0.25">
      <c r="A36208">
        <v>820740102</v>
      </c>
      <c r="B36208" t="s">
        <v>10822</v>
      </c>
    </row>
    <row r="36209" spans="1:2" x14ac:dyDescent="0.25">
      <c r="A36209">
        <v>82074010210</v>
      </c>
      <c r="B36209" t="s">
        <v>10823</v>
      </c>
    </row>
    <row r="36210" spans="1:2" x14ac:dyDescent="0.25">
      <c r="A36210">
        <v>82074010220</v>
      </c>
      <c r="B36210" t="s">
        <v>10824</v>
      </c>
    </row>
    <row r="36211" spans="1:2" x14ac:dyDescent="0.25">
      <c r="A36211">
        <v>82074010230</v>
      </c>
      <c r="B36211" t="s">
        <v>10825</v>
      </c>
    </row>
    <row r="36212" spans="1:2" x14ac:dyDescent="0.25">
      <c r="A36212">
        <v>82074010240</v>
      </c>
      <c r="B36212" t="s">
        <v>10826</v>
      </c>
    </row>
    <row r="36213" spans="1:2" x14ac:dyDescent="0.25">
      <c r="A36213">
        <v>82074010250</v>
      </c>
      <c r="B36213" t="s">
        <v>10827</v>
      </c>
    </row>
    <row r="36214" spans="1:2" x14ac:dyDescent="0.25">
      <c r="A36214">
        <v>82074010260</v>
      </c>
      <c r="B36214" t="s">
        <v>10828</v>
      </c>
    </row>
    <row r="36215" spans="1:2" x14ac:dyDescent="0.25">
      <c r="A36215">
        <v>82074010290</v>
      </c>
      <c r="B36215" t="s">
        <v>10</v>
      </c>
    </row>
    <row r="36216" spans="1:2" x14ac:dyDescent="0.25">
      <c r="A36216">
        <v>82074010900</v>
      </c>
      <c r="B36216" t="s">
        <v>10</v>
      </c>
    </row>
    <row r="36217" spans="1:2" x14ac:dyDescent="0.25">
      <c r="A36217">
        <v>82074020000</v>
      </c>
      <c r="B36217" t="s">
        <v>10829</v>
      </c>
    </row>
    <row r="36218" spans="1:2" x14ac:dyDescent="0.25">
      <c r="A36218">
        <v>820750</v>
      </c>
      <c r="B36218" t="e">
        <f>- Ãštiles de taladrar</f>
        <v>#NAME?</v>
      </c>
    </row>
    <row r="36219" spans="1:2" x14ac:dyDescent="0.25">
      <c r="A36219">
        <v>8207501</v>
      </c>
      <c r="B36219" t="s">
        <v>10830</v>
      </c>
    </row>
    <row r="36220" spans="1:2" x14ac:dyDescent="0.25">
      <c r="A36220">
        <v>82075011</v>
      </c>
      <c r="B36220" t="s">
        <v>10831</v>
      </c>
    </row>
    <row r="36221" spans="1:2" x14ac:dyDescent="0.25">
      <c r="A36221">
        <v>820750111</v>
      </c>
      <c r="B36221" t="s">
        <v>10832</v>
      </c>
    </row>
    <row r="36222" spans="1:2" x14ac:dyDescent="0.25">
      <c r="A36222">
        <v>8207501111</v>
      </c>
      <c r="B36222" t="s">
        <v>10833</v>
      </c>
    </row>
    <row r="36223" spans="1:2" x14ac:dyDescent="0.25">
      <c r="A36223">
        <v>82075011111</v>
      </c>
      <c r="B36223" t="s">
        <v>10834</v>
      </c>
    </row>
    <row r="36224" spans="1:2" x14ac:dyDescent="0.25">
      <c r="A36224">
        <v>82075011112</v>
      </c>
      <c r="B36224" t="s">
        <v>10835</v>
      </c>
    </row>
    <row r="36225" spans="1:2" x14ac:dyDescent="0.25">
      <c r="A36225">
        <v>82075011113</v>
      </c>
      <c r="B36225" t="s">
        <v>10836</v>
      </c>
    </row>
    <row r="36226" spans="1:2" x14ac:dyDescent="0.25">
      <c r="A36226">
        <v>82075011114</v>
      </c>
      <c r="B36226" t="s">
        <v>10837</v>
      </c>
    </row>
    <row r="36227" spans="1:2" x14ac:dyDescent="0.25">
      <c r="A36227">
        <v>82075011115</v>
      </c>
      <c r="B36227" t="s">
        <v>10838</v>
      </c>
    </row>
    <row r="36228" spans="1:2" x14ac:dyDescent="0.25">
      <c r="A36228">
        <v>82075011116</v>
      </c>
      <c r="B36228" t="s">
        <v>10839</v>
      </c>
    </row>
    <row r="36229" spans="1:2" x14ac:dyDescent="0.25">
      <c r="A36229">
        <v>82075011117</v>
      </c>
      <c r="B36229" t="s">
        <v>10840</v>
      </c>
    </row>
    <row r="36230" spans="1:2" x14ac:dyDescent="0.25">
      <c r="A36230">
        <v>82075011118</v>
      </c>
      <c r="B36230" t="s">
        <v>10841</v>
      </c>
    </row>
    <row r="36231" spans="1:2" x14ac:dyDescent="0.25">
      <c r="A36231">
        <v>8207501112</v>
      </c>
      <c r="B36231" t="s">
        <v>10842</v>
      </c>
    </row>
    <row r="36232" spans="1:2" x14ac:dyDescent="0.25">
      <c r="A36232">
        <v>82075011121</v>
      </c>
      <c r="B36232" t="s">
        <v>10843</v>
      </c>
    </row>
    <row r="36233" spans="1:2" x14ac:dyDescent="0.25">
      <c r="A36233">
        <v>82075011122</v>
      </c>
      <c r="B36233" t="s">
        <v>10844</v>
      </c>
    </row>
    <row r="36234" spans="1:2" x14ac:dyDescent="0.25">
      <c r="A36234">
        <v>82075011123</v>
      </c>
      <c r="B36234" t="s">
        <v>10845</v>
      </c>
    </row>
    <row r="36235" spans="1:2" x14ac:dyDescent="0.25">
      <c r="A36235">
        <v>82075011124</v>
      </c>
      <c r="B36235" t="s">
        <v>10846</v>
      </c>
    </row>
    <row r="36236" spans="1:2" x14ac:dyDescent="0.25">
      <c r="A36236">
        <v>82075011125</v>
      </c>
      <c r="B36236" t="s">
        <v>10847</v>
      </c>
    </row>
    <row r="36237" spans="1:2" x14ac:dyDescent="0.25">
      <c r="A36237">
        <v>82075011126</v>
      </c>
      <c r="B36237" t="s">
        <v>10848</v>
      </c>
    </row>
    <row r="36238" spans="1:2" x14ac:dyDescent="0.25">
      <c r="A36238">
        <v>8207501113</v>
      </c>
      <c r="B36238" t="s">
        <v>10849</v>
      </c>
    </row>
    <row r="36239" spans="1:2" x14ac:dyDescent="0.25">
      <c r="A36239">
        <v>82075011131</v>
      </c>
      <c r="B36239" t="s">
        <v>10850</v>
      </c>
    </row>
    <row r="36240" spans="1:2" x14ac:dyDescent="0.25">
      <c r="A36240">
        <v>82075011132</v>
      </c>
      <c r="B36240" t="s">
        <v>10851</v>
      </c>
    </row>
    <row r="36241" spans="1:2" x14ac:dyDescent="0.25">
      <c r="A36241">
        <v>82075011133</v>
      </c>
      <c r="B36241" t="s">
        <v>10852</v>
      </c>
    </row>
    <row r="36242" spans="1:2" x14ac:dyDescent="0.25">
      <c r="A36242">
        <v>82075011134</v>
      </c>
      <c r="B36242" t="s">
        <v>10853</v>
      </c>
    </row>
    <row r="36243" spans="1:2" x14ac:dyDescent="0.25">
      <c r="A36243">
        <v>82075011135</v>
      </c>
      <c r="B36243" t="s">
        <v>10854</v>
      </c>
    </row>
    <row r="36244" spans="1:2" x14ac:dyDescent="0.25">
      <c r="A36244">
        <v>8207501119</v>
      </c>
      <c r="B36244" t="s">
        <v>57</v>
      </c>
    </row>
    <row r="36245" spans="1:2" x14ac:dyDescent="0.25">
      <c r="A36245">
        <v>82075011191</v>
      </c>
      <c r="B36245" t="s">
        <v>10855</v>
      </c>
    </row>
    <row r="36246" spans="1:2" x14ac:dyDescent="0.25">
      <c r="A36246">
        <v>82075011192</v>
      </c>
      <c r="B36246" t="s">
        <v>10856</v>
      </c>
    </row>
    <row r="36247" spans="1:2" x14ac:dyDescent="0.25">
      <c r="A36247">
        <v>82075011193</v>
      </c>
      <c r="B36247" t="s">
        <v>10857</v>
      </c>
    </row>
    <row r="36248" spans="1:2" x14ac:dyDescent="0.25">
      <c r="A36248">
        <v>82075011194</v>
      </c>
      <c r="B36248" t="s">
        <v>10858</v>
      </c>
    </row>
    <row r="36249" spans="1:2" x14ac:dyDescent="0.25">
      <c r="A36249">
        <v>82075011199</v>
      </c>
      <c r="B36249" t="s">
        <v>57</v>
      </c>
    </row>
    <row r="36250" spans="1:2" x14ac:dyDescent="0.25">
      <c r="A36250">
        <v>820750112</v>
      </c>
      <c r="B36250" t="s">
        <v>10859</v>
      </c>
    </row>
    <row r="36251" spans="1:2" x14ac:dyDescent="0.25">
      <c r="A36251">
        <v>8207501121</v>
      </c>
      <c r="B36251" t="s">
        <v>10860</v>
      </c>
    </row>
    <row r="36252" spans="1:2" x14ac:dyDescent="0.25">
      <c r="A36252">
        <v>82075011211</v>
      </c>
      <c r="B36252" t="s">
        <v>10861</v>
      </c>
    </row>
    <row r="36253" spans="1:2" x14ac:dyDescent="0.25">
      <c r="A36253">
        <v>82075011212</v>
      </c>
      <c r="B36253" t="s">
        <v>10862</v>
      </c>
    </row>
    <row r="36254" spans="1:2" x14ac:dyDescent="0.25">
      <c r="A36254">
        <v>82075011213</v>
      </c>
      <c r="B36254" t="s">
        <v>10863</v>
      </c>
    </row>
    <row r="36255" spans="1:2" x14ac:dyDescent="0.25">
      <c r="A36255">
        <v>82075011214</v>
      </c>
      <c r="B36255" t="s">
        <v>10864</v>
      </c>
    </row>
    <row r="36256" spans="1:2" x14ac:dyDescent="0.25">
      <c r="A36256">
        <v>82075011215</v>
      </c>
      <c r="B36256" t="s">
        <v>10865</v>
      </c>
    </row>
    <row r="36257" spans="1:2" x14ac:dyDescent="0.25">
      <c r="A36257">
        <v>82075011219</v>
      </c>
      <c r="B36257" t="s">
        <v>57</v>
      </c>
    </row>
    <row r="36258" spans="1:2" x14ac:dyDescent="0.25">
      <c r="A36258">
        <v>8207501122</v>
      </c>
      <c r="B36258" t="s">
        <v>10866</v>
      </c>
    </row>
    <row r="36259" spans="1:2" x14ac:dyDescent="0.25">
      <c r="A36259">
        <v>82075011221</v>
      </c>
      <c r="B36259" t="s">
        <v>10861</v>
      </c>
    </row>
    <row r="36260" spans="1:2" x14ac:dyDescent="0.25">
      <c r="A36260">
        <v>82075011222</v>
      </c>
      <c r="B36260" t="s">
        <v>10862</v>
      </c>
    </row>
    <row r="36261" spans="1:2" x14ac:dyDescent="0.25">
      <c r="A36261">
        <v>82075011223</v>
      </c>
      <c r="B36261" t="s">
        <v>10863</v>
      </c>
    </row>
    <row r="36262" spans="1:2" x14ac:dyDescent="0.25">
      <c r="A36262">
        <v>82075011224</v>
      </c>
      <c r="B36262" t="s">
        <v>10864</v>
      </c>
    </row>
    <row r="36263" spans="1:2" x14ac:dyDescent="0.25">
      <c r="A36263">
        <v>82075011225</v>
      </c>
      <c r="B36263" t="s">
        <v>10867</v>
      </c>
    </row>
    <row r="36264" spans="1:2" x14ac:dyDescent="0.25">
      <c r="A36264">
        <v>82075011229</v>
      </c>
      <c r="B36264" t="s">
        <v>57</v>
      </c>
    </row>
    <row r="36265" spans="1:2" x14ac:dyDescent="0.25">
      <c r="A36265">
        <v>8207501123</v>
      </c>
      <c r="B36265" t="s">
        <v>10868</v>
      </c>
    </row>
    <row r="36266" spans="1:2" x14ac:dyDescent="0.25">
      <c r="A36266">
        <v>82075011231</v>
      </c>
      <c r="B36266" t="s">
        <v>10861</v>
      </c>
    </row>
    <row r="36267" spans="1:2" x14ac:dyDescent="0.25">
      <c r="A36267">
        <v>82075011232</v>
      </c>
      <c r="B36267" t="s">
        <v>10862</v>
      </c>
    </row>
    <row r="36268" spans="1:2" x14ac:dyDescent="0.25">
      <c r="A36268">
        <v>82075011233</v>
      </c>
      <c r="B36268" t="s">
        <v>10863</v>
      </c>
    </row>
    <row r="36269" spans="1:2" x14ac:dyDescent="0.25">
      <c r="A36269">
        <v>82075011234</v>
      </c>
      <c r="B36269" t="s">
        <v>10864</v>
      </c>
    </row>
    <row r="36270" spans="1:2" x14ac:dyDescent="0.25">
      <c r="A36270">
        <v>82075011235</v>
      </c>
      <c r="B36270" t="s">
        <v>10865</v>
      </c>
    </row>
    <row r="36271" spans="1:2" x14ac:dyDescent="0.25">
      <c r="A36271">
        <v>82075011239</v>
      </c>
      <c r="B36271" t="s">
        <v>57</v>
      </c>
    </row>
    <row r="36272" spans="1:2" x14ac:dyDescent="0.25">
      <c r="A36272">
        <v>8207501129</v>
      </c>
      <c r="B36272" t="s">
        <v>57</v>
      </c>
    </row>
    <row r="36273" spans="1:2" x14ac:dyDescent="0.25">
      <c r="A36273">
        <v>82075011291</v>
      </c>
      <c r="B36273" t="s">
        <v>10861</v>
      </c>
    </row>
    <row r="36274" spans="1:2" x14ac:dyDescent="0.25">
      <c r="A36274">
        <v>82075011292</v>
      </c>
      <c r="B36274" t="s">
        <v>10862</v>
      </c>
    </row>
    <row r="36275" spans="1:2" x14ac:dyDescent="0.25">
      <c r="A36275">
        <v>82075011293</v>
      </c>
      <c r="B36275" t="s">
        <v>10863</v>
      </c>
    </row>
    <row r="36276" spans="1:2" x14ac:dyDescent="0.25">
      <c r="A36276">
        <v>82075011294</v>
      </c>
      <c r="B36276" t="s">
        <v>10864</v>
      </c>
    </row>
    <row r="36277" spans="1:2" x14ac:dyDescent="0.25">
      <c r="A36277">
        <v>82075011295</v>
      </c>
      <c r="B36277" t="s">
        <v>10865</v>
      </c>
    </row>
    <row r="36278" spans="1:2" x14ac:dyDescent="0.25">
      <c r="A36278">
        <v>82075011299</v>
      </c>
      <c r="B36278" t="s">
        <v>57</v>
      </c>
    </row>
    <row r="36279" spans="1:2" x14ac:dyDescent="0.25">
      <c r="A36279">
        <v>820750113</v>
      </c>
      <c r="B36279" t="s">
        <v>10869</v>
      </c>
    </row>
    <row r="36280" spans="1:2" x14ac:dyDescent="0.25">
      <c r="A36280">
        <v>82075011310</v>
      </c>
      <c r="B36280" t="s">
        <v>10870</v>
      </c>
    </row>
    <row r="36281" spans="1:2" x14ac:dyDescent="0.25">
      <c r="A36281">
        <v>82075011320</v>
      </c>
      <c r="B36281" t="s">
        <v>10871</v>
      </c>
    </row>
    <row r="36282" spans="1:2" x14ac:dyDescent="0.25">
      <c r="A36282">
        <v>82075011330</v>
      </c>
      <c r="B36282" t="s">
        <v>10872</v>
      </c>
    </row>
    <row r="36283" spans="1:2" x14ac:dyDescent="0.25">
      <c r="A36283">
        <v>82075011340</v>
      </c>
      <c r="B36283" t="s">
        <v>10873</v>
      </c>
    </row>
    <row r="36284" spans="1:2" x14ac:dyDescent="0.25">
      <c r="A36284">
        <v>82075011350</v>
      </c>
      <c r="B36284" t="s">
        <v>10874</v>
      </c>
    </row>
    <row r="36285" spans="1:2" x14ac:dyDescent="0.25">
      <c r="A36285">
        <v>82075011390</v>
      </c>
      <c r="B36285" t="s">
        <v>57</v>
      </c>
    </row>
    <row r="36286" spans="1:2" x14ac:dyDescent="0.25">
      <c r="A36286">
        <v>820750114</v>
      </c>
      <c r="B36286" t="s">
        <v>10875</v>
      </c>
    </row>
    <row r="36287" spans="1:2" x14ac:dyDescent="0.25">
      <c r="A36287">
        <v>82075011410</v>
      </c>
      <c r="B36287" t="s">
        <v>10876</v>
      </c>
    </row>
    <row r="36288" spans="1:2" x14ac:dyDescent="0.25">
      <c r="A36288">
        <v>82075011420</v>
      </c>
      <c r="B36288" t="s">
        <v>10877</v>
      </c>
    </row>
    <row r="36289" spans="1:2" x14ac:dyDescent="0.25">
      <c r="A36289">
        <v>8207501143</v>
      </c>
      <c r="B36289" t="s">
        <v>10878</v>
      </c>
    </row>
    <row r="36290" spans="1:2" x14ac:dyDescent="0.25">
      <c r="A36290">
        <v>82075011431</v>
      </c>
      <c r="B36290" t="s">
        <v>10879</v>
      </c>
    </row>
    <row r="36291" spans="1:2" x14ac:dyDescent="0.25">
      <c r="A36291">
        <v>82075011432</v>
      </c>
      <c r="B36291" t="s">
        <v>10880</v>
      </c>
    </row>
    <row r="36292" spans="1:2" x14ac:dyDescent="0.25">
      <c r="A36292">
        <v>82075011433</v>
      </c>
      <c r="B36292" t="s">
        <v>10881</v>
      </c>
    </row>
    <row r="36293" spans="1:2" x14ac:dyDescent="0.25">
      <c r="A36293">
        <v>82075011434</v>
      </c>
      <c r="B36293" t="s">
        <v>10882</v>
      </c>
    </row>
    <row r="36294" spans="1:2" x14ac:dyDescent="0.25">
      <c r="A36294">
        <v>82075011435</v>
      </c>
      <c r="B36294" t="s">
        <v>10883</v>
      </c>
    </row>
    <row r="36295" spans="1:2" x14ac:dyDescent="0.25">
      <c r="A36295">
        <v>82075011436</v>
      </c>
      <c r="B36295" t="s">
        <v>10884</v>
      </c>
    </row>
    <row r="36296" spans="1:2" x14ac:dyDescent="0.25">
      <c r="A36296">
        <v>82075011437</v>
      </c>
      <c r="B36296" t="s">
        <v>10885</v>
      </c>
    </row>
    <row r="36297" spans="1:2" x14ac:dyDescent="0.25">
      <c r="A36297">
        <v>82075011438</v>
      </c>
      <c r="B36297" t="s">
        <v>10886</v>
      </c>
    </row>
    <row r="36298" spans="1:2" x14ac:dyDescent="0.25">
      <c r="A36298">
        <v>82075011439</v>
      </c>
      <c r="B36298" t="s">
        <v>57</v>
      </c>
    </row>
    <row r="36299" spans="1:2" x14ac:dyDescent="0.25">
      <c r="A36299">
        <v>8207501144</v>
      </c>
      <c r="B36299" t="s">
        <v>10887</v>
      </c>
    </row>
    <row r="36300" spans="1:2" x14ac:dyDescent="0.25">
      <c r="A36300">
        <v>82075011441</v>
      </c>
      <c r="B36300" t="s">
        <v>10879</v>
      </c>
    </row>
    <row r="36301" spans="1:2" x14ac:dyDescent="0.25">
      <c r="A36301">
        <v>82075011442</v>
      </c>
      <c r="B36301" t="s">
        <v>10880</v>
      </c>
    </row>
    <row r="36302" spans="1:2" x14ac:dyDescent="0.25">
      <c r="A36302">
        <v>82075011443</v>
      </c>
      <c r="B36302" t="s">
        <v>10881</v>
      </c>
    </row>
    <row r="36303" spans="1:2" x14ac:dyDescent="0.25">
      <c r="A36303">
        <v>82075011444</v>
      </c>
      <c r="B36303" t="s">
        <v>10882</v>
      </c>
    </row>
    <row r="36304" spans="1:2" x14ac:dyDescent="0.25">
      <c r="A36304">
        <v>82075011445</v>
      </c>
      <c r="B36304" t="s">
        <v>10883</v>
      </c>
    </row>
    <row r="36305" spans="1:2" x14ac:dyDescent="0.25">
      <c r="A36305">
        <v>82075011446</v>
      </c>
      <c r="B36305" t="s">
        <v>10888</v>
      </c>
    </row>
    <row r="36306" spans="1:2" x14ac:dyDescent="0.25">
      <c r="A36306">
        <v>82075011447</v>
      </c>
      <c r="B36306" t="s">
        <v>10885</v>
      </c>
    </row>
    <row r="36307" spans="1:2" x14ac:dyDescent="0.25">
      <c r="A36307">
        <v>82075011448</v>
      </c>
      <c r="B36307" t="s">
        <v>10886</v>
      </c>
    </row>
    <row r="36308" spans="1:2" x14ac:dyDescent="0.25">
      <c r="A36308">
        <v>82075011449</v>
      </c>
      <c r="B36308" t="s">
        <v>57</v>
      </c>
    </row>
    <row r="36309" spans="1:2" x14ac:dyDescent="0.25">
      <c r="A36309">
        <v>82075011490</v>
      </c>
      <c r="B36309" t="s">
        <v>57</v>
      </c>
    </row>
    <row r="36310" spans="1:2" x14ac:dyDescent="0.25">
      <c r="A36310">
        <v>82075011500</v>
      </c>
      <c r="B36310" t="s">
        <v>10889</v>
      </c>
    </row>
    <row r="36311" spans="1:2" x14ac:dyDescent="0.25">
      <c r="A36311">
        <v>820750118</v>
      </c>
      <c r="B36311" t="s">
        <v>10890</v>
      </c>
    </row>
    <row r="36312" spans="1:2" x14ac:dyDescent="0.25">
      <c r="A36312">
        <v>8207501181</v>
      </c>
      <c r="B36312" t="s">
        <v>10891</v>
      </c>
    </row>
    <row r="36313" spans="1:2" x14ac:dyDescent="0.25">
      <c r="A36313">
        <v>82075011811</v>
      </c>
      <c r="B36313" t="s">
        <v>10892</v>
      </c>
    </row>
    <row r="36314" spans="1:2" x14ac:dyDescent="0.25">
      <c r="A36314">
        <v>82075011812</v>
      </c>
      <c r="B36314" t="s">
        <v>10893</v>
      </c>
    </row>
    <row r="36315" spans="1:2" x14ac:dyDescent="0.25">
      <c r="A36315">
        <v>82075011813</v>
      </c>
      <c r="B36315" t="s">
        <v>10894</v>
      </c>
    </row>
    <row r="36316" spans="1:2" x14ac:dyDescent="0.25">
      <c r="A36316">
        <v>82075011819</v>
      </c>
      <c r="B36316" t="s">
        <v>57</v>
      </c>
    </row>
    <row r="36317" spans="1:2" x14ac:dyDescent="0.25">
      <c r="A36317">
        <v>8207501189</v>
      </c>
      <c r="B36317" t="s">
        <v>57</v>
      </c>
    </row>
    <row r="36318" spans="1:2" x14ac:dyDescent="0.25">
      <c r="A36318">
        <v>82075011891</v>
      </c>
      <c r="B36318" t="s">
        <v>10892</v>
      </c>
    </row>
    <row r="36319" spans="1:2" x14ac:dyDescent="0.25">
      <c r="A36319">
        <v>82075011892</v>
      </c>
      <c r="B36319" t="s">
        <v>10893</v>
      </c>
    </row>
    <row r="36320" spans="1:2" x14ac:dyDescent="0.25">
      <c r="A36320">
        <v>82075011893</v>
      </c>
      <c r="B36320" t="s">
        <v>10894</v>
      </c>
    </row>
    <row r="36321" spans="1:2" x14ac:dyDescent="0.25">
      <c r="A36321">
        <v>82075011899</v>
      </c>
      <c r="B36321" t="s">
        <v>57</v>
      </c>
    </row>
    <row r="36322" spans="1:2" x14ac:dyDescent="0.25">
      <c r="A36322">
        <v>82075011900</v>
      </c>
      <c r="B36322" t="s">
        <v>57</v>
      </c>
    </row>
    <row r="36323" spans="1:2" x14ac:dyDescent="0.25">
      <c r="A36323">
        <v>82075019</v>
      </c>
      <c r="B36323" t="s">
        <v>57</v>
      </c>
    </row>
    <row r="36324" spans="1:2" x14ac:dyDescent="0.25">
      <c r="A36324">
        <v>820750191</v>
      </c>
      <c r="B36324" t="s">
        <v>10895</v>
      </c>
    </row>
    <row r="36325" spans="1:2" x14ac:dyDescent="0.25">
      <c r="A36325">
        <v>82075019110</v>
      </c>
      <c r="B36325" t="s">
        <v>10896</v>
      </c>
    </row>
    <row r="36326" spans="1:2" x14ac:dyDescent="0.25">
      <c r="A36326">
        <v>82075019190</v>
      </c>
      <c r="B36326" t="s">
        <v>57</v>
      </c>
    </row>
    <row r="36327" spans="1:2" x14ac:dyDescent="0.25">
      <c r="A36327">
        <v>82075019200</v>
      </c>
      <c r="B36327" t="s">
        <v>10897</v>
      </c>
    </row>
    <row r="36328" spans="1:2" x14ac:dyDescent="0.25">
      <c r="A36328">
        <v>82075019900</v>
      </c>
      <c r="B36328" t="s">
        <v>57</v>
      </c>
    </row>
    <row r="36329" spans="1:2" x14ac:dyDescent="0.25">
      <c r="A36329">
        <v>82075090000</v>
      </c>
      <c r="B36329" t="s">
        <v>10</v>
      </c>
    </row>
    <row r="36330" spans="1:2" x14ac:dyDescent="0.25">
      <c r="A36330">
        <v>82076000000</v>
      </c>
      <c r="B36330" t="e">
        <f>-Ãštiles de escariar o brochar</f>
        <v>#NAME?</v>
      </c>
    </row>
    <row r="36331" spans="1:2" x14ac:dyDescent="0.25">
      <c r="A36331">
        <v>820770</v>
      </c>
      <c r="B36331" t="e">
        <f>- Ãštiles de fresar</f>
        <v>#NAME?</v>
      </c>
    </row>
    <row r="36332" spans="1:2" x14ac:dyDescent="0.25">
      <c r="A36332">
        <v>82077010000</v>
      </c>
      <c r="B36332" t="s">
        <v>10898</v>
      </c>
    </row>
    <row r="36333" spans="1:2" x14ac:dyDescent="0.25">
      <c r="A36333">
        <v>82077020</v>
      </c>
      <c r="B36333" t="s">
        <v>10899</v>
      </c>
    </row>
    <row r="36334" spans="1:2" x14ac:dyDescent="0.25">
      <c r="A36334">
        <v>820770201</v>
      </c>
      <c r="B36334" t="s">
        <v>10900</v>
      </c>
    </row>
    <row r="36335" spans="1:2" x14ac:dyDescent="0.25">
      <c r="A36335">
        <v>82077020110</v>
      </c>
      <c r="B36335" t="s">
        <v>10901</v>
      </c>
    </row>
    <row r="36336" spans="1:2" x14ac:dyDescent="0.25">
      <c r="A36336">
        <v>82077020120</v>
      </c>
      <c r="B36336" t="s">
        <v>10902</v>
      </c>
    </row>
    <row r="36337" spans="1:2" x14ac:dyDescent="0.25">
      <c r="A36337">
        <v>82077020130</v>
      </c>
      <c r="B36337" t="s">
        <v>10903</v>
      </c>
    </row>
    <row r="36338" spans="1:2" x14ac:dyDescent="0.25">
      <c r="A36338">
        <v>82077020190</v>
      </c>
      <c r="B36338" t="s">
        <v>10</v>
      </c>
    </row>
    <row r="36339" spans="1:2" x14ac:dyDescent="0.25">
      <c r="A36339">
        <v>820770202</v>
      </c>
      <c r="B36339" t="s">
        <v>10904</v>
      </c>
    </row>
    <row r="36340" spans="1:2" x14ac:dyDescent="0.25">
      <c r="A36340">
        <v>8207702021</v>
      </c>
      <c r="B36340" t="s">
        <v>10905</v>
      </c>
    </row>
    <row r="36341" spans="1:2" x14ac:dyDescent="0.25">
      <c r="A36341">
        <v>82077020211</v>
      </c>
      <c r="B36341" t="s">
        <v>10906</v>
      </c>
    </row>
    <row r="36342" spans="1:2" x14ac:dyDescent="0.25">
      <c r="A36342">
        <v>82077020212</v>
      </c>
      <c r="B36342" t="s">
        <v>10907</v>
      </c>
    </row>
    <row r="36343" spans="1:2" x14ac:dyDescent="0.25">
      <c r="A36343">
        <v>82077020219</v>
      </c>
      <c r="B36343" t="s">
        <v>10</v>
      </c>
    </row>
    <row r="36344" spans="1:2" x14ac:dyDescent="0.25">
      <c r="A36344">
        <v>8207702022</v>
      </c>
      <c r="B36344" t="s">
        <v>10908</v>
      </c>
    </row>
    <row r="36345" spans="1:2" x14ac:dyDescent="0.25">
      <c r="A36345">
        <v>82077020221</v>
      </c>
      <c r="B36345" t="s">
        <v>10906</v>
      </c>
    </row>
    <row r="36346" spans="1:2" x14ac:dyDescent="0.25">
      <c r="A36346">
        <v>82077020222</v>
      </c>
      <c r="B36346" t="s">
        <v>10907</v>
      </c>
    </row>
    <row r="36347" spans="1:2" x14ac:dyDescent="0.25">
      <c r="A36347">
        <v>82077020229</v>
      </c>
      <c r="B36347" t="s">
        <v>10</v>
      </c>
    </row>
    <row r="36348" spans="1:2" x14ac:dyDescent="0.25">
      <c r="A36348">
        <v>8207702023</v>
      </c>
      <c r="B36348" t="s">
        <v>10909</v>
      </c>
    </row>
    <row r="36349" spans="1:2" x14ac:dyDescent="0.25">
      <c r="A36349">
        <v>82077020231</v>
      </c>
      <c r="B36349" t="s">
        <v>10906</v>
      </c>
    </row>
    <row r="36350" spans="1:2" x14ac:dyDescent="0.25">
      <c r="A36350">
        <v>82077020232</v>
      </c>
      <c r="B36350" t="s">
        <v>10907</v>
      </c>
    </row>
    <row r="36351" spans="1:2" x14ac:dyDescent="0.25">
      <c r="A36351">
        <v>82077020239</v>
      </c>
      <c r="B36351" t="s">
        <v>10</v>
      </c>
    </row>
    <row r="36352" spans="1:2" x14ac:dyDescent="0.25">
      <c r="A36352">
        <v>8207702029</v>
      </c>
      <c r="B36352" t="s">
        <v>10</v>
      </c>
    </row>
    <row r="36353" spans="1:2" x14ac:dyDescent="0.25">
      <c r="A36353">
        <v>82077020291</v>
      </c>
      <c r="B36353" t="s">
        <v>10906</v>
      </c>
    </row>
    <row r="36354" spans="1:2" x14ac:dyDescent="0.25">
      <c r="A36354">
        <v>82077020292</v>
      </c>
      <c r="B36354" t="s">
        <v>10907</v>
      </c>
    </row>
    <row r="36355" spans="1:2" x14ac:dyDescent="0.25">
      <c r="A36355">
        <v>82077020299</v>
      </c>
      <c r="B36355" t="s">
        <v>10</v>
      </c>
    </row>
    <row r="36356" spans="1:2" x14ac:dyDescent="0.25">
      <c r="A36356">
        <v>820770203</v>
      </c>
      <c r="B36356" t="s">
        <v>10910</v>
      </c>
    </row>
    <row r="36357" spans="1:2" x14ac:dyDescent="0.25">
      <c r="A36357">
        <v>82077020310</v>
      </c>
      <c r="B36357" t="s">
        <v>10911</v>
      </c>
    </row>
    <row r="36358" spans="1:2" x14ac:dyDescent="0.25">
      <c r="A36358">
        <v>8207702032</v>
      </c>
      <c r="B36358" t="s">
        <v>10912</v>
      </c>
    </row>
    <row r="36359" spans="1:2" x14ac:dyDescent="0.25">
      <c r="A36359">
        <v>82077020321</v>
      </c>
      <c r="B36359" t="s">
        <v>10913</v>
      </c>
    </row>
    <row r="36360" spans="1:2" x14ac:dyDescent="0.25">
      <c r="A36360">
        <v>82077020322</v>
      </c>
      <c r="B36360" t="s">
        <v>10914</v>
      </c>
    </row>
    <row r="36361" spans="1:2" x14ac:dyDescent="0.25">
      <c r="A36361">
        <v>82077020329</v>
      </c>
      <c r="B36361" t="s">
        <v>10</v>
      </c>
    </row>
    <row r="36362" spans="1:2" x14ac:dyDescent="0.25">
      <c r="A36362">
        <v>82077020390</v>
      </c>
      <c r="B36362" t="s">
        <v>10</v>
      </c>
    </row>
    <row r="36363" spans="1:2" x14ac:dyDescent="0.25">
      <c r="A36363">
        <v>82077020900</v>
      </c>
      <c r="B36363" t="s">
        <v>10</v>
      </c>
    </row>
    <row r="36364" spans="1:2" x14ac:dyDescent="0.25">
      <c r="A36364">
        <v>82077090000</v>
      </c>
      <c r="B36364" t="s">
        <v>10</v>
      </c>
    </row>
    <row r="36365" spans="1:2" x14ac:dyDescent="0.25">
      <c r="A36365">
        <v>82078000000</v>
      </c>
      <c r="B36365" t="e">
        <f>-Ãštiles de tornear</f>
        <v>#NAME?</v>
      </c>
    </row>
    <row r="36366" spans="1:2" x14ac:dyDescent="0.25">
      <c r="A36366">
        <v>82079000</v>
      </c>
      <c r="B36366" t="e">
        <f>- Los demas utiles intercambiables</f>
        <v>#NAME?</v>
      </c>
    </row>
    <row r="36367" spans="1:2" x14ac:dyDescent="0.25">
      <c r="A36367">
        <v>820790001</v>
      </c>
      <c r="B36367" t="s">
        <v>10915</v>
      </c>
    </row>
    <row r="36368" spans="1:2" x14ac:dyDescent="0.25">
      <c r="A36368">
        <v>82079000110</v>
      </c>
      <c r="B36368" t="s">
        <v>10916</v>
      </c>
    </row>
    <row r="36369" spans="1:2" x14ac:dyDescent="0.25">
      <c r="A36369">
        <v>8207900012</v>
      </c>
      <c r="B36369" t="s">
        <v>10917</v>
      </c>
    </row>
    <row r="36370" spans="1:2" x14ac:dyDescent="0.25">
      <c r="A36370">
        <v>82079000121</v>
      </c>
      <c r="B36370" t="s">
        <v>10918</v>
      </c>
    </row>
    <row r="36371" spans="1:2" x14ac:dyDescent="0.25">
      <c r="A36371">
        <v>82079000122</v>
      </c>
      <c r="B36371" t="s">
        <v>10919</v>
      </c>
    </row>
    <row r="36372" spans="1:2" x14ac:dyDescent="0.25">
      <c r="A36372">
        <v>82079000129</v>
      </c>
      <c r="B36372" t="s">
        <v>57</v>
      </c>
    </row>
    <row r="36373" spans="1:2" x14ac:dyDescent="0.25">
      <c r="A36373">
        <v>82079000190</v>
      </c>
      <c r="B36373" t="s">
        <v>57</v>
      </c>
    </row>
    <row r="36374" spans="1:2" x14ac:dyDescent="0.25">
      <c r="A36374">
        <v>82079000200</v>
      </c>
      <c r="B36374" t="s">
        <v>10920</v>
      </c>
    </row>
    <row r="36375" spans="1:2" x14ac:dyDescent="0.25">
      <c r="A36375">
        <v>82079000900</v>
      </c>
      <c r="B36375" t="s">
        <v>10</v>
      </c>
    </row>
    <row r="36376" spans="1:2" x14ac:dyDescent="0.25">
      <c r="A36376">
        <v>8208</v>
      </c>
      <c r="B36376" t="s">
        <v>10921</v>
      </c>
    </row>
    <row r="36377" spans="1:2" x14ac:dyDescent="0.25">
      <c r="A36377">
        <v>82081000</v>
      </c>
      <c r="B36377" t="e">
        <f>- para trabajar Metal</f>
        <v>#NAME?</v>
      </c>
    </row>
    <row r="36378" spans="1:2" x14ac:dyDescent="0.25">
      <c r="A36378">
        <v>820810001</v>
      </c>
      <c r="B36378" t="s">
        <v>10922</v>
      </c>
    </row>
    <row r="36379" spans="1:2" x14ac:dyDescent="0.25">
      <c r="A36379">
        <v>82081000110</v>
      </c>
      <c r="B36379" t="s">
        <v>10923</v>
      </c>
    </row>
    <row r="36380" spans="1:2" x14ac:dyDescent="0.25">
      <c r="A36380">
        <v>82081000120</v>
      </c>
      <c r="B36380" t="s">
        <v>10924</v>
      </c>
    </row>
    <row r="36381" spans="1:2" x14ac:dyDescent="0.25">
      <c r="A36381">
        <v>82081000130</v>
      </c>
      <c r="B36381" t="s">
        <v>10925</v>
      </c>
    </row>
    <row r="36382" spans="1:2" x14ac:dyDescent="0.25">
      <c r="A36382">
        <v>82081000140</v>
      </c>
      <c r="B36382" t="s">
        <v>10926</v>
      </c>
    </row>
    <row r="36383" spans="1:2" x14ac:dyDescent="0.25">
      <c r="A36383">
        <v>82081000190</v>
      </c>
      <c r="B36383" t="s">
        <v>57</v>
      </c>
    </row>
    <row r="36384" spans="1:2" x14ac:dyDescent="0.25">
      <c r="A36384">
        <v>82081000900</v>
      </c>
      <c r="B36384" t="s">
        <v>57</v>
      </c>
    </row>
    <row r="36385" spans="1:2" x14ac:dyDescent="0.25">
      <c r="A36385">
        <v>82082000000</v>
      </c>
      <c r="B36385" t="e">
        <f>-para trabajar madera</f>
        <v>#NAME?</v>
      </c>
    </row>
    <row r="36386" spans="1:2" x14ac:dyDescent="0.25">
      <c r="A36386">
        <v>82083000000</v>
      </c>
      <c r="B36386" t="e">
        <f>-para aparatos de cocina o maquinas de la industria alimentaria</f>
        <v>#NAME?</v>
      </c>
    </row>
    <row r="36387" spans="1:2" x14ac:dyDescent="0.25">
      <c r="A36387">
        <v>82084000</v>
      </c>
      <c r="B36387" t="e">
        <f>- para maquinas agricolas. horticolas o forestales</f>
        <v>#NAME?</v>
      </c>
    </row>
    <row r="36388" spans="1:2" x14ac:dyDescent="0.25">
      <c r="A36388">
        <v>82084000100</v>
      </c>
      <c r="B36388" t="s">
        <v>10927</v>
      </c>
    </row>
    <row r="36389" spans="1:2" x14ac:dyDescent="0.25">
      <c r="A36389">
        <v>82084000900</v>
      </c>
      <c r="B36389" t="s">
        <v>10</v>
      </c>
    </row>
    <row r="36390" spans="1:2" x14ac:dyDescent="0.25">
      <c r="A36390">
        <v>82089000000</v>
      </c>
      <c r="B36390" t="e">
        <f>-las demas</f>
        <v>#NAME?</v>
      </c>
    </row>
    <row r="36391" spans="1:2" x14ac:dyDescent="0.25">
      <c r="A36391">
        <v>820900</v>
      </c>
      <c r="B36391" t="s">
        <v>10928</v>
      </c>
    </row>
    <row r="36392" spans="1:2" x14ac:dyDescent="0.25">
      <c r="A36392">
        <v>8209001</v>
      </c>
      <c r="B36392" t="s">
        <v>10929</v>
      </c>
    </row>
    <row r="36393" spans="1:2" x14ac:dyDescent="0.25">
      <c r="A36393">
        <v>82090011000</v>
      </c>
      <c r="B36393" t="s">
        <v>10930</v>
      </c>
    </row>
    <row r="36394" spans="1:2" x14ac:dyDescent="0.25">
      <c r="A36394">
        <v>82090019000</v>
      </c>
      <c r="B36394" t="s">
        <v>57</v>
      </c>
    </row>
    <row r="36395" spans="1:2" x14ac:dyDescent="0.25">
      <c r="A36395">
        <v>82090090000</v>
      </c>
      <c r="B36395" t="s">
        <v>10</v>
      </c>
    </row>
    <row r="36396" spans="1:2" x14ac:dyDescent="0.25">
      <c r="A36396">
        <v>821000</v>
      </c>
      <c r="B36396" t="s">
        <v>10931</v>
      </c>
    </row>
    <row r="36397" spans="1:2" x14ac:dyDescent="0.25">
      <c r="A36397">
        <v>82100010000</v>
      </c>
      <c r="B36397" t="s">
        <v>10932</v>
      </c>
    </row>
    <row r="36398" spans="1:2" x14ac:dyDescent="0.25">
      <c r="A36398">
        <v>82100090</v>
      </c>
      <c r="B36398" t="s">
        <v>10</v>
      </c>
    </row>
    <row r="36399" spans="1:2" x14ac:dyDescent="0.25">
      <c r="A36399">
        <v>82100090100</v>
      </c>
      <c r="B36399" t="s">
        <v>10933</v>
      </c>
    </row>
    <row r="36400" spans="1:2" x14ac:dyDescent="0.25">
      <c r="A36400">
        <v>82100090200</v>
      </c>
      <c r="B36400" t="s">
        <v>10934</v>
      </c>
    </row>
    <row r="36401" spans="1:2" x14ac:dyDescent="0.25">
      <c r="A36401">
        <v>82100090300</v>
      </c>
      <c r="B36401" t="s">
        <v>10935</v>
      </c>
    </row>
    <row r="36402" spans="1:2" x14ac:dyDescent="0.25">
      <c r="A36402">
        <v>82100090400</v>
      </c>
      <c r="B36402" t="s">
        <v>10936</v>
      </c>
    </row>
    <row r="36403" spans="1:2" x14ac:dyDescent="0.25">
      <c r="A36403">
        <v>82100090500</v>
      </c>
      <c r="B36403" t="s">
        <v>10937</v>
      </c>
    </row>
    <row r="36404" spans="1:2" x14ac:dyDescent="0.25">
      <c r="A36404">
        <v>82100090900</v>
      </c>
      <c r="B36404" t="s">
        <v>10</v>
      </c>
    </row>
    <row r="36405" spans="1:2" x14ac:dyDescent="0.25">
      <c r="A36405">
        <v>8211</v>
      </c>
      <c r="B36405" t="s">
        <v>10938</v>
      </c>
    </row>
    <row r="36406" spans="1:2" x14ac:dyDescent="0.25">
      <c r="A36406">
        <v>82111000</v>
      </c>
      <c r="B36406" t="e">
        <f>- surtidos</f>
        <v>#NAME?</v>
      </c>
    </row>
    <row r="36407" spans="1:2" x14ac:dyDescent="0.25">
      <c r="A36407">
        <v>82111000100</v>
      </c>
      <c r="B36407" t="s">
        <v>10939</v>
      </c>
    </row>
    <row r="36408" spans="1:2" x14ac:dyDescent="0.25">
      <c r="A36408">
        <v>82111000200</v>
      </c>
      <c r="B36408" t="s">
        <v>10940</v>
      </c>
    </row>
    <row r="36409" spans="1:2" x14ac:dyDescent="0.25">
      <c r="A36409">
        <v>82111000900</v>
      </c>
      <c r="B36409" t="s">
        <v>10</v>
      </c>
    </row>
    <row r="36410" spans="1:2" x14ac:dyDescent="0.25">
      <c r="A36410">
        <v>82119</v>
      </c>
      <c r="B36410" t="s">
        <v>28</v>
      </c>
    </row>
    <row r="36411" spans="1:2" x14ac:dyDescent="0.25">
      <c r="A36411">
        <v>82119100</v>
      </c>
      <c r="B36411" t="e">
        <f>- - Cuchillos de mesa de hoja fija</f>
        <v>#NAME?</v>
      </c>
    </row>
    <row r="36412" spans="1:2" x14ac:dyDescent="0.25">
      <c r="A36412">
        <v>821191001</v>
      </c>
      <c r="B36412" t="s">
        <v>9795</v>
      </c>
    </row>
    <row r="36413" spans="1:2" x14ac:dyDescent="0.25">
      <c r="A36413">
        <v>82119100110</v>
      </c>
      <c r="B36413" t="s">
        <v>10941</v>
      </c>
    </row>
    <row r="36414" spans="1:2" x14ac:dyDescent="0.25">
      <c r="A36414">
        <v>82119100120</v>
      </c>
      <c r="B36414" t="s">
        <v>10942</v>
      </c>
    </row>
    <row r="36415" spans="1:2" x14ac:dyDescent="0.25">
      <c r="A36415">
        <v>82119100130</v>
      </c>
      <c r="B36415" t="s">
        <v>10943</v>
      </c>
    </row>
    <row r="36416" spans="1:2" x14ac:dyDescent="0.25">
      <c r="A36416">
        <v>82119100140</v>
      </c>
      <c r="B36416" t="s">
        <v>10944</v>
      </c>
    </row>
    <row r="36417" spans="1:2" x14ac:dyDescent="0.25">
      <c r="A36417">
        <v>8211910019</v>
      </c>
      <c r="B36417" t="s">
        <v>10</v>
      </c>
    </row>
    <row r="36418" spans="1:2" x14ac:dyDescent="0.25">
      <c r="A36418">
        <v>82119100191</v>
      </c>
      <c r="B36418" t="s">
        <v>10651</v>
      </c>
    </row>
    <row r="36419" spans="1:2" x14ac:dyDescent="0.25">
      <c r="A36419">
        <v>82119100192</v>
      </c>
      <c r="B36419" t="s">
        <v>10655</v>
      </c>
    </row>
    <row r="36420" spans="1:2" x14ac:dyDescent="0.25">
      <c r="A36420">
        <v>82119100199</v>
      </c>
      <c r="B36420" t="s">
        <v>10</v>
      </c>
    </row>
    <row r="36421" spans="1:2" x14ac:dyDescent="0.25">
      <c r="A36421">
        <v>821191009</v>
      </c>
      <c r="B36421" t="s">
        <v>10</v>
      </c>
    </row>
    <row r="36422" spans="1:2" x14ac:dyDescent="0.25">
      <c r="A36422">
        <v>82119100910</v>
      </c>
      <c r="B36422" t="s">
        <v>10651</v>
      </c>
    </row>
    <row r="36423" spans="1:2" x14ac:dyDescent="0.25">
      <c r="A36423">
        <v>82119100920</v>
      </c>
      <c r="B36423" t="s">
        <v>10655</v>
      </c>
    </row>
    <row r="36424" spans="1:2" x14ac:dyDescent="0.25">
      <c r="A36424">
        <v>82119100990</v>
      </c>
      <c r="B36424" t="s">
        <v>10</v>
      </c>
    </row>
    <row r="36425" spans="1:2" x14ac:dyDescent="0.25">
      <c r="A36425">
        <v>821192</v>
      </c>
      <c r="B36425" t="e">
        <f>- - Los demas Cuchillos de hoja fija</f>
        <v>#NAME?</v>
      </c>
    </row>
    <row r="36426" spans="1:2" x14ac:dyDescent="0.25">
      <c r="A36426">
        <v>82119210</v>
      </c>
      <c r="B36426" t="s">
        <v>10945</v>
      </c>
    </row>
    <row r="36427" spans="1:2" x14ac:dyDescent="0.25">
      <c r="A36427">
        <v>821192101</v>
      </c>
      <c r="B36427" t="s">
        <v>9795</v>
      </c>
    </row>
    <row r="36428" spans="1:2" x14ac:dyDescent="0.25">
      <c r="A36428">
        <v>82119210110</v>
      </c>
      <c r="B36428" t="s">
        <v>10651</v>
      </c>
    </row>
    <row r="36429" spans="1:2" x14ac:dyDescent="0.25">
      <c r="A36429">
        <v>82119210120</v>
      </c>
      <c r="B36429" t="s">
        <v>10655</v>
      </c>
    </row>
    <row r="36430" spans="1:2" x14ac:dyDescent="0.25">
      <c r="A36430">
        <v>82119210190</v>
      </c>
      <c r="B36430" t="s">
        <v>10</v>
      </c>
    </row>
    <row r="36431" spans="1:2" x14ac:dyDescent="0.25">
      <c r="A36431">
        <v>821192109</v>
      </c>
      <c r="B36431" t="s">
        <v>10</v>
      </c>
    </row>
    <row r="36432" spans="1:2" x14ac:dyDescent="0.25">
      <c r="A36432">
        <v>82119210910</v>
      </c>
      <c r="B36432" t="s">
        <v>10651</v>
      </c>
    </row>
    <row r="36433" spans="1:2" x14ac:dyDescent="0.25">
      <c r="A36433">
        <v>82119210920</v>
      </c>
      <c r="B36433" t="s">
        <v>10655</v>
      </c>
    </row>
    <row r="36434" spans="1:2" x14ac:dyDescent="0.25">
      <c r="A36434">
        <v>82119210990</v>
      </c>
      <c r="B36434" t="s">
        <v>10</v>
      </c>
    </row>
    <row r="36435" spans="1:2" x14ac:dyDescent="0.25">
      <c r="A36435">
        <v>82119220</v>
      </c>
      <c r="B36435" t="s">
        <v>10946</v>
      </c>
    </row>
    <row r="36436" spans="1:2" x14ac:dyDescent="0.25">
      <c r="A36436">
        <v>821192201</v>
      </c>
      <c r="B36436" t="s">
        <v>9795</v>
      </c>
    </row>
    <row r="36437" spans="1:2" x14ac:dyDescent="0.25">
      <c r="A36437">
        <v>82119220110</v>
      </c>
      <c r="B36437" t="s">
        <v>10651</v>
      </c>
    </row>
    <row r="36438" spans="1:2" x14ac:dyDescent="0.25">
      <c r="A36438">
        <v>82119220120</v>
      </c>
      <c r="B36438" t="s">
        <v>10655</v>
      </c>
    </row>
    <row r="36439" spans="1:2" x14ac:dyDescent="0.25">
      <c r="A36439">
        <v>82119220190</v>
      </c>
      <c r="B36439" t="s">
        <v>10</v>
      </c>
    </row>
    <row r="36440" spans="1:2" x14ac:dyDescent="0.25">
      <c r="A36440">
        <v>821192209</v>
      </c>
      <c r="B36440" t="s">
        <v>10</v>
      </c>
    </row>
    <row r="36441" spans="1:2" x14ac:dyDescent="0.25">
      <c r="A36441">
        <v>82119220910</v>
      </c>
      <c r="B36441" t="s">
        <v>10651</v>
      </c>
    </row>
    <row r="36442" spans="1:2" x14ac:dyDescent="0.25">
      <c r="A36442">
        <v>82119220920</v>
      </c>
      <c r="B36442" t="s">
        <v>10655</v>
      </c>
    </row>
    <row r="36443" spans="1:2" x14ac:dyDescent="0.25">
      <c r="A36443">
        <v>82119220990</v>
      </c>
      <c r="B36443" t="s">
        <v>10</v>
      </c>
    </row>
    <row r="36444" spans="1:2" x14ac:dyDescent="0.25">
      <c r="A36444">
        <v>82119290</v>
      </c>
      <c r="B36444" t="s">
        <v>10</v>
      </c>
    </row>
    <row r="36445" spans="1:2" x14ac:dyDescent="0.25">
      <c r="A36445">
        <v>821192901</v>
      </c>
      <c r="B36445" t="s">
        <v>9795</v>
      </c>
    </row>
    <row r="36446" spans="1:2" x14ac:dyDescent="0.25">
      <c r="A36446">
        <v>82119290110</v>
      </c>
      <c r="B36446" t="s">
        <v>10651</v>
      </c>
    </row>
    <row r="36447" spans="1:2" x14ac:dyDescent="0.25">
      <c r="A36447">
        <v>82119290120</v>
      </c>
      <c r="B36447" t="s">
        <v>10655</v>
      </c>
    </row>
    <row r="36448" spans="1:2" x14ac:dyDescent="0.25">
      <c r="A36448">
        <v>82119290190</v>
      </c>
      <c r="B36448" t="s">
        <v>10</v>
      </c>
    </row>
    <row r="36449" spans="1:2" x14ac:dyDescent="0.25">
      <c r="A36449">
        <v>821192909</v>
      </c>
      <c r="B36449" t="s">
        <v>10</v>
      </c>
    </row>
    <row r="36450" spans="1:2" x14ac:dyDescent="0.25">
      <c r="A36450">
        <v>82119290910</v>
      </c>
      <c r="B36450" t="s">
        <v>10651</v>
      </c>
    </row>
    <row r="36451" spans="1:2" x14ac:dyDescent="0.25">
      <c r="A36451">
        <v>82119290920</v>
      </c>
      <c r="B36451" t="s">
        <v>10655</v>
      </c>
    </row>
    <row r="36452" spans="1:2" x14ac:dyDescent="0.25">
      <c r="A36452">
        <v>82119290990</v>
      </c>
      <c r="B36452" t="s">
        <v>10</v>
      </c>
    </row>
    <row r="36453" spans="1:2" x14ac:dyDescent="0.25">
      <c r="A36453">
        <v>821193</v>
      </c>
      <c r="B36453" t="e">
        <f>- - Cuchillos. excepto Los de hoja fija. incluidas las navajas de podar</f>
        <v>#NAME?</v>
      </c>
    </row>
    <row r="36454" spans="1:2" x14ac:dyDescent="0.25">
      <c r="A36454">
        <v>82119310000</v>
      </c>
      <c r="B36454" t="s">
        <v>10947</v>
      </c>
    </row>
    <row r="36455" spans="1:2" x14ac:dyDescent="0.25">
      <c r="A36455">
        <v>82119320</v>
      </c>
      <c r="B36455" t="s">
        <v>10948</v>
      </c>
    </row>
    <row r="36456" spans="1:2" x14ac:dyDescent="0.25">
      <c r="A36456">
        <v>82119320100</v>
      </c>
      <c r="B36456" t="s">
        <v>10949</v>
      </c>
    </row>
    <row r="36457" spans="1:2" x14ac:dyDescent="0.25">
      <c r="A36457">
        <v>82119320200</v>
      </c>
      <c r="B36457" t="s">
        <v>10950</v>
      </c>
    </row>
    <row r="36458" spans="1:2" x14ac:dyDescent="0.25">
      <c r="A36458">
        <v>82119320300</v>
      </c>
      <c r="B36458" t="s">
        <v>10951</v>
      </c>
    </row>
    <row r="36459" spans="1:2" x14ac:dyDescent="0.25">
      <c r="A36459">
        <v>82119320900</v>
      </c>
      <c r="B36459" t="s">
        <v>10</v>
      </c>
    </row>
    <row r="36460" spans="1:2" x14ac:dyDescent="0.25">
      <c r="A36460">
        <v>82119390000</v>
      </c>
      <c r="B36460" t="s">
        <v>10</v>
      </c>
    </row>
    <row r="36461" spans="1:2" x14ac:dyDescent="0.25">
      <c r="A36461">
        <v>82119400000</v>
      </c>
      <c r="B36461" t="e">
        <f>--Hojas</f>
        <v>#NAME?</v>
      </c>
    </row>
    <row r="36462" spans="1:2" x14ac:dyDescent="0.25">
      <c r="A36462">
        <v>82119500000</v>
      </c>
      <c r="B36462" t="e">
        <f>--mangos de Metal comun</f>
        <v>#NAME?</v>
      </c>
    </row>
    <row r="36463" spans="1:2" x14ac:dyDescent="0.25">
      <c r="A36463">
        <v>8212</v>
      </c>
      <c r="B36463" t="s">
        <v>10952</v>
      </c>
    </row>
    <row r="36464" spans="1:2" x14ac:dyDescent="0.25">
      <c r="A36464">
        <v>821210</v>
      </c>
      <c r="B36464" t="e">
        <f>- navajas y maquinas de afeitar</f>
        <v>#NAME?</v>
      </c>
    </row>
    <row r="36465" spans="1:2" x14ac:dyDescent="0.25">
      <c r="A36465">
        <v>82121010000</v>
      </c>
      <c r="B36465" t="s">
        <v>10953</v>
      </c>
    </row>
    <row r="36466" spans="1:2" x14ac:dyDescent="0.25">
      <c r="A36466">
        <v>82121020</v>
      </c>
      <c r="B36466" t="s">
        <v>10954</v>
      </c>
    </row>
    <row r="36467" spans="1:2" x14ac:dyDescent="0.25">
      <c r="A36467">
        <v>821210201</v>
      </c>
      <c r="B36467" t="s">
        <v>9391</v>
      </c>
    </row>
    <row r="36468" spans="1:2" x14ac:dyDescent="0.25">
      <c r="A36468">
        <v>8212102011</v>
      </c>
      <c r="B36468" t="s">
        <v>10955</v>
      </c>
    </row>
    <row r="36469" spans="1:2" x14ac:dyDescent="0.25">
      <c r="A36469">
        <v>82121020111</v>
      </c>
      <c r="B36469" t="s">
        <v>10956</v>
      </c>
    </row>
    <row r="36470" spans="1:2" x14ac:dyDescent="0.25">
      <c r="A36470">
        <v>82121020112</v>
      </c>
      <c r="B36470" t="s">
        <v>10957</v>
      </c>
    </row>
    <row r="36471" spans="1:2" x14ac:dyDescent="0.25">
      <c r="A36471">
        <v>82121020119</v>
      </c>
      <c r="B36471" t="s">
        <v>57</v>
      </c>
    </row>
    <row r="36472" spans="1:2" x14ac:dyDescent="0.25">
      <c r="A36472">
        <v>82121020190</v>
      </c>
      <c r="B36472" t="s">
        <v>57</v>
      </c>
    </row>
    <row r="36473" spans="1:2" x14ac:dyDescent="0.25">
      <c r="A36473">
        <v>82121020900</v>
      </c>
      <c r="B36473" t="s">
        <v>57</v>
      </c>
    </row>
    <row r="36474" spans="1:2" x14ac:dyDescent="0.25">
      <c r="A36474">
        <v>821220</v>
      </c>
      <c r="B36474" t="e">
        <f>- Hojas para maquinillas de afeitar. incluidos Los esbozos En fleje</f>
        <v>#NAME?</v>
      </c>
    </row>
    <row r="36475" spans="1:2" x14ac:dyDescent="0.25">
      <c r="A36475">
        <v>82122010000</v>
      </c>
      <c r="B36475" t="s">
        <v>10958</v>
      </c>
    </row>
    <row r="36476" spans="1:2" x14ac:dyDescent="0.25">
      <c r="A36476">
        <v>82122020000</v>
      </c>
      <c r="B36476" t="s">
        <v>10959</v>
      </c>
    </row>
    <row r="36477" spans="1:2" x14ac:dyDescent="0.25">
      <c r="A36477">
        <v>82129000000</v>
      </c>
      <c r="B36477" t="e">
        <f>-las demas partes</f>
        <v>#NAME?</v>
      </c>
    </row>
    <row r="36478" spans="1:2" x14ac:dyDescent="0.25">
      <c r="A36478">
        <v>82130000</v>
      </c>
      <c r="B36478" t="s">
        <v>10960</v>
      </c>
    </row>
    <row r="36479" spans="1:2" x14ac:dyDescent="0.25">
      <c r="A36479">
        <v>82130000100</v>
      </c>
      <c r="B36479" t="s">
        <v>10961</v>
      </c>
    </row>
    <row r="36480" spans="1:2" x14ac:dyDescent="0.25">
      <c r="A36480">
        <v>82130000900</v>
      </c>
      <c r="B36480" t="s">
        <v>10</v>
      </c>
    </row>
    <row r="36481" spans="1:2" x14ac:dyDescent="0.25">
      <c r="A36481">
        <v>8214</v>
      </c>
      <c r="B36481" t="s">
        <v>10962</v>
      </c>
    </row>
    <row r="36482" spans="1:2" x14ac:dyDescent="0.25">
      <c r="A36482">
        <v>82141000</v>
      </c>
      <c r="B36482" t="e">
        <f>- Cortapapeles. abrecartas. raspadores. sacapuntas y sus cuchillas</f>
        <v>#NAME?</v>
      </c>
    </row>
    <row r="36483" spans="1:2" x14ac:dyDescent="0.25">
      <c r="A36483">
        <v>82141000100</v>
      </c>
      <c r="B36483" t="s">
        <v>10963</v>
      </c>
    </row>
    <row r="36484" spans="1:2" x14ac:dyDescent="0.25">
      <c r="A36484">
        <v>82141000900</v>
      </c>
      <c r="B36484" t="s">
        <v>10</v>
      </c>
    </row>
    <row r="36485" spans="1:2" x14ac:dyDescent="0.25">
      <c r="A36485">
        <v>82142000</v>
      </c>
      <c r="B36485" t="e">
        <f>- herramientas y juegos de herramientas de manicura o de pedicuro (incluidas las limas para uñas)</f>
        <v>#NAME?</v>
      </c>
    </row>
    <row r="36486" spans="1:2" x14ac:dyDescent="0.25">
      <c r="A36486">
        <v>821420001</v>
      </c>
      <c r="B36486" t="s">
        <v>10964</v>
      </c>
    </row>
    <row r="36487" spans="1:2" x14ac:dyDescent="0.25">
      <c r="A36487">
        <v>82142000110</v>
      </c>
      <c r="B36487" t="s">
        <v>10965</v>
      </c>
    </row>
    <row r="36488" spans="1:2" x14ac:dyDescent="0.25">
      <c r="A36488">
        <v>82142000190</v>
      </c>
      <c r="B36488" t="s">
        <v>10</v>
      </c>
    </row>
    <row r="36489" spans="1:2" x14ac:dyDescent="0.25">
      <c r="A36489">
        <v>82142000200</v>
      </c>
      <c r="B36489" t="s">
        <v>10966</v>
      </c>
    </row>
    <row r="36490" spans="1:2" x14ac:dyDescent="0.25">
      <c r="A36490">
        <v>82142000300</v>
      </c>
      <c r="B36490" t="s">
        <v>10967</v>
      </c>
    </row>
    <row r="36491" spans="1:2" x14ac:dyDescent="0.25">
      <c r="A36491">
        <v>82142000900</v>
      </c>
      <c r="B36491" t="s">
        <v>10</v>
      </c>
    </row>
    <row r="36492" spans="1:2" x14ac:dyDescent="0.25">
      <c r="A36492">
        <v>821490</v>
      </c>
      <c r="B36492" t="e">
        <f>- Los demas</f>
        <v>#NAME?</v>
      </c>
    </row>
    <row r="36493" spans="1:2" x14ac:dyDescent="0.25">
      <c r="A36493">
        <v>82149010000</v>
      </c>
      <c r="B36493" t="s">
        <v>10968</v>
      </c>
    </row>
    <row r="36494" spans="1:2" x14ac:dyDescent="0.25">
      <c r="A36494">
        <v>82149090</v>
      </c>
      <c r="B36494" t="s">
        <v>10</v>
      </c>
    </row>
    <row r="36495" spans="1:2" x14ac:dyDescent="0.25">
      <c r="A36495">
        <v>82149090100</v>
      </c>
      <c r="B36495" t="s">
        <v>10969</v>
      </c>
    </row>
    <row r="36496" spans="1:2" x14ac:dyDescent="0.25">
      <c r="A36496">
        <v>82149090900</v>
      </c>
      <c r="B36496" t="s">
        <v>10</v>
      </c>
    </row>
    <row r="36497" spans="1:2" x14ac:dyDescent="0.25">
      <c r="A36497">
        <v>8215</v>
      </c>
      <c r="B36497" t="s">
        <v>10970</v>
      </c>
    </row>
    <row r="36498" spans="1:2" x14ac:dyDescent="0.25">
      <c r="A36498">
        <v>82151000000</v>
      </c>
      <c r="B36498" t="e">
        <f>-surtidos que contengan por lo menos un objeto plateado. dorado o platinado</f>
        <v>#NAME?</v>
      </c>
    </row>
    <row r="36499" spans="1:2" x14ac:dyDescent="0.25">
      <c r="A36499">
        <v>82152000</v>
      </c>
      <c r="B36499" t="e">
        <f>- Los demas surtidos</f>
        <v>#NAME?</v>
      </c>
    </row>
    <row r="36500" spans="1:2" x14ac:dyDescent="0.25">
      <c r="A36500">
        <v>82152000100</v>
      </c>
      <c r="B36500" t="s">
        <v>10971</v>
      </c>
    </row>
    <row r="36501" spans="1:2" x14ac:dyDescent="0.25">
      <c r="A36501">
        <v>82152000200</v>
      </c>
      <c r="B36501" t="s">
        <v>10972</v>
      </c>
    </row>
    <row r="36502" spans="1:2" x14ac:dyDescent="0.25">
      <c r="A36502">
        <v>821520009</v>
      </c>
      <c r="B36502" t="s">
        <v>10</v>
      </c>
    </row>
    <row r="36503" spans="1:2" x14ac:dyDescent="0.25">
      <c r="A36503">
        <v>82152000910</v>
      </c>
      <c r="B36503" t="s">
        <v>10651</v>
      </c>
    </row>
    <row r="36504" spans="1:2" x14ac:dyDescent="0.25">
      <c r="A36504">
        <v>82152000920</v>
      </c>
      <c r="B36504" t="s">
        <v>10655</v>
      </c>
    </row>
    <row r="36505" spans="1:2" x14ac:dyDescent="0.25">
      <c r="A36505">
        <v>82152000990</v>
      </c>
      <c r="B36505" t="s">
        <v>10</v>
      </c>
    </row>
    <row r="36506" spans="1:2" x14ac:dyDescent="0.25">
      <c r="A36506">
        <v>82159</v>
      </c>
      <c r="B36506" t="s">
        <v>28</v>
      </c>
    </row>
    <row r="36507" spans="1:2" x14ac:dyDescent="0.25">
      <c r="A36507">
        <v>82159100000</v>
      </c>
      <c r="B36507" t="e">
        <f>--Plateados. dorados o platinados</f>
        <v>#NAME?</v>
      </c>
    </row>
    <row r="36508" spans="1:2" x14ac:dyDescent="0.25">
      <c r="A36508">
        <v>821599</v>
      </c>
      <c r="B36508" t="e">
        <f>- - Los demas</f>
        <v>#NAME?</v>
      </c>
    </row>
    <row r="36509" spans="1:2" x14ac:dyDescent="0.25">
      <c r="A36509">
        <v>82159910</v>
      </c>
      <c r="B36509" t="s">
        <v>9795</v>
      </c>
    </row>
    <row r="36510" spans="1:2" x14ac:dyDescent="0.25">
      <c r="A36510">
        <v>821599101</v>
      </c>
      <c r="B36510" t="s">
        <v>10973</v>
      </c>
    </row>
    <row r="36511" spans="1:2" x14ac:dyDescent="0.25">
      <c r="A36511">
        <v>82159910110</v>
      </c>
      <c r="B36511" t="s">
        <v>10974</v>
      </c>
    </row>
    <row r="36512" spans="1:2" x14ac:dyDescent="0.25">
      <c r="A36512">
        <v>82159910120</v>
      </c>
      <c r="B36512" t="s">
        <v>10975</v>
      </c>
    </row>
    <row r="36513" spans="1:2" x14ac:dyDescent="0.25">
      <c r="A36513">
        <v>82159910130</v>
      </c>
      <c r="B36513" t="s">
        <v>10976</v>
      </c>
    </row>
    <row r="36514" spans="1:2" x14ac:dyDescent="0.25">
      <c r="A36514">
        <v>82159910140</v>
      </c>
      <c r="B36514" t="s">
        <v>10977</v>
      </c>
    </row>
    <row r="36515" spans="1:2" x14ac:dyDescent="0.25">
      <c r="A36515">
        <v>8215991019</v>
      </c>
      <c r="B36515" t="s">
        <v>57</v>
      </c>
    </row>
    <row r="36516" spans="1:2" x14ac:dyDescent="0.25">
      <c r="A36516">
        <v>82159910191</v>
      </c>
      <c r="B36516" t="s">
        <v>10651</v>
      </c>
    </row>
    <row r="36517" spans="1:2" x14ac:dyDescent="0.25">
      <c r="A36517">
        <v>82159910192</v>
      </c>
      <c r="B36517" t="s">
        <v>10655</v>
      </c>
    </row>
    <row r="36518" spans="1:2" x14ac:dyDescent="0.25">
      <c r="A36518">
        <v>82159910199</v>
      </c>
      <c r="B36518" t="s">
        <v>10</v>
      </c>
    </row>
    <row r="36519" spans="1:2" x14ac:dyDescent="0.25">
      <c r="A36519">
        <v>821599102</v>
      </c>
      <c r="B36519" t="s">
        <v>10978</v>
      </c>
    </row>
    <row r="36520" spans="1:2" x14ac:dyDescent="0.25">
      <c r="A36520">
        <v>82159910210</v>
      </c>
      <c r="B36520" t="s">
        <v>10974</v>
      </c>
    </row>
    <row r="36521" spans="1:2" x14ac:dyDescent="0.25">
      <c r="A36521">
        <v>82159910220</v>
      </c>
      <c r="B36521" t="s">
        <v>10975</v>
      </c>
    </row>
    <row r="36522" spans="1:2" x14ac:dyDescent="0.25">
      <c r="A36522">
        <v>82159910230</v>
      </c>
      <c r="B36522" t="s">
        <v>10979</v>
      </c>
    </row>
    <row r="36523" spans="1:2" x14ac:dyDescent="0.25">
      <c r="A36523">
        <v>8215991029</v>
      </c>
      <c r="B36523" t="s">
        <v>10</v>
      </c>
    </row>
    <row r="36524" spans="1:2" x14ac:dyDescent="0.25">
      <c r="A36524">
        <v>82159910291</v>
      </c>
      <c r="B36524" t="s">
        <v>10651</v>
      </c>
    </row>
    <row r="36525" spans="1:2" x14ac:dyDescent="0.25">
      <c r="A36525">
        <v>82159910292</v>
      </c>
      <c r="B36525" t="s">
        <v>10655</v>
      </c>
    </row>
    <row r="36526" spans="1:2" x14ac:dyDescent="0.25">
      <c r="A36526">
        <v>82159910299</v>
      </c>
      <c r="B36526" t="s">
        <v>10</v>
      </c>
    </row>
    <row r="36527" spans="1:2" x14ac:dyDescent="0.25">
      <c r="A36527">
        <v>82159910300</v>
      </c>
      <c r="B36527" t="s">
        <v>10980</v>
      </c>
    </row>
    <row r="36528" spans="1:2" x14ac:dyDescent="0.25">
      <c r="A36528">
        <v>821599109</v>
      </c>
      <c r="B36528" t="s">
        <v>10</v>
      </c>
    </row>
    <row r="36529" spans="1:2" x14ac:dyDescent="0.25">
      <c r="A36529">
        <v>82159910910</v>
      </c>
      <c r="B36529" t="s">
        <v>10651</v>
      </c>
    </row>
    <row r="36530" spans="1:2" x14ac:dyDescent="0.25">
      <c r="A36530">
        <v>82159910920</v>
      </c>
      <c r="B36530" t="s">
        <v>10655</v>
      </c>
    </row>
    <row r="36531" spans="1:2" x14ac:dyDescent="0.25">
      <c r="A36531">
        <v>82159910990</v>
      </c>
      <c r="B36531" t="s">
        <v>10</v>
      </c>
    </row>
    <row r="36532" spans="1:2" x14ac:dyDescent="0.25">
      <c r="A36532">
        <v>82159990</v>
      </c>
      <c r="B36532" t="s">
        <v>10</v>
      </c>
    </row>
    <row r="36533" spans="1:2" x14ac:dyDescent="0.25">
      <c r="A36533">
        <v>82159990100</v>
      </c>
      <c r="B36533" t="s">
        <v>10651</v>
      </c>
    </row>
    <row r="36534" spans="1:2" x14ac:dyDescent="0.25">
      <c r="A36534">
        <v>82159990200</v>
      </c>
      <c r="B36534" t="s">
        <v>10655</v>
      </c>
    </row>
    <row r="36535" spans="1:2" x14ac:dyDescent="0.25">
      <c r="A36535">
        <v>82159990900</v>
      </c>
      <c r="B36535" t="s">
        <v>10</v>
      </c>
    </row>
    <row r="36536" spans="1:2" x14ac:dyDescent="0.25">
      <c r="A36536">
        <v>8301</v>
      </c>
      <c r="B36536" t="s">
        <v>10981</v>
      </c>
    </row>
    <row r="36537" spans="1:2" x14ac:dyDescent="0.25">
      <c r="A36537">
        <v>83011000</v>
      </c>
      <c r="B36537" t="e">
        <f>- Candados</f>
        <v>#NAME?</v>
      </c>
    </row>
    <row r="36538" spans="1:2" x14ac:dyDescent="0.25">
      <c r="A36538">
        <v>830110001</v>
      </c>
      <c r="B36538" t="s">
        <v>10982</v>
      </c>
    </row>
    <row r="36539" spans="1:2" x14ac:dyDescent="0.25">
      <c r="A36539">
        <v>83011000110</v>
      </c>
      <c r="B36539" t="s">
        <v>10983</v>
      </c>
    </row>
    <row r="36540" spans="1:2" x14ac:dyDescent="0.25">
      <c r="A36540">
        <v>83011000120</v>
      </c>
      <c r="B36540" t="s">
        <v>10984</v>
      </c>
    </row>
    <row r="36541" spans="1:2" x14ac:dyDescent="0.25">
      <c r="A36541">
        <v>83011000130</v>
      </c>
      <c r="B36541" t="s">
        <v>10985</v>
      </c>
    </row>
    <row r="36542" spans="1:2" x14ac:dyDescent="0.25">
      <c r="A36542">
        <v>83011000190</v>
      </c>
      <c r="B36542" t="s">
        <v>10</v>
      </c>
    </row>
    <row r="36543" spans="1:2" x14ac:dyDescent="0.25">
      <c r="A36543">
        <v>83011000900</v>
      </c>
      <c r="B36543" t="s">
        <v>10</v>
      </c>
    </row>
    <row r="36544" spans="1:2" x14ac:dyDescent="0.25">
      <c r="A36544">
        <v>83012000000</v>
      </c>
      <c r="B36544" t="e">
        <f>-Cerraduras de Los tipos utilizados En vehiculos automoviles</f>
        <v>#NAME?</v>
      </c>
    </row>
    <row r="36545" spans="1:2" x14ac:dyDescent="0.25">
      <c r="A36545">
        <v>83013000</v>
      </c>
      <c r="B36545" t="e">
        <f>- Cerraduras de Los tipos utilizados En muebles</f>
        <v>#NAME?</v>
      </c>
    </row>
    <row r="36546" spans="1:2" x14ac:dyDescent="0.25">
      <c r="A36546">
        <v>83013000100</v>
      </c>
      <c r="B36546" t="s">
        <v>10986</v>
      </c>
    </row>
    <row r="36547" spans="1:2" x14ac:dyDescent="0.25">
      <c r="A36547">
        <v>83013000200</v>
      </c>
      <c r="B36547" t="s">
        <v>10987</v>
      </c>
    </row>
    <row r="36548" spans="1:2" x14ac:dyDescent="0.25">
      <c r="A36548">
        <v>83013000900</v>
      </c>
      <c r="B36548" t="s">
        <v>57</v>
      </c>
    </row>
    <row r="36549" spans="1:2" x14ac:dyDescent="0.25">
      <c r="A36549">
        <v>83014000</v>
      </c>
      <c r="B36549" t="e">
        <f>- las demas Cerraduras, cerrojos</f>
        <v>#NAME?</v>
      </c>
    </row>
    <row r="36550" spans="1:2" x14ac:dyDescent="0.25">
      <c r="A36550">
        <v>830140001</v>
      </c>
      <c r="B36550" t="s">
        <v>10988</v>
      </c>
    </row>
    <row r="36551" spans="1:2" x14ac:dyDescent="0.25">
      <c r="A36551">
        <v>8301400011</v>
      </c>
      <c r="B36551" t="s">
        <v>10989</v>
      </c>
    </row>
    <row r="36552" spans="1:2" x14ac:dyDescent="0.25">
      <c r="A36552">
        <v>83014000111</v>
      </c>
      <c r="B36552" t="s">
        <v>10986</v>
      </c>
    </row>
    <row r="36553" spans="1:2" x14ac:dyDescent="0.25">
      <c r="A36553">
        <v>83014000112</v>
      </c>
      <c r="B36553" t="s">
        <v>10990</v>
      </c>
    </row>
    <row r="36554" spans="1:2" x14ac:dyDescent="0.25">
      <c r="A36554">
        <v>83014000113</v>
      </c>
      <c r="B36554" t="s">
        <v>10987</v>
      </c>
    </row>
    <row r="36555" spans="1:2" x14ac:dyDescent="0.25">
      <c r="A36555">
        <v>83014000119</v>
      </c>
      <c r="B36555" t="s">
        <v>57</v>
      </c>
    </row>
    <row r="36556" spans="1:2" x14ac:dyDescent="0.25">
      <c r="A36556">
        <v>8301400012</v>
      </c>
      <c r="B36556" t="s">
        <v>10991</v>
      </c>
    </row>
    <row r="36557" spans="1:2" x14ac:dyDescent="0.25">
      <c r="A36557">
        <v>83014000121</v>
      </c>
      <c r="B36557" t="s">
        <v>10992</v>
      </c>
    </row>
    <row r="36558" spans="1:2" x14ac:dyDescent="0.25">
      <c r="A36558">
        <v>83014000122</v>
      </c>
      <c r="B36558" t="s">
        <v>10993</v>
      </c>
    </row>
    <row r="36559" spans="1:2" x14ac:dyDescent="0.25">
      <c r="A36559">
        <v>83014000129</v>
      </c>
      <c r="B36559" t="s">
        <v>57</v>
      </c>
    </row>
    <row r="36560" spans="1:2" x14ac:dyDescent="0.25">
      <c r="A36560">
        <v>8301400013</v>
      </c>
      <c r="B36560" t="s">
        <v>10994</v>
      </c>
    </row>
    <row r="36561" spans="1:2" x14ac:dyDescent="0.25">
      <c r="A36561">
        <v>83014000131</v>
      </c>
      <c r="B36561" t="s">
        <v>10995</v>
      </c>
    </row>
    <row r="36562" spans="1:2" x14ac:dyDescent="0.25">
      <c r="A36562">
        <v>83014000132</v>
      </c>
      <c r="B36562" t="s">
        <v>10996</v>
      </c>
    </row>
    <row r="36563" spans="1:2" x14ac:dyDescent="0.25">
      <c r="A36563">
        <v>83014000139</v>
      </c>
      <c r="B36563" t="s">
        <v>57</v>
      </c>
    </row>
    <row r="36564" spans="1:2" x14ac:dyDescent="0.25">
      <c r="A36564">
        <v>8301400019</v>
      </c>
      <c r="B36564" t="s">
        <v>57</v>
      </c>
    </row>
    <row r="36565" spans="1:2" x14ac:dyDescent="0.25">
      <c r="A36565">
        <v>83014000191</v>
      </c>
      <c r="B36565" t="s">
        <v>10986</v>
      </c>
    </row>
    <row r="36566" spans="1:2" x14ac:dyDescent="0.25">
      <c r="A36566">
        <v>83014000192</v>
      </c>
      <c r="B36566" t="s">
        <v>10987</v>
      </c>
    </row>
    <row r="36567" spans="1:2" x14ac:dyDescent="0.25">
      <c r="A36567">
        <v>83014000193</v>
      </c>
      <c r="B36567" t="s">
        <v>10997</v>
      </c>
    </row>
    <row r="36568" spans="1:2" x14ac:dyDescent="0.25">
      <c r="A36568">
        <v>83014000199</v>
      </c>
      <c r="B36568" t="s">
        <v>57</v>
      </c>
    </row>
    <row r="36569" spans="1:2" x14ac:dyDescent="0.25">
      <c r="A36569">
        <v>830140002</v>
      </c>
      <c r="B36569" t="s">
        <v>10998</v>
      </c>
    </row>
    <row r="36570" spans="1:2" x14ac:dyDescent="0.25">
      <c r="A36570">
        <v>8301400021</v>
      </c>
      <c r="B36570" t="s">
        <v>10989</v>
      </c>
    </row>
    <row r="36571" spans="1:2" x14ac:dyDescent="0.25">
      <c r="A36571">
        <v>83014000211</v>
      </c>
      <c r="B36571" t="s">
        <v>10986</v>
      </c>
    </row>
    <row r="36572" spans="1:2" x14ac:dyDescent="0.25">
      <c r="A36572">
        <v>83014000212</v>
      </c>
      <c r="B36572" t="s">
        <v>10987</v>
      </c>
    </row>
    <row r="36573" spans="1:2" x14ac:dyDescent="0.25">
      <c r="A36573">
        <v>83014000213</v>
      </c>
      <c r="B36573" t="s">
        <v>10997</v>
      </c>
    </row>
    <row r="36574" spans="1:2" x14ac:dyDescent="0.25">
      <c r="A36574">
        <v>83014000219</v>
      </c>
      <c r="B36574" t="s">
        <v>10</v>
      </c>
    </row>
    <row r="36575" spans="1:2" x14ac:dyDescent="0.25">
      <c r="A36575">
        <v>8301400022</v>
      </c>
      <c r="B36575" t="s">
        <v>10999</v>
      </c>
    </row>
    <row r="36576" spans="1:2" x14ac:dyDescent="0.25">
      <c r="A36576">
        <v>83014000221</v>
      </c>
      <c r="B36576" t="s">
        <v>10986</v>
      </c>
    </row>
    <row r="36577" spans="1:2" x14ac:dyDescent="0.25">
      <c r="A36577">
        <v>83014000222</v>
      </c>
      <c r="B36577" t="s">
        <v>10990</v>
      </c>
    </row>
    <row r="36578" spans="1:2" x14ac:dyDescent="0.25">
      <c r="A36578">
        <v>83014000223</v>
      </c>
      <c r="B36578" t="s">
        <v>10987</v>
      </c>
    </row>
    <row r="36579" spans="1:2" x14ac:dyDescent="0.25">
      <c r="A36579">
        <v>83014000229</v>
      </c>
      <c r="B36579" t="s">
        <v>10</v>
      </c>
    </row>
    <row r="36580" spans="1:2" x14ac:dyDescent="0.25">
      <c r="A36580">
        <v>8301400029</v>
      </c>
      <c r="B36580" t="s">
        <v>10</v>
      </c>
    </row>
    <row r="36581" spans="1:2" x14ac:dyDescent="0.25">
      <c r="A36581">
        <v>83014000291</v>
      </c>
      <c r="B36581" t="s">
        <v>10986</v>
      </c>
    </row>
    <row r="36582" spans="1:2" x14ac:dyDescent="0.25">
      <c r="A36582">
        <v>83014000292</v>
      </c>
      <c r="B36582" t="s">
        <v>10990</v>
      </c>
    </row>
    <row r="36583" spans="1:2" x14ac:dyDescent="0.25">
      <c r="A36583">
        <v>83014000293</v>
      </c>
      <c r="B36583" t="s">
        <v>10997</v>
      </c>
    </row>
    <row r="36584" spans="1:2" x14ac:dyDescent="0.25">
      <c r="A36584">
        <v>83014000299</v>
      </c>
      <c r="B36584" t="s">
        <v>10</v>
      </c>
    </row>
    <row r="36585" spans="1:2" x14ac:dyDescent="0.25">
      <c r="A36585">
        <v>83015000000</v>
      </c>
      <c r="B36585" t="e">
        <f>-Cierres y Monturas cierre. Con cerradura incorporada</f>
        <v>#NAME?</v>
      </c>
    </row>
    <row r="36586" spans="1:2" x14ac:dyDescent="0.25">
      <c r="A36586">
        <v>83016000</v>
      </c>
      <c r="B36586" t="e">
        <f>- partes</f>
        <v>#NAME?</v>
      </c>
    </row>
    <row r="36587" spans="1:2" x14ac:dyDescent="0.25">
      <c r="A36587">
        <v>83016000100</v>
      </c>
      <c r="B36587" t="s">
        <v>11000</v>
      </c>
    </row>
    <row r="36588" spans="1:2" x14ac:dyDescent="0.25">
      <c r="A36588">
        <v>83016000900</v>
      </c>
      <c r="B36588" t="s">
        <v>10</v>
      </c>
    </row>
    <row r="36589" spans="1:2" x14ac:dyDescent="0.25">
      <c r="A36589">
        <v>83017000000</v>
      </c>
      <c r="B36589" t="e">
        <f>-Llaves presentadas aisladamente</f>
        <v>#NAME?</v>
      </c>
    </row>
    <row r="36590" spans="1:2" x14ac:dyDescent="0.25">
      <c r="A36590">
        <v>8302</v>
      </c>
      <c r="B36590" t="s">
        <v>11001</v>
      </c>
    </row>
    <row r="36591" spans="1:2" x14ac:dyDescent="0.25">
      <c r="A36591">
        <v>83021000</v>
      </c>
      <c r="B36591" t="e">
        <f>- Bisagras de cualquier clase (incluidos Los pernios y demas goznes)</f>
        <v>#NAME?</v>
      </c>
    </row>
    <row r="36592" spans="1:2" x14ac:dyDescent="0.25">
      <c r="A36592">
        <v>830210001</v>
      </c>
      <c r="B36592" t="s">
        <v>11002</v>
      </c>
    </row>
    <row r="36593" spans="1:2" x14ac:dyDescent="0.25">
      <c r="A36593">
        <v>8302100011</v>
      </c>
      <c r="B36593" t="s">
        <v>11003</v>
      </c>
    </row>
    <row r="36594" spans="1:2" x14ac:dyDescent="0.25">
      <c r="A36594">
        <v>83021000111</v>
      </c>
      <c r="B36594" t="s">
        <v>11004</v>
      </c>
    </row>
    <row r="36595" spans="1:2" x14ac:dyDescent="0.25">
      <c r="A36595">
        <v>83021000112</v>
      </c>
      <c r="B36595" t="s">
        <v>11005</v>
      </c>
    </row>
    <row r="36596" spans="1:2" x14ac:dyDescent="0.25">
      <c r="A36596">
        <v>83021000113</v>
      </c>
      <c r="B36596" t="s">
        <v>11006</v>
      </c>
    </row>
    <row r="36597" spans="1:2" x14ac:dyDescent="0.25">
      <c r="A36597">
        <v>83021000114</v>
      </c>
      <c r="B36597" t="s">
        <v>11007</v>
      </c>
    </row>
    <row r="36598" spans="1:2" x14ac:dyDescent="0.25">
      <c r="A36598">
        <v>83021000119</v>
      </c>
      <c r="B36598" t="s">
        <v>57</v>
      </c>
    </row>
    <row r="36599" spans="1:2" x14ac:dyDescent="0.25">
      <c r="A36599">
        <v>8302100012</v>
      </c>
      <c r="B36599" t="s">
        <v>11008</v>
      </c>
    </row>
    <row r="36600" spans="1:2" x14ac:dyDescent="0.25">
      <c r="A36600">
        <v>83021000121</v>
      </c>
      <c r="B36600" t="s">
        <v>11009</v>
      </c>
    </row>
    <row r="36601" spans="1:2" x14ac:dyDescent="0.25">
      <c r="A36601">
        <v>83021000122</v>
      </c>
      <c r="B36601" t="s">
        <v>11010</v>
      </c>
    </row>
    <row r="36602" spans="1:2" x14ac:dyDescent="0.25">
      <c r="A36602">
        <v>83021000129</v>
      </c>
      <c r="B36602" t="s">
        <v>57</v>
      </c>
    </row>
    <row r="36603" spans="1:2" x14ac:dyDescent="0.25">
      <c r="A36603">
        <v>8302100013</v>
      </c>
      <c r="B36603" t="s">
        <v>9795</v>
      </c>
    </row>
    <row r="36604" spans="1:2" x14ac:dyDescent="0.25">
      <c r="A36604">
        <v>83021000131</v>
      </c>
      <c r="B36604" t="s">
        <v>11009</v>
      </c>
    </row>
    <row r="36605" spans="1:2" x14ac:dyDescent="0.25">
      <c r="A36605">
        <v>83021000132</v>
      </c>
      <c r="B36605" t="s">
        <v>11010</v>
      </c>
    </row>
    <row r="36606" spans="1:2" x14ac:dyDescent="0.25">
      <c r="A36606">
        <v>83021000139</v>
      </c>
      <c r="B36606" t="s">
        <v>57</v>
      </c>
    </row>
    <row r="36607" spans="1:2" x14ac:dyDescent="0.25">
      <c r="A36607">
        <v>8302100014</v>
      </c>
      <c r="B36607" t="s">
        <v>11011</v>
      </c>
    </row>
    <row r="36608" spans="1:2" x14ac:dyDescent="0.25">
      <c r="A36608">
        <v>83021000141</v>
      </c>
      <c r="B36608" t="s">
        <v>11009</v>
      </c>
    </row>
    <row r="36609" spans="1:2" x14ac:dyDescent="0.25">
      <c r="A36609">
        <v>83021000142</v>
      </c>
      <c r="B36609" t="s">
        <v>11010</v>
      </c>
    </row>
    <row r="36610" spans="1:2" x14ac:dyDescent="0.25">
      <c r="A36610">
        <v>83021000149</v>
      </c>
      <c r="B36610" t="s">
        <v>57</v>
      </c>
    </row>
    <row r="36611" spans="1:2" x14ac:dyDescent="0.25">
      <c r="A36611">
        <v>83021000190</v>
      </c>
      <c r="B36611" t="s">
        <v>57</v>
      </c>
    </row>
    <row r="36612" spans="1:2" x14ac:dyDescent="0.25">
      <c r="A36612">
        <v>830210002</v>
      </c>
      <c r="B36612" t="s">
        <v>11012</v>
      </c>
    </row>
    <row r="36613" spans="1:2" x14ac:dyDescent="0.25">
      <c r="A36613">
        <v>83021000210</v>
      </c>
      <c r="B36613" t="s">
        <v>10034</v>
      </c>
    </row>
    <row r="36614" spans="1:2" x14ac:dyDescent="0.25">
      <c r="A36614">
        <v>83021000220</v>
      </c>
      <c r="B36614" t="s">
        <v>11013</v>
      </c>
    </row>
    <row r="36615" spans="1:2" x14ac:dyDescent="0.25">
      <c r="A36615">
        <v>83021000290</v>
      </c>
      <c r="B36615" t="s">
        <v>57</v>
      </c>
    </row>
    <row r="36616" spans="1:2" x14ac:dyDescent="0.25">
      <c r="A36616">
        <v>830210003</v>
      </c>
      <c r="B36616" t="s">
        <v>11014</v>
      </c>
    </row>
    <row r="36617" spans="1:2" x14ac:dyDescent="0.25">
      <c r="A36617">
        <v>8302100031</v>
      </c>
      <c r="B36617" t="s">
        <v>9795</v>
      </c>
    </row>
    <row r="36618" spans="1:2" x14ac:dyDescent="0.25">
      <c r="A36618">
        <v>83021000311</v>
      </c>
      <c r="B36618" t="s">
        <v>11015</v>
      </c>
    </row>
    <row r="36619" spans="1:2" x14ac:dyDescent="0.25">
      <c r="A36619">
        <v>83021000312</v>
      </c>
      <c r="B36619" t="s">
        <v>11016</v>
      </c>
    </row>
    <row r="36620" spans="1:2" x14ac:dyDescent="0.25">
      <c r="A36620">
        <v>83021000319</v>
      </c>
      <c r="B36620" t="s">
        <v>57</v>
      </c>
    </row>
    <row r="36621" spans="1:2" x14ac:dyDescent="0.25">
      <c r="A36621">
        <v>8302100032</v>
      </c>
      <c r="B36621" t="s">
        <v>11013</v>
      </c>
    </row>
    <row r="36622" spans="1:2" x14ac:dyDescent="0.25">
      <c r="A36622">
        <v>83021000321</v>
      </c>
      <c r="B36622" t="s">
        <v>11015</v>
      </c>
    </row>
    <row r="36623" spans="1:2" x14ac:dyDescent="0.25">
      <c r="A36623">
        <v>83021000322</v>
      </c>
      <c r="B36623" t="s">
        <v>11016</v>
      </c>
    </row>
    <row r="36624" spans="1:2" x14ac:dyDescent="0.25">
      <c r="A36624">
        <v>83021000329</v>
      </c>
      <c r="B36624" t="s">
        <v>57</v>
      </c>
    </row>
    <row r="36625" spans="1:2" x14ac:dyDescent="0.25">
      <c r="A36625">
        <v>8302100033</v>
      </c>
      <c r="B36625" t="s">
        <v>11011</v>
      </c>
    </row>
    <row r="36626" spans="1:2" x14ac:dyDescent="0.25">
      <c r="A36626">
        <v>83021000331</v>
      </c>
      <c r="B36626" t="s">
        <v>11015</v>
      </c>
    </row>
    <row r="36627" spans="1:2" x14ac:dyDescent="0.25">
      <c r="A36627">
        <v>83021000332</v>
      </c>
      <c r="B36627" t="s">
        <v>11016</v>
      </c>
    </row>
    <row r="36628" spans="1:2" x14ac:dyDescent="0.25">
      <c r="A36628">
        <v>83021000339</v>
      </c>
      <c r="B36628" t="s">
        <v>57</v>
      </c>
    </row>
    <row r="36629" spans="1:2" x14ac:dyDescent="0.25">
      <c r="A36629">
        <v>83021000390</v>
      </c>
      <c r="B36629" t="s">
        <v>57</v>
      </c>
    </row>
    <row r="36630" spans="1:2" x14ac:dyDescent="0.25">
      <c r="A36630">
        <v>830210004</v>
      </c>
      <c r="B36630" t="s">
        <v>11017</v>
      </c>
    </row>
    <row r="36631" spans="1:2" x14ac:dyDescent="0.25">
      <c r="A36631">
        <v>8302100041</v>
      </c>
      <c r="B36631" t="s">
        <v>9795</v>
      </c>
    </row>
    <row r="36632" spans="1:2" x14ac:dyDescent="0.25">
      <c r="A36632">
        <v>83021000411</v>
      </c>
      <c r="B36632" t="s">
        <v>11015</v>
      </c>
    </row>
    <row r="36633" spans="1:2" x14ac:dyDescent="0.25">
      <c r="A36633">
        <v>83021000419</v>
      </c>
      <c r="B36633" t="s">
        <v>57</v>
      </c>
    </row>
    <row r="36634" spans="1:2" x14ac:dyDescent="0.25">
      <c r="A36634">
        <v>8302100042</v>
      </c>
      <c r="B36634" t="s">
        <v>11013</v>
      </c>
    </row>
    <row r="36635" spans="1:2" x14ac:dyDescent="0.25">
      <c r="A36635">
        <v>83021000421</v>
      </c>
      <c r="B36635" t="s">
        <v>11015</v>
      </c>
    </row>
    <row r="36636" spans="1:2" x14ac:dyDescent="0.25">
      <c r="A36636">
        <v>83021000429</v>
      </c>
      <c r="B36636" t="s">
        <v>57</v>
      </c>
    </row>
    <row r="36637" spans="1:2" x14ac:dyDescent="0.25">
      <c r="A36637">
        <v>8302100043</v>
      </c>
      <c r="B36637" t="s">
        <v>11011</v>
      </c>
    </row>
    <row r="36638" spans="1:2" x14ac:dyDescent="0.25">
      <c r="A36638">
        <v>83021000431</v>
      </c>
      <c r="B36638" t="s">
        <v>11015</v>
      </c>
    </row>
    <row r="36639" spans="1:2" x14ac:dyDescent="0.25">
      <c r="A36639">
        <v>83021000439</v>
      </c>
      <c r="B36639" t="s">
        <v>57</v>
      </c>
    </row>
    <row r="36640" spans="1:2" x14ac:dyDescent="0.25">
      <c r="A36640">
        <v>83021000490</v>
      </c>
      <c r="B36640" t="s">
        <v>57</v>
      </c>
    </row>
    <row r="36641" spans="1:2" x14ac:dyDescent="0.25">
      <c r="A36641">
        <v>830210005</v>
      </c>
      <c r="B36641" t="s">
        <v>11018</v>
      </c>
    </row>
    <row r="36642" spans="1:2" x14ac:dyDescent="0.25">
      <c r="A36642">
        <v>83021000510</v>
      </c>
      <c r="B36642" t="s">
        <v>9795</v>
      </c>
    </row>
    <row r="36643" spans="1:2" x14ac:dyDescent="0.25">
      <c r="A36643">
        <v>83021000520</v>
      </c>
      <c r="B36643" t="s">
        <v>11013</v>
      </c>
    </row>
    <row r="36644" spans="1:2" x14ac:dyDescent="0.25">
      <c r="A36644">
        <v>83021000530</v>
      </c>
      <c r="B36644" t="s">
        <v>11011</v>
      </c>
    </row>
    <row r="36645" spans="1:2" x14ac:dyDescent="0.25">
      <c r="A36645">
        <v>83021000590</v>
      </c>
      <c r="B36645" t="s">
        <v>57</v>
      </c>
    </row>
    <row r="36646" spans="1:2" x14ac:dyDescent="0.25">
      <c r="A36646">
        <v>83021000900</v>
      </c>
      <c r="B36646" t="s">
        <v>57</v>
      </c>
    </row>
    <row r="36647" spans="1:2" x14ac:dyDescent="0.25">
      <c r="A36647">
        <v>83022000</v>
      </c>
      <c r="B36647" t="e">
        <f>- Ruedas</f>
        <v>#NAME?</v>
      </c>
    </row>
    <row r="36648" spans="1:2" x14ac:dyDescent="0.25">
      <c r="A36648">
        <v>830220001</v>
      </c>
      <c r="B36648" t="s">
        <v>11019</v>
      </c>
    </row>
    <row r="36649" spans="1:2" x14ac:dyDescent="0.25">
      <c r="A36649">
        <v>83022000110</v>
      </c>
      <c r="B36649" t="s">
        <v>11020</v>
      </c>
    </row>
    <row r="36650" spans="1:2" x14ac:dyDescent="0.25">
      <c r="A36650">
        <v>83022000190</v>
      </c>
      <c r="B36650" t="s">
        <v>57</v>
      </c>
    </row>
    <row r="36651" spans="1:2" x14ac:dyDescent="0.25">
      <c r="A36651">
        <v>830220002</v>
      </c>
      <c r="B36651" t="s">
        <v>11021</v>
      </c>
    </row>
    <row r="36652" spans="1:2" x14ac:dyDescent="0.25">
      <c r="A36652">
        <v>83022000210</v>
      </c>
      <c r="B36652" t="s">
        <v>11022</v>
      </c>
    </row>
    <row r="36653" spans="1:2" x14ac:dyDescent="0.25">
      <c r="A36653">
        <v>83022000220</v>
      </c>
      <c r="B36653" t="s">
        <v>11023</v>
      </c>
    </row>
    <row r="36654" spans="1:2" x14ac:dyDescent="0.25">
      <c r="A36654">
        <v>83022000230</v>
      </c>
      <c r="B36654" t="s">
        <v>11024</v>
      </c>
    </row>
    <row r="36655" spans="1:2" x14ac:dyDescent="0.25">
      <c r="A36655">
        <v>83022000290</v>
      </c>
      <c r="B36655" t="s">
        <v>10</v>
      </c>
    </row>
    <row r="36656" spans="1:2" x14ac:dyDescent="0.25">
      <c r="A36656">
        <v>83022000900</v>
      </c>
      <c r="B36656" t="s">
        <v>57</v>
      </c>
    </row>
    <row r="36657" spans="1:2" x14ac:dyDescent="0.25">
      <c r="A36657">
        <v>83023000000</v>
      </c>
      <c r="B36657" t="e">
        <f>-las demas guarniciones. herrajes y Articulos similares. para vehiculos automoviles</f>
        <v>#NAME?</v>
      </c>
    </row>
    <row r="36658" spans="1:2" x14ac:dyDescent="0.25">
      <c r="A36658">
        <v>83024</v>
      </c>
      <c r="B36658" t="s">
        <v>11025</v>
      </c>
    </row>
    <row r="36659" spans="1:2" x14ac:dyDescent="0.25">
      <c r="A36659">
        <v>83024100</v>
      </c>
      <c r="B36659" t="e">
        <f>- - para edificios</f>
        <v>#NAME?</v>
      </c>
    </row>
    <row r="36660" spans="1:2" x14ac:dyDescent="0.25">
      <c r="A36660">
        <v>830241001</v>
      </c>
      <c r="B36660" t="s">
        <v>10034</v>
      </c>
    </row>
    <row r="36661" spans="1:2" x14ac:dyDescent="0.25">
      <c r="A36661">
        <v>83024100110</v>
      </c>
      <c r="B36661" t="s">
        <v>11026</v>
      </c>
    </row>
    <row r="36662" spans="1:2" x14ac:dyDescent="0.25">
      <c r="A36662">
        <v>83024100120</v>
      </c>
      <c r="B36662" t="s">
        <v>11027</v>
      </c>
    </row>
    <row r="36663" spans="1:2" x14ac:dyDescent="0.25">
      <c r="A36663">
        <v>83024100130</v>
      </c>
      <c r="B36663" t="s">
        <v>11028</v>
      </c>
    </row>
    <row r="36664" spans="1:2" x14ac:dyDescent="0.25">
      <c r="A36664">
        <v>83024100140</v>
      </c>
      <c r="B36664" t="s">
        <v>11029</v>
      </c>
    </row>
    <row r="36665" spans="1:2" x14ac:dyDescent="0.25">
      <c r="A36665">
        <v>83024100190</v>
      </c>
      <c r="B36665" t="s">
        <v>10</v>
      </c>
    </row>
    <row r="36666" spans="1:2" x14ac:dyDescent="0.25">
      <c r="A36666">
        <v>830241002</v>
      </c>
      <c r="B36666" t="s">
        <v>11011</v>
      </c>
    </row>
    <row r="36667" spans="1:2" x14ac:dyDescent="0.25">
      <c r="A36667">
        <v>83024100210</v>
      </c>
      <c r="B36667" t="s">
        <v>11026</v>
      </c>
    </row>
    <row r="36668" spans="1:2" x14ac:dyDescent="0.25">
      <c r="A36668">
        <v>83024100220</v>
      </c>
      <c r="B36668" t="s">
        <v>11027</v>
      </c>
    </row>
    <row r="36669" spans="1:2" x14ac:dyDescent="0.25">
      <c r="A36669">
        <v>83024100230</v>
      </c>
      <c r="B36669" t="s">
        <v>11028</v>
      </c>
    </row>
    <row r="36670" spans="1:2" x14ac:dyDescent="0.25">
      <c r="A36670">
        <v>83024100240</v>
      </c>
      <c r="B36670" t="s">
        <v>11029</v>
      </c>
    </row>
    <row r="36671" spans="1:2" x14ac:dyDescent="0.25">
      <c r="A36671">
        <v>83024100290</v>
      </c>
      <c r="B36671" t="s">
        <v>10</v>
      </c>
    </row>
    <row r="36672" spans="1:2" x14ac:dyDescent="0.25">
      <c r="A36672">
        <v>830241003</v>
      </c>
      <c r="B36672" t="s">
        <v>2240</v>
      </c>
    </row>
    <row r="36673" spans="1:2" x14ac:dyDescent="0.25">
      <c r="A36673">
        <v>83024100310</v>
      </c>
      <c r="B36673" t="s">
        <v>11026</v>
      </c>
    </row>
    <row r="36674" spans="1:2" x14ac:dyDescent="0.25">
      <c r="A36674">
        <v>83024100320</v>
      </c>
      <c r="B36674" t="s">
        <v>11027</v>
      </c>
    </row>
    <row r="36675" spans="1:2" x14ac:dyDescent="0.25">
      <c r="A36675">
        <v>83024100330</v>
      </c>
      <c r="B36675" t="s">
        <v>11028</v>
      </c>
    </row>
    <row r="36676" spans="1:2" x14ac:dyDescent="0.25">
      <c r="A36676">
        <v>83024100340</v>
      </c>
      <c r="B36676" t="s">
        <v>11029</v>
      </c>
    </row>
    <row r="36677" spans="1:2" x14ac:dyDescent="0.25">
      <c r="A36677">
        <v>83024100390</v>
      </c>
      <c r="B36677" t="s">
        <v>10</v>
      </c>
    </row>
    <row r="36678" spans="1:2" x14ac:dyDescent="0.25">
      <c r="A36678">
        <v>83024100400</v>
      </c>
      <c r="B36678" t="s">
        <v>11030</v>
      </c>
    </row>
    <row r="36679" spans="1:2" x14ac:dyDescent="0.25">
      <c r="A36679">
        <v>83024100900</v>
      </c>
      <c r="B36679" t="s">
        <v>10</v>
      </c>
    </row>
    <row r="36680" spans="1:2" x14ac:dyDescent="0.25">
      <c r="A36680">
        <v>83024200</v>
      </c>
      <c r="B36680" t="e">
        <f>- - Los demas. para muebles</f>
        <v>#NAME?</v>
      </c>
    </row>
    <row r="36681" spans="1:2" x14ac:dyDescent="0.25">
      <c r="A36681">
        <v>830242001</v>
      </c>
      <c r="B36681" t="s">
        <v>10034</v>
      </c>
    </row>
    <row r="36682" spans="1:2" x14ac:dyDescent="0.25">
      <c r="A36682">
        <v>83024200110</v>
      </c>
      <c r="B36682" t="s">
        <v>11027</v>
      </c>
    </row>
    <row r="36683" spans="1:2" x14ac:dyDescent="0.25">
      <c r="A36683">
        <v>83024200120</v>
      </c>
      <c r="B36683" t="s">
        <v>11029</v>
      </c>
    </row>
    <row r="36684" spans="1:2" x14ac:dyDescent="0.25">
      <c r="A36684">
        <v>83024200190</v>
      </c>
      <c r="B36684" t="s">
        <v>10</v>
      </c>
    </row>
    <row r="36685" spans="1:2" x14ac:dyDescent="0.25">
      <c r="A36685">
        <v>830242002</v>
      </c>
      <c r="B36685" t="s">
        <v>11011</v>
      </c>
    </row>
    <row r="36686" spans="1:2" x14ac:dyDescent="0.25">
      <c r="A36686">
        <v>83024200210</v>
      </c>
      <c r="B36686" t="s">
        <v>11027</v>
      </c>
    </row>
    <row r="36687" spans="1:2" x14ac:dyDescent="0.25">
      <c r="A36687">
        <v>83024200220</v>
      </c>
      <c r="B36687" t="s">
        <v>11031</v>
      </c>
    </row>
    <row r="36688" spans="1:2" x14ac:dyDescent="0.25">
      <c r="A36688">
        <v>83024200290</v>
      </c>
      <c r="B36688" t="s">
        <v>10</v>
      </c>
    </row>
    <row r="36689" spans="1:2" x14ac:dyDescent="0.25">
      <c r="A36689">
        <v>83024200900</v>
      </c>
      <c r="B36689" t="s">
        <v>10</v>
      </c>
    </row>
    <row r="36690" spans="1:2" x14ac:dyDescent="0.25">
      <c r="A36690">
        <v>83024900</v>
      </c>
      <c r="B36690" t="e">
        <f>- - Los demas</f>
        <v>#NAME?</v>
      </c>
    </row>
    <row r="36691" spans="1:2" x14ac:dyDescent="0.25">
      <c r="A36691">
        <v>83024900100</v>
      </c>
      <c r="B36691" t="s">
        <v>9795</v>
      </c>
    </row>
    <row r="36692" spans="1:2" x14ac:dyDescent="0.25">
      <c r="A36692">
        <v>83024900200</v>
      </c>
      <c r="B36692" t="s">
        <v>11013</v>
      </c>
    </row>
    <row r="36693" spans="1:2" x14ac:dyDescent="0.25">
      <c r="A36693">
        <v>83024900300</v>
      </c>
      <c r="B36693" t="s">
        <v>11032</v>
      </c>
    </row>
    <row r="36694" spans="1:2" x14ac:dyDescent="0.25">
      <c r="A36694">
        <v>83024900400</v>
      </c>
      <c r="B36694" t="s">
        <v>2240</v>
      </c>
    </row>
    <row r="36695" spans="1:2" x14ac:dyDescent="0.25">
      <c r="A36695">
        <v>83024900900</v>
      </c>
      <c r="B36695" t="s">
        <v>10</v>
      </c>
    </row>
    <row r="36696" spans="1:2" x14ac:dyDescent="0.25">
      <c r="A36696">
        <v>83025000</v>
      </c>
      <c r="B36696" t="e">
        <f>- Colgadores. perchas. soportes y Articulos similares</f>
        <v>#NAME?</v>
      </c>
    </row>
    <row r="36697" spans="1:2" x14ac:dyDescent="0.25">
      <c r="A36697">
        <v>83025000100</v>
      </c>
      <c r="B36697" t="s">
        <v>9795</v>
      </c>
    </row>
    <row r="36698" spans="1:2" x14ac:dyDescent="0.25">
      <c r="A36698">
        <v>83025000200</v>
      </c>
      <c r="B36698" t="s">
        <v>11013</v>
      </c>
    </row>
    <row r="36699" spans="1:2" x14ac:dyDescent="0.25">
      <c r="A36699">
        <v>83025000300</v>
      </c>
      <c r="B36699" t="s">
        <v>11032</v>
      </c>
    </row>
    <row r="36700" spans="1:2" x14ac:dyDescent="0.25">
      <c r="A36700">
        <v>83025000900</v>
      </c>
      <c r="B36700" t="s">
        <v>10</v>
      </c>
    </row>
    <row r="36701" spans="1:2" x14ac:dyDescent="0.25">
      <c r="A36701">
        <v>83026000</v>
      </c>
      <c r="B36701" t="e">
        <f>- Cierrapuertas automaticos</f>
        <v>#NAME?</v>
      </c>
    </row>
    <row r="36702" spans="1:2" x14ac:dyDescent="0.25">
      <c r="A36702">
        <v>830260001</v>
      </c>
      <c r="B36702" t="s">
        <v>11033</v>
      </c>
    </row>
    <row r="36703" spans="1:2" x14ac:dyDescent="0.25">
      <c r="A36703">
        <v>8302600011</v>
      </c>
      <c r="B36703" t="s">
        <v>11034</v>
      </c>
    </row>
    <row r="36704" spans="1:2" x14ac:dyDescent="0.25">
      <c r="A36704">
        <v>83026000111</v>
      </c>
      <c r="B36704" t="s">
        <v>11035</v>
      </c>
    </row>
    <row r="36705" spans="1:2" x14ac:dyDescent="0.25">
      <c r="A36705">
        <v>83026000119</v>
      </c>
      <c r="B36705" t="s">
        <v>10</v>
      </c>
    </row>
    <row r="36706" spans="1:2" x14ac:dyDescent="0.25">
      <c r="A36706">
        <v>8302600012</v>
      </c>
      <c r="B36706" t="s">
        <v>11036</v>
      </c>
    </row>
    <row r="36707" spans="1:2" x14ac:dyDescent="0.25">
      <c r="A36707">
        <v>83026000121</v>
      </c>
      <c r="B36707" t="s">
        <v>11037</v>
      </c>
    </row>
    <row r="36708" spans="1:2" x14ac:dyDescent="0.25">
      <c r="A36708">
        <v>83026000129</v>
      </c>
      <c r="B36708" t="s">
        <v>10</v>
      </c>
    </row>
    <row r="36709" spans="1:2" x14ac:dyDescent="0.25">
      <c r="A36709">
        <v>83026000190</v>
      </c>
      <c r="B36709" t="s">
        <v>10</v>
      </c>
    </row>
    <row r="36710" spans="1:2" x14ac:dyDescent="0.25">
      <c r="A36710">
        <v>83026000900</v>
      </c>
      <c r="B36710" t="s">
        <v>10</v>
      </c>
    </row>
    <row r="36711" spans="1:2" x14ac:dyDescent="0.25">
      <c r="A36711">
        <v>83030000</v>
      </c>
      <c r="B36711" t="s">
        <v>11038</v>
      </c>
    </row>
    <row r="36712" spans="1:2" x14ac:dyDescent="0.25">
      <c r="A36712">
        <v>83030000100</v>
      </c>
      <c r="B36712" t="s">
        <v>11039</v>
      </c>
    </row>
    <row r="36713" spans="1:2" x14ac:dyDescent="0.25">
      <c r="A36713">
        <v>83030000900</v>
      </c>
      <c r="B36713" t="s">
        <v>10</v>
      </c>
    </row>
    <row r="36714" spans="1:2" x14ac:dyDescent="0.25">
      <c r="A36714">
        <v>83040000000</v>
      </c>
      <c r="B36714" t="s">
        <v>11040</v>
      </c>
    </row>
    <row r="36715" spans="1:2" x14ac:dyDescent="0.25">
      <c r="A36715">
        <v>8305</v>
      </c>
      <c r="B36715" t="s">
        <v>11041</v>
      </c>
    </row>
    <row r="36716" spans="1:2" x14ac:dyDescent="0.25">
      <c r="A36716">
        <v>83051000000</v>
      </c>
      <c r="B36716" t="e">
        <f>-Mecanismos para encuadernacion de Hojas intercambiables o para clasificadores</f>
        <v>#NAME?</v>
      </c>
    </row>
    <row r="36717" spans="1:2" x14ac:dyDescent="0.25">
      <c r="A36717">
        <v>83052000000</v>
      </c>
      <c r="B36717" t="e">
        <f>-grapas En tiras</f>
        <v>#NAME?</v>
      </c>
    </row>
    <row r="36718" spans="1:2" x14ac:dyDescent="0.25">
      <c r="A36718">
        <v>83059000</v>
      </c>
      <c r="B36718" t="e">
        <f>- Los demas. incluidas las partes</f>
        <v>#NAME?</v>
      </c>
    </row>
    <row r="36719" spans="1:2" x14ac:dyDescent="0.25">
      <c r="A36719">
        <v>83059000100</v>
      </c>
      <c r="B36719" t="s">
        <v>11042</v>
      </c>
    </row>
    <row r="36720" spans="1:2" x14ac:dyDescent="0.25">
      <c r="A36720">
        <v>830590009</v>
      </c>
      <c r="B36720" t="s">
        <v>10</v>
      </c>
    </row>
    <row r="36721" spans="1:2" x14ac:dyDescent="0.25">
      <c r="A36721">
        <v>83059000910</v>
      </c>
      <c r="B36721" t="s">
        <v>10194</v>
      </c>
    </row>
    <row r="36722" spans="1:2" x14ac:dyDescent="0.25">
      <c r="A36722">
        <v>83059000990</v>
      </c>
      <c r="B36722" t="s">
        <v>10</v>
      </c>
    </row>
    <row r="36723" spans="1:2" x14ac:dyDescent="0.25">
      <c r="A36723">
        <v>8306</v>
      </c>
      <c r="B36723" t="s">
        <v>11043</v>
      </c>
    </row>
    <row r="36724" spans="1:2" x14ac:dyDescent="0.25">
      <c r="A36724">
        <v>83061000000</v>
      </c>
      <c r="B36724" t="e">
        <f>-Campanas. campanillas. gongos y Articulos similares</f>
        <v>#NAME?</v>
      </c>
    </row>
    <row r="36725" spans="1:2" x14ac:dyDescent="0.25">
      <c r="A36725">
        <v>83062</v>
      </c>
      <c r="B36725" t="s">
        <v>11044</v>
      </c>
    </row>
    <row r="36726" spans="1:2" x14ac:dyDescent="0.25">
      <c r="A36726">
        <v>83062100000</v>
      </c>
      <c r="B36726" t="e">
        <f>--Plateados. dorados o platinados</f>
        <v>#NAME?</v>
      </c>
    </row>
    <row r="36727" spans="1:2" x14ac:dyDescent="0.25">
      <c r="A36727">
        <v>83062900000</v>
      </c>
      <c r="B36727" t="e">
        <f>--Los demas</f>
        <v>#NAME?</v>
      </c>
    </row>
    <row r="36728" spans="1:2" x14ac:dyDescent="0.25">
      <c r="A36728">
        <v>83063000</v>
      </c>
      <c r="B36728" t="e">
        <f>- marcos para fotografias. grabados o similares, Espejos</f>
        <v>#NAME?</v>
      </c>
    </row>
    <row r="36729" spans="1:2" x14ac:dyDescent="0.25">
      <c r="A36729">
        <v>83063000100</v>
      </c>
      <c r="B36729" t="s">
        <v>11045</v>
      </c>
    </row>
    <row r="36730" spans="1:2" x14ac:dyDescent="0.25">
      <c r="A36730">
        <v>83063000900</v>
      </c>
      <c r="B36730" t="s">
        <v>10</v>
      </c>
    </row>
    <row r="36731" spans="1:2" x14ac:dyDescent="0.25">
      <c r="A36731">
        <v>8307</v>
      </c>
      <c r="B36731" t="s">
        <v>11046</v>
      </c>
    </row>
    <row r="36732" spans="1:2" x14ac:dyDescent="0.25">
      <c r="A36732">
        <v>830710</v>
      </c>
      <c r="B36732" t="e">
        <f>- de hierro o acero</f>
        <v>#NAME?</v>
      </c>
    </row>
    <row r="36733" spans="1:2" x14ac:dyDescent="0.25">
      <c r="A36733">
        <v>83071010000</v>
      </c>
      <c r="B36733" t="s">
        <v>11047</v>
      </c>
    </row>
    <row r="36734" spans="1:2" x14ac:dyDescent="0.25">
      <c r="A36734">
        <v>83071090</v>
      </c>
      <c r="B36734" t="s">
        <v>10</v>
      </c>
    </row>
    <row r="36735" spans="1:2" x14ac:dyDescent="0.25">
      <c r="A36735">
        <v>83071090100</v>
      </c>
      <c r="B36735" t="s">
        <v>10044</v>
      </c>
    </row>
    <row r="36736" spans="1:2" x14ac:dyDescent="0.25">
      <c r="A36736">
        <v>83071090200</v>
      </c>
      <c r="B36736" t="s">
        <v>11048</v>
      </c>
    </row>
    <row r="36737" spans="1:2" x14ac:dyDescent="0.25">
      <c r="A36737">
        <v>83071090900</v>
      </c>
      <c r="B36737" t="s">
        <v>10</v>
      </c>
    </row>
    <row r="36738" spans="1:2" x14ac:dyDescent="0.25">
      <c r="A36738">
        <v>83079000</v>
      </c>
      <c r="B36738" t="e">
        <f>- de Los demas metales comunes</f>
        <v>#NAME?</v>
      </c>
    </row>
    <row r="36739" spans="1:2" x14ac:dyDescent="0.25">
      <c r="A36739">
        <v>83079000100</v>
      </c>
      <c r="B36739" t="s">
        <v>10044</v>
      </c>
    </row>
    <row r="36740" spans="1:2" x14ac:dyDescent="0.25">
      <c r="A36740">
        <v>83079000200</v>
      </c>
      <c r="B36740" t="s">
        <v>11049</v>
      </c>
    </row>
    <row r="36741" spans="1:2" x14ac:dyDescent="0.25">
      <c r="A36741">
        <v>83079000900</v>
      </c>
      <c r="B36741" t="s">
        <v>10</v>
      </c>
    </row>
    <row r="36742" spans="1:2" x14ac:dyDescent="0.25">
      <c r="A36742">
        <v>8308</v>
      </c>
      <c r="B36742" t="s">
        <v>11050</v>
      </c>
    </row>
    <row r="36743" spans="1:2" x14ac:dyDescent="0.25">
      <c r="A36743">
        <v>83081000</v>
      </c>
      <c r="B36743" t="e">
        <f>- Corchetes. ganchos y anillos para ojetes</f>
        <v>#NAME?</v>
      </c>
    </row>
    <row r="36744" spans="1:2" x14ac:dyDescent="0.25">
      <c r="A36744">
        <v>83081000100</v>
      </c>
      <c r="B36744" t="s">
        <v>11051</v>
      </c>
    </row>
    <row r="36745" spans="1:2" x14ac:dyDescent="0.25">
      <c r="A36745">
        <v>83081000900</v>
      </c>
      <c r="B36745" t="s">
        <v>10</v>
      </c>
    </row>
    <row r="36746" spans="1:2" x14ac:dyDescent="0.25">
      <c r="A36746">
        <v>83082000</v>
      </c>
      <c r="B36746" t="e">
        <f>- Remaches tubulares o Con espiga hendida</f>
        <v>#NAME?</v>
      </c>
    </row>
    <row r="36747" spans="1:2" x14ac:dyDescent="0.25">
      <c r="A36747">
        <v>83082000100</v>
      </c>
      <c r="B36747" t="s">
        <v>11052</v>
      </c>
    </row>
    <row r="36748" spans="1:2" x14ac:dyDescent="0.25">
      <c r="A36748">
        <v>83082000200</v>
      </c>
      <c r="B36748" t="s">
        <v>11053</v>
      </c>
    </row>
    <row r="36749" spans="1:2" x14ac:dyDescent="0.25">
      <c r="A36749">
        <v>83082000300</v>
      </c>
      <c r="B36749" t="s">
        <v>11054</v>
      </c>
    </row>
    <row r="36750" spans="1:2" x14ac:dyDescent="0.25">
      <c r="A36750">
        <v>83082000400</v>
      </c>
      <c r="B36750" t="s">
        <v>11055</v>
      </c>
    </row>
    <row r="36751" spans="1:2" x14ac:dyDescent="0.25">
      <c r="A36751">
        <v>83082000500</v>
      </c>
      <c r="B36751" t="s">
        <v>11056</v>
      </c>
    </row>
    <row r="36752" spans="1:2" x14ac:dyDescent="0.25">
      <c r="A36752">
        <v>83082000600</v>
      </c>
      <c r="B36752" t="s">
        <v>11057</v>
      </c>
    </row>
    <row r="36753" spans="1:2" x14ac:dyDescent="0.25">
      <c r="A36753">
        <v>830820007</v>
      </c>
      <c r="B36753" t="s">
        <v>11058</v>
      </c>
    </row>
    <row r="36754" spans="1:2" x14ac:dyDescent="0.25">
      <c r="A36754">
        <v>83082000710</v>
      </c>
      <c r="B36754" t="s">
        <v>10034</v>
      </c>
    </row>
    <row r="36755" spans="1:2" x14ac:dyDescent="0.25">
      <c r="A36755">
        <v>83082000720</v>
      </c>
      <c r="B36755" t="s">
        <v>9795</v>
      </c>
    </row>
    <row r="36756" spans="1:2" x14ac:dyDescent="0.25">
      <c r="A36756">
        <v>83082000730</v>
      </c>
      <c r="B36756" t="s">
        <v>2298</v>
      </c>
    </row>
    <row r="36757" spans="1:2" x14ac:dyDescent="0.25">
      <c r="A36757">
        <v>83082000740</v>
      </c>
      <c r="B36757" t="s">
        <v>2240</v>
      </c>
    </row>
    <row r="36758" spans="1:2" x14ac:dyDescent="0.25">
      <c r="A36758">
        <v>83082000790</v>
      </c>
      <c r="B36758" t="s">
        <v>10</v>
      </c>
    </row>
    <row r="36759" spans="1:2" x14ac:dyDescent="0.25">
      <c r="A36759">
        <v>83082000900</v>
      </c>
      <c r="B36759" t="s">
        <v>10</v>
      </c>
    </row>
    <row r="36760" spans="1:2" x14ac:dyDescent="0.25">
      <c r="A36760">
        <v>830890</v>
      </c>
      <c r="B36760" t="e">
        <f>- Los demas. incluidas las partes</f>
        <v>#NAME?</v>
      </c>
    </row>
    <row r="36761" spans="1:2" x14ac:dyDescent="0.25">
      <c r="A36761">
        <v>83089010000</v>
      </c>
      <c r="B36761" t="s">
        <v>11059</v>
      </c>
    </row>
    <row r="36762" spans="1:2" x14ac:dyDescent="0.25">
      <c r="A36762">
        <v>83089020000</v>
      </c>
      <c r="B36762" t="s">
        <v>11060</v>
      </c>
    </row>
    <row r="36763" spans="1:2" x14ac:dyDescent="0.25">
      <c r="A36763">
        <v>83089090</v>
      </c>
      <c r="B36763" t="s">
        <v>10</v>
      </c>
    </row>
    <row r="36764" spans="1:2" x14ac:dyDescent="0.25">
      <c r="A36764">
        <v>83089090100</v>
      </c>
      <c r="B36764" t="s">
        <v>11061</v>
      </c>
    </row>
    <row r="36765" spans="1:2" x14ac:dyDescent="0.25">
      <c r="A36765">
        <v>83089090900</v>
      </c>
      <c r="B36765" t="s">
        <v>10</v>
      </c>
    </row>
    <row r="36766" spans="1:2" x14ac:dyDescent="0.25">
      <c r="A36766">
        <v>8309</v>
      </c>
      <c r="B36766" t="s">
        <v>11062</v>
      </c>
    </row>
    <row r="36767" spans="1:2" x14ac:dyDescent="0.25">
      <c r="A36767">
        <v>83091000000</v>
      </c>
      <c r="B36767" t="e">
        <f>-tapas corona</f>
        <v>#NAME?</v>
      </c>
    </row>
    <row r="36768" spans="1:2" x14ac:dyDescent="0.25">
      <c r="A36768">
        <v>83099000</v>
      </c>
      <c r="B36768" t="e">
        <f>- Los demas</f>
        <v>#NAME?</v>
      </c>
    </row>
    <row r="36769" spans="1:2" x14ac:dyDescent="0.25">
      <c r="A36769">
        <v>830990001</v>
      </c>
      <c r="B36769" t="s">
        <v>11063</v>
      </c>
    </row>
    <row r="36770" spans="1:2" x14ac:dyDescent="0.25">
      <c r="A36770">
        <v>83099000110</v>
      </c>
      <c r="B36770" t="s">
        <v>7028</v>
      </c>
    </row>
    <row r="36771" spans="1:2" x14ac:dyDescent="0.25">
      <c r="A36771">
        <v>83099000190</v>
      </c>
      <c r="B36771" t="s">
        <v>10</v>
      </c>
    </row>
    <row r="36772" spans="1:2" x14ac:dyDescent="0.25">
      <c r="A36772">
        <v>83099000200</v>
      </c>
      <c r="B36772" t="s">
        <v>11064</v>
      </c>
    </row>
    <row r="36773" spans="1:2" x14ac:dyDescent="0.25">
      <c r="A36773">
        <v>830990003</v>
      </c>
      <c r="B36773" t="s">
        <v>11065</v>
      </c>
    </row>
    <row r="36774" spans="1:2" x14ac:dyDescent="0.25">
      <c r="A36774">
        <v>83099000310</v>
      </c>
      <c r="B36774" t="s">
        <v>7028</v>
      </c>
    </row>
    <row r="36775" spans="1:2" x14ac:dyDescent="0.25">
      <c r="A36775">
        <v>83099000390</v>
      </c>
      <c r="B36775" t="s">
        <v>10</v>
      </c>
    </row>
    <row r="36776" spans="1:2" x14ac:dyDescent="0.25">
      <c r="A36776">
        <v>83099000400</v>
      </c>
      <c r="B36776" t="s">
        <v>11066</v>
      </c>
    </row>
    <row r="36777" spans="1:2" x14ac:dyDescent="0.25">
      <c r="A36777">
        <v>830990009</v>
      </c>
      <c r="B36777" t="s">
        <v>10</v>
      </c>
    </row>
    <row r="36778" spans="1:2" x14ac:dyDescent="0.25">
      <c r="A36778">
        <v>83099000910</v>
      </c>
      <c r="B36778" t="s">
        <v>6648</v>
      </c>
    </row>
    <row r="36779" spans="1:2" x14ac:dyDescent="0.25">
      <c r="A36779">
        <v>83099000990</v>
      </c>
      <c r="B36779" t="s">
        <v>10</v>
      </c>
    </row>
    <row r="36780" spans="1:2" x14ac:dyDescent="0.25">
      <c r="A36780">
        <v>83100000000</v>
      </c>
      <c r="B36780" t="s">
        <v>11067</v>
      </c>
    </row>
    <row r="36781" spans="1:2" x14ac:dyDescent="0.25">
      <c r="A36781">
        <v>8311</v>
      </c>
      <c r="B36781" t="s">
        <v>11068</v>
      </c>
    </row>
    <row r="36782" spans="1:2" x14ac:dyDescent="0.25">
      <c r="A36782">
        <v>83111000000</v>
      </c>
      <c r="B36782" t="e">
        <f>-electrodos recubiertos para soldadura de arco. de Metal comun</f>
        <v>#NAME?</v>
      </c>
    </row>
    <row r="36783" spans="1:2" x14ac:dyDescent="0.25">
      <c r="A36783">
        <v>83112000000</v>
      </c>
      <c r="B36783" t="s">
        <v>11069</v>
      </c>
    </row>
    <row r="36784" spans="1:2" x14ac:dyDescent="0.25">
      <c r="A36784">
        <v>83113000000</v>
      </c>
      <c r="B36784" t="s">
        <v>11070</v>
      </c>
    </row>
    <row r="36785" spans="1:2" x14ac:dyDescent="0.25">
      <c r="A36785">
        <v>83119000000</v>
      </c>
      <c r="B36785" t="e">
        <f>-Los demas</f>
        <v>#NAME?</v>
      </c>
    </row>
    <row r="36786" spans="1:2" x14ac:dyDescent="0.25">
      <c r="A36786">
        <v>8401</v>
      </c>
      <c r="B36786" t="s">
        <v>11071</v>
      </c>
    </row>
    <row r="36787" spans="1:2" x14ac:dyDescent="0.25">
      <c r="A36787">
        <v>84011000000</v>
      </c>
      <c r="B36787" t="e">
        <f>-reactores nucleares</f>
        <v>#NAME?</v>
      </c>
    </row>
    <row r="36788" spans="1:2" x14ac:dyDescent="0.25">
      <c r="A36788">
        <v>84012000</v>
      </c>
      <c r="B36788" t="e">
        <f>- maquinas y aparatos para la separacion isotopica. y sus partes</f>
        <v>#NAME?</v>
      </c>
    </row>
    <row r="36789" spans="1:2" x14ac:dyDescent="0.25">
      <c r="A36789">
        <v>84012000100</v>
      </c>
      <c r="B36789" t="s">
        <v>11072</v>
      </c>
    </row>
    <row r="36790" spans="1:2" x14ac:dyDescent="0.25">
      <c r="A36790">
        <v>84012000900</v>
      </c>
      <c r="B36790" t="s">
        <v>10194</v>
      </c>
    </row>
    <row r="36791" spans="1:2" x14ac:dyDescent="0.25">
      <c r="A36791">
        <v>84013000000</v>
      </c>
      <c r="B36791" t="e">
        <f>-elementos combustibles (cartuchos) sin irradiar</f>
        <v>#NAME?</v>
      </c>
    </row>
    <row r="36792" spans="1:2" x14ac:dyDescent="0.25">
      <c r="A36792">
        <v>84014000000</v>
      </c>
      <c r="B36792" t="e">
        <f>-partes de reactores nucleares</f>
        <v>#NAME?</v>
      </c>
    </row>
    <row r="36793" spans="1:2" x14ac:dyDescent="0.25">
      <c r="A36793">
        <v>8402</v>
      </c>
      <c r="B36793" t="s">
        <v>11073</v>
      </c>
    </row>
    <row r="36794" spans="1:2" x14ac:dyDescent="0.25">
      <c r="A36794">
        <v>84021</v>
      </c>
      <c r="B36794" t="s">
        <v>11074</v>
      </c>
    </row>
    <row r="36795" spans="1:2" x14ac:dyDescent="0.25">
      <c r="A36795">
        <v>84021100000</v>
      </c>
      <c r="B36795" t="s">
        <v>11075</v>
      </c>
    </row>
    <row r="36796" spans="1:2" x14ac:dyDescent="0.25">
      <c r="A36796">
        <v>84021200000</v>
      </c>
      <c r="B36796" t="s">
        <v>11076</v>
      </c>
    </row>
    <row r="36797" spans="1:2" x14ac:dyDescent="0.25">
      <c r="A36797">
        <v>84021900000</v>
      </c>
      <c r="B36797" t="e">
        <f>--las demas Calderas de vapor. incluidas las Calderas mixtas</f>
        <v>#NAME?</v>
      </c>
    </row>
    <row r="36798" spans="1:2" x14ac:dyDescent="0.25">
      <c r="A36798">
        <v>84022000000</v>
      </c>
      <c r="B36798" t="s">
        <v>11077</v>
      </c>
    </row>
    <row r="36799" spans="1:2" x14ac:dyDescent="0.25">
      <c r="A36799">
        <v>84029000000</v>
      </c>
      <c r="B36799" t="e">
        <f>-partes</f>
        <v>#NAME?</v>
      </c>
    </row>
    <row r="36800" spans="1:2" x14ac:dyDescent="0.25">
      <c r="A36800">
        <v>8403</v>
      </c>
      <c r="B36800" t="s">
        <v>11078</v>
      </c>
    </row>
    <row r="36801" spans="1:2" x14ac:dyDescent="0.25">
      <c r="A36801">
        <v>840310</v>
      </c>
      <c r="B36801" t="e">
        <f>- Calderas</f>
        <v>#NAME?</v>
      </c>
    </row>
    <row r="36802" spans="1:2" x14ac:dyDescent="0.25">
      <c r="A36802">
        <v>84031010</v>
      </c>
      <c r="B36802" t="s">
        <v>11079</v>
      </c>
    </row>
    <row r="36803" spans="1:2" x14ac:dyDescent="0.25">
      <c r="A36803">
        <v>840310101</v>
      </c>
      <c r="B36803" t="s">
        <v>11080</v>
      </c>
    </row>
    <row r="36804" spans="1:2" x14ac:dyDescent="0.25">
      <c r="A36804">
        <v>84031010110</v>
      </c>
      <c r="B36804" t="s">
        <v>11081</v>
      </c>
    </row>
    <row r="36805" spans="1:2" x14ac:dyDescent="0.25">
      <c r="A36805">
        <v>84031010120</v>
      </c>
      <c r="B36805" t="s">
        <v>11082</v>
      </c>
    </row>
    <row r="36806" spans="1:2" x14ac:dyDescent="0.25">
      <c r="A36806">
        <v>84031010190</v>
      </c>
      <c r="B36806" t="s">
        <v>57</v>
      </c>
    </row>
    <row r="36807" spans="1:2" x14ac:dyDescent="0.25">
      <c r="A36807">
        <v>840310102</v>
      </c>
      <c r="B36807" t="s">
        <v>11083</v>
      </c>
    </row>
    <row r="36808" spans="1:2" x14ac:dyDescent="0.25">
      <c r="A36808">
        <v>84031010210</v>
      </c>
      <c r="B36808" t="s">
        <v>11081</v>
      </c>
    </row>
    <row r="36809" spans="1:2" x14ac:dyDescent="0.25">
      <c r="A36809">
        <v>84031010220</v>
      </c>
      <c r="B36809" t="s">
        <v>11082</v>
      </c>
    </row>
    <row r="36810" spans="1:2" x14ac:dyDescent="0.25">
      <c r="A36810">
        <v>84031010290</v>
      </c>
      <c r="B36810" t="s">
        <v>57</v>
      </c>
    </row>
    <row r="36811" spans="1:2" x14ac:dyDescent="0.25">
      <c r="A36811">
        <v>84031090</v>
      </c>
      <c r="B36811" t="s">
        <v>57</v>
      </c>
    </row>
    <row r="36812" spans="1:2" x14ac:dyDescent="0.25">
      <c r="A36812">
        <v>840310901</v>
      </c>
      <c r="B36812" t="s">
        <v>11080</v>
      </c>
    </row>
    <row r="36813" spans="1:2" x14ac:dyDescent="0.25">
      <c r="A36813">
        <v>8403109011</v>
      </c>
      <c r="B36813" t="s">
        <v>11081</v>
      </c>
    </row>
    <row r="36814" spans="1:2" x14ac:dyDescent="0.25">
      <c r="A36814">
        <v>84031090111</v>
      </c>
      <c r="B36814" t="s">
        <v>11084</v>
      </c>
    </row>
    <row r="36815" spans="1:2" x14ac:dyDescent="0.25">
      <c r="A36815">
        <v>84031090119</v>
      </c>
      <c r="B36815" t="s">
        <v>57</v>
      </c>
    </row>
    <row r="36816" spans="1:2" x14ac:dyDescent="0.25">
      <c r="A36816">
        <v>84031090120</v>
      </c>
      <c r="B36816" t="s">
        <v>11082</v>
      </c>
    </row>
    <row r="36817" spans="1:2" x14ac:dyDescent="0.25">
      <c r="A36817">
        <v>84031090190</v>
      </c>
      <c r="B36817" t="s">
        <v>57</v>
      </c>
    </row>
    <row r="36818" spans="1:2" x14ac:dyDescent="0.25">
      <c r="A36818">
        <v>840310902</v>
      </c>
      <c r="B36818" t="s">
        <v>11083</v>
      </c>
    </row>
    <row r="36819" spans="1:2" x14ac:dyDescent="0.25">
      <c r="A36819">
        <v>8403109021</v>
      </c>
      <c r="B36819" t="s">
        <v>11081</v>
      </c>
    </row>
    <row r="36820" spans="1:2" x14ac:dyDescent="0.25">
      <c r="A36820">
        <v>84031090211</v>
      </c>
      <c r="B36820" t="s">
        <v>11084</v>
      </c>
    </row>
    <row r="36821" spans="1:2" x14ac:dyDescent="0.25">
      <c r="A36821">
        <v>84031090219</v>
      </c>
      <c r="B36821" t="s">
        <v>57</v>
      </c>
    </row>
    <row r="36822" spans="1:2" x14ac:dyDescent="0.25">
      <c r="A36822">
        <v>84031090220</v>
      </c>
      <c r="B36822" t="s">
        <v>11082</v>
      </c>
    </row>
    <row r="36823" spans="1:2" x14ac:dyDescent="0.25">
      <c r="A36823">
        <v>84031090290</v>
      </c>
      <c r="B36823" t="s">
        <v>57</v>
      </c>
    </row>
    <row r="36824" spans="1:2" x14ac:dyDescent="0.25">
      <c r="A36824">
        <v>84039000000</v>
      </c>
      <c r="B36824" t="e">
        <f>-partes</f>
        <v>#NAME?</v>
      </c>
    </row>
    <row r="36825" spans="1:2" x14ac:dyDescent="0.25">
      <c r="A36825">
        <v>8404</v>
      </c>
      <c r="B36825" t="s">
        <v>11085</v>
      </c>
    </row>
    <row r="36826" spans="1:2" x14ac:dyDescent="0.25">
      <c r="A36826">
        <v>840410</v>
      </c>
      <c r="B36826" t="s">
        <v>11086</v>
      </c>
    </row>
    <row r="36827" spans="1:2" x14ac:dyDescent="0.25">
      <c r="A36827">
        <v>84041010000</v>
      </c>
      <c r="B36827" t="s">
        <v>11087</v>
      </c>
    </row>
    <row r="36828" spans="1:2" x14ac:dyDescent="0.25">
      <c r="A36828">
        <v>84041020000</v>
      </c>
      <c r="B36828" t="s">
        <v>11088</v>
      </c>
    </row>
    <row r="36829" spans="1:2" x14ac:dyDescent="0.25">
      <c r="A36829">
        <v>84042000000</v>
      </c>
      <c r="B36829" t="e">
        <f>-Condensadores para maquinas de vapor</f>
        <v>#NAME?</v>
      </c>
    </row>
    <row r="36830" spans="1:2" x14ac:dyDescent="0.25">
      <c r="A36830">
        <v>840490</v>
      </c>
      <c r="B36830" t="e">
        <f>- partes</f>
        <v>#NAME?</v>
      </c>
    </row>
    <row r="36831" spans="1:2" x14ac:dyDescent="0.25">
      <c r="A36831">
        <v>84049010000</v>
      </c>
      <c r="B36831" t="s">
        <v>11089</v>
      </c>
    </row>
    <row r="36832" spans="1:2" x14ac:dyDescent="0.25">
      <c r="A36832">
        <v>84049090000</v>
      </c>
      <c r="B36832" t="s">
        <v>57</v>
      </c>
    </row>
    <row r="36833" spans="1:2" x14ac:dyDescent="0.25">
      <c r="A36833">
        <v>8405</v>
      </c>
      <c r="B36833" t="s">
        <v>11090</v>
      </c>
    </row>
    <row r="36834" spans="1:2" x14ac:dyDescent="0.25">
      <c r="A36834">
        <v>84051000000</v>
      </c>
      <c r="B36834" t="e">
        <f>-Generadores de Gas pobre (Gas de aire) o de Gas de Agua. incluso Con sus depuradores, Generadores de acetileno y Generadores similares de gases. por via humeda. incluso Con sus depuradores</f>
        <v>#NAME?</v>
      </c>
    </row>
    <row r="36835" spans="1:2" x14ac:dyDescent="0.25">
      <c r="A36835">
        <v>84059000000</v>
      </c>
      <c r="B36835" t="e">
        <f>-partes</f>
        <v>#NAME?</v>
      </c>
    </row>
    <row r="36836" spans="1:2" x14ac:dyDescent="0.25">
      <c r="A36836">
        <v>8406</v>
      </c>
      <c r="B36836" t="s">
        <v>11091</v>
      </c>
    </row>
    <row r="36837" spans="1:2" x14ac:dyDescent="0.25">
      <c r="A36837">
        <v>84061000000</v>
      </c>
      <c r="B36837" t="e">
        <f>-Turbinas para la propulsion de barcos</f>
        <v>#NAME?</v>
      </c>
    </row>
    <row r="36838" spans="1:2" x14ac:dyDescent="0.25">
      <c r="A36838">
        <v>84068</v>
      </c>
      <c r="B36838" t="s">
        <v>11092</v>
      </c>
    </row>
    <row r="36839" spans="1:2" x14ac:dyDescent="0.25">
      <c r="A36839">
        <v>84068100000</v>
      </c>
      <c r="B36839" t="s">
        <v>11093</v>
      </c>
    </row>
    <row r="36840" spans="1:2" x14ac:dyDescent="0.25">
      <c r="A36840">
        <v>84068200000</v>
      </c>
      <c r="B36840" t="s">
        <v>11094</v>
      </c>
    </row>
    <row r="36841" spans="1:2" x14ac:dyDescent="0.25">
      <c r="A36841">
        <v>840690</v>
      </c>
      <c r="B36841" t="e">
        <f>- partes</f>
        <v>#NAME?</v>
      </c>
    </row>
    <row r="36842" spans="1:2" x14ac:dyDescent="0.25">
      <c r="A36842">
        <v>8406901</v>
      </c>
      <c r="B36842" t="s">
        <v>11095</v>
      </c>
    </row>
    <row r="36843" spans="1:2" x14ac:dyDescent="0.25">
      <c r="A36843">
        <v>84069011000</v>
      </c>
      <c r="B36843" t="s">
        <v>11096</v>
      </c>
    </row>
    <row r="36844" spans="1:2" x14ac:dyDescent="0.25">
      <c r="A36844">
        <v>84069019000</v>
      </c>
      <c r="B36844" t="s">
        <v>10</v>
      </c>
    </row>
    <row r="36845" spans="1:2" x14ac:dyDescent="0.25">
      <c r="A36845">
        <v>8406902</v>
      </c>
      <c r="B36845" t="s">
        <v>11097</v>
      </c>
    </row>
    <row r="36846" spans="1:2" x14ac:dyDescent="0.25">
      <c r="A36846">
        <v>84069021000</v>
      </c>
      <c r="B36846" t="s">
        <v>11098</v>
      </c>
    </row>
    <row r="36847" spans="1:2" x14ac:dyDescent="0.25">
      <c r="A36847">
        <v>84069029000</v>
      </c>
      <c r="B36847" t="s">
        <v>10</v>
      </c>
    </row>
    <row r="36848" spans="1:2" x14ac:dyDescent="0.25">
      <c r="A36848">
        <v>84069090000</v>
      </c>
      <c r="B36848" t="s">
        <v>10</v>
      </c>
    </row>
    <row r="36849" spans="1:2" x14ac:dyDescent="0.25">
      <c r="A36849">
        <v>8407</v>
      </c>
      <c r="B36849" t="s">
        <v>11099</v>
      </c>
    </row>
    <row r="36850" spans="1:2" x14ac:dyDescent="0.25">
      <c r="A36850">
        <v>84071000000</v>
      </c>
      <c r="B36850" t="e">
        <f>-Motores de aviacion</f>
        <v>#NAME?</v>
      </c>
    </row>
    <row r="36851" spans="1:2" x14ac:dyDescent="0.25">
      <c r="A36851">
        <v>84072</v>
      </c>
      <c r="B36851" t="s">
        <v>11100</v>
      </c>
    </row>
    <row r="36852" spans="1:2" x14ac:dyDescent="0.25">
      <c r="A36852">
        <v>840721</v>
      </c>
      <c r="B36852" t="e">
        <f>- - del tipo fueraborda</f>
        <v>#NAME?</v>
      </c>
    </row>
    <row r="36853" spans="1:2" x14ac:dyDescent="0.25">
      <c r="A36853">
        <v>84072110000</v>
      </c>
      <c r="B36853" t="s">
        <v>11101</v>
      </c>
    </row>
    <row r="36854" spans="1:2" x14ac:dyDescent="0.25">
      <c r="A36854">
        <v>84072190000</v>
      </c>
      <c r="B36854" t="s">
        <v>10</v>
      </c>
    </row>
    <row r="36855" spans="1:2" x14ac:dyDescent="0.25">
      <c r="A36855">
        <v>840729</v>
      </c>
      <c r="B36855" t="e">
        <f>- - Los demas</f>
        <v>#NAME?</v>
      </c>
    </row>
    <row r="36856" spans="1:2" x14ac:dyDescent="0.25">
      <c r="A36856">
        <v>84072910000</v>
      </c>
      <c r="B36856" t="s">
        <v>11102</v>
      </c>
    </row>
    <row r="36857" spans="1:2" x14ac:dyDescent="0.25">
      <c r="A36857">
        <v>84072990000</v>
      </c>
      <c r="B36857" t="s">
        <v>10</v>
      </c>
    </row>
    <row r="36858" spans="1:2" x14ac:dyDescent="0.25">
      <c r="A36858">
        <v>84073</v>
      </c>
      <c r="B36858" t="s">
        <v>11103</v>
      </c>
    </row>
    <row r="36859" spans="1:2" x14ac:dyDescent="0.25">
      <c r="A36859">
        <v>840731</v>
      </c>
      <c r="B36859" t="s">
        <v>11104</v>
      </c>
    </row>
    <row r="36860" spans="1:2" x14ac:dyDescent="0.25">
      <c r="A36860">
        <v>84073110000</v>
      </c>
      <c r="B36860" t="s">
        <v>11101</v>
      </c>
    </row>
    <row r="36861" spans="1:2" x14ac:dyDescent="0.25">
      <c r="A36861">
        <v>84073190000</v>
      </c>
      <c r="B36861" t="s">
        <v>10</v>
      </c>
    </row>
    <row r="36862" spans="1:2" x14ac:dyDescent="0.25">
      <c r="A36862">
        <v>84073200000</v>
      </c>
      <c r="B36862" t="s">
        <v>11105</v>
      </c>
    </row>
    <row r="36863" spans="1:2" x14ac:dyDescent="0.25">
      <c r="A36863">
        <v>840733</v>
      </c>
      <c r="B36863" t="s">
        <v>11106</v>
      </c>
    </row>
    <row r="36864" spans="1:2" x14ac:dyDescent="0.25">
      <c r="A36864">
        <v>84073310000</v>
      </c>
      <c r="B36864" t="s">
        <v>11101</v>
      </c>
    </row>
    <row r="36865" spans="1:2" x14ac:dyDescent="0.25">
      <c r="A36865">
        <v>84073390000</v>
      </c>
      <c r="B36865" t="s">
        <v>10</v>
      </c>
    </row>
    <row r="36866" spans="1:2" x14ac:dyDescent="0.25">
      <c r="A36866">
        <v>840734</v>
      </c>
      <c r="B36866" t="s">
        <v>11107</v>
      </c>
    </row>
    <row r="36867" spans="1:2" x14ac:dyDescent="0.25">
      <c r="A36867">
        <v>84073410000</v>
      </c>
      <c r="B36867" t="s">
        <v>11101</v>
      </c>
    </row>
    <row r="36868" spans="1:2" x14ac:dyDescent="0.25">
      <c r="A36868">
        <v>84073490</v>
      </c>
      <c r="B36868" t="s">
        <v>10</v>
      </c>
    </row>
    <row r="36869" spans="1:2" x14ac:dyDescent="0.25">
      <c r="A36869">
        <v>84073490100</v>
      </c>
      <c r="B36869" t="s">
        <v>11108</v>
      </c>
    </row>
    <row r="36870" spans="1:2" x14ac:dyDescent="0.25">
      <c r="A36870">
        <v>84073490900</v>
      </c>
      <c r="B36870" t="s">
        <v>10</v>
      </c>
    </row>
    <row r="36871" spans="1:2" x14ac:dyDescent="0.25">
      <c r="A36871">
        <v>84079000</v>
      </c>
      <c r="B36871" t="e">
        <f>- Los demas Motores</f>
        <v>#NAME?</v>
      </c>
    </row>
    <row r="36872" spans="1:2" x14ac:dyDescent="0.25">
      <c r="A36872">
        <v>84079000100</v>
      </c>
      <c r="B36872" t="s">
        <v>11109</v>
      </c>
    </row>
    <row r="36873" spans="1:2" x14ac:dyDescent="0.25">
      <c r="A36873">
        <v>84079000200</v>
      </c>
      <c r="B36873" t="s">
        <v>11110</v>
      </c>
    </row>
    <row r="36874" spans="1:2" x14ac:dyDescent="0.25">
      <c r="A36874">
        <v>84079000900</v>
      </c>
      <c r="B36874" t="s">
        <v>10</v>
      </c>
    </row>
    <row r="36875" spans="1:2" x14ac:dyDescent="0.25">
      <c r="A36875">
        <v>8408</v>
      </c>
      <c r="B36875" t="s">
        <v>11111</v>
      </c>
    </row>
    <row r="36876" spans="1:2" x14ac:dyDescent="0.25">
      <c r="A36876">
        <v>840810</v>
      </c>
      <c r="B36876" t="e">
        <f>- Motores para la propulsion de barcos</f>
        <v>#NAME?</v>
      </c>
    </row>
    <row r="36877" spans="1:2" x14ac:dyDescent="0.25">
      <c r="A36877">
        <v>84081010000</v>
      </c>
      <c r="B36877" t="s">
        <v>11112</v>
      </c>
    </row>
    <row r="36878" spans="1:2" x14ac:dyDescent="0.25">
      <c r="A36878">
        <v>84081090000</v>
      </c>
      <c r="B36878" t="s">
        <v>10</v>
      </c>
    </row>
    <row r="36879" spans="1:2" x14ac:dyDescent="0.25">
      <c r="A36879">
        <v>840820</v>
      </c>
      <c r="B36879" t="s">
        <v>11113</v>
      </c>
    </row>
    <row r="36880" spans="1:2" x14ac:dyDescent="0.25">
      <c r="A36880">
        <v>84082010</v>
      </c>
      <c r="B36880" t="s">
        <v>11114</v>
      </c>
    </row>
    <row r="36881" spans="1:2" x14ac:dyDescent="0.25">
      <c r="A36881">
        <v>84082010100</v>
      </c>
      <c r="B36881" t="s">
        <v>11115</v>
      </c>
    </row>
    <row r="36882" spans="1:2" x14ac:dyDescent="0.25">
      <c r="A36882">
        <v>84082010900</v>
      </c>
      <c r="B36882" t="s">
        <v>10</v>
      </c>
    </row>
    <row r="36883" spans="1:2" x14ac:dyDescent="0.25">
      <c r="A36883">
        <v>84082020</v>
      </c>
      <c r="B36883" t="s">
        <v>11116</v>
      </c>
    </row>
    <row r="36884" spans="1:2" x14ac:dyDescent="0.25">
      <c r="A36884">
        <v>84082020100</v>
      </c>
      <c r="B36884" t="s">
        <v>11117</v>
      </c>
    </row>
    <row r="36885" spans="1:2" x14ac:dyDescent="0.25">
      <c r="A36885">
        <v>84082020900</v>
      </c>
      <c r="B36885" t="s">
        <v>10</v>
      </c>
    </row>
    <row r="36886" spans="1:2" x14ac:dyDescent="0.25">
      <c r="A36886">
        <v>84082030</v>
      </c>
      <c r="B36886" t="s">
        <v>11118</v>
      </c>
    </row>
    <row r="36887" spans="1:2" x14ac:dyDescent="0.25">
      <c r="A36887">
        <v>84082030100</v>
      </c>
      <c r="B36887" t="s">
        <v>11119</v>
      </c>
    </row>
    <row r="36888" spans="1:2" x14ac:dyDescent="0.25">
      <c r="A36888">
        <v>84082030900</v>
      </c>
      <c r="B36888" t="s">
        <v>10</v>
      </c>
    </row>
    <row r="36889" spans="1:2" x14ac:dyDescent="0.25">
      <c r="A36889">
        <v>84082090</v>
      </c>
      <c r="B36889" t="s">
        <v>10</v>
      </c>
    </row>
    <row r="36890" spans="1:2" x14ac:dyDescent="0.25">
      <c r="A36890">
        <v>84082090100</v>
      </c>
      <c r="B36890" t="s">
        <v>11120</v>
      </c>
    </row>
    <row r="36891" spans="1:2" x14ac:dyDescent="0.25">
      <c r="A36891">
        <v>84082090900</v>
      </c>
      <c r="B36891" t="s">
        <v>10</v>
      </c>
    </row>
    <row r="36892" spans="1:2" x14ac:dyDescent="0.25">
      <c r="A36892">
        <v>840890</v>
      </c>
      <c r="B36892" t="e">
        <f>- Los demas Motores</f>
        <v>#NAME?</v>
      </c>
    </row>
    <row r="36893" spans="1:2" x14ac:dyDescent="0.25">
      <c r="A36893">
        <v>84089010000</v>
      </c>
      <c r="B36893" t="s">
        <v>11121</v>
      </c>
    </row>
    <row r="36894" spans="1:2" x14ac:dyDescent="0.25">
      <c r="A36894">
        <v>84089090</v>
      </c>
      <c r="B36894" t="s">
        <v>10</v>
      </c>
    </row>
    <row r="36895" spans="1:2" x14ac:dyDescent="0.25">
      <c r="A36895">
        <v>84089090100</v>
      </c>
      <c r="B36895" t="s">
        <v>11122</v>
      </c>
    </row>
    <row r="36896" spans="1:2" x14ac:dyDescent="0.25">
      <c r="A36896">
        <v>84089090900</v>
      </c>
      <c r="B36896" t="s">
        <v>10</v>
      </c>
    </row>
    <row r="36897" spans="1:2" x14ac:dyDescent="0.25">
      <c r="A36897">
        <v>8409</v>
      </c>
      <c r="B36897" t="s">
        <v>11123</v>
      </c>
    </row>
    <row r="36898" spans="1:2" x14ac:dyDescent="0.25">
      <c r="A36898">
        <v>84091000000</v>
      </c>
      <c r="B36898" t="e">
        <f>-de Motores de aviacion</f>
        <v>#NAME?</v>
      </c>
    </row>
    <row r="36899" spans="1:2" x14ac:dyDescent="0.25">
      <c r="A36899">
        <v>84099</v>
      </c>
      <c r="B36899" t="s">
        <v>567</v>
      </c>
    </row>
    <row r="36900" spans="1:2" x14ac:dyDescent="0.25">
      <c r="A36900">
        <v>840991</v>
      </c>
      <c r="B36900" t="e">
        <f>- - identificables como destinadas. exclusiva o principalmente. a Los Motores de embolo (piston) de encendido por chispa</f>
        <v>#NAME?</v>
      </c>
    </row>
    <row r="36901" spans="1:2" x14ac:dyDescent="0.25">
      <c r="A36901">
        <v>8409911</v>
      </c>
      <c r="B36901" t="s">
        <v>11124</v>
      </c>
    </row>
    <row r="36902" spans="1:2" x14ac:dyDescent="0.25">
      <c r="A36902">
        <v>84099111000</v>
      </c>
      <c r="B36902" t="s">
        <v>11125</v>
      </c>
    </row>
    <row r="36903" spans="1:2" x14ac:dyDescent="0.25">
      <c r="A36903">
        <v>84099112</v>
      </c>
      <c r="B36903" t="s">
        <v>11126</v>
      </c>
    </row>
    <row r="36904" spans="1:2" x14ac:dyDescent="0.25">
      <c r="A36904">
        <v>84099112100</v>
      </c>
      <c r="B36904" t="s">
        <v>11127</v>
      </c>
    </row>
    <row r="36905" spans="1:2" x14ac:dyDescent="0.25">
      <c r="A36905">
        <v>84099112900</v>
      </c>
      <c r="B36905" t="s">
        <v>10</v>
      </c>
    </row>
    <row r="36906" spans="1:2" x14ac:dyDescent="0.25">
      <c r="A36906">
        <v>84099113000</v>
      </c>
      <c r="B36906" t="s">
        <v>11128</v>
      </c>
    </row>
    <row r="36907" spans="1:2" x14ac:dyDescent="0.25">
      <c r="A36907">
        <v>84099114000</v>
      </c>
      <c r="B36907" t="s">
        <v>11129</v>
      </c>
    </row>
    <row r="36908" spans="1:2" x14ac:dyDescent="0.25">
      <c r="A36908">
        <v>84099115000</v>
      </c>
      <c r="B36908" t="s">
        <v>11130</v>
      </c>
    </row>
    <row r="36909" spans="1:2" x14ac:dyDescent="0.25">
      <c r="A36909">
        <v>84099116000</v>
      </c>
      <c r="B36909" t="s">
        <v>11131</v>
      </c>
    </row>
    <row r="36910" spans="1:2" x14ac:dyDescent="0.25">
      <c r="A36910">
        <v>84099117000</v>
      </c>
      <c r="B36910" t="s">
        <v>11132</v>
      </c>
    </row>
    <row r="36911" spans="1:2" x14ac:dyDescent="0.25">
      <c r="A36911">
        <v>84099118000</v>
      </c>
      <c r="B36911" t="s">
        <v>11133</v>
      </c>
    </row>
    <row r="36912" spans="1:2" x14ac:dyDescent="0.25">
      <c r="A36912">
        <v>84099120000</v>
      </c>
      <c r="B36912" t="s">
        <v>11134</v>
      </c>
    </row>
    <row r="36913" spans="1:2" x14ac:dyDescent="0.25">
      <c r="A36913">
        <v>84099130000</v>
      </c>
      <c r="B36913" t="s">
        <v>11135</v>
      </c>
    </row>
    <row r="36914" spans="1:2" x14ac:dyDescent="0.25">
      <c r="A36914">
        <v>84099140</v>
      </c>
      <c r="B36914" t="s">
        <v>11136</v>
      </c>
    </row>
    <row r="36915" spans="1:2" x14ac:dyDescent="0.25">
      <c r="A36915">
        <v>84099140100</v>
      </c>
      <c r="B36915" t="s">
        <v>11137</v>
      </c>
    </row>
    <row r="36916" spans="1:2" x14ac:dyDescent="0.25">
      <c r="A36916">
        <v>84099140900</v>
      </c>
      <c r="B36916" t="s">
        <v>10</v>
      </c>
    </row>
    <row r="36917" spans="1:2" x14ac:dyDescent="0.25">
      <c r="A36917">
        <v>84099190</v>
      </c>
      <c r="B36917" t="s">
        <v>57</v>
      </c>
    </row>
    <row r="36918" spans="1:2" x14ac:dyDescent="0.25">
      <c r="A36918">
        <v>84099190100</v>
      </c>
      <c r="B36918" t="s">
        <v>11138</v>
      </c>
    </row>
    <row r="36919" spans="1:2" x14ac:dyDescent="0.25">
      <c r="A36919">
        <v>84099190900</v>
      </c>
      <c r="B36919" t="s">
        <v>57</v>
      </c>
    </row>
    <row r="36920" spans="1:2" x14ac:dyDescent="0.25">
      <c r="A36920">
        <v>840999</v>
      </c>
      <c r="B36920" t="e">
        <f>- - las demas</f>
        <v>#NAME?</v>
      </c>
    </row>
    <row r="36921" spans="1:2" x14ac:dyDescent="0.25">
      <c r="A36921">
        <v>8409991</v>
      </c>
      <c r="B36921" t="s">
        <v>11139</v>
      </c>
    </row>
    <row r="36922" spans="1:2" x14ac:dyDescent="0.25">
      <c r="A36922">
        <v>84099912</v>
      </c>
      <c r="B36922" t="s">
        <v>11140</v>
      </c>
    </row>
    <row r="36923" spans="1:2" x14ac:dyDescent="0.25">
      <c r="A36923">
        <v>84099912100</v>
      </c>
      <c r="B36923" t="s">
        <v>11127</v>
      </c>
    </row>
    <row r="36924" spans="1:2" x14ac:dyDescent="0.25">
      <c r="A36924">
        <v>84099912900</v>
      </c>
      <c r="B36924" t="s">
        <v>10</v>
      </c>
    </row>
    <row r="36925" spans="1:2" x14ac:dyDescent="0.25">
      <c r="A36925">
        <v>84099914000</v>
      </c>
      <c r="B36925" t="s">
        <v>11129</v>
      </c>
    </row>
    <row r="36926" spans="1:2" x14ac:dyDescent="0.25">
      <c r="A36926">
        <v>84099915000</v>
      </c>
      <c r="B36926" t="s">
        <v>11130</v>
      </c>
    </row>
    <row r="36927" spans="1:2" x14ac:dyDescent="0.25">
      <c r="A36927">
        <v>84099917000</v>
      </c>
      <c r="B36927" t="s">
        <v>11132</v>
      </c>
    </row>
    <row r="36928" spans="1:2" x14ac:dyDescent="0.25">
      <c r="A36928">
        <v>8409992</v>
      </c>
      <c r="B36928" t="s">
        <v>11141</v>
      </c>
    </row>
    <row r="36929" spans="1:2" x14ac:dyDescent="0.25">
      <c r="A36929">
        <v>84099921000</v>
      </c>
      <c r="B36929" t="s">
        <v>11142</v>
      </c>
    </row>
    <row r="36930" spans="1:2" x14ac:dyDescent="0.25">
      <c r="A36930">
        <v>84099929000</v>
      </c>
      <c r="B36930" t="s">
        <v>10</v>
      </c>
    </row>
    <row r="36931" spans="1:2" x14ac:dyDescent="0.25">
      <c r="A36931">
        <v>84099930000</v>
      </c>
      <c r="B36931" t="s">
        <v>11143</v>
      </c>
    </row>
    <row r="36932" spans="1:2" x14ac:dyDescent="0.25">
      <c r="A36932">
        <v>8409994</v>
      </c>
      <c r="B36932" t="s">
        <v>11125</v>
      </c>
    </row>
    <row r="36933" spans="1:2" x14ac:dyDescent="0.25">
      <c r="A36933">
        <v>84099941000</v>
      </c>
      <c r="B36933" t="s">
        <v>11144</v>
      </c>
    </row>
    <row r="36934" spans="1:2" x14ac:dyDescent="0.25">
      <c r="A36934">
        <v>84099949000</v>
      </c>
      <c r="B36934" t="s">
        <v>57</v>
      </c>
    </row>
    <row r="36935" spans="1:2" x14ac:dyDescent="0.25">
      <c r="A36935">
        <v>8409995</v>
      </c>
      <c r="B36935" t="s">
        <v>11145</v>
      </c>
    </row>
    <row r="36936" spans="1:2" x14ac:dyDescent="0.25">
      <c r="A36936">
        <v>84099951000</v>
      </c>
      <c r="B36936" t="s">
        <v>11142</v>
      </c>
    </row>
    <row r="36937" spans="1:2" x14ac:dyDescent="0.25">
      <c r="A36937">
        <v>84099959000</v>
      </c>
      <c r="B36937" t="s">
        <v>57</v>
      </c>
    </row>
    <row r="36938" spans="1:2" x14ac:dyDescent="0.25">
      <c r="A36938">
        <v>8409996</v>
      </c>
      <c r="B36938" t="s">
        <v>11146</v>
      </c>
    </row>
    <row r="36939" spans="1:2" x14ac:dyDescent="0.25">
      <c r="A36939">
        <v>84099961000</v>
      </c>
      <c r="B36939" t="s">
        <v>11147</v>
      </c>
    </row>
    <row r="36940" spans="1:2" x14ac:dyDescent="0.25">
      <c r="A36940">
        <v>84099969000</v>
      </c>
      <c r="B36940" t="s">
        <v>10</v>
      </c>
    </row>
    <row r="36941" spans="1:2" x14ac:dyDescent="0.25">
      <c r="A36941">
        <v>8409997</v>
      </c>
      <c r="B36941" t="s">
        <v>11131</v>
      </c>
    </row>
    <row r="36942" spans="1:2" x14ac:dyDescent="0.25">
      <c r="A36942">
        <v>84099971000</v>
      </c>
      <c r="B36942" t="s">
        <v>11142</v>
      </c>
    </row>
    <row r="36943" spans="1:2" x14ac:dyDescent="0.25">
      <c r="A36943">
        <v>84099979000</v>
      </c>
      <c r="B36943" t="s">
        <v>10</v>
      </c>
    </row>
    <row r="36944" spans="1:2" x14ac:dyDescent="0.25">
      <c r="A36944">
        <v>8409999</v>
      </c>
      <c r="B36944" t="s">
        <v>57</v>
      </c>
    </row>
    <row r="36945" spans="1:2" x14ac:dyDescent="0.25">
      <c r="A36945">
        <v>84099991000</v>
      </c>
      <c r="B36945" t="s">
        <v>11148</v>
      </c>
    </row>
    <row r="36946" spans="1:2" x14ac:dyDescent="0.25">
      <c r="A36946">
        <v>84099999</v>
      </c>
      <c r="B36946" t="s">
        <v>57</v>
      </c>
    </row>
    <row r="36947" spans="1:2" x14ac:dyDescent="0.25">
      <c r="A36947">
        <v>84099999100</v>
      </c>
      <c r="B36947" t="s">
        <v>11149</v>
      </c>
    </row>
    <row r="36948" spans="1:2" x14ac:dyDescent="0.25">
      <c r="A36948">
        <v>84099999200</v>
      </c>
      <c r="B36948" t="s">
        <v>11150</v>
      </c>
    </row>
    <row r="36949" spans="1:2" x14ac:dyDescent="0.25">
      <c r="A36949">
        <v>84099999300</v>
      </c>
      <c r="B36949" t="s">
        <v>11151</v>
      </c>
    </row>
    <row r="36950" spans="1:2" x14ac:dyDescent="0.25">
      <c r="A36950">
        <v>84099999900</v>
      </c>
      <c r="B36950" t="s">
        <v>10</v>
      </c>
    </row>
    <row r="36951" spans="1:2" x14ac:dyDescent="0.25">
      <c r="A36951">
        <v>8410</v>
      </c>
      <c r="B36951" t="s">
        <v>11152</v>
      </c>
    </row>
    <row r="36952" spans="1:2" x14ac:dyDescent="0.25">
      <c r="A36952">
        <v>84101</v>
      </c>
      <c r="B36952" t="s">
        <v>11153</v>
      </c>
    </row>
    <row r="36953" spans="1:2" x14ac:dyDescent="0.25">
      <c r="A36953">
        <v>84101100000</v>
      </c>
      <c r="B36953" t="s">
        <v>11154</v>
      </c>
    </row>
    <row r="36954" spans="1:2" x14ac:dyDescent="0.25">
      <c r="A36954">
        <v>84101200000</v>
      </c>
      <c r="B36954" t="s">
        <v>11155</v>
      </c>
    </row>
    <row r="36955" spans="1:2" x14ac:dyDescent="0.25">
      <c r="A36955">
        <v>84101300000</v>
      </c>
      <c r="B36955" t="s">
        <v>11156</v>
      </c>
    </row>
    <row r="36956" spans="1:2" x14ac:dyDescent="0.25">
      <c r="A36956">
        <v>84109000000</v>
      </c>
      <c r="B36956" t="e">
        <f>-partes. incluidos Los reguladores</f>
        <v>#NAME?</v>
      </c>
    </row>
    <row r="36957" spans="1:2" x14ac:dyDescent="0.25">
      <c r="A36957">
        <v>8411</v>
      </c>
      <c r="B36957" t="s">
        <v>11157</v>
      </c>
    </row>
    <row r="36958" spans="1:2" x14ac:dyDescent="0.25">
      <c r="A36958">
        <v>84111</v>
      </c>
      <c r="B36958" t="s">
        <v>11158</v>
      </c>
    </row>
    <row r="36959" spans="1:2" x14ac:dyDescent="0.25">
      <c r="A36959">
        <v>84111100000</v>
      </c>
      <c r="B36959" t="s">
        <v>11159</v>
      </c>
    </row>
    <row r="36960" spans="1:2" x14ac:dyDescent="0.25">
      <c r="A36960">
        <v>84111200000</v>
      </c>
      <c r="B36960" t="s">
        <v>11160</v>
      </c>
    </row>
    <row r="36961" spans="1:2" x14ac:dyDescent="0.25">
      <c r="A36961">
        <v>84112</v>
      </c>
      <c r="B36961" t="s">
        <v>11161</v>
      </c>
    </row>
    <row r="36962" spans="1:2" x14ac:dyDescent="0.25">
      <c r="A36962">
        <v>84112100000</v>
      </c>
      <c r="B36962" t="s">
        <v>11162</v>
      </c>
    </row>
    <row r="36963" spans="1:2" x14ac:dyDescent="0.25">
      <c r="A36963">
        <v>84112200000</v>
      </c>
      <c r="B36963" t="s">
        <v>11163</v>
      </c>
    </row>
    <row r="36964" spans="1:2" x14ac:dyDescent="0.25">
      <c r="A36964">
        <v>84118</v>
      </c>
      <c r="B36964" t="s">
        <v>11164</v>
      </c>
    </row>
    <row r="36965" spans="1:2" x14ac:dyDescent="0.25">
      <c r="A36965">
        <v>84118100000</v>
      </c>
      <c r="B36965" t="s">
        <v>11165</v>
      </c>
    </row>
    <row r="36966" spans="1:2" x14ac:dyDescent="0.25">
      <c r="A36966">
        <v>84118200000</v>
      </c>
      <c r="B36966" t="s">
        <v>11166</v>
      </c>
    </row>
    <row r="36967" spans="1:2" x14ac:dyDescent="0.25">
      <c r="A36967">
        <v>84119</v>
      </c>
      <c r="B36967" t="s">
        <v>11167</v>
      </c>
    </row>
    <row r="36968" spans="1:2" x14ac:dyDescent="0.25">
      <c r="A36968">
        <v>84119100</v>
      </c>
      <c r="B36968" t="e">
        <f>- - de Turborreactores o de Turbopropulsores</f>
        <v>#NAME?</v>
      </c>
    </row>
    <row r="36969" spans="1:2" x14ac:dyDescent="0.25">
      <c r="A36969">
        <v>84119100100</v>
      </c>
      <c r="B36969" t="s">
        <v>11095</v>
      </c>
    </row>
    <row r="36970" spans="1:2" x14ac:dyDescent="0.25">
      <c r="A36970">
        <v>84119100200</v>
      </c>
      <c r="B36970" t="s">
        <v>11168</v>
      </c>
    </row>
    <row r="36971" spans="1:2" x14ac:dyDescent="0.25">
      <c r="A36971">
        <v>84119100300</v>
      </c>
      <c r="B36971" t="s">
        <v>11169</v>
      </c>
    </row>
    <row r="36972" spans="1:2" x14ac:dyDescent="0.25">
      <c r="A36972">
        <v>84119100400</v>
      </c>
      <c r="B36972" t="s">
        <v>11170</v>
      </c>
    </row>
    <row r="36973" spans="1:2" x14ac:dyDescent="0.25">
      <c r="A36973">
        <v>84119100500</v>
      </c>
      <c r="B36973" t="s">
        <v>11171</v>
      </c>
    </row>
    <row r="36974" spans="1:2" x14ac:dyDescent="0.25">
      <c r="A36974">
        <v>84119100600</v>
      </c>
      <c r="B36974" t="s">
        <v>11172</v>
      </c>
    </row>
    <row r="36975" spans="1:2" x14ac:dyDescent="0.25">
      <c r="A36975">
        <v>84119100900</v>
      </c>
      <c r="B36975" t="s">
        <v>10</v>
      </c>
    </row>
    <row r="36976" spans="1:2" x14ac:dyDescent="0.25">
      <c r="A36976">
        <v>84119900</v>
      </c>
      <c r="B36976" t="e">
        <f>- - las demas</f>
        <v>#NAME?</v>
      </c>
    </row>
    <row r="36977" spans="1:2" x14ac:dyDescent="0.25">
      <c r="A36977">
        <v>84119900100</v>
      </c>
      <c r="B36977" t="s">
        <v>11095</v>
      </c>
    </row>
    <row r="36978" spans="1:2" x14ac:dyDescent="0.25">
      <c r="A36978">
        <v>84119900200</v>
      </c>
      <c r="B36978" t="s">
        <v>11168</v>
      </c>
    </row>
    <row r="36979" spans="1:2" x14ac:dyDescent="0.25">
      <c r="A36979">
        <v>84119900300</v>
      </c>
      <c r="B36979" t="s">
        <v>11169</v>
      </c>
    </row>
    <row r="36980" spans="1:2" x14ac:dyDescent="0.25">
      <c r="A36980">
        <v>84119900400</v>
      </c>
      <c r="B36980" t="s">
        <v>11170</v>
      </c>
    </row>
    <row r="36981" spans="1:2" x14ac:dyDescent="0.25">
      <c r="A36981">
        <v>84119900500</v>
      </c>
      <c r="B36981" t="s">
        <v>11171</v>
      </c>
    </row>
    <row r="36982" spans="1:2" x14ac:dyDescent="0.25">
      <c r="A36982">
        <v>84119900600</v>
      </c>
      <c r="B36982" t="s">
        <v>11172</v>
      </c>
    </row>
    <row r="36983" spans="1:2" x14ac:dyDescent="0.25">
      <c r="A36983">
        <v>84119900900</v>
      </c>
      <c r="B36983" t="s">
        <v>10</v>
      </c>
    </row>
    <row r="36984" spans="1:2" x14ac:dyDescent="0.25">
      <c r="A36984">
        <v>8412</v>
      </c>
      <c r="B36984" t="s">
        <v>11173</v>
      </c>
    </row>
    <row r="36985" spans="1:2" x14ac:dyDescent="0.25">
      <c r="A36985">
        <v>84121000000</v>
      </c>
      <c r="B36985" t="e">
        <f>-Propulsores a reaccion. excepto Los Turborreactores</f>
        <v>#NAME?</v>
      </c>
    </row>
    <row r="36986" spans="1:2" x14ac:dyDescent="0.25">
      <c r="A36986">
        <v>84122</v>
      </c>
      <c r="B36986" t="s">
        <v>11174</v>
      </c>
    </row>
    <row r="36987" spans="1:2" x14ac:dyDescent="0.25">
      <c r="A36987">
        <v>841221</v>
      </c>
      <c r="B36987" t="e">
        <f>- - Con movimiento rectilineo (cilindros)</f>
        <v>#NAME?</v>
      </c>
    </row>
    <row r="36988" spans="1:2" x14ac:dyDescent="0.25">
      <c r="A36988">
        <v>84122110000</v>
      </c>
      <c r="B36988" t="s">
        <v>11175</v>
      </c>
    </row>
    <row r="36989" spans="1:2" x14ac:dyDescent="0.25">
      <c r="A36989">
        <v>84122190</v>
      </c>
      <c r="B36989" t="s">
        <v>10</v>
      </c>
    </row>
    <row r="36990" spans="1:2" x14ac:dyDescent="0.25">
      <c r="A36990">
        <v>84122190100</v>
      </c>
      <c r="B36990" t="s">
        <v>11176</v>
      </c>
    </row>
    <row r="36991" spans="1:2" x14ac:dyDescent="0.25">
      <c r="A36991">
        <v>84122190900</v>
      </c>
      <c r="B36991" t="s">
        <v>10</v>
      </c>
    </row>
    <row r="36992" spans="1:2" x14ac:dyDescent="0.25">
      <c r="A36992">
        <v>84122900</v>
      </c>
      <c r="B36992" t="e">
        <f>- - Los demas</f>
        <v>#NAME?</v>
      </c>
    </row>
    <row r="36993" spans="1:2" x14ac:dyDescent="0.25">
      <c r="A36993">
        <v>84122900100</v>
      </c>
      <c r="B36993" t="s">
        <v>11177</v>
      </c>
    </row>
    <row r="36994" spans="1:2" x14ac:dyDescent="0.25">
      <c r="A36994">
        <v>84122900900</v>
      </c>
      <c r="B36994" t="s">
        <v>10</v>
      </c>
    </row>
    <row r="36995" spans="1:2" x14ac:dyDescent="0.25">
      <c r="A36995">
        <v>84123</v>
      </c>
      <c r="B36995" t="s">
        <v>11178</v>
      </c>
    </row>
    <row r="36996" spans="1:2" x14ac:dyDescent="0.25">
      <c r="A36996">
        <v>841231</v>
      </c>
      <c r="B36996" t="e">
        <f>- - Con movimiento rectilineo (cilindros)</f>
        <v>#NAME?</v>
      </c>
    </row>
    <row r="36997" spans="1:2" x14ac:dyDescent="0.25">
      <c r="A36997">
        <v>84123110000</v>
      </c>
      <c r="B36997" t="s">
        <v>11179</v>
      </c>
    </row>
    <row r="36998" spans="1:2" x14ac:dyDescent="0.25">
      <c r="A36998">
        <v>84123190000</v>
      </c>
      <c r="B36998" t="s">
        <v>10</v>
      </c>
    </row>
    <row r="36999" spans="1:2" x14ac:dyDescent="0.25">
      <c r="A36999">
        <v>84123900</v>
      </c>
      <c r="B36999" t="e">
        <f>- - Los demas</f>
        <v>#NAME?</v>
      </c>
    </row>
    <row r="37000" spans="1:2" x14ac:dyDescent="0.25">
      <c r="A37000">
        <v>84123900100</v>
      </c>
      <c r="B37000" t="s">
        <v>11180</v>
      </c>
    </row>
    <row r="37001" spans="1:2" x14ac:dyDescent="0.25">
      <c r="A37001">
        <v>84123900900</v>
      </c>
      <c r="B37001" t="s">
        <v>10</v>
      </c>
    </row>
    <row r="37002" spans="1:2" x14ac:dyDescent="0.25">
      <c r="A37002">
        <v>84128000</v>
      </c>
      <c r="B37002" t="e">
        <f>- Los demas</f>
        <v>#NAME?</v>
      </c>
    </row>
    <row r="37003" spans="1:2" x14ac:dyDescent="0.25">
      <c r="A37003">
        <v>84128000100</v>
      </c>
      <c r="B37003" t="s">
        <v>11181</v>
      </c>
    </row>
    <row r="37004" spans="1:2" x14ac:dyDescent="0.25">
      <c r="A37004">
        <v>84128000900</v>
      </c>
      <c r="B37004" t="s">
        <v>10</v>
      </c>
    </row>
    <row r="37005" spans="1:2" x14ac:dyDescent="0.25">
      <c r="A37005">
        <v>841290</v>
      </c>
      <c r="B37005" t="e">
        <f>- partes</f>
        <v>#NAME?</v>
      </c>
    </row>
    <row r="37006" spans="1:2" x14ac:dyDescent="0.25">
      <c r="A37006">
        <v>84129010000</v>
      </c>
      <c r="B37006" t="s">
        <v>11182</v>
      </c>
    </row>
    <row r="37007" spans="1:2" x14ac:dyDescent="0.25">
      <c r="A37007">
        <v>84129020000</v>
      </c>
      <c r="B37007" t="s">
        <v>11183</v>
      </c>
    </row>
    <row r="37008" spans="1:2" x14ac:dyDescent="0.25">
      <c r="A37008">
        <v>84129080000</v>
      </c>
      <c r="B37008" t="s">
        <v>11184</v>
      </c>
    </row>
    <row r="37009" spans="1:2" x14ac:dyDescent="0.25">
      <c r="A37009">
        <v>84129090000</v>
      </c>
      <c r="B37009" t="s">
        <v>57</v>
      </c>
    </row>
    <row r="37010" spans="1:2" x14ac:dyDescent="0.25">
      <c r="A37010">
        <v>8413</v>
      </c>
      <c r="B37010" t="s">
        <v>11185</v>
      </c>
    </row>
    <row r="37011" spans="1:2" x14ac:dyDescent="0.25">
      <c r="A37011">
        <v>84131</v>
      </c>
      <c r="B37011" t="s">
        <v>11186</v>
      </c>
    </row>
    <row r="37012" spans="1:2" x14ac:dyDescent="0.25">
      <c r="A37012">
        <v>84131100000</v>
      </c>
      <c r="B37012" t="e">
        <f>--Bombas para distribucion de carburantes o lubricantes. de Los tipos utilizados En gasolineras. estaciones de servicio o garajes</f>
        <v>#NAME?</v>
      </c>
    </row>
    <row r="37013" spans="1:2" x14ac:dyDescent="0.25">
      <c r="A37013">
        <v>84131900</v>
      </c>
      <c r="B37013" t="e">
        <f>- - las demas</f>
        <v>#NAME?</v>
      </c>
    </row>
    <row r="37014" spans="1:2" x14ac:dyDescent="0.25">
      <c r="A37014">
        <v>841319001</v>
      </c>
      <c r="B37014" t="s">
        <v>11187</v>
      </c>
    </row>
    <row r="37015" spans="1:2" x14ac:dyDescent="0.25">
      <c r="A37015">
        <v>84131900110</v>
      </c>
      <c r="B37015" t="s">
        <v>11188</v>
      </c>
    </row>
    <row r="37016" spans="1:2" x14ac:dyDescent="0.25">
      <c r="A37016">
        <v>84131900190</v>
      </c>
      <c r="B37016" t="s">
        <v>57</v>
      </c>
    </row>
    <row r="37017" spans="1:2" x14ac:dyDescent="0.25">
      <c r="A37017">
        <v>84131900900</v>
      </c>
      <c r="B37017" t="s">
        <v>57</v>
      </c>
    </row>
    <row r="37018" spans="1:2" x14ac:dyDescent="0.25">
      <c r="A37018">
        <v>84132000000</v>
      </c>
      <c r="B37018" t="s">
        <v>11189</v>
      </c>
    </row>
    <row r="37019" spans="1:2" x14ac:dyDescent="0.25">
      <c r="A37019">
        <v>841330</v>
      </c>
      <c r="B37019" t="e">
        <f>- Bombas de carburante. Aceite o refrigerante. para Motores de encendido por chispa o compresion</f>
        <v>#NAME?</v>
      </c>
    </row>
    <row r="37020" spans="1:2" x14ac:dyDescent="0.25">
      <c r="A37020">
        <v>84133010</v>
      </c>
      <c r="B37020" t="s">
        <v>11190</v>
      </c>
    </row>
    <row r="37021" spans="1:2" x14ac:dyDescent="0.25">
      <c r="A37021">
        <v>84133010100</v>
      </c>
      <c r="B37021" t="s">
        <v>11191</v>
      </c>
    </row>
    <row r="37022" spans="1:2" x14ac:dyDescent="0.25">
      <c r="A37022">
        <v>84133010200</v>
      </c>
      <c r="B37022" t="s">
        <v>11192</v>
      </c>
    </row>
    <row r="37023" spans="1:2" x14ac:dyDescent="0.25">
      <c r="A37023">
        <v>84133010900</v>
      </c>
      <c r="B37023" t="s">
        <v>57</v>
      </c>
    </row>
    <row r="37024" spans="1:2" x14ac:dyDescent="0.25">
      <c r="A37024">
        <v>84133020000</v>
      </c>
      <c r="B37024" t="s">
        <v>11193</v>
      </c>
    </row>
    <row r="37025" spans="1:2" x14ac:dyDescent="0.25">
      <c r="A37025">
        <v>84133030000</v>
      </c>
      <c r="B37025" t="s">
        <v>11194</v>
      </c>
    </row>
    <row r="37026" spans="1:2" x14ac:dyDescent="0.25">
      <c r="A37026">
        <v>84133090</v>
      </c>
      <c r="B37026" t="s">
        <v>57</v>
      </c>
    </row>
    <row r="37027" spans="1:2" x14ac:dyDescent="0.25">
      <c r="A37027">
        <v>84133090100</v>
      </c>
      <c r="B37027" t="s">
        <v>11195</v>
      </c>
    </row>
    <row r="37028" spans="1:2" x14ac:dyDescent="0.25">
      <c r="A37028">
        <v>84133090200</v>
      </c>
      <c r="B37028" t="s">
        <v>11196</v>
      </c>
    </row>
    <row r="37029" spans="1:2" x14ac:dyDescent="0.25">
      <c r="A37029">
        <v>84133090900</v>
      </c>
      <c r="B37029" t="s">
        <v>57</v>
      </c>
    </row>
    <row r="37030" spans="1:2" x14ac:dyDescent="0.25">
      <c r="A37030">
        <v>84134000000</v>
      </c>
      <c r="B37030" t="e">
        <f>-Bombas para hormigon</f>
        <v>#NAME?</v>
      </c>
    </row>
    <row r="37031" spans="1:2" x14ac:dyDescent="0.25">
      <c r="A37031">
        <v>841350</v>
      </c>
      <c r="B37031" t="e">
        <f>- las demas Bombas volumetricas alternativas</f>
        <v>#NAME?</v>
      </c>
    </row>
    <row r="37032" spans="1:2" x14ac:dyDescent="0.25">
      <c r="A37032">
        <v>84135010</v>
      </c>
      <c r="B37032" t="s">
        <v>11197</v>
      </c>
    </row>
    <row r="37033" spans="1:2" x14ac:dyDescent="0.25">
      <c r="A37033">
        <v>84135010200</v>
      </c>
      <c r="B37033" t="s">
        <v>11198</v>
      </c>
    </row>
    <row r="37034" spans="1:2" x14ac:dyDescent="0.25">
      <c r="A37034">
        <v>84135010300</v>
      </c>
      <c r="B37034" t="s">
        <v>11199</v>
      </c>
    </row>
    <row r="37035" spans="1:2" x14ac:dyDescent="0.25">
      <c r="A37035">
        <v>84135010400</v>
      </c>
      <c r="B37035" t="s">
        <v>11200</v>
      </c>
    </row>
    <row r="37036" spans="1:2" x14ac:dyDescent="0.25">
      <c r="A37036">
        <v>84135010900</v>
      </c>
      <c r="B37036" t="s">
        <v>57</v>
      </c>
    </row>
    <row r="37037" spans="1:2" x14ac:dyDescent="0.25">
      <c r="A37037">
        <v>84135090</v>
      </c>
      <c r="B37037" t="s">
        <v>57</v>
      </c>
    </row>
    <row r="37038" spans="1:2" x14ac:dyDescent="0.25">
      <c r="A37038">
        <v>84135090100</v>
      </c>
      <c r="B37038" t="s">
        <v>6673</v>
      </c>
    </row>
    <row r="37039" spans="1:2" x14ac:dyDescent="0.25">
      <c r="A37039">
        <v>84135090900</v>
      </c>
      <c r="B37039" t="s">
        <v>57</v>
      </c>
    </row>
    <row r="37040" spans="1:2" x14ac:dyDescent="0.25">
      <c r="A37040">
        <v>841360</v>
      </c>
      <c r="B37040" t="e">
        <f>- las demas Bombas volumetricas rotativas</f>
        <v>#NAME?</v>
      </c>
    </row>
    <row r="37041" spans="1:2" x14ac:dyDescent="0.25">
      <c r="A37041">
        <v>8413601</v>
      </c>
      <c r="B37041" t="s">
        <v>11201</v>
      </c>
    </row>
    <row r="37042" spans="1:2" x14ac:dyDescent="0.25">
      <c r="A37042">
        <v>84136011</v>
      </c>
      <c r="B37042" t="s">
        <v>11202</v>
      </c>
    </row>
    <row r="37043" spans="1:2" x14ac:dyDescent="0.25">
      <c r="A37043">
        <v>841360111</v>
      </c>
      <c r="B37043" t="s">
        <v>11203</v>
      </c>
    </row>
    <row r="37044" spans="1:2" x14ac:dyDescent="0.25">
      <c r="A37044">
        <v>84136011110</v>
      </c>
      <c r="B37044" t="s">
        <v>11204</v>
      </c>
    </row>
    <row r="37045" spans="1:2" x14ac:dyDescent="0.25">
      <c r="A37045">
        <v>84136011190</v>
      </c>
      <c r="B37045" t="s">
        <v>57</v>
      </c>
    </row>
    <row r="37046" spans="1:2" x14ac:dyDescent="0.25">
      <c r="A37046">
        <v>84136011200</v>
      </c>
      <c r="B37046" t="s">
        <v>11205</v>
      </c>
    </row>
    <row r="37047" spans="1:2" x14ac:dyDescent="0.25">
      <c r="A37047">
        <v>84136011300</v>
      </c>
      <c r="B37047" t="s">
        <v>11206</v>
      </c>
    </row>
    <row r="37048" spans="1:2" x14ac:dyDescent="0.25">
      <c r="A37048">
        <v>84136011900</v>
      </c>
      <c r="B37048" t="s">
        <v>57</v>
      </c>
    </row>
    <row r="37049" spans="1:2" x14ac:dyDescent="0.25">
      <c r="A37049">
        <v>84136019</v>
      </c>
      <c r="B37049" t="s">
        <v>57</v>
      </c>
    </row>
    <row r="37050" spans="1:2" x14ac:dyDescent="0.25">
      <c r="A37050">
        <v>841360191</v>
      </c>
      <c r="B37050" t="s">
        <v>11187</v>
      </c>
    </row>
    <row r="37051" spans="1:2" x14ac:dyDescent="0.25">
      <c r="A37051">
        <v>84136019110</v>
      </c>
      <c r="B37051" t="s">
        <v>11188</v>
      </c>
    </row>
    <row r="37052" spans="1:2" x14ac:dyDescent="0.25">
      <c r="A37052">
        <v>84136019190</v>
      </c>
      <c r="B37052" t="s">
        <v>57</v>
      </c>
    </row>
    <row r="37053" spans="1:2" x14ac:dyDescent="0.25">
      <c r="A37053">
        <v>84136019400</v>
      </c>
      <c r="B37053" t="s">
        <v>11207</v>
      </c>
    </row>
    <row r="37054" spans="1:2" x14ac:dyDescent="0.25">
      <c r="A37054">
        <v>841360199</v>
      </c>
      <c r="B37054" t="s">
        <v>57</v>
      </c>
    </row>
    <row r="37055" spans="1:2" x14ac:dyDescent="0.25">
      <c r="A37055">
        <v>84136019910</v>
      </c>
      <c r="B37055" t="s">
        <v>11203</v>
      </c>
    </row>
    <row r="37056" spans="1:2" x14ac:dyDescent="0.25">
      <c r="A37056">
        <v>84136019920</v>
      </c>
      <c r="B37056" t="s">
        <v>11205</v>
      </c>
    </row>
    <row r="37057" spans="1:2" x14ac:dyDescent="0.25">
      <c r="A37057">
        <v>84136019930</v>
      </c>
      <c r="B37057" t="s">
        <v>11206</v>
      </c>
    </row>
    <row r="37058" spans="1:2" x14ac:dyDescent="0.25">
      <c r="A37058">
        <v>84136019990</v>
      </c>
      <c r="B37058" t="s">
        <v>57</v>
      </c>
    </row>
    <row r="37059" spans="1:2" x14ac:dyDescent="0.25">
      <c r="A37059">
        <v>84136090000</v>
      </c>
      <c r="B37059" t="s">
        <v>57</v>
      </c>
    </row>
    <row r="37060" spans="1:2" x14ac:dyDescent="0.25">
      <c r="A37060">
        <v>841370</v>
      </c>
      <c r="B37060" t="e">
        <f>- las demas Bombas centrifugas</f>
        <v>#NAME?</v>
      </c>
    </row>
    <row r="37061" spans="1:2" x14ac:dyDescent="0.25">
      <c r="A37061">
        <v>84137010</v>
      </c>
      <c r="B37061" t="s">
        <v>11208</v>
      </c>
    </row>
    <row r="37062" spans="1:2" x14ac:dyDescent="0.25">
      <c r="A37062">
        <v>84137010100</v>
      </c>
      <c r="B37062" t="s">
        <v>11209</v>
      </c>
    </row>
    <row r="37063" spans="1:2" x14ac:dyDescent="0.25">
      <c r="A37063">
        <v>84137010200</v>
      </c>
      <c r="B37063" t="s">
        <v>11210</v>
      </c>
    </row>
    <row r="37064" spans="1:2" x14ac:dyDescent="0.25">
      <c r="A37064">
        <v>841370103</v>
      </c>
      <c r="B37064" t="s">
        <v>11211</v>
      </c>
    </row>
    <row r="37065" spans="1:2" x14ac:dyDescent="0.25">
      <c r="A37065">
        <v>84137010310</v>
      </c>
      <c r="B37065" t="s">
        <v>11212</v>
      </c>
    </row>
    <row r="37066" spans="1:2" x14ac:dyDescent="0.25">
      <c r="A37066">
        <v>84137010390</v>
      </c>
      <c r="B37066" t="s">
        <v>10</v>
      </c>
    </row>
    <row r="37067" spans="1:2" x14ac:dyDescent="0.25">
      <c r="A37067">
        <v>84137010400</v>
      </c>
      <c r="B37067" t="s">
        <v>11213</v>
      </c>
    </row>
    <row r="37068" spans="1:2" x14ac:dyDescent="0.25">
      <c r="A37068">
        <v>84137010500</v>
      </c>
      <c r="B37068" t="s">
        <v>11214</v>
      </c>
    </row>
    <row r="37069" spans="1:2" x14ac:dyDescent="0.25">
      <c r="A37069">
        <v>84137010900</v>
      </c>
      <c r="B37069" t="s">
        <v>10</v>
      </c>
    </row>
    <row r="37070" spans="1:2" x14ac:dyDescent="0.25">
      <c r="A37070">
        <v>84137080</v>
      </c>
      <c r="B37070" t="s">
        <v>11215</v>
      </c>
    </row>
    <row r="37071" spans="1:2" x14ac:dyDescent="0.25">
      <c r="A37071">
        <v>841370801</v>
      </c>
      <c r="B37071" t="s">
        <v>11203</v>
      </c>
    </row>
    <row r="37072" spans="1:2" x14ac:dyDescent="0.25">
      <c r="A37072">
        <v>84137080110</v>
      </c>
      <c r="B37072" t="s">
        <v>11216</v>
      </c>
    </row>
    <row r="37073" spans="1:2" x14ac:dyDescent="0.25">
      <c r="A37073">
        <v>84137080190</v>
      </c>
      <c r="B37073" t="s">
        <v>57</v>
      </c>
    </row>
    <row r="37074" spans="1:2" x14ac:dyDescent="0.25">
      <c r="A37074">
        <v>841370803</v>
      </c>
      <c r="B37074" t="s">
        <v>11217</v>
      </c>
    </row>
    <row r="37075" spans="1:2" x14ac:dyDescent="0.25">
      <c r="A37075">
        <v>84137080310</v>
      </c>
      <c r="B37075" t="s">
        <v>11218</v>
      </c>
    </row>
    <row r="37076" spans="1:2" x14ac:dyDescent="0.25">
      <c r="A37076">
        <v>84137080320</v>
      </c>
      <c r="B37076" t="s">
        <v>11219</v>
      </c>
    </row>
    <row r="37077" spans="1:2" x14ac:dyDescent="0.25">
      <c r="A37077">
        <v>84137080330</v>
      </c>
      <c r="B37077" t="s">
        <v>11220</v>
      </c>
    </row>
    <row r="37078" spans="1:2" x14ac:dyDescent="0.25">
      <c r="A37078">
        <v>84137080340</v>
      </c>
      <c r="B37078" t="s">
        <v>11221</v>
      </c>
    </row>
    <row r="37079" spans="1:2" x14ac:dyDescent="0.25">
      <c r="A37079">
        <v>84137080350</v>
      </c>
      <c r="B37079" t="s">
        <v>11222</v>
      </c>
    </row>
    <row r="37080" spans="1:2" x14ac:dyDescent="0.25">
      <c r="A37080">
        <v>84137080390</v>
      </c>
      <c r="B37080" t="s">
        <v>57</v>
      </c>
    </row>
    <row r="37081" spans="1:2" x14ac:dyDescent="0.25">
      <c r="A37081">
        <v>84137080900</v>
      </c>
      <c r="B37081" t="s">
        <v>57</v>
      </c>
    </row>
    <row r="37082" spans="1:2" x14ac:dyDescent="0.25">
      <c r="A37082">
        <v>84137090</v>
      </c>
      <c r="B37082" t="s">
        <v>57</v>
      </c>
    </row>
    <row r="37083" spans="1:2" x14ac:dyDescent="0.25">
      <c r="A37083">
        <v>841370901</v>
      </c>
      <c r="B37083" t="s">
        <v>11223</v>
      </c>
    </row>
    <row r="37084" spans="1:2" x14ac:dyDescent="0.25">
      <c r="A37084">
        <v>8413709012</v>
      </c>
      <c r="B37084" t="s">
        <v>11224</v>
      </c>
    </row>
    <row r="37085" spans="1:2" x14ac:dyDescent="0.25">
      <c r="A37085">
        <v>84137090121</v>
      </c>
      <c r="B37085" t="s">
        <v>11218</v>
      </c>
    </row>
    <row r="37086" spans="1:2" x14ac:dyDescent="0.25">
      <c r="A37086">
        <v>84137090122</v>
      </c>
      <c r="B37086" t="s">
        <v>11225</v>
      </c>
    </row>
    <row r="37087" spans="1:2" x14ac:dyDescent="0.25">
      <c r="A37087">
        <v>84137090123</v>
      </c>
      <c r="B37087" t="s">
        <v>11226</v>
      </c>
    </row>
    <row r="37088" spans="1:2" x14ac:dyDescent="0.25">
      <c r="A37088">
        <v>84137090129</v>
      </c>
      <c r="B37088" t="s">
        <v>57</v>
      </c>
    </row>
    <row r="37089" spans="1:2" x14ac:dyDescent="0.25">
      <c r="A37089">
        <v>8413709019</v>
      </c>
      <c r="B37089" t="s">
        <v>57</v>
      </c>
    </row>
    <row r="37090" spans="1:2" x14ac:dyDescent="0.25">
      <c r="A37090">
        <v>84137090191</v>
      </c>
      <c r="B37090" t="s">
        <v>11227</v>
      </c>
    </row>
    <row r="37091" spans="1:2" x14ac:dyDescent="0.25">
      <c r="A37091">
        <v>84137090199</v>
      </c>
      <c r="B37091" t="s">
        <v>57</v>
      </c>
    </row>
    <row r="37092" spans="1:2" x14ac:dyDescent="0.25">
      <c r="A37092">
        <v>841370902</v>
      </c>
      <c r="B37092" t="s">
        <v>11228</v>
      </c>
    </row>
    <row r="37093" spans="1:2" x14ac:dyDescent="0.25">
      <c r="A37093">
        <v>84137090220</v>
      </c>
      <c r="B37093" t="s">
        <v>11224</v>
      </c>
    </row>
    <row r="37094" spans="1:2" x14ac:dyDescent="0.25">
      <c r="A37094">
        <v>8413709029</v>
      </c>
      <c r="B37094" t="s">
        <v>57</v>
      </c>
    </row>
    <row r="37095" spans="1:2" x14ac:dyDescent="0.25">
      <c r="A37095">
        <v>84137090291</v>
      </c>
      <c r="B37095" t="s">
        <v>11227</v>
      </c>
    </row>
    <row r="37096" spans="1:2" x14ac:dyDescent="0.25">
      <c r="A37096">
        <v>84137090299</v>
      </c>
      <c r="B37096" t="s">
        <v>57</v>
      </c>
    </row>
    <row r="37097" spans="1:2" x14ac:dyDescent="0.25">
      <c r="A37097">
        <v>841370903</v>
      </c>
      <c r="B37097" t="s">
        <v>11229</v>
      </c>
    </row>
    <row r="37098" spans="1:2" x14ac:dyDescent="0.25">
      <c r="A37098">
        <v>84137090320</v>
      </c>
      <c r="B37098" t="s">
        <v>11224</v>
      </c>
    </row>
    <row r="37099" spans="1:2" x14ac:dyDescent="0.25">
      <c r="A37099">
        <v>84137090390</v>
      </c>
      <c r="B37099" t="s">
        <v>10</v>
      </c>
    </row>
    <row r="37100" spans="1:2" x14ac:dyDescent="0.25">
      <c r="A37100">
        <v>84137090400</v>
      </c>
      <c r="B37100" t="s">
        <v>11230</v>
      </c>
    </row>
    <row r="37101" spans="1:2" x14ac:dyDescent="0.25">
      <c r="A37101">
        <v>84137090500</v>
      </c>
      <c r="B37101" t="s">
        <v>11231</v>
      </c>
    </row>
    <row r="37102" spans="1:2" x14ac:dyDescent="0.25">
      <c r="A37102">
        <v>84137090900</v>
      </c>
      <c r="B37102" t="s">
        <v>57</v>
      </c>
    </row>
    <row r="37103" spans="1:2" x14ac:dyDescent="0.25">
      <c r="A37103">
        <v>84138</v>
      </c>
      <c r="B37103" t="s">
        <v>11232</v>
      </c>
    </row>
    <row r="37104" spans="1:2" x14ac:dyDescent="0.25">
      <c r="A37104">
        <v>84138100</v>
      </c>
      <c r="B37104" t="e">
        <f>- - Bombas</f>
        <v>#NAME?</v>
      </c>
    </row>
    <row r="37105" spans="1:2" x14ac:dyDescent="0.25">
      <c r="A37105">
        <v>84138100100</v>
      </c>
      <c r="B37105" t="s">
        <v>11209</v>
      </c>
    </row>
    <row r="37106" spans="1:2" x14ac:dyDescent="0.25">
      <c r="A37106">
        <v>84138100200</v>
      </c>
      <c r="B37106" t="s">
        <v>11210</v>
      </c>
    </row>
    <row r="37107" spans="1:2" x14ac:dyDescent="0.25">
      <c r="A37107">
        <v>841381003</v>
      </c>
      <c r="B37107" t="s">
        <v>11233</v>
      </c>
    </row>
    <row r="37108" spans="1:2" x14ac:dyDescent="0.25">
      <c r="A37108">
        <v>84138100310</v>
      </c>
      <c r="B37108" t="s">
        <v>11234</v>
      </c>
    </row>
    <row r="37109" spans="1:2" x14ac:dyDescent="0.25">
      <c r="A37109">
        <v>84138100390</v>
      </c>
      <c r="B37109" t="s">
        <v>10</v>
      </c>
    </row>
    <row r="37110" spans="1:2" x14ac:dyDescent="0.25">
      <c r="A37110">
        <v>84138100400</v>
      </c>
      <c r="B37110" t="s">
        <v>11235</v>
      </c>
    </row>
    <row r="37111" spans="1:2" x14ac:dyDescent="0.25">
      <c r="A37111">
        <v>84138100500</v>
      </c>
      <c r="B37111" t="s">
        <v>11236</v>
      </c>
    </row>
    <row r="37112" spans="1:2" x14ac:dyDescent="0.25">
      <c r="A37112">
        <v>84138100900</v>
      </c>
      <c r="B37112" t="s">
        <v>57</v>
      </c>
    </row>
    <row r="37113" spans="1:2" x14ac:dyDescent="0.25">
      <c r="A37113">
        <v>84138200000</v>
      </c>
      <c r="B37113" t="e">
        <f>--elevadores de liquidos</f>
        <v>#NAME?</v>
      </c>
    </row>
    <row r="37114" spans="1:2" x14ac:dyDescent="0.25">
      <c r="A37114">
        <v>84139</v>
      </c>
      <c r="B37114" t="s">
        <v>11167</v>
      </c>
    </row>
    <row r="37115" spans="1:2" x14ac:dyDescent="0.25">
      <c r="A37115">
        <v>841391</v>
      </c>
      <c r="B37115" t="e">
        <f>- - de Bombas</f>
        <v>#NAME?</v>
      </c>
    </row>
    <row r="37116" spans="1:2" x14ac:dyDescent="0.25">
      <c r="A37116">
        <v>84139110000</v>
      </c>
      <c r="B37116" t="s">
        <v>11237</v>
      </c>
    </row>
    <row r="37117" spans="1:2" x14ac:dyDescent="0.25">
      <c r="A37117">
        <v>84139190</v>
      </c>
      <c r="B37117" t="s">
        <v>57</v>
      </c>
    </row>
    <row r="37118" spans="1:2" x14ac:dyDescent="0.25">
      <c r="A37118">
        <v>84139190100</v>
      </c>
      <c r="B37118" t="s">
        <v>11238</v>
      </c>
    </row>
    <row r="37119" spans="1:2" x14ac:dyDescent="0.25">
      <c r="A37119">
        <v>841391902</v>
      </c>
      <c r="B37119" t="s">
        <v>11239</v>
      </c>
    </row>
    <row r="37120" spans="1:2" x14ac:dyDescent="0.25">
      <c r="A37120">
        <v>84139190210</v>
      </c>
      <c r="B37120" t="s">
        <v>11240</v>
      </c>
    </row>
    <row r="37121" spans="1:2" x14ac:dyDescent="0.25">
      <c r="A37121">
        <v>84139190220</v>
      </c>
      <c r="B37121" t="s">
        <v>11241</v>
      </c>
    </row>
    <row r="37122" spans="1:2" x14ac:dyDescent="0.25">
      <c r="A37122">
        <v>84139190230</v>
      </c>
      <c r="B37122" t="s">
        <v>11242</v>
      </c>
    </row>
    <row r="37123" spans="1:2" x14ac:dyDescent="0.25">
      <c r="A37123">
        <v>84139190290</v>
      </c>
      <c r="B37123" t="s">
        <v>57</v>
      </c>
    </row>
    <row r="37124" spans="1:2" x14ac:dyDescent="0.25">
      <c r="A37124">
        <v>84139190300</v>
      </c>
      <c r="B37124" t="s">
        <v>11243</v>
      </c>
    </row>
    <row r="37125" spans="1:2" x14ac:dyDescent="0.25">
      <c r="A37125">
        <v>84139190400</v>
      </c>
      <c r="B37125" t="s">
        <v>11244</v>
      </c>
    </row>
    <row r="37126" spans="1:2" x14ac:dyDescent="0.25">
      <c r="A37126">
        <v>84139190500</v>
      </c>
      <c r="B37126" t="s">
        <v>11245</v>
      </c>
    </row>
    <row r="37127" spans="1:2" x14ac:dyDescent="0.25">
      <c r="A37127">
        <v>84139190600</v>
      </c>
      <c r="B37127" t="s">
        <v>11246</v>
      </c>
    </row>
    <row r="37128" spans="1:2" x14ac:dyDescent="0.25">
      <c r="A37128">
        <v>841391907</v>
      </c>
      <c r="B37128" t="s">
        <v>11247</v>
      </c>
    </row>
    <row r="37129" spans="1:2" x14ac:dyDescent="0.25">
      <c r="A37129">
        <v>84139190710</v>
      </c>
      <c r="B37129" t="s">
        <v>11240</v>
      </c>
    </row>
    <row r="37130" spans="1:2" x14ac:dyDescent="0.25">
      <c r="A37130">
        <v>84139190720</v>
      </c>
      <c r="B37130" t="s">
        <v>11241</v>
      </c>
    </row>
    <row r="37131" spans="1:2" x14ac:dyDescent="0.25">
      <c r="A37131">
        <v>84139190730</v>
      </c>
      <c r="B37131" t="s">
        <v>11242</v>
      </c>
    </row>
    <row r="37132" spans="1:2" x14ac:dyDescent="0.25">
      <c r="A37132">
        <v>84139190790</v>
      </c>
      <c r="B37132" t="s">
        <v>57</v>
      </c>
    </row>
    <row r="37133" spans="1:2" x14ac:dyDescent="0.25">
      <c r="A37133">
        <v>84139190900</v>
      </c>
      <c r="B37133" t="s">
        <v>57</v>
      </c>
    </row>
    <row r="37134" spans="1:2" x14ac:dyDescent="0.25">
      <c r="A37134">
        <v>84139200000</v>
      </c>
      <c r="B37134" t="e">
        <f>--de elevadores de liquidos</f>
        <v>#NAME?</v>
      </c>
    </row>
    <row r="37135" spans="1:2" x14ac:dyDescent="0.25">
      <c r="A37135">
        <v>8414</v>
      </c>
      <c r="B37135" t="s">
        <v>11248</v>
      </c>
    </row>
    <row r="37136" spans="1:2" x14ac:dyDescent="0.25">
      <c r="A37136">
        <v>84141000</v>
      </c>
      <c r="B37136" t="e">
        <f>- Bombas de vacio</f>
        <v>#NAME?</v>
      </c>
    </row>
    <row r="37137" spans="1:2" x14ac:dyDescent="0.25">
      <c r="A37137">
        <v>841410001</v>
      </c>
      <c r="B37137" t="s">
        <v>11249</v>
      </c>
    </row>
    <row r="37138" spans="1:2" x14ac:dyDescent="0.25">
      <c r="A37138">
        <v>8414100011</v>
      </c>
      <c r="B37138" t="s">
        <v>11250</v>
      </c>
    </row>
    <row r="37139" spans="1:2" x14ac:dyDescent="0.25">
      <c r="A37139">
        <v>84141000111</v>
      </c>
      <c r="B37139" t="s">
        <v>11251</v>
      </c>
    </row>
    <row r="37140" spans="1:2" x14ac:dyDescent="0.25">
      <c r="A37140">
        <v>84141000112</v>
      </c>
      <c r="B37140" t="s">
        <v>11252</v>
      </c>
    </row>
    <row r="37141" spans="1:2" x14ac:dyDescent="0.25">
      <c r="A37141">
        <v>84141000113</v>
      </c>
      <c r="B37141" t="s">
        <v>11253</v>
      </c>
    </row>
    <row r="37142" spans="1:2" x14ac:dyDescent="0.25">
      <c r="A37142">
        <v>84141000119</v>
      </c>
      <c r="B37142" t="s">
        <v>57</v>
      </c>
    </row>
    <row r="37143" spans="1:2" x14ac:dyDescent="0.25">
      <c r="A37143">
        <v>8414100012</v>
      </c>
      <c r="B37143" t="s">
        <v>11254</v>
      </c>
    </row>
    <row r="37144" spans="1:2" x14ac:dyDescent="0.25">
      <c r="A37144">
        <v>84141000121</v>
      </c>
      <c r="B37144" t="s">
        <v>11255</v>
      </c>
    </row>
    <row r="37145" spans="1:2" x14ac:dyDescent="0.25">
      <c r="A37145">
        <v>84141000128</v>
      </c>
      <c r="B37145" t="s">
        <v>11256</v>
      </c>
    </row>
    <row r="37146" spans="1:2" x14ac:dyDescent="0.25">
      <c r="A37146">
        <v>84141000129</v>
      </c>
      <c r="B37146" t="s">
        <v>57</v>
      </c>
    </row>
    <row r="37147" spans="1:2" x14ac:dyDescent="0.25">
      <c r="A37147">
        <v>8414100018</v>
      </c>
      <c r="B37147" t="s">
        <v>11257</v>
      </c>
    </row>
    <row r="37148" spans="1:2" x14ac:dyDescent="0.25">
      <c r="A37148">
        <v>84141000181</v>
      </c>
      <c r="B37148" t="s">
        <v>11258</v>
      </c>
    </row>
    <row r="37149" spans="1:2" x14ac:dyDescent="0.25">
      <c r="A37149">
        <v>84141000182</v>
      </c>
      <c r="B37149" t="s">
        <v>11259</v>
      </c>
    </row>
    <row r="37150" spans="1:2" x14ac:dyDescent="0.25">
      <c r="A37150">
        <v>84141000189</v>
      </c>
      <c r="B37150" t="s">
        <v>57</v>
      </c>
    </row>
    <row r="37151" spans="1:2" x14ac:dyDescent="0.25">
      <c r="A37151">
        <v>84141000190</v>
      </c>
      <c r="B37151" t="s">
        <v>57</v>
      </c>
    </row>
    <row r="37152" spans="1:2" x14ac:dyDescent="0.25">
      <c r="A37152">
        <v>841410009</v>
      </c>
      <c r="B37152" t="s">
        <v>57</v>
      </c>
    </row>
    <row r="37153" spans="1:2" x14ac:dyDescent="0.25">
      <c r="A37153">
        <v>84141000910</v>
      </c>
      <c r="B37153" t="s">
        <v>11260</v>
      </c>
    </row>
    <row r="37154" spans="1:2" x14ac:dyDescent="0.25">
      <c r="A37154">
        <v>84141000990</v>
      </c>
      <c r="B37154" t="s">
        <v>57</v>
      </c>
    </row>
    <row r="37155" spans="1:2" x14ac:dyDescent="0.25">
      <c r="A37155">
        <v>84142000000</v>
      </c>
      <c r="B37155" t="e">
        <f>-Bombas de aire. de mano o pedal</f>
        <v>#NAME?</v>
      </c>
    </row>
    <row r="37156" spans="1:2" x14ac:dyDescent="0.25">
      <c r="A37156">
        <v>841430</v>
      </c>
      <c r="B37156" t="e">
        <f>- Compresores de Los tipos utilizados En Los equipos frigorificos</f>
        <v>#NAME?</v>
      </c>
    </row>
    <row r="37157" spans="1:2" x14ac:dyDescent="0.25">
      <c r="A37157">
        <v>8414301</v>
      </c>
      <c r="B37157" t="s">
        <v>11261</v>
      </c>
    </row>
    <row r="37158" spans="1:2" x14ac:dyDescent="0.25">
      <c r="A37158">
        <v>84143011000</v>
      </c>
      <c r="B37158" t="s">
        <v>11262</v>
      </c>
    </row>
    <row r="37159" spans="1:2" x14ac:dyDescent="0.25">
      <c r="A37159">
        <v>84143019000</v>
      </c>
      <c r="B37159" t="s">
        <v>10</v>
      </c>
    </row>
    <row r="37160" spans="1:2" x14ac:dyDescent="0.25">
      <c r="A37160">
        <v>8414309</v>
      </c>
      <c r="B37160" t="s">
        <v>10</v>
      </c>
    </row>
    <row r="37161" spans="1:2" x14ac:dyDescent="0.25">
      <c r="A37161">
        <v>84143091</v>
      </c>
      <c r="B37161" t="s">
        <v>11263</v>
      </c>
    </row>
    <row r="37162" spans="1:2" x14ac:dyDescent="0.25">
      <c r="A37162">
        <v>841430911</v>
      </c>
      <c r="B37162" t="s">
        <v>11264</v>
      </c>
    </row>
    <row r="37163" spans="1:2" x14ac:dyDescent="0.25">
      <c r="A37163">
        <v>84143091110</v>
      </c>
      <c r="B37163" t="s">
        <v>11265</v>
      </c>
    </row>
    <row r="37164" spans="1:2" x14ac:dyDescent="0.25">
      <c r="A37164">
        <v>84143091120</v>
      </c>
      <c r="B37164" t="s">
        <v>11266</v>
      </c>
    </row>
    <row r="37165" spans="1:2" x14ac:dyDescent="0.25">
      <c r="A37165">
        <v>84143091130</v>
      </c>
      <c r="B37165" t="s">
        <v>11267</v>
      </c>
    </row>
    <row r="37166" spans="1:2" x14ac:dyDescent="0.25">
      <c r="A37166">
        <v>84143091900</v>
      </c>
      <c r="B37166" t="s">
        <v>10</v>
      </c>
    </row>
    <row r="37167" spans="1:2" x14ac:dyDescent="0.25">
      <c r="A37167">
        <v>84143099</v>
      </c>
      <c r="B37167" t="s">
        <v>10</v>
      </c>
    </row>
    <row r="37168" spans="1:2" x14ac:dyDescent="0.25">
      <c r="A37168">
        <v>841430991</v>
      </c>
      <c r="B37168" t="s">
        <v>11264</v>
      </c>
    </row>
    <row r="37169" spans="1:2" x14ac:dyDescent="0.25">
      <c r="A37169">
        <v>84143099110</v>
      </c>
      <c r="B37169" t="s">
        <v>11265</v>
      </c>
    </row>
    <row r="37170" spans="1:2" x14ac:dyDescent="0.25">
      <c r="A37170">
        <v>84143099120</v>
      </c>
      <c r="B37170" t="s">
        <v>11266</v>
      </c>
    </row>
    <row r="37171" spans="1:2" x14ac:dyDescent="0.25">
      <c r="A37171">
        <v>84143099130</v>
      </c>
      <c r="B37171" t="s">
        <v>11267</v>
      </c>
    </row>
    <row r="37172" spans="1:2" x14ac:dyDescent="0.25">
      <c r="A37172">
        <v>84143099200</v>
      </c>
      <c r="B37172" t="s">
        <v>11268</v>
      </c>
    </row>
    <row r="37173" spans="1:2" x14ac:dyDescent="0.25">
      <c r="A37173">
        <v>84143099900</v>
      </c>
      <c r="B37173" t="s">
        <v>10</v>
      </c>
    </row>
    <row r="37174" spans="1:2" x14ac:dyDescent="0.25">
      <c r="A37174">
        <v>841440</v>
      </c>
      <c r="B37174" t="e">
        <f>- Compresores de aire montados En chasis remolcable Con Ruedas</f>
        <v>#NAME?</v>
      </c>
    </row>
    <row r="37175" spans="1:2" x14ac:dyDescent="0.25">
      <c r="A37175">
        <v>84144010000</v>
      </c>
      <c r="B37175" t="s">
        <v>11269</v>
      </c>
    </row>
    <row r="37176" spans="1:2" x14ac:dyDescent="0.25">
      <c r="A37176">
        <v>84144020</v>
      </c>
      <c r="B37176" t="s">
        <v>11270</v>
      </c>
    </row>
    <row r="37177" spans="1:2" x14ac:dyDescent="0.25">
      <c r="A37177">
        <v>84144020100</v>
      </c>
      <c r="B37177" t="s">
        <v>11271</v>
      </c>
    </row>
    <row r="37178" spans="1:2" x14ac:dyDescent="0.25">
      <c r="A37178">
        <v>84144020900</v>
      </c>
      <c r="B37178" t="s">
        <v>10</v>
      </c>
    </row>
    <row r="37179" spans="1:2" x14ac:dyDescent="0.25">
      <c r="A37179">
        <v>84144090000</v>
      </c>
      <c r="B37179" t="s">
        <v>10</v>
      </c>
    </row>
    <row r="37180" spans="1:2" x14ac:dyDescent="0.25">
      <c r="A37180">
        <v>84145</v>
      </c>
      <c r="B37180" t="s">
        <v>11272</v>
      </c>
    </row>
    <row r="37181" spans="1:2" x14ac:dyDescent="0.25">
      <c r="A37181">
        <v>841451</v>
      </c>
      <c r="B37181" t="s">
        <v>11273</v>
      </c>
    </row>
    <row r="37182" spans="1:2" x14ac:dyDescent="0.25">
      <c r="A37182">
        <v>84145110</v>
      </c>
      <c r="B37182" t="s">
        <v>11274</v>
      </c>
    </row>
    <row r="37183" spans="1:2" x14ac:dyDescent="0.25">
      <c r="A37183">
        <v>841451101</v>
      </c>
      <c r="B37183" t="s">
        <v>11275</v>
      </c>
    </row>
    <row r="37184" spans="1:2" x14ac:dyDescent="0.25">
      <c r="A37184">
        <v>8414511011</v>
      </c>
      <c r="B37184" t="s">
        <v>11276</v>
      </c>
    </row>
    <row r="37185" spans="1:2" x14ac:dyDescent="0.25">
      <c r="A37185">
        <v>84145110111</v>
      </c>
      <c r="B37185" t="s">
        <v>11277</v>
      </c>
    </row>
    <row r="37186" spans="1:2" x14ac:dyDescent="0.25">
      <c r="A37186">
        <v>84145110119</v>
      </c>
      <c r="B37186" t="s">
        <v>10</v>
      </c>
    </row>
    <row r="37187" spans="1:2" x14ac:dyDescent="0.25">
      <c r="A37187">
        <v>8414511019</v>
      </c>
      <c r="B37187" t="s">
        <v>10</v>
      </c>
    </row>
    <row r="37188" spans="1:2" x14ac:dyDescent="0.25">
      <c r="A37188">
        <v>84145110191</v>
      </c>
      <c r="B37188" t="s">
        <v>11277</v>
      </c>
    </row>
    <row r="37189" spans="1:2" x14ac:dyDescent="0.25">
      <c r="A37189">
        <v>84145110199</v>
      </c>
      <c r="B37189" t="s">
        <v>10</v>
      </c>
    </row>
    <row r="37190" spans="1:2" x14ac:dyDescent="0.25">
      <c r="A37190">
        <v>841451102</v>
      </c>
      <c r="B37190" t="s">
        <v>11278</v>
      </c>
    </row>
    <row r="37191" spans="1:2" x14ac:dyDescent="0.25">
      <c r="A37191">
        <v>8414511021</v>
      </c>
      <c r="B37191" t="s">
        <v>11276</v>
      </c>
    </row>
    <row r="37192" spans="1:2" x14ac:dyDescent="0.25">
      <c r="A37192">
        <v>84145110211</v>
      </c>
      <c r="B37192" t="s">
        <v>11277</v>
      </c>
    </row>
    <row r="37193" spans="1:2" x14ac:dyDescent="0.25">
      <c r="A37193">
        <v>84145110219</v>
      </c>
      <c r="B37193" t="s">
        <v>10</v>
      </c>
    </row>
    <row r="37194" spans="1:2" x14ac:dyDescent="0.25">
      <c r="A37194">
        <v>8414511029</v>
      </c>
      <c r="B37194" t="s">
        <v>10</v>
      </c>
    </row>
    <row r="37195" spans="1:2" x14ac:dyDescent="0.25">
      <c r="A37195">
        <v>84145110291</v>
      </c>
      <c r="B37195" t="s">
        <v>11277</v>
      </c>
    </row>
    <row r="37196" spans="1:2" x14ac:dyDescent="0.25">
      <c r="A37196">
        <v>84145110299</v>
      </c>
      <c r="B37196" t="s">
        <v>10</v>
      </c>
    </row>
    <row r="37197" spans="1:2" x14ac:dyDescent="0.25">
      <c r="A37197">
        <v>841451103</v>
      </c>
      <c r="B37197" t="s">
        <v>11279</v>
      </c>
    </row>
    <row r="37198" spans="1:2" x14ac:dyDescent="0.25">
      <c r="A37198">
        <v>8414511031</v>
      </c>
      <c r="B37198" t="s">
        <v>11276</v>
      </c>
    </row>
    <row r="37199" spans="1:2" x14ac:dyDescent="0.25">
      <c r="A37199">
        <v>84145110311</v>
      </c>
      <c r="B37199" t="s">
        <v>11277</v>
      </c>
    </row>
    <row r="37200" spans="1:2" x14ac:dyDescent="0.25">
      <c r="A37200">
        <v>84145110319</v>
      </c>
      <c r="B37200" t="s">
        <v>10</v>
      </c>
    </row>
    <row r="37201" spans="1:2" x14ac:dyDescent="0.25">
      <c r="A37201">
        <v>8414511039</v>
      </c>
      <c r="B37201" t="s">
        <v>10</v>
      </c>
    </row>
    <row r="37202" spans="1:2" x14ac:dyDescent="0.25">
      <c r="A37202">
        <v>84145110391</v>
      </c>
      <c r="B37202" t="s">
        <v>11277</v>
      </c>
    </row>
    <row r="37203" spans="1:2" x14ac:dyDescent="0.25">
      <c r="A37203">
        <v>84145110399</v>
      </c>
      <c r="B37203" t="s">
        <v>10</v>
      </c>
    </row>
    <row r="37204" spans="1:2" x14ac:dyDescent="0.25">
      <c r="A37204">
        <v>841451109</v>
      </c>
      <c r="B37204" t="s">
        <v>10</v>
      </c>
    </row>
    <row r="37205" spans="1:2" x14ac:dyDescent="0.25">
      <c r="A37205">
        <v>8414511091</v>
      </c>
      <c r="B37205" t="s">
        <v>11276</v>
      </c>
    </row>
    <row r="37206" spans="1:2" x14ac:dyDescent="0.25">
      <c r="A37206">
        <v>84145110911</v>
      </c>
      <c r="B37206" t="s">
        <v>11277</v>
      </c>
    </row>
    <row r="37207" spans="1:2" x14ac:dyDescent="0.25">
      <c r="A37207">
        <v>84145110919</v>
      </c>
      <c r="B37207" t="s">
        <v>10</v>
      </c>
    </row>
    <row r="37208" spans="1:2" x14ac:dyDescent="0.25">
      <c r="A37208">
        <v>8414511099</v>
      </c>
      <c r="B37208" t="s">
        <v>10</v>
      </c>
    </row>
    <row r="37209" spans="1:2" x14ac:dyDescent="0.25">
      <c r="A37209">
        <v>84145110991</v>
      </c>
      <c r="B37209" t="s">
        <v>11277</v>
      </c>
    </row>
    <row r="37210" spans="1:2" x14ac:dyDescent="0.25">
      <c r="A37210">
        <v>84145110999</v>
      </c>
      <c r="B37210" t="s">
        <v>10</v>
      </c>
    </row>
    <row r="37211" spans="1:2" x14ac:dyDescent="0.25">
      <c r="A37211">
        <v>84145120</v>
      </c>
      <c r="B37211" t="s">
        <v>11280</v>
      </c>
    </row>
    <row r="37212" spans="1:2" x14ac:dyDescent="0.25">
      <c r="A37212">
        <v>841451201</v>
      </c>
      <c r="B37212" t="s">
        <v>11281</v>
      </c>
    </row>
    <row r="37213" spans="1:2" x14ac:dyDescent="0.25">
      <c r="A37213">
        <v>8414512011</v>
      </c>
      <c r="B37213" t="s">
        <v>11282</v>
      </c>
    </row>
    <row r="37214" spans="1:2" x14ac:dyDescent="0.25">
      <c r="A37214">
        <v>84145120111</v>
      </c>
      <c r="B37214" t="s">
        <v>11283</v>
      </c>
    </row>
    <row r="37215" spans="1:2" x14ac:dyDescent="0.25">
      <c r="A37215">
        <v>84145120112</v>
      </c>
      <c r="B37215" t="s">
        <v>11284</v>
      </c>
    </row>
    <row r="37216" spans="1:2" x14ac:dyDescent="0.25">
      <c r="A37216">
        <v>84145120113</v>
      </c>
      <c r="B37216" t="s">
        <v>11285</v>
      </c>
    </row>
    <row r="37217" spans="1:2" x14ac:dyDescent="0.25">
      <c r="A37217">
        <v>84145120119</v>
      </c>
      <c r="B37217" t="s">
        <v>10</v>
      </c>
    </row>
    <row r="37218" spans="1:2" x14ac:dyDescent="0.25">
      <c r="A37218">
        <v>8414512019</v>
      </c>
      <c r="B37218" t="s">
        <v>10</v>
      </c>
    </row>
    <row r="37219" spans="1:2" x14ac:dyDescent="0.25">
      <c r="A37219">
        <v>84145120191</v>
      </c>
      <c r="B37219" t="s">
        <v>11283</v>
      </c>
    </row>
    <row r="37220" spans="1:2" x14ac:dyDescent="0.25">
      <c r="A37220">
        <v>84145120192</v>
      </c>
      <c r="B37220" t="s">
        <v>11284</v>
      </c>
    </row>
    <row r="37221" spans="1:2" x14ac:dyDescent="0.25">
      <c r="A37221">
        <v>84145120193</v>
      </c>
      <c r="B37221" t="s">
        <v>11285</v>
      </c>
    </row>
    <row r="37222" spans="1:2" x14ac:dyDescent="0.25">
      <c r="A37222">
        <v>84145120199</v>
      </c>
      <c r="B37222" t="s">
        <v>10</v>
      </c>
    </row>
    <row r="37223" spans="1:2" x14ac:dyDescent="0.25">
      <c r="A37223">
        <v>841451202</v>
      </c>
      <c r="B37223" t="s">
        <v>11286</v>
      </c>
    </row>
    <row r="37224" spans="1:2" x14ac:dyDescent="0.25">
      <c r="A37224">
        <v>8414512021</v>
      </c>
      <c r="B37224" t="s">
        <v>11282</v>
      </c>
    </row>
    <row r="37225" spans="1:2" x14ac:dyDescent="0.25">
      <c r="A37225">
        <v>84145120211</v>
      </c>
      <c r="B37225" t="s">
        <v>11283</v>
      </c>
    </row>
    <row r="37226" spans="1:2" x14ac:dyDescent="0.25">
      <c r="A37226">
        <v>84145120212</v>
      </c>
      <c r="B37226" t="s">
        <v>11284</v>
      </c>
    </row>
    <row r="37227" spans="1:2" x14ac:dyDescent="0.25">
      <c r="A37227">
        <v>84145120213</v>
      </c>
      <c r="B37227" t="s">
        <v>11285</v>
      </c>
    </row>
    <row r="37228" spans="1:2" x14ac:dyDescent="0.25">
      <c r="A37228">
        <v>84145120219</v>
      </c>
      <c r="B37228" t="s">
        <v>10</v>
      </c>
    </row>
    <row r="37229" spans="1:2" x14ac:dyDescent="0.25">
      <c r="A37229">
        <v>8414512029</v>
      </c>
      <c r="B37229" t="s">
        <v>10</v>
      </c>
    </row>
    <row r="37230" spans="1:2" x14ac:dyDescent="0.25">
      <c r="A37230">
        <v>84145120291</v>
      </c>
      <c r="B37230" t="s">
        <v>11283</v>
      </c>
    </row>
    <row r="37231" spans="1:2" x14ac:dyDescent="0.25">
      <c r="A37231">
        <v>84145120292</v>
      </c>
      <c r="B37231" t="s">
        <v>11284</v>
      </c>
    </row>
    <row r="37232" spans="1:2" x14ac:dyDescent="0.25">
      <c r="A37232">
        <v>84145120293</v>
      </c>
      <c r="B37232" t="s">
        <v>11285</v>
      </c>
    </row>
    <row r="37233" spans="1:2" x14ac:dyDescent="0.25">
      <c r="A37233">
        <v>84145120299</v>
      </c>
      <c r="B37233" t="s">
        <v>10</v>
      </c>
    </row>
    <row r="37234" spans="1:2" x14ac:dyDescent="0.25">
      <c r="A37234">
        <v>841451203</v>
      </c>
      <c r="B37234" t="s">
        <v>11287</v>
      </c>
    </row>
    <row r="37235" spans="1:2" x14ac:dyDescent="0.25">
      <c r="A37235">
        <v>8414512031</v>
      </c>
      <c r="B37235" t="s">
        <v>11282</v>
      </c>
    </row>
    <row r="37236" spans="1:2" x14ac:dyDescent="0.25">
      <c r="A37236">
        <v>84145120311</v>
      </c>
      <c r="B37236" t="s">
        <v>11283</v>
      </c>
    </row>
    <row r="37237" spans="1:2" x14ac:dyDescent="0.25">
      <c r="A37237">
        <v>84145120312</v>
      </c>
      <c r="B37237" t="s">
        <v>11284</v>
      </c>
    </row>
    <row r="37238" spans="1:2" x14ac:dyDescent="0.25">
      <c r="A37238">
        <v>84145120313</v>
      </c>
      <c r="B37238" t="s">
        <v>11285</v>
      </c>
    </row>
    <row r="37239" spans="1:2" x14ac:dyDescent="0.25">
      <c r="A37239">
        <v>84145120319</v>
      </c>
      <c r="B37239" t="s">
        <v>10</v>
      </c>
    </row>
    <row r="37240" spans="1:2" x14ac:dyDescent="0.25">
      <c r="A37240">
        <v>8414512039</v>
      </c>
      <c r="B37240" t="s">
        <v>10</v>
      </c>
    </row>
    <row r="37241" spans="1:2" x14ac:dyDescent="0.25">
      <c r="A37241">
        <v>84145120391</v>
      </c>
      <c r="B37241" t="s">
        <v>11283</v>
      </c>
    </row>
    <row r="37242" spans="1:2" x14ac:dyDescent="0.25">
      <c r="A37242">
        <v>84145120392</v>
      </c>
      <c r="B37242" t="s">
        <v>11284</v>
      </c>
    </row>
    <row r="37243" spans="1:2" x14ac:dyDescent="0.25">
      <c r="A37243">
        <v>84145120393</v>
      </c>
      <c r="B37243" t="s">
        <v>11285</v>
      </c>
    </row>
    <row r="37244" spans="1:2" x14ac:dyDescent="0.25">
      <c r="A37244">
        <v>84145120399</v>
      </c>
      <c r="B37244" t="s">
        <v>10</v>
      </c>
    </row>
    <row r="37245" spans="1:2" x14ac:dyDescent="0.25">
      <c r="A37245">
        <v>841451209</v>
      </c>
      <c r="B37245" t="s">
        <v>10</v>
      </c>
    </row>
    <row r="37246" spans="1:2" x14ac:dyDescent="0.25">
      <c r="A37246">
        <v>8414512091</v>
      </c>
      <c r="B37246" t="s">
        <v>11282</v>
      </c>
    </row>
    <row r="37247" spans="1:2" x14ac:dyDescent="0.25">
      <c r="A37247">
        <v>84145120911</v>
      </c>
      <c r="B37247" t="s">
        <v>11283</v>
      </c>
    </row>
    <row r="37248" spans="1:2" x14ac:dyDescent="0.25">
      <c r="A37248">
        <v>84145120912</v>
      </c>
      <c r="B37248" t="s">
        <v>11284</v>
      </c>
    </row>
    <row r="37249" spans="1:2" x14ac:dyDescent="0.25">
      <c r="A37249">
        <v>84145120913</v>
      </c>
      <c r="B37249" t="s">
        <v>11285</v>
      </c>
    </row>
    <row r="37250" spans="1:2" x14ac:dyDescent="0.25">
      <c r="A37250">
        <v>84145120919</v>
      </c>
      <c r="B37250" t="s">
        <v>10</v>
      </c>
    </row>
    <row r="37251" spans="1:2" x14ac:dyDescent="0.25">
      <c r="A37251">
        <v>8414512099</v>
      </c>
      <c r="B37251" t="s">
        <v>10</v>
      </c>
    </row>
    <row r="37252" spans="1:2" x14ac:dyDescent="0.25">
      <c r="A37252">
        <v>84145120991</v>
      </c>
      <c r="B37252" t="s">
        <v>11283</v>
      </c>
    </row>
    <row r="37253" spans="1:2" x14ac:dyDescent="0.25">
      <c r="A37253">
        <v>84145120992</v>
      </c>
      <c r="B37253" t="s">
        <v>11284</v>
      </c>
    </row>
    <row r="37254" spans="1:2" x14ac:dyDescent="0.25">
      <c r="A37254">
        <v>84145120993</v>
      </c>
      <c r="B37254" t="s">
        <v>11285</v>
      </c>
    </row>
    <row r="37255" spans="1:2" x14ac:dyDescent="0.25">
      <c r="A37255">
        <v>84145120999</v>
      </c>
      <c r="B37255" t="s">
        <v>10</v>
      </c>
    </row>
    <row r="37256" spans="1:2" x14ac:dyDescent="0.25">
      <c r="A37256">
        <v>84145190</v>
      </c>
      <c r="B37256" t="s">
        <v>10</v>
      </c>
    </row>
    <row r="37257" spans="1:2" x14ac:dyDescent="0.25">
      <c r="A37257">
        <v>84145190100</v>
      </c>
      <c r="B37257" t="s">
        <v>11288</v>
      </c>
    </row>
    <row r="37258" spans="1:2" x14ac:dyDescent="0.25">
      <c r="A37258">
        <v>84145190200</v>
      </c>
      <c r="B37258" t="s">
        <v>11289</v>
      </c>
    </row>
    <row r="37259" spans="1:2" x14ac:dyDescent="0.25">
      <c r="A37259">
        <v>84145190900</v>
      </c>
      <c r="B37259" t="s">
        <v>10</v>
      </c>
    </row>
    <row r="37260" spans="1:2" x14ac:dyDescent="0.25">
      <c r="A37260">
        <v>841459</v>
      </c>
      <c r="B37260" t="e">
        <f>- - Los demas</f>
        <v>#NAME?</v>
      </c>
    </row>
    <row r="37261" spans="1:2" x14ac:dyDescent="0.25">
      <c r="A37261">
        <v>84145910000</v>
      </c>
      <c r="B37261" t="s">
        <v>11290</v>
      </c>
    </row>
    <row r="37262" spans="1:2" x14ac:dyDescent="0.25">
      <c r="A37262">
        <v>84145990</v>
      </c>
      <c r="B37262" t="s">
        <v>10</v>
      </c>
    </row>
    <row r="37263" spans="1:2" x14ac:dyDescent="0.25">
      <c r="A37263">
        <v>84145990100</v>
      </c>
      <c r="B37263" t="s">
        <v>11291</v>
      </c>
    </row>
    <row r="37264" spans="1:2" x14ac:dyDescent="0.25">
      <c r="A37264">
        <v>84145990300</v>
      </c>
      <c r="B37264" t="s">
        <v>11292</v>
      </c>
    </row>
    <row r="37265" spans="1:2" x14ac:dyDescent="0.25">
      <c r="A37265">
        <v>84145990400</v>
      </c>
      <c r="B37265" t="s">
        <v>11293</v>
      </c>
    </row>
    <row r="37266" spans="1:2" x14ac:dyDescent="0.25">
      <c r="A37266">
        <v>84145990500</v>
      </c>
      <c r="B37266" t="s">
        <v>11294</v>
      </c>
    </row>
    <row r="37267" spans="1:2" x14ac:dyDescent="0.25">
      <c r="A37267">
        <v>84145990900</v>
      </c>
      <c r="B37267" t="s">
        <v>57</v>
      </c>
    </row>
    <row r="37268" spans="1:2" x14ac:dyDescent="0.25">
      <c r="A37268">
        <v>84146000</v>
      </c>
      <c r="B37268" t="s">
        <v>11295</v>
      </c>
    </row>
    <row r="37269" spans="1:2" x14ac:dyDescent="0.25">
      <c r="A37269">
        <v>84146000100</v>
      </c>
      <c r="B37269" t="s">
        <v>11296</v>
      </c>
    </row>
    <row r="37270" spans="1:2" x14ac:dyDescent="0.25">
      <c r="A37270">
        <v>84146000900</v>
      </c>
      <c r="B37270" t="s">
        <v>10</v>
      </c>
    </row>
    <row r="37271" spans="1:2" x14ac:dyDescent="0.25">
      <c r="A37271">
        <v>841480</v>
      </c>
      <c r="B37271" t="e">
        <f>- Los demas</f>
        <v>#NAME?</v>
      </c>
    </row>
    <row r="37272" spans="1:2" x14ac:dyDescent="0.25">
      <c r="A37272">
        <v>8414801</v>
      </c>
      <c r="B37272" t="s">
        <v>11297</v>
      </c>
    </row>
    <row r="37273" spans="1:2" x14ac:dyDescent="0.25">
      <c r="A37273">
        <v>84148011000</v>
      </c>
      <c r="B37273" t="s">
        <v>11298</v>
      </c>
    </row>
    <row r="37274" spans="1:2" x14ac:dyDescent="0.25">
      <c r="A37274">
        <v>84148012</v>
      </c>
      <c r="B37274" t="s">
        <v>11270</v>
      </c>
    </row>
    <row r="37275" spans="1:2" x14ac:dyDescent="0.25">
      <c r="A37275">
        <v>84148012100</v>
      </c>
      <c r="B37275" t="s">
        <v>11299</v>
      </c>
    </row>
    <row r="37276" spans="1:2" x14ac:dyDescent="0.25">
      <c r="A37276">
        <v>84148012900</v>
      </c>
      <c r="B37276" t="s">
        <v>10</v>
      </c>
    </row>
    <row r="37277" spans="1:2" x14ac:dyDescent="0.25">
      <c r="A37277">
        <v>84148013000</v>
      </c>
      <c r="B37277" t="s">
        <v>11300</v>
      </c>
    </row>
    <row r="37278" spans="1:2" x14ac:dyDescent="0.25">
      <c r="A37278">
        <v>84148019000</v>
      </c>
      <c r="B37278" t="s">
        <v>10</v>
      </c>
    </row>
    <row r="37279" spans="1:2" x14ac:dyDescent="0.25">
      <c r="A37279">
        <v>8414802</v>
      </c>
      <c r="B37279" t="s">
        <v>11301</v>
      </c>
    </row>
    <row r="37280" spans="1:2" x14ac:dyDescent="0.25">
      <c r="A37280">
        <v>84148021000</v>
      </c>
      <c r="B37280" t="s">
        <v>11302</v>
      </c>
    </row>
    <row r="37281" spans="1:2" x14ac:dyDescent="0.25">
      <c r="A37281">
        <v>84148022</v>
      </c>
      <c r="B37281" t="s">
        <v>11303</v>
      </c>
    </row>
    <row r="37282" spans="1:2" x14ac:dyDescent="0.25">
      <c r="A37282">
        <v>84148022100</v>
      </c>
      <c r="B37282" t="s">
        <v>11304</v>
      </c>
    </row>
    <row r="37283" spans="1:2" x14ac:dyDescent="0.25">
      <c r="A37283">
        <v>84148022900</v>
      </c>
      <c r="B37283" t="s">
        <v>10</v>
      </c>
    </row>
    <row r="37284" spans="1:2" x14ac:dyDescent="0.25">
      <c r="A37284">
        <v>84148029000</v>
      </c>
      <c r="B37284" t="s">
        <v>10</v>
      </c>
    </row>
    <row r="37285" spans="1:2" x14ac:dyDescent="0.25">
      <c r="A37285">
        <v>8414803</v>
      </c>
      <c r="B37285" t="s">
        <v>11305</v>
      </c>
    </row>
    <row r="37286" spans="1:2" x14ac:dyDescent="0.25">
      <c r="A37286">
        <v>84148031</v>
      </c>
      <c r="B37286" t="s">
        <v>11306</v>
      </c>
    </row>
    <row r="37287" spans="1:2" x14ac:dyDescent="0.25">
      <c r="A37287">
        <v>84148031100</v>
      </c>
      <c r="B37287" t="s">
        <v>11307</v>
      </c>
    </row>
    <row r="37288" spans="1:2" x14ac:dyDescent="0.25">
      <c r="A37288">
        <v>84148031900</v>
      </c>
      <c r="B37288" t="s">
        <v>10</v>
      </c>
    </row>
    <row r="37289" spans="1:2" x14ac:dyDescent="0.25">
      <c r="A37289">
        <v>84148032</v>
      </c>
      <c r="B37289" t="s">
        <v>11270</v>
      </c>
    </row>
    <row r="37290" spans="1:2" x14ac:dyDescent="0.25">
      <c r="A37290">
        <v>84148032100</v>
      </c>
      <c r="B37290" t="s">
        <v>11308</v>
      </c>
    </row>
    <row r="37291" spans="1:2" x14ac:dyDescent="0.25">
      <c r="A37291">
        <v>84148032900</v>
      </c>
      <c r="B37291" t="s">
        <v>10</v>
      </c>
    </row>
    <row r="37292" spans="1:2" x14ac:dyDescent="0.25">
      <c r="A37292">
        <v>84148033000</v>
      </c>
      <c r="B37292" t="s">
        <v>11309</v>
      </c>
    </row>
    <row r="37293" spans="1:2" x14ac:dyDescent="0.25">
      <c r="A37293">
        <v>84148038000</v>
      </c>
      <c r="B37293" t="s">
        <v>11310</v>
      </c>
    </row>
    <row r="37294" spans="1:2" x14ac:dyDescent="0.25">
      <c r="A37294">
        <v>84148039</v>
      </c>
      <c r="B37294" t="s">
        <v>10</v>
      </c>
    </row>
    <row r="37295" spans="1:2" x14ac:dyDescent="0.25">
      <c r="A37295">
        <v>84148039100</v>
      </c>
      <c r="B37295" t="s">
        <v>11304</v>
      </c>
    </row>
    <row r="37296" spans="1:2" x14ac:dyDescent="0.25">
      <c r="A37296">
        <v>84148039900</v>
      </c>
      <c r="B37296" t="s">
        <v>10</v>
      </c>
    </row>
    <row r="37297" spans="1:2" x14ac:dyDescent="0.25">
      <c r="A37297">
        <v>84148090</v>
      </c>
      <c r="B37297" t="s">
        <v>10</v>
      </c>
    </row>
    <row r="37298" spans="1:2" x14ac:dyDescent="0.25">
      <c r="A37298">
        <v>84148090100</v>
      </c>
      <c r="B37298" t="s">
        <v>11304</v>
      </c>
    </row>
    <row r="37299" spans="1:2" x14ac:dyDescent="0.25">
      <c r="A37299">
        <v>84148090900</v>
      </c>
      <c r="B37299" t="s">
        <v>10</v>
      </c>
    </row>
    <row r="37300" spans="1:2" x14ac:dyDescent="0.25">
      <c r="A37300">
        <v>841490</v>
      </c>
      <c r="B37300" t="e">
        <f>- partes</f>
        <v>#NAME?</v>
      </c>
    </row>
    <row r="37301" spans="1:2" x14ac:dyDescent="0.25">
      <c r="A37301">
        <v>84149010</v>
      </c>
      <c r="B37301" t="s">
        <v>11311</v>
      </c>
    </row>
    <row r="37302" spans="1:2" x14ac:dyDescent="0.25">
      <c r="A37302">
        <v>84149010100</v>
      </c>
      <c r="B37302" t="s">
        <v>11304</v>
      </c>
    </row>
    <row r="37303" spans="1:2" x14ac:dyDescent="0.25">
      <c r="A37303">
        <v>84149010900</v>
      </c>
      <c r="B37303" t="s">
        <v>10</v>
      </c>
    </row>
    <row r="37304" spans="1:2" x14ac:dyDescent="0.25">
      <c r="A37304">
        <v>84149020</v>
      </c>
      <c r="B37304" t="s">
        <v>11312</v>
      </c>
    </row>
    <row r="37305" spans="1:2" x14ac:dyDescent="0.25">
      <c r="A37305">
        <v>841490201</v>
      </c>
      <c r="B37305" t="s">
        <v>11313</v>
      </c>
    </row>
    <row r="37306" spans="1:2" x14ac:dyDescent="0.25">
      <c r="A37306">
        <v>84149020110</v>
      </c>
      <c r="B37306" t="s">
        <v>6673</v>
      </c>
    </row>
    <row r="37307" spans="1:2" x14ac:dyDescent="0.25">
      <c r="A37307">
        <v>84149020120</v>
      </c>
      <c r="B37307" t="s">
        <v>11314</v>
      </c>
    </row>
    <row r="37308" spans="1:2" x14ac:dyDescent="0.25">
      <c r="A37308">
        <v>84149020190</v>
      </c>
      <c r="B37308" t="s">
        <v>57</v>
      </c>
    </row>
    <row r="37309" spans="1:2" x14ac:dyDescent="0.25">
      <c r="A37309">
        <v>84149020200</v>
      </c>
      <c r="B37309" t="s">
        <v>11315</v>
      </c>
    </row>
    <row r="37310" spans="1:2" x14ac:dyDescent="0.25">
      <c r="A37310">
        <v>8414903</v>
      </c>
      <c r="B37310" t="s">
        <v>11316</v>
      </c>
    </row>
    <row r="37311" spans="1:2" x14ac:dyDescent="0.25">
      <c r="A37311">
        <v>84149031</v>
      </c>
      <c r="B37311" t="s">
        <v>11134</v>
      </c>
    </row>
    <row r="37312" spans="1:2" x14ac:dyDescent="0.25">
      <c r="A37312">
        <v>84149031100</v>
      </c>
      <c r="B37312" t="s">
        <v>11304</v>
      </c>
    </row>
    <row r="37313" spans="1:2" x14ac:dyDescent="0.25">
      <c r="A37313">
        <v>84149031900</v>
      </c>
      <c r="B37313" t="s">
        <v>10</v>
      </c>
    </row>
    <row r="37314" spans="1:2" x14ac:dyDescent="0.25">
      <c r="A37314">
        <v>84149032000</v>
      </c>
      <c r="B37314" t="s">
        <v>11131</v>
      </c>
    </row>
    <row r="37315" spans="1:2" x14ac:dyDescent="0.25">
      <c r="A37315">
        <v>84149033</v>
      </c>
      <c r="B37315" t="s">
        <v>11126</v>
      </c>
    </row>
    <row r="37316" spans="1:2" x14ac:dyDescent="0.25">
      <c r="A37316">
        <v>84149033100</v>
      </c>
      <c r="B37316" t="s">
        <v>11304</v>
      </c>
    </row>
    <row r="37317" spans="1:2" x14ac:dyDescent="0.25">
      <c r="A37317">
        <v>84149033900</v>
      </c>
      <c r="B37317" t="s">
        <v>10</v>
      </c>
    </row>
    <row r="37318" spans="1:2" x14ac:dyDescent="0.25">
      <c r="A37318">
        <v>84149034</v>
      </c>
      <c r="B37318" t="s">
        <v>11317</v>
      </c>
    </row>
    <row r="37319" spans="1:2" x14ac:dyDescent="0.25">
      <c r="A37319">
        <v>84149034100</v>
      </c>
      <c r="B37319" t="s">
        <v>11304</v>
      </c>
    </row>
    <row r="37320" spans="1:2" x14ac:dyDescent="0.25">
      <c r="A37320">
        <v>84149034900</v>
      </c>
      <c r="B37320" t="s">
        <v>10</v>
      </c>
    </row>
    <row r="37321" spans="1:2" x14ac:dyDescent="0.25">
      <c r="A37321">
        <v>84149039</v>
      </c>
      <c r="B37321" t="s">
        <v>57</v>
      </c>
    </row>
    <row r="37322" spans="1:2" x14ac:dyDescent="0.25">
      <c r="A37322">
        <v>84149039100</v>
      </c>
      <c r="B37322" t="s">
        <v>11304</v>
      </c>
    </row>
    <row r="37323" spans="1:2" x14ac:dyDescent="0.25">
      <c r="A37323">
        <v>84149039900</v>
      </c>
      <c r="B37323" t="s">
        <v>10</v>
      </c>
    </row>
    <row r="37324" spans="1:2" x14ac:dyDescent="0.25">
      <c r="A37324">
        <v>8415</v>
      </c>
      <c r="B37324" t="s">
        <v>11318</v>
      </c>
    </row>
    <row r="37325" spans="1:2" x14ac:dyDescent="0.25">
      <c r="A37325">
        <v>841510</v>
      </c>
      <c r="B37325" t="s">
        <v>11319</v>
      </c>
    </row>
    <row r="37326" spans="1:2" x14ac:dyDescent="0.25">
      <c r="A37326">
        <v>8415101</v>
      </c>
      <c r="B37326" t="s">
        <v>11320</v>
      </c>
    </row>
    <row r="37327" spans="1:2" x14ac:dyDescent="0.25">
      <c r="A37327">
        <v>84151011</v>
      </c>
      <c r="B37327" t="s">
        <v>11321</v>
      </c>
    </row>
    <row r="37328" spans="1:2" x14ac:dyDescent="0.25">
      <c r="A37328">
        <v>841510111</v>
      </c>
      <c r="B37328" t="s">
        <v>11322</v>
      </c>
    </row>
    <row r="37329" spans="1:2" x14ac:dyDescent="0.25">
      <c r="A37329">
        <v>84151011110</v>
      </c>
      <c r="B37329" t="s">
        <v>11323</v>
      </c>
    </row>
    <row r="37330" spans="1:2" x14ac:dyDescent="0.25">
      <c r="A37330">
        <v>84151011190</v>
      </c>
      <c r="B37330" t="s">
        <v>10</v>
      </c>
    </row>
    <row r="37331" spans="1:2" x14ac:dyDescent="0.25">
      <c r="A37331">
        <v>841510112</v>
      </c>
      <c r="B37331" t="s">
        <v>11324</v>
      </c>
    </row>
    <row r="37332" spans="1:2" x14ac:dyDescent="0.25">
      <c r="A37332">
        <v>84151011210</v>
      </c>
      <c r="B37332" t="s">
        <v>11323</v>
      </c>
    </row>
    <row r="37333" spans="1:2" x14ac:dyDescent="0.25">
      <c r="A37333">
        <v>84151011290</v>
      </c>
      <c r="B37333" t="s">
        <v>10</v>
      </c>
    </row>
    <row r="37334" spans="1:2" x14ac:dyDescent="0.25">
      <c r="A37334">
        <v>841510113</v>
      </c>
      <c r="B37334" t="s">
        <v>11325</v>
      </c>
    </row>
    <row r="37335" spans="1:2" x14ac:dyDescent="0.25">
      <c r="A37335">
        <v>8415101131</v>
      </c>
      <c r="B37335" t="s">
        <v>11326</v>
      </c>
    </row>
    <row r="37336" spans="1:2" x14ac:dyDescent="0.25">
      <c r="A37336">
        <v>84151011311</v>
      </c>
      <c r="B37336" t="s">
        <v>11327</v>
      </c>
    </row>
    <row r="37337" spans="1:2" x14ac:dyDescent="0.25">
      <c r="A37337">
        <v>84151011319</v>
      </c>
      <c r="B37337" t="s">
        <v>10</v>
      </c>
    </row>
    <row r="37338" spans="1:2" x14ac:dyDescent="0.25">
      <c r="A37338">
        <v>8415101132</v>
      </c>
      <c r="B37338" t="s">
        <v>11328</v>
      </c>
    </row>
    <row r="37339" spans="1:2" x14ac:dyDescent="0.25">
      <c r="A37339">
        <v>84151011321</v>
      </c>
      <c r="B37339" t="s">
        <v>11327</v>
      </c>
    </row>
    <row r="37340" spans="1:2" x14ac:dyDescent="0.25">
      <c r="A37340">
        <v>84151011329</v>
      </c>
      <c r="B37340" t="s">
        <v>10</v>
      </c>
    </row>
    <row r="37341" spans="1:2" x14ac:dyDescent="0.25">
      <c r="A37341">
        <v>8415101139</v>
      </c>
      <c r="B37341" t="s">
        <v>10</v>
      </c>
    </row>
    <row r="37342" spans="1:2" x14ac:dyDescent="0.25">
      <c r="A37342">
        <v>84151011391</v>
      </c>
      <c r="B37342" t="s">
        <v>11323</v>
      </c>
    </row>
    <row r="37343" spans="1:2" x14ac:dyDescent="0.25">
      <c r="A37343">
        <v>84151011399</v>
      </c>
      <c r="B37343" t="s">
        <v>10</v>
      </c>
    </row>
    <row r="37344" spans="1:2" x14ac:dyDescent="0.25">
      <c r="A37344">
        <v>841510114</v>
      </c>
      <c r="B37344" t="s">
        <v>11329</v>
      </c>
    </row>
    <row r="37345" spans="1:2" x14ac:dyDescent="0.25">
      <c r="A37345">
        <v>84151011410</v>
      </c>
      <c r="B37345" t="s">
        <v>11323</v>
      </c>
    </row>
    <row r="37346" spans="1:2" x14ac:dyDescent="0.25">
      <c r="A37346">
        <v>84151011490</v>
      </c>
      <c r="B37346" t="s">
        <v>10</v>
      </c>
    </row>
    <row r="37347" spans="1:2" x14ac:dyDescent="0.25">
      <c r="A37347">
        <v>84151011500</v>
      </c>
      <c r="B37347" t="s">
        <v>11330</v>
      </c>
    </row>
    <row r="37348" spans="1:2" x14ac:dyDescent="0.25">
      <c r="A37348">
        <v>84151011900</v>
      </c>
      <c r="B37348" t="s">
        <v>10</v>
      </c>
    </row>
    <row r="37349" spans="1:2" x14ac:dyDescent="0.25">
      <c r="A37349">
        <v>84151019</v>
      </c>
      <c r="B37349" t="s">
        <v>10</v>
      </c>
    </row>
    <row r="37350" spans="1:2" x14ac:dyDescent="0.25">
      <c r="A37350">
        <v>841510191</v>
      </c>
      <c r="B37350" t="s">
        <v>11322</v>
      </c>
    </row>
    <row r="37351" spans="1:2" x14ac:dyDescent="0.25">
      <c r="A37351">
        <v>84151019110</v>
      </c>
      <c r="B37351" t="s">
        <v>11323</v>
      </c>
    </row>
    <row r="37352" spans="1:2" x14ac:dyDescent="0.25">
      <c r="A37352">
        <v>84151019190</v>
      </c>
      <c r="B37352" t="s">
        <v>10</v>
      </c>
    </row>
    <row r="37353" spans="1:2" x14ac:dyDescent="0.25">
      <c r="A37353">
        <v>841510192</v>
      </c>
      <c r="B37353" t="s">
        <v>11324</v>
      </c>
    </row>
    <row r="37354" spans="1:2" x14ac:dyDescent="0.25">
      <c r="A37354">
        <v>8415101921</v>
      </c>
      <c r="B37354" t="s">
        <v>11331</v>
      </c>
    </row>
    <row r="37355" spans="1:2" x14ac:dyDescent="0.25">
      <c r="A37355">
        <v>84151019211</v>
      </c>
      <c r="B37355" t="s">
        <v>11323</v>
      </c>
    </row>
    <row r="37356" spans="1:2" x14ac:dyDescent="0.25">
      <c r="A37356">
        <v>84151019219</v>
      </c>
      <c r="B37356" t="s">
        <v>10</v>
      </c>
    </row>
    <row r="37357" spans="1:2" x14ac:dyDescent="0.25">
      <c r="A37357">
        <v>8415101929</v>
      </c>
      <c r="B37357" t="s">
        <v>10</v>
      </c>
    </row>
    <row r="37358" spans="1:2" x14ac:dyDescent="0.25">
      <c r="A37358">
        <v>84151019291</v>
      </c>
      <c r="B37358" t="s">
        <v>11323</v>
      </c>
    </row>
    <row r="37359" spans="1:2" x14ac:dyDescent="0.25">
      <c r="A37359">
        <v>84151019299</v>
      </c>
      <c r="B37359" t="s">
        <v>10</v>
      </c>
    </row>
    <row r="37360" spans="1:2" x14ac:dyDescent="0.25">
      <c r="A37360">
        <v>841510193</v>
      </c>
      <c r="B37360" t="s">
        <v>11325</v>
      </c>
    </row>
    <row r="37361" spans="1:2" x14ac:dyDescent="0.25">
      <c r="A37361">
        <v>8415101931</v>
      </c>
      <c r="B37361" t="s">
        <v>11326</v>
      </c>
    </row>
    <row r="37362" spans="1:2" x14ac:dyDescent="0.25">
      <c r="A37362">
        <v>84151019311</v>
      </c>
      <c r="B37362" t="s">
        <v>11327</v>
      </c>
    </row>
    <row r="37363" spans="1:2" x14ac:dyDescent="0.25">
      <c r="A37363">
        <v>84151019319</v>
      </c>
      <c r="B37363" t="s">
        <v>10</v>
      </c>
    </row>
    <row r="37364" spans="1:2" x14ac:dyDescent="0.25">
      <c r="A37364">
        <v>8415101932</v>
      </c>
      <c r="B37364" t="s">
        <v>11328</v>
      </c>
    </row>
    <row r="37365" spans="1:2" x14ac:dyDescent="0.25">
      <c r="A37365">
        <v>84151019321</v>
      </c>
      <c r="B37365" t="s">
        <v>11327</v>
      </c>
    </row>
    <row r="37366" spans="1:2" x14ac:dyDescent="0.25">
      <c r="A37366">
        <v>84151019329</v>
      </c>
      <c r="B37366" t="s">
        <v>10</v>
      </c>
    </row>
    <row r="37367" spans="1:2" x14ac:dyDescent="0.25">
      <c r="A37367">
        <v>8415101939</v>
      </c>
      <c r="B37367" t="s">
        <v>10</v>
      </c>
    </row>
    <row r="37368" spans="1:2" x14ac:dyDescent="0.25">
      <c r="A37368">
        <v>84151019391</v>
      </c>
      <c r="B37368" t="s">
        <v>11323</v>
      </c>
    </row>
    <row r="37369" spans="1:2" x14ac:dyDescent="0.25">
      <c r="A37369">
        <v>84151019399</v>
      </c>
      <c r="B37369" t="s">
        <v>10</v>
      </c>
    </row>
    <row r="37370" spans="1:2" x14ac:dyDescent="0.25">
      <c r="A37370">
        <v>841510194</v>
      </c>
      <c r="B37370" t="s">
        <v>11329</v>
      </c>
    </row>
    <row r="37371" spans="1:2" x14ac:dyDescent="0.25">
      <c r="A37371">
        <v>84151019410</v>
      </c>
      <c r="B37371" t="s">
        <v>11323</v>
      </c>
    </row>
    <row r="37372" spans="1:2" x14ac:dyDescent="0.25">
      <c r="A37372">
        <v>84151019490</v>
      </c>
      <c r="B37372" t="s">
        <v>10</v>
      </c>
    </row>
    <row r="37373" spans="1:2" x14ac:dyDescent="0.25">
      <c r="A37373">
        <v>84151019500</v>
      </c>
      <c r="B37373" t="s">
        <v>11330</v>
      </c>
    </row>
    <row r="37374" spans="1:2" x14ac:dyDescent="0.25">
      <c r="A37374">
        <v>84151019900</v>
      </c>
      <c r="B37374" t="s">
        <v>10</v>
      </c>
    </row>
    <row r="37375" spans="1:2" x14ac:dyDescent="0.25">
      <c r="A37375">
        <v>84151090</v>
      </c>
      <c r="B37375" t="s">
        <v>10</v>
      </c>
    </row>
    <row r="37376" spans="1:2" x14ac:dyDescent="0.25">
      <c r="A37376">
        <v>84151090100</v>
      </c>
      <c r="B37376" t="s">
        <v>11332</v>
      </c>
    </row>
    <row r="37377" spans="1:2" x14ac:dyDescent="0.25">
      <c r="A37377">
        <v>84151090900</v>
      </c>
      <c r="B37377" t="s">
        <v>10</v>
      </c>
    </row>
    <row r="37378" spans="1:2" x14ac:dyDescent="0.25">
      <c r="A37378">
        <v>841520</v>
      </c>
      <c r="B37378" t="e">
        <f>- de Los tipos utilizados En vehiculos automoviles para sus ocupantes</f>
        <v>#NAME?</v>
      </c>
    </row>
    <row r="37379" spans="1:2" x14ac:dyDescent="0.25">
      <c r="A37379">
        <v>84152010</v>
      </c>
      <c r="B37379" t="s">
        <v>11320</v>
      </c>
    </row>
    <row r="37380" spans="1:2" x14ac:dyDescent="0.25">
      <c r="A37380">
        <v>84152010100</v>
      </c>
      <c r="B37380" t="s">
        <v>11333</v>
      </c>
    </row>
    <row r="37381" spans="1:2" x14ac:dyDescent="0.25">
      <c r="A37381">
        <v>84152010200</v>
      </c>
      <c r="B37381" t="s">
        <v>11329</v>
      </c>
    </row>
    <row r="37382" spans="1:2" x14ac:dyDescent="0.25">
      <c r="A37382">
        <v>84152010900</v>
      </c>
      <c r="B37382" t="s">
        <v>10</v>
      </c>
    </row>
    <row r="37383" spans="1:2" x14ac:dyDescent="0.25">
      <c r="A37383">
        <v>84152090000</v>
      </c>
      <c r="B37383" t="s">
        <v>10</v>
      </c>
    </row>
    <row r="37384" spans="1:2" x14ac:dyDescent="0.25">
      <c r="A37384">
        <v>84158</v>
      </c>
      <c r="B37384" t="s">
        <v>28</v>
      </c>
    </row>
    <row r="37385" spans="1:2" x14ac:dyDescent="0.25">
      <c r="A37385">
        <v>841581</v>
      </c>
      <c r="B37385" t="e">
        <f>- - Con equipo de enfriamiento y valvula de inversion del ciclo termico (Bombas de calor reversibles)</f>
        <v>#NAME?</v>
      </c>
    </row>
    <row r="37386" spans="1:2" x14ac:dyDescent="0.25">
      <c r="A37386">
        <v>84158110</v>
      </c>
      <c r="B37386" t="s">
        <v>11320</v>
      </c>
    </row>
    <row r="37387" spans="1:2" x14ac:dyDescent="0.25">
      <c r="A37387">
        <v>841581101</v>
      </c>
      <c r="B37387" t="s">
        <v>11334</v>
      </c>
    </row>
    <row r="37388" spans="1:2" x14ac:dyDescent="0.25">
      <c r="A37388">
        <v>84158110110</v>
      </c>
      <c r="B37388" t="s">
        <v>11322</v>
      </c>
    </row>
    <row r="37389" spans="1:2" x14ac:dyDescent="0.25">
      <c r="A37389">
        <v>8415811012</v>
      </c>
      <c r="B37389" t="s">
        <v>11335</v>
      </c>
    </row>
    <row r="37390" spans="1:2" x14ac:dyDescent="0.25">
      <c r="A37390">
        <v>84158110121</v>
      </c>
      <c r="B37390" t="s">
        <v>11331</v>
      </c>
    </row>
    <row r="37391" spans="1:2" x14ac:dyDescent="0.25">
      <c r="A37391">
        <v>84158110129</v>
      </c>
      <c r="B37391" t="s">
        <v>10</v>
      </c>
    </row>
    <row r="37392" spans="1:2" x14ac:dyDescent="0.25">
      <c r="A37392">
        <v>8415811013</v>
      </c>
      <c r="B37392" t="s">
        <v>11325</v>
      </c>
    </row>
    <row r="37393" spans="1:2" x14ac:dyDescent="0.25">
      <c r="A37393">
        <v>84158110131</v>
      </c>
      <c r="B37393" t="s">
        <v>11327</v>
      </c>
    </row>
    <row r="37394" spans="1:2" x14ac:dyDescent="0.25">
      <c r="A37394">
        <v>84158110132</v>
      </c>
      <c r="B37394" t="s">
        <v>11336</v>
      </c>
    </row>
    <row r="37395" spans="1:2" x14ac:dyDescent="0.25">
      <c r="A37395">
        <v>84158110139</v>
      </c>
      <c r="B37395" t="s">
        <v>10</v>
      </c>
    </row>
    <row r="37396" spans="1:2" x14ac:dyDescent="0.25">
      <c r="A37396">
        <v>84158110190</v>
      </c>
      <c r="B37396" t="s">
        <v>10</v>
      </c>
    </row>
    <row r="37397" spans="1:2" x14ac:dyDescent="0.25">
      <c r="A37397">
        <v>84158110200</v>
      </c>
      <c r="B37397" t="s">
        <v>11337</v>
      </c>
    </row>
    <row r="37398" spans="1:2" x14ac:dyDescent="0.25">
      <c r="A37398">
        <v>841581109</v>
      </c>
      <c r="B37398" t="s">
        <v>10</v>
      </c>
    </row>
    <row r="37399" spans="1:2" x14ac:dyDescent="0.25">
      <c r="A37399">
        <v>8415811091</v>
      </c>
      <c r="B37399" t="s">
        <v>11338</v>
      </c>
    </row>
    <row r="37400" spans="1:2" x14ac:dyDescent="0.25">
      <c r="A37400">
        <v>84158110911</v>
      </c>
      <c r="B37400" t="s">
        <v>11339</v>
      </c>
    </row>
    <row r="37401" spans="1:2" x14ac:dyDescent="0.25">
      <c r="A37401">
        <v>84158110919</v>
      </c>
      <c r="B37401" t="s">
        <v>10</v>
      </c>
    </row>
    <row r="37402" spans="1:2" x14ac:dyDescent="0.25">
      <c r="A37402">
        <v>84158110920</v>
      </c>
      <c r="B37402" t="s">
        <v>11340</v>
      </c>
    </row>
    <row r="37403" spans="1:2" x14ac:dyDescent="0.25">
      <c r="A37403">
        <v>84158110990</v>
      </c>
      <c r="B37403" t="s">
        <v>10</v>
      </c>
    </row>
    <row r="37404" spans="1:2" x14ac:dyDescent="0.25">
      <c r="A37404">
        <v>84158190</v>
      </c>
      <c r="B37404" t="s">
        <v>10</v>
      </c>
    </row>
    <row r="37405" spans="1:2" x14ac:dyDescent="0.25">
      <c r="A37405">
        <v>84158190100</v>
      </c>
      <c r="B37405" t="s">
        <v>11341</v>
      </c>
    </row>
    <row r="37406" spans="1:2" x14ac:dyDescent="0.25">
      <c r="A37406">
        <v>84158190200</v>
      </c>
      <c r="B37406" t="s">
        <v>11342</v>
      </c>
    </row>
    <row r="37407" spans="1:2" x14ac:dyDescent="0.25">
      <c r="A37407">
        <v>84158190300</v>
      </c>
      <c r="B37407" t="s">
        <v>11343</v>
      </c>
    </row>
    <row r="37408" spans="1:2" x14ac:dyDescent="0.25">
      <c r="A37408">
        <v>84158190400</v>
      </c>
      <c r="B37408" t="s">
        <v>11344</v>
      </c>
    </row>
    <row r="37409" spans="1:2" x14ac:dyDescent="0.25">
      <c r="A37409">
        <v>84158190900</v>
      </c>
      <c r="B37409" t="s">
        <v>10</v>
      </c>
    </row>
    <row r="37410" spans="1:2" x14ac:dyDescent="0.25">
      <c r="A37410">
        <v>841582</v>
      </c>
      <c r="B37410" t="e">
        <f>- - Los demas. Con equipo de enfriamiento</f>
        <v>#NAME?</v>
      </c>
    </row>
    <row r="37411" spans="1:2" x14ac:dyDescent="0.25">
      <c r="A37411">
        <v>84158210</v>
      </c>
      <c r="B37411" t="s">
        <v>11320</v>
      </c>
    </row>
    <row r="37412" spans="1:2" x14ac:dyDescent="0.25">
      <c r="A37412">
        <v>841582101</v>
      </c>
      <c r="B37412" t="s">
        <v>11345</v>
      </c>
    </row>
    <row r="37413" spans="1:2" x14ac:dyDescent="0.25">
      <c r="A37413">
        <v>84158210110</v>
      </c>
      <c r="B37413" t="s">
        <v>11322</v>
      </c>
    </row>
    <row r="37414" spans="1:2" x14ac:dyDescent="0.25">
      <c r="A37414">
        <v>84158210120</v>
      </c>
      <c r="B37414" t="s">
        <v>11324</v>
      </c>
    </row>
    <row r="37415" spans="1:2" x14ac:dyDescent="0.25">
      <c r="A37415">
        <v>8415821013</v>
      </c>
      <c r="B37415" t="s">
        <v>11325</v>
      </c>
    </row>
    <row r="37416" spans="1:2" x14ac:dyDescent="0.25">
      <c r="A37416">
        <v>84158210131</v>
      </c>
      <c r="B37416" t="s">
        <v>11327</v>
      </c>
    </row>
    <row r="37417" spans="1:2" x14ac:dyDescent="0.25">
      <c r="A37417">
        <v>84158210132</v>
      </c>
      <c r="B37417" t="s">
        <v>11336</v>
      </c>
    </row>
    <row r="37418" spans="1:2" x14ac:dyDescent="0.25">
      <c r="A37418">
        <v>84158210139</v>
      </c>
      <c r="B37418" t="s">
        <v>10</v>
      </c>
    </row>
    <row r="37419" spans="1:2" x14ac:dyDescent="0.25">
      <c r="A37419">
        <v>84158210190</v>
      </c>
      <c r="B37419" t="s">
        <v>10</v>
      </c>
    </row>
    <row r="37420" spans="1:2" x14ac:dyDescent="0.25">
      <c r="A37420">
        <v>841582109</v>
      </c>
      <c r="B37420" t="s">
        <v>10</v>
      </c>
    </row>
    <row r="37421" spans="1:2" x14ac:dyDescent="0.25">
      <c r="A37421">
        <v>8415821091</v>
      </c>
      <c r="B37421" t="s">
        <v>11346</v>
      </c>
    </row>
    <row r="37422" spans="1:2" x14ac:dyDescent="0.25">
      <c r="A37422">
        <v>84158210911</v>
      </c>
      <c r="B37422" t="s">
        <v>11339</v>
      </c>
    </row>
    <row r="37423" spans="1:2" x14ac:dyDescent="0.25">
      <c r="A37423">
        <v>84158210919</v>
      </c>
      <c r="B37423" t="s">
        <v>10</v>
      </c>
    </row>
    <row r="37424" spans="1:2" x14ac:dyDescent="0.25">
      <c r="A37424">
        <v>84158210920</v>
      </c>
      <c r="B37424" t="s">
        <v>11340</v>
      </c>
    </row>
    <row r="37425" spans="1:2" x14ac:dyDescent="0.25">
      <c r="A37425">
        <v>84158210990</v>
      </c>
      <c r="B37425" t="s">
        <v>10</v>
      </c>
    </row>
    <row r="37426" spans="1:2" x14ac:dyDescent="0.25">
      <c r="A37426">
        <v>84158290</v>
      </c>
      <c r="B37426" t="s">
        <v>10</v>
      </c>
    </row>
    <row r="37427" spans="1:2" x14ac:dyDescent="0.25">
      <c r="A37427">
        <v>84158290100</v>
      </c>
      <c r="B37427" t="s">
        <v>11341</v>
      </c>
    </row>
    <row r="37428" spans="1:2" x14ac:dyDescent="0.25">
      <c r="A37428">
        <v>84158290200</v>
      </c>
      <c r="B37428" t="s">
        <v>11342</v>
      </c>
    </row>
    <row r="37429" spans="1:2" x14ac:dyDescent="0.25">
      <c r="A37429">
        <v>84158290300</v>
      </c>
      <c r="B37429" t="s">
        <v>11343</v>
      </c>
    </row>
    <row r="37430" spans="1:2" x14ac:dyDescent="0.25">
      <c r="A37430">
        <v>84158290400</v>
      </c>
      <c r="B37430" t="s">
        <v>11344</v>
      </c>
    </row>
    <row r="37431" spans="1:2" x14ac:dyDescent="0.25">
      <c r="A37431">
        <v>84158290900</v>
      </c>
      <c r="B37431" t="s">
        <v>10</v>
      </c>
    </row>
    <row r="37432" spans="1:2" x14ac:dyDescent="0.25">
      <c r="A37432">
        <v>84158300</v>
      </c>
      <c r="B37432" t="e">
        <f>- - sin equipo de enfriamiento</f>
        <v>#NAME?</v>
      </c>
    </row>
    <row r="37433" spans="1:2" x14ac:dyDescent="0.25">
      <c r="A37433">
        <v>841583001</v>
      </c>
      <c r="B37433" t="s">
        <v>11347</v>
      </c>
    </row>
    <row r="37434" spans="1:2" x14ac:dyDescent="0.25">
      <c r="A37434">
        <v>84158300110</v>
      </c>
      <c r="B37434" t="s">
        <v>11348</v>
      </c>
    </row>
    <row r="37435" spans="1:2" x14ac:dyDescent="0.25">
      <c r="A37435">
        <v>84158300190</v>
      </c>
      <c r="B37435" t="s">
        <v>57</v>
      </c>
    </row>
    <row r="37436" spans="1:2" x14ac:dyDescent="0.25">
      <c r="A37436">
        <v>84158300200</v>
      </c>
      <c r="B37436" t="s">
        <v>11349</v>
      </c>
    </row>
    <row r="37437" spans="1:2" x14ac:dyDescent="0.25">
      <c r="A37437">
        <v>841583009</v>
      </c>
      <c r="B37437" t="s">
        <v>57</v>
      </c>
    </row>
    <row r="37438" spans="1:2" x14ac:dyDescent="0.25">
      <c r="A37438">
        <v>84158300910</v>
      </c>
      <c r="B37438" t="s">
        <v>11350</v>
      </c>
    </row>
    <row r="37439" spans="1:2" x14ac:dyDescent="0.25">
      <c r="A37439">
        <v>84158300920</v>
      </c>
      <c r="B37439" t="s">
        <v>11329</v>
      </c>
    </row>
    <row r="37440" spans="1:2" x14ac:dyDescent="0.25">
      <c r="A37440">
        <v>84158300990</v>
      </c>
      <c r="B37440" t="s">
        <v>57</v>
      </c>
    </row>
    <row r="37441" spans="1:2" x14ac:dyDescent="0.25">
      <c r="A37441">
        <v>841590</v>
      </c>
      <c r="B37441" t="e">
        <f>- partes</f>
        <v>#NAME?</v>
      </c>
    </row>
    <row r="37442" spans="1:2" x14ac:dyDescent="0.25">
      <c r="A37442">
        <v>84159010</v>
      </c>
      <c r="B37442" t="s">
        <v>11351</v>
      </c>
    </row>
    <row r="37443" spans="1:2" x14ac:dyDescent="0.25">
      <c r="A37443">
        <v>84159010100</v>
      </c>
      <c r="B37443" t="s">
        <v>11322</v>
      </c>
    </row>
    <row r="37444" spans="1:2" x14ac:dyDescent="0.25">
      <c r="A37444">
        <v>84159010200</v>
      </c>
      <c r="B37444" t="s">
        <v>11352</v>
      </c>
    </row>
    <row r="37445" spans="1:2" x14ac:dyDescent="0.25">
      <c r="A37445">
        <v>84159010300</v>
      </c>
      <c r="B37445" t="s">
        <v>11336</v>
      </c>
    </row>
    <row r="37446" spans="1:2" x14ac:dyDescent="0.25">
      <c r="A37446">
        <v>841590104</v>
      </c>
      <c r="B37446" t="s">
        <v>11353</v>
      </c>
    </row>
    <row r="37447" spans="1:2" x14ac:dyDescent="0.25">
      <c r="A37447">
        <v>84159010410</v>
      </c>
      <c r="B37447" t="s">
        <v>11339</v>
      </c>
    </row>
    <row r="37448" spans="1:2" x14ac:dyDescent="0.25">
      <c r="A37448">
        <v>84159010490</v>
      </c>
      <c r="B37448" t="s">
        <v>10</v>
      </c>
    </row>
    <row r="37449" spans="1:2" x14ac:dyDescent="0.25">
      <c r="A37449">
        <v>84159020</v>
      </c>
      <c r="B37449" t="s">
        <v>11354</v>
      </c>
    </row>
    <row r="37450" spans="1:2" x14ac:dyDescent="0.25">
      <c r="A37450">
        <v>841590201</v>
      </c>
      <c r="B37450" t="s">
        <v>11322</v>
      </c>
    </row>
    <row r="37451" spans="1:2" x14ac:dyDescent="0.25">
      <c r="A37451">
        <v>84159020110</v>
      </c>
      <c r="B37451" t="s">
        <v>11323</v>
      </c>
    </row>
    <row r="37452" spans="1:2" x14ac:dyDescent="0.25">
      <c r="A37452">
        <v>84159020190</v>
      </c>
      <c r="B37452" t="s">
        <v>10</v>
      </c>
    </row>
    <row r="37453" spans="1:2" x14ac:dyDescent="0.25">
      <c r="A37453">
        <v>841590202</v>
      </c>
      <c r="B37453" t="s">
        <v>11352</v>
      </c>
    </row>
    <row r="37454" spans="1:2" x14ac:dyDescent="0.25">
      <c r="A37454">
        <v>84159020210</v>
      </c>
      <c r="B37454" t="s">
        <v>11323</v>
      </c>
    </row>
    <row r="37455" spans="1:2" x14ac:dyDescent="0.25">
      <c r="A37455">
        <v>84159020290</v>
      </c>
      <c r="B37455" t="s">
        <v>10</v>
      </c>
    </row>
    <row r="37456" spans="1:2" x14ac:dyDescent="0.25">
      <c r="A37456">
        <v>841590203</v>
      </c>
      <c r="B37456" t="s">
        <v>11336</v>
      </c>
    </row>
    <row r="37457" spans="1:2" x14ac:dyDescent="0.25">
      <c r="A37457">
        <v>84159020310</v>
      </c>
      <c r="B37457" t="s">
        <v>11323</v>
      </c>
    </row>
    <row r="37458" spans="1:2" x14ac:dyDescent="0.25">
      <c r="A37458">
        <v>84159020390</v>
      </c>
      <c r="B37458" t="s">
        <v>10</v>
      </c>
    </row>
    <row r="37459" spans="1:2" x14ac:dyDescent="0.25">
      <c r="A37459">
        <v>841590204</v>
      </c>
      <c r="B37459" t="s">
        <v>11355</v>
      </c>
    </row>
    <row r="37460" spans="1:2" x14ac:dyDescent="0.25">
      <c r="A37460">
        <v>84159020410</v>
      </c>
      <c r="B37460" t="s">
        <v>11323</v>
      </c>
    </row>
    <row r="37461" spans="1:2" x14ac:dyDescent="0.25">
      <c r="A37461">
        <v>84159020490</v>
      </c>
      <c r="B37461" t="s">
        <v>10</v>
      </c>
    </row>
    <row r="37462" spans="1:2" x14ac:dyDescent="0.25">
      <c r="A37462">
        <v>841590205</v>
      </c>
      <c r="B37462" t="s">
        <v>11356</v>
      </c>
    </row>
    <row r="37463" spans="1:2" x14ac:dyDescent="0.25">
      <c r="A37463">
        <v>8415902051</v>
      </c>
      <c r="B37463" t="s">
        <v>11339</v>
      </c>
    </row>
    <row r="37464" spans="1:2" x14ac:dyDescent="0.25">
      <c r="A37464">
        <v>84159020511</v>
      </c>
      <c r="B37464" t="s">
        <v>11323</v>
      </c>
    </row>
    <row r="37465" spans="1:2" x14ac:dyDescent="0.25">
      <c r="A37465">
        <v>84159020519</v>
      </c>
      <c r="B37465" t="s">
        <v>10</v>
      </c>
    </row>
    <row r="37466" spans="1:2" x14ac:dyDescent="0.25">
      <c r="A37466">
        <v>84159020590</v>
      </c>
      <c r="B37466" t="s">
        <v>10</v>
      </c>
    </row>
    <row r="37467" spans="1:2" x14ac:dyDescent="0.25">
      <c r="A37467">
        <v>84159090</v>
      </c>
      <c r="B37467" t="s">
        <v>57</v>
      </c>
    </row>
    <row r="37468" spans="1:2" x14ac:dyDescent="0.25">
      <c r="A37468">
        <v>84159090100</v>
      </c>
      <c r="B37468" t="s">
        <v>11357</v>
      </c>
    </row>
    <row r="37469" spans="1:2" x14ac:dyDescent="0.25">
      <c r="A37469">
        <v>84159090200</v>
      </c>
      <c r="B37469" t="s">
        <v>11358</v>
      </c>
    </row>
    <row r="37470" spans="1:2" x14ac:dyDescent="0.25">
      <c r="A37470">
        <v>84159090300</v>
      </c>
      <c r="B37470" t="s">
        <v>11359</v>
      </c>
    </row>
    <row r="37471" spans="1:2" x14ac:dyDescent="0.25">
      <c r="A37471">
        <v>84159090400</v>
      </c>
      <c r="B37471" t="s">
        <v>11360</v>
      </c>
    </row>
    <row r="37472" spans="1:2" x14ac:dyDescent="0.25">
      <c r="A37472">
        <v>84159090900</v>
      </c>
      <c r="B37472" t="s">
        <v>57</v>
      </c>
    </row>
    <row r="37473" spans="1:2" x14ac:dyDescent="0.25">
      <c r="A37473">
        <v>8416</v>
      </c>
      <c r="B37473" t="s">
        <v>11361</v>
      </c>
    </row>
    <row r="37474" spans="1:2" x14ac:dyDescent="0.25">
      <c r="A37474">
        <v>84161000000</v>
      </c>
      <c r="B37474" t="e">
        <f>-Quemadores de combustibles liquidos</f>
        <v>#NAME?</v>
      </c>
    </row>
    <row r="37475" spans="1:2" x14ac:dyDescent="0.25">
      <c r="A37475">
        <v>841620</v>
      </c>
      <c r="B37475" t="e">
        <f>- Los demas quemadores. incluidos Los mixtos</f>
        <v>#NAME?</v>
      </c>
    </row>
    <row r="37476" spans="1:2" x14ac:dyDescent="0.25">
      <c r="A37476">
        <v>84162010000</v>
      </c>
      <c r="B37476" t="s">
        <v>11362</v>
      </c>
    </row>
    <row r="37477" spans="1:2" x14ac:dyDescent="0.25">
      <c r="A37477">
        <v>84162090</v>
      </c>
      <c r="B37477" t="s">
        <v>10</v>
      </c>
    </row>
    <row r="37478" spans="1:2" x14ac:dyDescent="0.25">
      <c r="A37478">
        <v>84162090100</v>
      </c>
      <c r="B37478" t="s">
        <v>11363</v>
      </c>
    </row>
    <row r="37479" spans="1:2" x14ac:dyDescent="0.25">
      <c r="A37479">
        <v>84162090900</v>
      </c>
      <c r="B37479" t="s">
        <v>10</v>
      </c>
    </row>
    <row r="37480" spans="1:2" x14ac:dyDescent="0.25">
      <c r="A37480">
        <v>84163000</v>
      </c>
      <c r="B37480" t="e">
        <f>- Alimentadores mecanicos de hogares. parrillas mecanicas. descargadores mecanicos de cenizas y demas Dispositivos mecanicos auxiliares empleados En hogares</f>
        <v>#NAME?</v>
      </c>
    </row>
    <row r="37481" spans="1:2" x14ac:dyDescent="0.25">
      <c r="A37481">
        <v>84163000100</v>
      </c>
      <c r="B37481" t="s">
        <v>11364</v>
      </c>
    </row>
    <row r="37482" spans="1:2" x14ac:dyDescent="0.25">
      <c r="A37482">
        <v>84163000200</v>
      </c>
      <c r="B37482" t="s">
        <v>11365</v>
      </c>
    </row>
    <row r="37483" spans="1:2" x14ac:dyDescent="0.25">
      <c r="A37483">
        <v>84163000900</v>
      </c>
      <c r="B37483" t="s">
        <v>10</v>
      </c>
    </row>
    <row r="37484" spans="1:2" x14ac:dyDescent="0.25">
      <c r="A37484">
        <v>84169000000</v>
      </c>
      <c r="B37484" t="e">
        <f>-partes</f>
        <v>#NAME?</v>
      </c>
    </row>
    <row r="37485" spans="1:2" x14ac:dyDescent="0.25">
      <c r="A37485">
        <v>8417</v>
      </c>
      <c r="B37485" t="s">
        <v>11366</v>
      </c>
    </row>
    <row r="37486" spans="1:2" x14ac:dyDescent="0.25">
      <c r="A37486">
        <v>841710</v>
      </c>
      <c r="B37486" t="e">
        <f>- hornos para tostacion. fusion u otros tratamientos termicos de Los Minerales metaliferos (incluidas las piritas) o de Los metales</f>
        <v>#NAME?</v>
      </c>
    </row>
    <row r="37487" spans="1:2" x14ac:dyDescent="0.25">
      <c r="A37487">
        <v>84171010000</v>
      </c>
      <c r="B37487" t="s">
        <v>11367</v>
      </c>
    </row>
    <row r="37488" spans="1:2" x14ac:dyDescent="0.25">
      <c r="A37488">
        <v>84171020</v>
      </c>
      <c r="B37488" t="s">
        <v>11368</v>
      </c>
    </row>
    <row r="37489" spans="1:2" x14ac:dyDescent="0.25">
      <c r="A37489">
        <v>84171020100</v>
      </c>
      <c r="B37489" t="s">
        <v>11369</v>
      </c>
    </row>
    <row r="37490" spans="1:2" x14ac:dyDescent="0.25">
      <c r="A37490">
        <v>84171020200</v>
      </c>
      <c r="B37490" t="s">
        <v>11370</v>
      </c>
    </row>
    <row r="37491" spans="1:2" x14ac:dyDescent="0.25">
      <c r="A37491">
        <v>84171020300</v>
      </c>
      <c r="B37491" t="s">
        <v>11371</v>
      </c>
    </row>
    <row r="37492" spans="1:2" x14ac:dyDescent="0.25">
      <c r="A37492">
        <v>84171020900</v>
      </c>
      <c r="B37492" t="s">
        <v>10</v>
      </c>
    </row>
    <row r="37493" spans="1:2" x14ac:dyDescent="0.25">
      <c r="A37493">
        <v>84171090000</v>
      </c>
      <c r="B37493" t="s">
        <v>10</v>
      </c>
    </row>
    <row r="37494" spans="1:2" x14ac:dyDescent="0.25">
      <c r="A37494">
        <v>84172000</v>
      </c>
      <c r="B37494" t="e">
        <f>- hornos de panaderia. pasteleria o galleteria</f>
        <v>#NAME?</v>
      </c>
    </row>
    <row r="37495" spans="1:2" x14ac:dyDescent="0.25">
      <c r="A37495">
        <v>841720001</v>
      </c>
      <c r="B37495" t="s">
        <v>11372</v>
      </c>
    </row>
    <row r="37496" spans="1:2" x14ac:dyDescent="0.25">
      <c r="A37496">
        <v>84172000110</v>
      </c>
      <c r="B37496" t="s">
        <v>11373</v>
      </c>
    </row>
    <row r="37497" spans="1:2" x14ac:dyDescent="0.25">
      <c r="A37497">
        <v>84172000190</v>
      </c>
      <c r="B37497" t="s">
        <v>10</v>
      </c>
    </row>
    <row r="37498" spans="1:2" x14ac:dyDescent="0.25">
      <c r="A37498">
        <v>84172000900</v>
      </c>
      <c r="B37498" t="s">
        <v>10</v>
      </c>
    </row>
    <row r="37499" spans="1:2" x14ac:dyDescent="0.25">
      <c r="A37499">
        <v>841780</v>
      </c>
      <c r="B37499" t="e">
        <f>- Los demas</f>
        <v>#NAME?</v>
      </c>
    </row>
    <row r="37500" spans="1:2" x14ac:dyDescent="0.25">
      <c r="A37500">
        <v>84178010</v>
      </c>
      <c r="B37500" t="s">
        <v>11374</v>
      </c>
    </row>
    <row r="37501" spans="1:2" x14ac:dyDescent="0.25">
      <c r="A37501">
        <v>84178010100</v>
      </c>
      <c r="B37501" t="s">
        <v>11375</v>
      </c>
    </row>
    <row r="37502" spans="1:2" x14ac:dyDescent="0.25">
      <c r="A37502">
        <v>84178010200</v>
      </c>
      <c r="B37502" t="s">
        <v>11376</v>
      </c>
    </row>
    <row r="37503" spans="1:2" x14ac:dyDescent="0.25">
      <c r="A37503">
        <v>84178010900</v>
      </c>
      <c r="B37503" t="s">
        <v>10</v>
      </c>
    </row>
    <row r="37504" spans="1:2" x14ac:dyDescent="0.25">
      <c r="A37504">
        <v>84178020000</v>
      </c>
      <c r="B37504" t="s">
        <v>11377</v>
      </c>
    </row>
    <row r="37505" spans="1:2" x14ac:dyDescent="0.25">
      <c r="A37505">
        <v>84178090000</v>
      </c>
      <c r="B37505" t="s">
        <v>10</v>
      </c>
    </row>
    <row r="37506" spans="1:2" x14ac:dyDescent="0.25">
      <c r="A37506">
        <v>84179000000</v>
      </c>
      <c r="B37506" t="e">
        <f>-partes</f>
        <v>#NAME?</v>
      </c>
    </row>
    <row r="37507" spans="1:2" x14ac:dyDescent="0.25">
      <c r="A37507">
        <v>8418</v>
      </c>
      <c r="B37507" t="s">
        <v>11378</v>
      </c>
    </row>
    <row r="37508" spans="1:2" x14ac:dyDescent="0.25">
      <c r="A37508">
        <v>84181000</v>
      </c>
      <c r="B37508" t="e">
        <f>- Combinaciones de refrigerador y congelador Con puertas exteriores separadas</f>
        <v>#NAME?</v>
      </c>
    </row>
    <row r="37509" spans="1:2" x14ac:dyDescent="0.25">
      <c r="A37509">
        <v>84181000100</v>
      </c>
      <c r="B37509" t="s">
        <v>11379</v>
      </c>
    </row>
    <row r="37510" spans="1:2" x14ac:dyDescent="0.25">
      <c r="A37510">
        <v>84181000200</v>
      </c>
      <c r="B37510" t="s">
        <v>11380</v>
      </c>
    </row>
    <row r="37511" spans="1:2" x14ac:dyDescent="0.25">
      <c r="A37511">
        <v>84181000300</v>
      </c>
      <c r="B37511" t="s">
        <v>11381</v>
      </c>
    </row>
    <row r="37512" spans="1:2" x14ac:dyDescent="0.25">
      <c r="A37512">
        <v>84181000900</v>
      </c>
      <c r="B37512" t="s">
        <v>10</v>
      </c>
    </row>
    <row r="37513" spans="1:2" x14ac:dyDescent="0.25">
      <c r="A37513">
        <v>84182</v>
      </c>
      <c r="B37513" t="s">
        <v>11382</v>
      </c>
    </row>
    <row r="37514" spans="1:2" x14ac:dyDescent="0.25">
      <c r="A37514">
        <v>84182100</v>
      </c>
      <c r="B37514" t="e">
        <f>- - de compresion</f>
        <v>#NAME?</v>
      </c>
    </row>
    <row r="37515" spans="1:2" x14ac:dyDescent="0.25">
      <c r="A37515">
        <v>84182100100</v>
      </c>
      <c r="B37515" t="s">
        <v>11383</v>
      </c>
    </row>
    <row r="37516" spans="1:2" x14ac:dyDescent="0.25">
      <c r="A37516">
        <v>84182100200</v>
      </c>
      <c r="B37516" t="s">
        <v>11384</v>
      </c>
    </row>
    <row r="37517" spans="1:2" x14ac:dyDescent="0.25">
      <c r="A37517">
        <v>84182100900</v>
      </c>
      <c r="B37517" t="s">
        <v>10</v>
      </c>
    </row>
    <row r="37518" spans="1:2" x14ac:dyDescent="0.25">
      <c r="A37518">
        <v>84182900</v>
      </c>
      <c r="B37518" t="e">
        <f>- - Los demas</f>
        <v>#NAME?</v>
      </c>
    </row>
    <row r="37519" spans="1:2" x14ac:dyDescent="0.25">
      <c r="A37519">
        <v>841829001</v>
      </c>
      <c r="B37519" t="s">
        <v>11385</v>
      </c>
    </row>
    <row r="37520" spans="1:2" x14ac:dyDescent="0.25">
      <c r="A37520">
        <v>84182900110</v>
      </c>
      <c r="B37520" t="s">
        <v>11386</v>
      </c>
    </row>
    <row r="37521" spans="1:2" x14ac:dyDescent="0.25">
      <c r="A37521">
        <v>84182900190</v>
      </c>
      <c r="B37521" t="s">
        <v>10</v>
      </c>
    </row>
    <row r="37522" spans="1:2" x14ac:dyDescent="0.25">
      <c r="A37522">
        <v>84182900900</v>
      </c>
      <c r="B37522" t="s">
        <v>10</v>
      </c>
    </row>
    <row r="37523" spans="1:2" x14ac:dyDescent="0.25">
      <c r="A37523">
        <v>84183000</v>
      </c>
      <c r="B37523" t="s">
        <v>11387</v>
      </c>
    </row>
    <row r="37524" spans="1:2" x14ac:dyDescent="0.25">
      <c r="A37524">
        <v>84183000100</v>
      </c>
      <c r="B37524" t="s">
        <v>11388</v>
      </c>
    </row>
    <row r="37525" spans="1:2" x14ac:dyDescent="0.25">
      <c r="A37525">
        <v>84183000200</v>
      </c>
      <c r="B37525" t="s">
        <v>11389</v>
      </c>
    </row>
    <row r="37526" spans="1:2" x14ac:dyDescent="0.25">
      <c r="A37526">
        <v>84183000300</v>
      </c>
      <c r="B37526" t="s">
        <v>11390</v>
      </c>
    </row>
    <row r="37527" spans="1:2" x14ac:dyDescent="0.25">
      <c r="A37527">
        <v>84183000400</v>
      </c>
      <c r="B37527" t="s">
        <v>11391</v>
      </c>
    </row>
    <row r="37528" spans="1:2" x14ac:dyDescent="0.25">
      <c r="A37528">
        <v>84183000900</v>
      </c>
      <c r="B37528" t="s">
        <v>10</v>
      </c>
    </row>
    <row r="37529" spans="1:2" x14ac:dyDescent="0.25">
      <c r="A37529">
        <v>84184000</v>
      </c>
      <c r="B37529" t="s">
        <v>11392</v>
      </c>
    </row>
    <row r="37530" spans="1:2" x14ac:dyDescent="0.25">
      <c r="A37530">
        <v>84184000100</v>
      </c>
      <c r="B37530" t="s">
        <v>11393</v>
      </c>
    </row>
    <row r="37531" spans="1:2" x14ac:dyDescent="0.25">
      <c r="A37531">
        <v>84184000200</v>
      </c>
      <c r="B37531" t="s">
        <v>11394</v>
      </c>
    </row>
    <row r="37532" spans="1:2" x14ac:dyDescent="0.25">
      <c r="A37532">
        <v>84184000300</v>
      </c>
      <c r="B37532" t="s">
        <v>11395</v>
      </c>
    </row>
    <row r="37533" spans="1:2" x14ac:dyDescent="0.25">
      <c r="A37533">
        <v>84184000900</v>
      </c>
      <c r="B37533" t="s">
        <v>10</v>
      </c>
    </row>
    <row r="37534" spans="1:2" x14ac:dyDescent="0.25">
      <c r="A37534">
        <v>841850</v>
      </c>
      <c r="B37534" t="s">
        <v>11396</v>
      </c>
    </row>
    <row r="37535" spans="1:2" x14ac:dyDescent="0.25">
      <c r="A37535">
        <v>84185010000</v>
      </c>
      <c r="B37535" t="s">
        <v>11397</v>
      </c>
    </row>
    <row r="37536" spans="1:2" x14ac:dyDescent="0.25">
      <c r="A37536">
        <v>84185090</v>
      </c>
      <c r="B37536" t="s">
        <v>10</v>
      </c>
    </row>
    <row r="37537" spans="1:2" x14ac:dyDescent="0.25">
      <c r="A37537">
        <v>84185090100</v>
      </c>
      <c r="B37537" t="s">
        <v>11398</v>
      </c>
    </row>
    <row r="37538" spans="1:2" x14ac:dyDescent="0.25">
      <c r="A37538">
        <v>84185090200</v>
      </c>
      <c r="B37538" t="s">
        <v>11399</v>
      </c>
    </row>
    <row r="37539" spans="1:2" x14ac:dyDescent="0.25">
      <c r="A37539">
        <v>84185090900</v>
      </c>
      <c r="B37539" t="s">
        <v>57</v>
      </c>
    </row>
    <row r="37540" spans="1:2" x14ac:dyDescent="0.25">
      <c r="A37540">
        <v>84186</v>
      </c>
      <c r="B37540" t="s">
        <v>11400</v>
      </c>
    </row>
    <row r="37541" spans="1:2" x14ac:dyDescent="0.25">
      <c r="A37541">
        <v>84186100000</v>
      </c>
      <c r="B37541" t="s">
        <v>11401</v>
      </c>
    </row>
    <row r="37542" spans="1:2" x14ac:dyDescent="0.25">
      <c r="A37542">
        <v>841869</v>
      </c>
      <c r="B37542" t="e">
        <f>- - Los demas</f>
        <v>#NAME?</v>
      </c>
    </row>
    <row r="37543" spans="1:2" x14ac:dyDescent="0.25">
      <c r="A37543">
        <v>84186910000</v>
      </c>
      <c r="B37543" t="s">
        <v>11402</v>
      </c>
    </row>
    <row r="37544" spans="1:2" x14ac:dyDescent="0.25">
      <c r="A37544">
        <v>84186920000</v>
      </c>
      <c r="B37544" t="s">
        <v>11403</v>
      </c>
    </row>
    <row r="37545" spans="1:2" x14ac:dyDescent="0.25">
      <c r="A37545">
        <v>8418693</v>
      </c>
      <c r="B37545" t="s">
        <v>11404</v>
      </c>
    </row>
    <row r="37546" spans="1:2" x14ac:dyDescent="0.25">
      <c r="A37546">
        <v>84186931000</v>
      </c>
      <c r="B37546" t="s">
        <v>11405</v>
      </c>
    </row>
    <row r="37547" spans="1:2" x14ac:dyDescent="0.25">
      <c r="A37547">
        <v>84186932000</v>
      </c>
      <c r="B37547" t="s">
        <v>11406</v>
      </c>
    </row>
    <row r="37548" spans="1:2" x14ac:dyDescent="0.25">
      <c r="A37548">
        <v>84186940</v>
      </c>
      <c r="B37548" t="s">
        <v>11407</v>
      </c>
    </row>
    <row r="37549" spans="1:2" x14ac:dyDescent="0.25">
      <c r="A37549">
        <v>841869401</v>
      </c>
      <c r="B37549" t="s">
        <v>11408</v>
      </c>
    </row>
    <row r="37550" spans="1:2" x14ac:dyDescent="0.25">
      <c r="A37550">
        <v>8418694011</v>
      </c>
      <c r="B37550" t="s">
        <v>11409</v>
      </c>
    </row>
    <row r="37551" spans="1:2" x14ac:dyDescent="0.25">
      <c r="A37551">
        <v>84186940111</v>
      </c>
      <c r="B37551" t="s">
        <v>11410</v>
      </c>
    </row>
    <row r="37552" spans="1:2" x14ac:dyDescent="0.25">
      <c r="A37552">
        <v>84186940112</v>
      </c>
      <c r="B37552" t="s">
        <v>11411</v>
      </c>
    </row>
    <row r="37553" spans="1:2" x14ac:dyDescent="0.25">
      <c r="A37553">
        <v>84186940119</v>
      </c>
      <c r="B37553" t="s">
        <v>10</v>
      </c>
    </row>
    <row r="37554" spans="1:2" x14ac:dyDescent="0.25">
      <c r="A37554">
        <v>8418694012</v>
      </c>
      <c r="B37554" t="s">
        <v>11412</v>
      </c>
    </row>
    <row r="37555" spans="1:2" x14ac:dyDescent="0.25">
      <c r="A37555">
        <v>84186940121</v>
      </c>
      <c r="B37555" t="s">
        <v>11413</v>
      </c>
    </row>
    <row r="37556" spans="1:2" x14ac:dyDescent="0.25">
      <c r="A37556">
        <v>84186940122</v>
      </c>
      <c r="B37556" t="s">
        <v>11414</v>
      </c>
    </row>
    <row r="37557" spans="1:2" x14ac:dyDescent="0.25">
      <c r="A37557">
        <v>84186940129</v>
      </c>
      <c r="B37557" t="s">
        <v>10</v>
      </c>
    </row>
    <row r="37558" spans="1:2" x14ac:dyDescent="0.25">
      <c r="A37558">
        <v>8418694019</v>
      </c>
      <c r="B37558" t="s">
        <v>10</v>
      </c>
    </row>
    <row r="37559" spans="1:2" x14ac:dyDescent="0.25">
      <c r="A37559">
        <v>84186940191</v>
      </c>
      <c r="B37559" t="s">
        <v>11410</v>
      </c>
    </row>
    <row r="37560" spans="1:2" x14ac:dyDescent="0.25">
      <c r="A37560">
        <v>84186940192</v>
      </c>
      <c r="B37560" t="s">
        <v>11415</v>
      </c>
    </row>
    <row r="37561" spans="1:2" x14ac:dyDescent="0.25">
      <c r="A37561">
        <v>84186940193</v>
      </c>
      <c r="B37561" t="s">
        <v>11416</v>
      </c>
    </row>
    <row r="37562" spans="1:2" x14ac:dyDescent="0.25">
      <c r="A37562">
        <v>84186940194</v>
      </c>
      <c r="B37562" t="s">
        <v>11417</v>
      </c>
    </row>
    <row r="37563" spans="1:2" x14ac:dyDescent="0.25">
      <c r="A37563">
        <v>84186940195</v>
      </c>
      <c r="B37563" t="s">
        <v>11414</v>
      </c>
    </row>
    <row r="37564" spans="1:2" x14ac:dyDescent="0.25">
      <c r="A37564">
        <v>84186940199</v>
      </c>
      <c r="B37564" t="s">
        <v>10</v>
      </c>
    </row>
    <row r="37565" spans="1:2" x14ac:dyDescent="0.25">
      <c r="A37565">
        <v>841869409</v>
      </c>
      <c r="B37565" t="s">
        <v>10</v>
      </c>
    </row>
    <row r="37566" spans="1:2" x14ac:dyDescent="0.25">
      <c r="A37566">
        <v>84186940910</v>
      </c>
      <c r="B37566" t="s">
        <v>11304</v>
      </c>
    </row>
    <row r="37567" spans="1:2" x14ac:dyDescent="0.25">
      <c r="A37567">
        <v>84186940990</v>
      </c>
      <c r="B37567" t="s">
        <v>10</v>
      </c>
    </row>
    <row r="37568" spans="1:2" x14ac:dyDescent="0.25">
      <c r="A37568">
        <v>8418699</v>
      </c>
      <c r="B37568" t="s">
        <v>10</v>
      </c>
    </row>
    <row r="37569" spans="1:2" x14ac:dyDescent="0.25">
      <c r="A37569">
        <v>84186991000</v>
      </c>
      <c r="B37569" t="s">
        <v>11418</v>
      </c>
    </row>
    <row r="37570" spans="1:2" x14ac:dyDescent="0.25">
      <c r="A37570">
        <v>84186999</v>
      </c>
      <c r="B37570" t="s">
        <v>10</v>
      </c>
    </row>
    <row r="37571" spans="1:2" x14ac:dyDescent="0.25">
      <c r="A37571">
        <v>84186999100</v>
      </c>
      <c r="B37571" t="s">
        <v>11419</v>
      </c>
    </row>
    <row r="37572" spans="1:2" x14ac:dyDescent="0.25">
      <c r="A37572">
        <v>84186999200</v>
      </c>
      <c r="B37572" t="s">
        <v>11420</v>
      </c>
    </row>
    <row r="37573" spans="1:2" x14ac:dyDescent="0.25">
      <c r="A37573">
        <v>84186999300</v>
      </c>
      <c r="B37573" t="s">
        <v>11421</v>
      </c>
    </row>
    <row r="37574" spans="1:2" x14ac:dyDescent="0.25">
      <c r="A37574">
        <v>84186999400</v>
      </c>
      <c r="B37574" t="s">
        <v>11422</v>
      </c>
    </row>
    <row r="37575" spans="1:2" x14ac:dyDescent="0.25">
      <c r="A37575">
        <v>841869999</v>
      </c>
      <c r="B37575" t="s">
        <v>10</v>
      </c>
    </row>
    <row r="37576" spans="1:2" x14ac:dyDescent="0.25">
      <c r="A37576">
        <v>84186999910</v>
      </c>
      <c r="B37576" t="s">
        <v>11423</v>
      </c>
    </row>
    <row r="37577" spans="1:2" x14ac:dyDescent="0.25">
      <c r="A37577">
        <v>84186999990</v>
      </c>
      <c r="B37577" t="s">
        <v>10</v>
      </c>
    </row>
    <row r="37578" spans="1:2" x14ac:dyDescent="0.25">
      <c r="A37578">
        <v>84189</v>
      </c>
      <c r="B37578" t="s">
        <v>11167</v>
      </c>
    </row>
    <row r="37579" spans="1:2" x14ac:dyDescent="0.25">
      <c r="A37579">
        <v>84189100000</v>
      </c>
      <c r="B37579" t="e">
        <f>--muebles concebidos para incorporarles un equipo de produccion de frio</f>
        <v>#NAME?</v>
      </c>
    </row>
    <row r="37580" spans="1:2" x14ac:dyDescent="0.25">
      <c r="A37580">
        <v>84189900</v>
      </c>
      <c r="B37580" t="e">
        <f>- - las demas</f>
        <v>#NAME?</v>
      </c>
    </row>
    <row r="37581" spans="1:2" x14ac:dyDescent="0.25">
      <c r="A37581">
        <v>84189900100</v>
      </c>
      <c r="B37581" t="s">
        <v>11424</v>
      </c>
    </row>
    <row r="37582" spans="1:2" x14ac:dyDescent="0.25">
      <c r="A37582">
        <v>84189900200</v>
      </c>
      <c r="B37582" t="s">
        <v>11425</v>
      </c>
    </row>
    <row r="37583" spans="1:2" x14ac:dyDescent="0.25">
      <c r="A37583">
        <v>841899009</v>
      </c>
      <c r="B37583" t="s">
        <v>10</v>
      </c>
    </row>
    <row r="37584" spans="1:2" x14ac:dyDescent="0.25">
      <c r="A37584">
        <v>84189900910</v>
      </c>
      <c r="B37584" t="s">
        <v>11304</v>
      </c>
    </row>
    <row r="37585" spans="1:2" x14ac:dyDescent="0.25">
      <c r="A37585">
        <v>84189900990</v>
      </c>
      <c r="B37585" t="s">
        <v>10</v>
      </c>
    </row>
    <row r="37586" spans="1:2" x14ac:dyDescent="0.25">
      <c r="A37586">
        <v>8419</v>
      </c>
      <c r="B37586" t="s">
        <v>11426</v>
      </c>
    </row>
    <row r="37587" spans="1:2" x14ac:dyDescent="0.25">
      <c r="A37587">
        <v>84191</v>
      </c>
      <c r="B37587" t="s">
        <v>11427</v>
      </c>
    </row>
    <row r="37588" spans="1:2" x14ac:dyDescent="0.25">
      <c r="A37588">
        <v>84191100</v>
      </c>
      <c r="B37588" t="e">
        <f>- - de calentamiento instantaneo. de Gas</f>
        <v>#NAME?</v>
      </c>
    </row>
    <row r="37589" spans="1:2" x14ac:dyDescent="0.25">
      <c r="A37589">
        <v>84191100100</v>
      </c>
      <c r="B37589" t="s">
        <v>11428</v>
      </c>
    </row>
    <row r="37590" spans="1:2" x14ac:dyDescent="0.25">
      <c r="A37590">
        <v>841911009</v>
      </c>
      <c r="B37590" t="s">
        <v>10</v>
      </c>
    </row>
    <row r="37591" spans="1:2" x14ac:dyDescent="0.25">
      <c r="A37591">
        <v>84191100910</v>
      </c>
      <c r="B37591" t="s">
        <v>11429</v>
      </c>
    </row>
    <row r="37592" spans="1:2" x14ac:dyDescent="0.25">
      <c r="A37592">
        <v>84191100920</v>
      </c>
      <c r="B37592" t="s">
        <v>11430</v>
      </c>
    </row>
    <row r="37593" spans="1:2" x14ac:dyDescent="0.25">
      <c r="A37593">
        <v>84191100930</v>
      </c>
      <c r="B37593" t="s">
        <v>11431</v>
      </c>
    </row>
    <row r="37594" spans="1:2" x14ac:dyDescent="0.25">
      <c r="A37594">
        <v>84191100990</v>
      </c>
      <c r="B37594" t="s">
        <v>10</v>
      </c>
    </row>
    <row r="37595" spans="1:2" x14ac:dyDescent="0.25">
      <c r="A37595">
        <v>841919</v>
      </c>
      <c r="B37595" t="e">
        <f>- - Los demas</f>
        <v>#NAME?</v>
      </c>
    </row>
    <row r="37596" spans="1:2" x14ac:dyDescent="0.25">
      <c r="A37596">
        <v>84191910000</v>
      </c>
      <c r="B37596" t="s">
        <v>11432</v>
      </c>
    </row>
    <row r="37597" spans="1:2" x14ac:dyDescent="0.25">
      <c r="A37597">
        <v>84191990</v>
      </c>
      <c r="B37597" t="s">
        <v>10</v>
      </c>
    </row>
    <row r="37598" spans="1:2" x14ac:dyDescent="0.25">
      <c r="A37598">
        <v>84191990100</v>
      </c>
      <c r="B37598" t="s">
        <v>10553</v>
      </c>
    </row>
    <row r="37599" spans="1:2" x14ac:dyDescent="0.25">
      <c r="A37599">
        <v>84191990200</v>
      </c>
      <c r="B37599" t="s">
        <v>11433</v>
      </c>
    </row>
    <row r="37600" spans="1:2" x14ac:dyDescent="0.25">
      <c r="A37600">
        <v>84191990300</v>
      </c>
      <c r="B37600" t="s">
        <v>11434</v>
      </c>
    </row>
    <row r="37601" spans="1:2" x14ac:dyDescent="0.25">
      <c r="A37601">
        <v>84191990400</v>
      </c>
      <c r="B37601" t="s">
        <v>11435</v>
      </c>
    </row>
    <row r="37602" spans="1:2" x14ac:dyDescent="0.25">
      <c r="A37602">
        <v>84191990900</v>
      </c>
      <c r="B37602" t="s">
        <v>10</v>
      </c>
    </row>
    <row r="37603" spans="1:2" x14ac:dyDescent="0.25">
      <c r="A37603">
        <v>84192000000</v>
      </c>
      <c r="B37603" t="e">
        <f>-Esterilizadores medicos. quirurgicos o de laboratorio</f>
        <v>#NAME?</v>
      </c>
    </row>
    <row r="37604" spans="1:2" x14ac:dyDescent="0.25">
      <c r="A37604">
        <v>84193</v>
      </c>
      <c r="B37604" t="s">
        <v>11436</v>
      </c>
    </row>
    <row r="37605" spans="1:2" x14ac:dyDescent="0.25">
      <c r="A37605">
        <v>84193100000</v>
      </c>
      <c r="B37605" t="e">
        <f>--para Productos agricolas</f>
        <v>#NAME?</v>
      </c>
    </row>
    <row r="37606" spans="1:2" x14ac:dyDescent="0.25">
      <c r="A37606">
        <v>84193200</v>
      </c>
      <c r="B37606" t="e">
        <f>- - para madera. pasta para papel. papel o carton</f>
        <v>#NAME?</v>
      </c>
    </row>
    <row r="37607" spans="1:2" x14ac:dyDescent="0.25">
      <c r="A37607">
        <v>841932001</v>
      </c>
      <c r="B37607" t="s">
        <v>10889</v>
      </c>
    </row>
    <row r="37608" spans="1:2" x14ac:dyDescent="0.25">
      <c r="A37608">
        <v>84193200110</v>
      </c>
      <c r="B37608" t="s">
        <v>11437</v>
      </c>
    </row>
    <row r="37609" spans="1:2" x14ac:dyDescent="0.25">
      <c r="A37609">
        <v>84193200120</v>
      </c>
      <c r="B37609" t="s">
        <v>11438</v>
      </c>
    </row>
    <row r="37610" spans="1:2" x14ac:dyDescent="0.25">
      <c r="A37610">
        <v>84193200190</v>
      </c>
      <c r="B37610" t="s">
        <v>10</v>
      </c>
    </row>
    <row r="37611" spans="1:2" x14ac:dyDescent="0.25">
      <c r="A37611">
        <v>841932002</v>
      </c>
      <c r="B37611" t="s">
        <v>11439</v>
      </c>
    </row>
    <row r="37612" spans="1:2" x14ac:dyDescent="0.25">
      <c r="A37612">
        <v>84193200210</v>
      </c>
      <c r="B37612" t="s">
        <v>11440</v>
      </c>
    </row>
    <row r="37613" spans="1:2" x14ac:dyDescent="0.25">
      <c r="A37613">
        <v>84193200220</v>
      </c>
      <c r="B37613" t="s">
        <v>11441</v>
      </c>
    </row>
    <row r="37614" spans="1:2" x14ac:dyDescent="0.25">
      <c r="A37614">
        <v>84193200290</v>
      </c>
      <c r="B37614" t="s">
        <v>10</v>
      </c>
    </row>
    <row r="37615" spans="1:2" x14ac:dyDescent="0.25">
      <c r="A37615">
        <v>84193200300</v>
      </c>
      <c r="B37615" t="s">
        <v>11442</v>
      </c>
    </row>
    <row r="37616" spans="1:2" x14ac:dyDescent="0.25">
      <c r="A37616">
        <v>84193900</v>
      </c>
      <c r="B37616" t="e">
        <f>- - Los demas</f>
        <v>#NAME?</v>
      </c>
    </row>
    <row r="37617" spans="1:2" x14ac:dyDescent="0.25">
      <c r="A37617">
        <v>84193900100</v>
      </c>
      <c r="B37617" t="s">
        <v>11443</v>
      </c>
    </row>
    <row r="37618" spans="1:2" x14ac:dyDescent="0.25">
      <c r="A37618">
        <v>84193900900</v>
      </c>
      <c r="B37618" t="s">
        <v>10</v>
      </c>
    </row>
    <row r="37619" spans="1:2" x14ac:dyDescent="0.25">
      <c r="A37619">
        <v>841940</v>
      </c>
      <c r="B37619" t="e">
        <f>- aparatos de destilacion o rectificacion</f>
        <v>#NAME?</v>
      </c>
    </row>
    <row r="37620" spans="1:2" x14ac:dyDescent="0.25">
      <c r="A37620">
        <v>84194010000</v>
      </c>
      <c r="B37620" t="s">
        <v>11444</v>
      </c>
    </row>
    <row r="37621" spans="1:2" x14ac:dyDescent="0.25">
      <c r="A37621">
        <v>84194020000</v>
      </c>
      <c r="B37621" t="s">
        <v>11445</v>
      </c>
    </row>
    <row r="37622" spans="1:2" x14ac:dyDescent="0.25">
      <c r="A37622">
        <v>84194090000</v>
      </c>
      <c r="B37622" t="s">
        <v>10</v>
      </c>
    </row>
    <row r="37623" spans="1:2" x14ac:dyDescent="0.25">
      <c r="A37623">
        <v>841950</v>
      </c>
      <c r="B37623" t="e">
        <f>- Intercambiadores de calor</f>
        <v>#NAME?</v>
      </c>
    </row>
    <row r="37624" spans="1:2" x14ac:dyDescent="0.25">
      <c r="A37624">
        <v>84195010</v>
      </c>
      <c r="B37624" t="s">
        <v>11446</v>
      </c>
    </row>
    <row r="37625" spans="1:2" x14ac:dyDescent="0.25">
      <c r="A37625">
        <v>84195010100</v>
      </c>
      <c r="B37625" t="s">
        <v>11447</v>
      </c>
    </row>
    <row r="37626" spans="1:2" x14ac:dyDescent="0.25">
      <c r="A37626">
        <v>84195010900</v>
      </c>
      <c r="B37626" t="s">
        <v>10</v>
      </c>
    </row>
    <row r="37627" spans="1:2" x14ac:dyDescent="0.25">
      <c r="A37627">
        <v>8419502</v>
      </c>
      <c r="B37627" t="s">
        <v>11058</v>
      </c>
    </row>
    <row r="37628" spans="1:2" x14ac:dyDescent="0.25">
      <c r="A37628">
        <v>84195021</v>
      </c>
      <c r="B37628" t="s">
        <v>11448</v>
      </c>
    </row>
    <row r="37629" spans="1:2" x14ac:dyDescent="0.25">
      <c r="A37629">
        <v>84195021100</v>
      </c>
      <c r="B37629" t="s">
        <v>11449</v>
      </c>
    </row>
    <row r="37630" spans="1:2" x14ac:dyDescent="0.25">
      <c r="A37630">
        <v>84195021900</v>
      </c>
      <c r="B37630" t="s">
        <v>10</v>
      </c>
    </row>
    <row r="37631" spans="1:2" x14ac:dyDescent="0.25">
      <c r="A37631">
        <v>84195022000</v>
      </c>
      <c r="B37631" t="s">
        <v>9514</v>
      </c>
    </row>
    <row r="37632" spans="1:2" x14ac:dyDescent="0.25">
      <c r="A37632">
        <v>84195029</v>
      </c>
      <c r="B37632" t="s">
        <v>10</v>
      </c>
    </row>
    <row r="37633" spans="1:2" x14ac:dyDescent="0.25">
      <c r="A37633">
        <v>84195029100</v>
      </c>
      <c r="B37633" t="s">
        <v>11449</v>
      </c>
    </row>
    <row r="37634" spans="1:2" x14ac:dyDescent="0.25">
      <c r="A37634">
        <v>84195029900</v>
      </c>
      <c r="B37634" t="s">
        <v>10</v>
      </c>
    </row>
    <row r="37635" spans="1:2" x14ac:dyDescent="0.25">
      <c r="A37635">
        <v>84195090</v>
      </c>
      <c r="B37635" t="s">
        <v>10</v>
      </c>
    </row>
    <row r="37636" spans="1:2" x14ac:dyDescent="0.25">
      <c r="A37636">
        <v>84195090100</v>
      </c>
      <c r="B37636" t="s">
        <v>11304</v>
      </c>
    </row>
    <row r="37637" spans="1:2" x14ac:dyDescent="0.25">
      <c r="A37637">
        <v>84195090900</v>
      </c>
      <c r="B37637" t="s">
        <v>10</v>
      </c>
    </row>
    <row r="37638" spans="1:2" x14ac:dyDescent="0.25">
      <c r="A37638">
        <v>84196000000</v>
      </c>
      <c r="B37638" t="e">
        <f>-aparatos y Dispositivos para licuefaccion de aire u otros Gases</f>
        <v>#NAME?</v>
      </c>
    </row>
    <row r="37639" spans="1:2" x14ac:dyDescent="0.25">
      <c r="A37639">
        <v>84198</v>
      </c>
      <c r="B37639" t="s">
        <v>11450</v>
      </c>
    </row>
    <row r="37640" spans="1:2" x14ac:dyDescent="0.25">
      <c r="A37640">
        <v>841981</v>
      </c>
      <c r="B37640" t="e">
        <f>- - para la preparacion de bebidas calientes o la coccion o calentamiento de Alimentos</f>
        <v>#NAME?</v>
      </c>
    </row>
    <row r="37641" spans="1:2" x14ac:dyDescent="0.25">
      <c r="A37641">
        <v>84198110000</v>
      </c>
      <c r="B37641" t="s">
        <v>11451</v>
      </c>
    </row>
    <row r="37642" spans="1:2" x14ac:dyDescent="0.25">
      <c r="A37642">
        <v>84198190</v>
      </c>
      <c r="B37642" t="s">
        <v>10</v>
      </c>
    </row>
    <row r="37643" spans="1:2" x14ac:dyDescent="0.25">
      <c r="A37643">
        <v>84198190100</v>
      </c>
      <c r="B37643" t="s">
        <v>11452</v>
      </c>
    </row>
    <row r="37644" spans="1:2" x14ac:dyDescent="0.25">
      <c r="A37644">
        <v>84198190200</v>
      </c>
      <c r="B37644" t="s">
        <v>11453</v>
      </c>
    </row>
    <row r="37645" spans="1:2" x14ac:dyDescent="0.25">
      <c r="A37645">
        <v>84198190300</v>
      </c>
      <c r="B37645" t="s">
        <v>11454</v>
      </c>
    </row>
    <row r="37646" spans="1:2" x14ac:dyDescent="0.25">
      <c r="A37646">
        <v>84198190900</v>
      </c>
      <c r="B37646" t="s">
        <v>10</v>
      </c>
    </row>
    <row r="37647" spans="1:2" x14ac:dyDescent="0.25">
      <c r="A37647">
        <v>841989</v>
      </c>
      <c r="B37647" t="e">
        <f>- - Los demas</f>
        <v>#NAME?</v>
      </c>
    </row>
    <row r="37648" spans="1:2" x14ac:dyDescent="0.25">
      <c r="A37648">
        <v>8419891</v>
      </c>
      <c r="B37648" t="s">
        <v>11455</v>
      </c>
    </row>
    <row r="37649" spans="1:2" x14ac:dyDescent="0.25">
      <c r="A37649">
        <v>84198911000</v>
      </c>
      <c r="B37649" t="s">
        <v>11456</v>
      </c>
    </row>
    <row r="37650" spans="1:2" x14ac:dyDescent="0.25">
      <c r="A37650">
        <v>84198919000</v>
      </c>
      <c r="B37650" t="s">
        <v>10</v>
      </c>
    </row>
    <row r="37651" spans="1:2" x14ac:dyDescent="0.25">
      <c r="A37651">
        <v>84198920000</v>
      </c>
      <c r="B37651" t="s">
        <v>11457</v>
      </c>
    </row>
    <row r="37652" spans="1:2" x14ac:dyDescent="0.25">
      <c r="A37652">
        <v>84198930000</v>
      </c>
      <c r="B37652" t="s">
        <v>11458</v>
      </c>
    </row>
    <row r="37653" spans="1:2" x14ac:dyDescent="0.25">
      <c r="A37653">
        <v>84198940000</v>
      </c>
      <c r="B37653" t="s">
        <v>11459</v>
      </c>
    </row>
    <row r="37654" spans="1:2" x14ac:dyDescent="0.25">
      <c r="A37654">
        <v>8419899</v>
      </c>
      <c r="B37654" t="s">
        <v>10</v>
      </c>
    </row>
    <row r="37655" spans="1:2" x14ac:dyDescent="0.25">
      <c r="A37655">
        <v>84198991000</v>
      </c>
      <c r="B37655" t="s">
        <v>11460</v>
      </c>
    </row>
    <row r="37656" spans="1:2" x14ac:dyDescent="0.25">
      <c r="A37656">
        <v>84198999</v>
      </c>
      <c r="B37656" t="s">
        <v>10</v>
      </c>
    </row>
    <row r="37657" spans="1:2" x14ac:dyDescent="0.25">
      <c r="A37657">
        <v>84198999100</v>
      </c>
      <c r="B37657" t="s">
        <v>11461</v>
      </c>
    </row>
    <row r="37658" spans="1:2" x14ac:dyDescent="0.25">
      <c r="A37658">
        <v>84198999200</v>
      </c>
      <c r="B37658" t="s">
        <v>11462</v>
      </c>
    </row>
    <row r="37659" spans="1:2" x14ac:dyDescent="0.25">
      <c r="A37659">
        <v>84198999300</v>
      </c>
      <c r="B37659" t="s">
        <v>11463</v>
      </c>
    </row>
    <row r="37660" spans="1:2" x14ac:dyDescent="0.25">
      <c r="A37660">
        <v>84198999400</v>
      </c>
      <c r="B37660" t="s">
        <v>11464</v>
      </c>
    </row>
    <row r="37661" spans="1:2" x14ac:dyDescent="0.25">
      <c r="A37661">
        <v>84198999500</v>
      </c>
      <c r="B37661" t="s">
        <v>11465</v>
      </c>
    </row>
    <row r="37662" spans="1:2" x14ac:dyDescent="0.25">
      <c r="A37662">
        <v>84198999600</v>
      </c>
      <c r="B37662" t="s">
        <v>11466</v>
      </c>
    </row>
    <row r="37663" spans="1:2" x14ac:dyDescent="0.25">
      <c r="A37663">
        <v>84198999700</v>
      </c>
      <c r="B37663" t="s">
        <v>11467</v>
      </c>
    </row>
    <row r="37664" spans="1:2" x14ac:dyDescent="0.25">
      <c r="A37664">
        <v>84198999900</v>
      </c>
      <c r="B37664" t="s">
        <v>57</v>
      </c>
    </row>
    <row r="37665" spans="1:2" x14ac:dyDescent="0.25">
      <c r="A37665">
        <v>841990</v>
      </c>
      <c r="B37665" t="e">
        <f>- partes</f>
        <v>#NAME?</v>
      </c>
    </row>
    <row r="37666" spans="1:2" x14ac:dyDescent="0.25">
      <c r="A37666">
        <v>84199010000</v>
      </c>
      <c r="B37666" t="s">
        <v>11468</v>
      </c>
    </row>
    <row r="37667" spans="1:2" x14ac:dyDescent="0.25">
      <c r="A37667">
        <v>84199020</v>
      </c>
      <c r="B37667" t="s">
        <v>11469</v>
      </c>
    </row>
    <row r="37668" spans="1:2" x14ac:dyDescent="0.25">
      <c r="A37668">
        <v>84199020100</v>
      </c>
      <c r="B37668" t="s">
        <v>11470</v>
      </c>
    </row>
    <row r="37669" spans="1:2" x14ac:dyDescent="0.25">
      <c r="A37669">
        <v>84199020900</v>
      </c>
      <c r="B37669" t="s">
        <v>57</v>
      </c>
    </row>
    <row r="37670" spans="1:2" x14ac:dyDescent="0.25">
      <c r="A37670">
        <v>8419903</v>
      </c>
      <c r="B37670" t="s">
        <v>11471</v>
      </c>
    </row>
    <row r="37671" spans="1:2" x14ac:dyDescent="0.25">
      <c r="A37671">
        <v>84199031000</v>
      </c>
      <c r="B37671" t="s">
        <v>11472</v>
      </c>
    </row>
    <row r="37672" spans="1:2" x14ac:dyDescent="0.25">
      <c r="A37672">
        <v>84199039000</v>
      </c>
      <c r="B37672" t="s">
        <v>57</v>
      </c>
    </row>
    <row r="37673" spans="1:2" x14ac:dyDescent="0.25">
      <c r="A37673">
        <v>84199040</v>
      </c>
      <c r="B37673" t="s">
        <v>11473</v>
      </c>
    </row>
    <row r="37674" spans="1:2" x14ac:dyDescent="0.25">
      <c r="A37674">
        <v>84199040100</v>
      </c>
      <c r="B37674" t="s">
        <v>11474</v>
      </c>
    </row>
    <row r="37675" spans="1:2" x14ac:dyDescent="0.25">
      <c r="A37675">
        <v>84199040200</v>
      </c>
      <c r="B37675" t="s">
        <v>11475</v>
      </c>
    </row>
    <row r="37676" spans="1:2" x14ac:dyDescent="0.25">
      <c r="A37676">
        <v>84199040300</v>
      </c>
      <c r="B37676" t="s">
        <v>11476</v>
      </c>
    </row>
    <row r="37677" spans="1:2" x14ac:dyDescent="0.25">
      <c r="A37677">
        <v>84199040400</v>
      </c>
      <c r="B37677" t="s">
        <v>11477</v>
      </c>
    </row>
    <row r="37678" spans="1:2" x14ac:dyDescent="0.25">
      <c r="A37678">
        <v>84199040500</v>
      </c>
      <c r="B37678" t="s">
        <v>11478</v>
      </c>
    </row>
    <row r="37679" spans="1:2" x14ac:dyDescent="0.25">
      <c r="A37679">
        <v>84199040600</v>
      </c>
      <c r="B37679" t="s">
        <v>11479</v>
      </c>
    </row>
    <row r="37680" spans="1:2" x14ac:dyDescent="0.25">
      <c r="A37680">
        <v>84199040700</v>
      </c>
      <c r="B37680" t="s">
        <v>11480</v>
      </c>
    </row>
    <row r="37681" spans="1:2" x14ac:dyDescent="0.25">
      <c r="A37681">
        <v>84199040800</v>
      </c>
      <c r="B37681" t="s">
        <v>11458</v>
      </c>
    </row>
    <row r="37682" spans="1:2" x14ac:dyDescent="0.25">
      <c r="A37682">
        <v>84199040900</v>
      </c>
      <c r="B37682" t="s">
        <v>57</v>
      </c>
    </row>
    <row r="37683" spans="1:2" x14ac:dyDescent="0.25">
      <c r="A37683">
        <v>84199090000</v>
      </c>
      <c r="B37683" t="s">
        <v>57</v>
      </c>
    </row>
    <row r="37684" spans="1:2" x14ac:dyDescent="0.25">
      <c r="A37684">
        <v>8420</v>
      </c>
      <c r="B37684" t="s">
        <v>11481</v>
      </c>
    </row>
    <row r="37685" spans="1:2" x14ac:dyDescent="0.25">
      <c r="A37685">
        <v>842010</v>
      </c>
      <c r="B37685" t="e">
        <f>- Calandrias y laminadores</f>
        <v>#NAME?</v>
      </c>
    </row>
    <row r="37686" spans="1:2" x14ac:dyDescent="0.25">
      <c r="A37686">
        <v>84201010</v>
      </c>
      <c r="B37686" t="s">
        <v>11439</v>
      </c>
    </row>
    <row r="37687" spans="1:2" x14ac:dyDescent="0.25">
      <c r="A37687">
        <v>842010101</v>
      </c>
      <c r="B37687" t="s">
        <v>11482</v>
      </c>
    </row>
    <row r="37688" spans="1:2" x14ac:dyDescent="0.25">
      <c r="A37688">
        <v>8420101011</v>
      </c>
      <c r="B37688" t="s">
        <v>11483</v>
      </c>
    </row>
    <row r="37689" spans="1:2" x14ac:dyDescent="0.25">
      <c r="A37689">
        <v>84201010111</v>
      </c>
      <c r="B37689" t="s">
        <v>11484</v>
      </c>
    </row>
    <row r="37690" spans="1:2" x14ac:dyDescent="0.25">
      <c r="A37690">
        <v>84201010119</v>
      </c>
      <c r="B37690" t="s">
        <v>57</v>
      </c>
    </row>
    <row r="37691" spans="1:2" x14ac:dyDescent="0.25">
      <c r="A37691">
        <v>8420101019</v>
      </c>
      <c r="B37691" t="s">
        <v>57</v>
      </c>
    </row>
    <row r="37692" spans="1:2" x14ac:dyDescent="0.25">
      <c r="A37692">
        <v>84201010191</v>
      </c>
      <c r="B37692" t="s">
        <v>11484</v>
      </c>
    </row>
    <row r="37693" spans="1:2" x14ac:dyDescent="0.25">
      <c r="A37693">
        <v>84201010199</v>
      </c>
      <c r="B37693" t="s">
        <v>57</v>
      </c>
    </row>
    <row r="37694" spans="1:2" x14ac:dyDescent="0.25">
      <c r="A37694">
        <v>842010109</v>
      </c>
      <c r="B37694" t="s">
        <v>57</v>
      </c>
    </row>
    <row r="37695" spans="1:2" x14ac:dyDescent="0.25">
      <c r="A37695">
        <v>8420101091</v>
      </c>
      <c r="B37695" t="s">
        <v>11483</v>
      </c>
    </row>
    <row r="37696" spans="1:2" x14ac:dyDescent="0.25">
      <c r="A37696">
        <v>84201010911</v>
      </c>
      <c r="B37696" t="s">
        <v>11484</v>
      </c>
    </row>
    <row r="37697" spans="1:2" x14ac:dyDescent="0.25">
      <c r="A37697">
        <v>84201010919</v>
      </c>
      <c r="B37697" t="s">
        <v>57</v>
      </c>
    </row>
    <row r="37698" spans="1:2" x14ac:dyDescent="0.25">
      <c r="A37698">
        <v>8420101099</v>
      </c>
      <c r="B37698" t="s">
        <v>57</v>
      </c>
    </row>
    <row r="37699" spans="1:2" x14ac:dyDescent="0.25">
      <c r="A37699">
        <v>84201010991</v>
      </c>
      <c r="B37699" t="s">
        <v>11484</v>
      </c>
    </row>
    <row r="37700" spans="1:2" x14ac:dyDescent="0.25">
      <c r="A37700">
        <v>84201010999</v>
      </c>
      <c r="B37700" t="s">
        <v>57</v>
      </c>
    </row>
    <row r="37701" spans="1:2" x14ac:dyDescent="0.25">
      <c r="A37701">
        <v>84201090</v>
      </c>
      <c r="B37701" t="s">
        <v>10</v>
      </c>
    </row>
    <row r="37702" spans="1:2" x14ac:dyDescent="0.25">
      <c r="A37702">
        <v>84201090100</v>
      </c>
      <c r="B37702" t="s">
        <v>11485</v>
      </c>
    </row>
    <row r="37703" spans="1:2" x14ac:dyDescent="0.25">
      <c r="A37703">
        <v>842010902</v>
      </c>
      <c r="B37703" t="s">
        <v>6254</v>
      </c>
    </row>
    <row r="37704" spans="1:2" x14ac:dyDescent="0.25">
      <c r="A37704">
        <v>84201090210</v>
      </c>
      <c r="B37704" t="s">
        <v>11486</v>
      </c>
    </row>
    <row r="37705" spans="1:2" x14ac:dyDescent="0.25">
      <c r="A37705">
        <v>84201090220</v>
      </c>
      <c r="B37705" t="s">
        <v>11487</v>
      </c>
    </row>
    <row r="37706" spans="1:2" x14ac:dyDescent="0.25">
      <c r="A37706">
        <v>84201090290</v>
      </c>
      <c r="B37706" t="s">
        <v>10</v>
      </c>
    </row>
    <row r="37707" spans="1:2" x14ac:dyDescent="0.25">
      <c r="A37707">
        <v>84201090900</v>
      </c>
      <c r="B37707" t="s">
        <v>57</v>
      </c>
    </row>
    <row r="37708" spans="1:2" x14ac:dyDescent="0.25">
      <c r="A37708">
        <v>84209</v>
      </c>
      <c r="B37708" t="s">
        <v>11167</v>
      </c>
    </row>
    <row r="37709" spans="1:2" x14ac:dyDescent="0.25">
      <c r="A37709">
        <v>84209100000</v>
      </c>
      <c r="B37709" t="e">
        <f>--cilindros</f>
        <v>#NAME?</v>
      </c>
    </row>
    <row r="37710" spans="1:2" x14ac:dyDescent="0.25">
      <c r="A37710">
        <v>84209900000</v>
      </c>
      <c r="B37710" t="e">
        <f>--las demas</f>
        <v>#NAME?</v>
      </c>
    </row>
    <row r="37711" spans="1:2" x14ac:dyDescent="0.25">
      <c r="A37711">
        <v>8421</v>
      </c>
      <c r="B37711" t="s">
        <v>11488</v>
      </c>
    </row>
    <row r="37712" spans="1:2" x14ac:dyDescent="0.25">
      <c r="A37712">
        <v>84211</v>
      </c>
      <c r="B37712" t="s">
        <v>11489</v>
      </c>
    </row>
    <row r="37713" spans="1:2" x14ac:dyDescent="0.25">
      <c r="A37713">
        <v>842111</v>
      </c>
      <c r="B37713" t="e">
        <f>- - Desnatadoras (descremadoras)</f>
        <v>#NAME?</v>
      </c>
    </row>
    <row r="37714" spans="1:2" x14ac:dyDescent="0.25">
      <c r="A37714">
        <v>84211110000</v>
      </c>
      <c r="B37714" t="s">
        <v>11490</v>
      </c>
    </row>
    <row r="37715" spans="1:2" x14ac:dyDescent="0.25">
      <c r="A37715">
        <v>84211190</v>
      </c>
      <c r="B37715" t="s">
        <v>57</v>
      </c>
    </row>
    <row r="37716" spans="1:2" x14ac:dyDescent="0.25">
      <c r="A37716">
        <v>84211190100</v>
      </c>
      <c r="B37716" t="s">
        <v>11491</v>
      </c>
    </row>
    <row r="37717" spans="1:2" x14ac:dyDescent="0.25">
      <c r="A37717">
        <v>84211190200</v>
      </c>
      <c r="B37717" t="s">
        <v>11492</v>
      </c>
    </row>
    <row r="37718" spans="1:2" x14ac:dyDescent="0.25">
      <c r="A37718">
        <v>84211190900</v>
      </c>
      <c r="B37718" t="s">
        <v>57</v>
      </c>
    </row>
    <row r="37719" spans="1:2" x14ac:dyDescent="0.25">
      <c r="A37719">
        <v>842112</v>
      </c>
      <c r="B37719" t="e">
        <f>- - secadoras de Ropa</f>
        <v>#NAME?</v>
      </c>
    </row>
    <row r="37720" spans="1:2" x14ac:dyDescent="0.25">
      <c r="A37720">
        <v>84211210</v>
      </c>
      <c r="B37720" t="s">
        <v>11493</v>
      </c>
    </row>
    <row r="37721" spans="1:2" x14ac:dyDescent="0.25">
      <c r="A37721">
        <v>84211210100</v>
      </c>
      <c r="B37721" t="s">
        <v>11494</v>
      </c>
    </row>
    <row r="37722" spans="1:2" x14ac:dyDescent="0.25">
      <c r="A37722">
        <v>84211210200</v>
      </c>
      <c r="B37722" t="s">
        <v>11495</v>
      </c>
    </row>
    <row r="37723" spans="1:2" x14ac:dyDescent="0.25">
      <c r="A37723">
        <v>84211210900</v>
      </c>
      <c r="B37723" t="s">
        <v>57</v>
      </c>
    </row>
    <row r="37724" spans="1:2" x14ac:dyDescent="0.25">
      <c r="A37724">
        <v>84211290000</v>
      </c>
      <c r="B37724" t="s">
        <v>57</v>
      </c>
    </row>
    <row r="37725" spans="1:2" x14ac:dyDescent="0.25">
      <c r="A37725">
        <v>842119</v>
      </c>
      <c r="B37725" t="e">
        <f>- - las demas</f>
        <v>#NAME?</v>
      </c>
    </row>
    <row r="37726" spans="1:2" x14ac:dyDescent="0.25">
      <c r="A37726">
        <v>84211910000</v>
      </c>
      <c r="B37726" t="s">
        <v>11496</v>
      </c>
    </row>
    <row r="37727" spans="1:2" x14ac:dyDescent="0.25">
      <c r="A37727">
        <v>84211990</v>
      </c>
      <c r="B37727" t="s">
        <v>57</v>
      </c>
    </row>
    <row r="37728" spans="1:2" x14ac:dyDescent="0.25">
      <c r="A37728">
        <v>84211990100</v>
      </c>
      <c r="B37728" t="s">
        <v>11497</v>
      </c>
    </row>
    <row r="37729" spans="1:2" x14ac:dyDescent="0.25">
      <c r="A37729">
        <v>84211990200</v>
      </c>
      <c r="B37729" t="s">
        <v>11498</v>
      </c>
    </row>
    <row r="37730" spans="1:2" x14ac:dyDescent="0.25">
      <c r="A37730">
        <v>84211990900</v>
      </c>
      <c r="B37730" t="s">
        <v>57</v>
      </c>
    </row>
    <row r="37731" spans="1:2" x14ac:dyDescent="0.25">
      <c r="A37731">
        <v>84212</v>
      </c>
      <c r="B37731" t="s">
        <v>11499</v>
      </c>
    </row>
    <row r="37732" spans="1:2" x14ac:dyDescent="0.25">
      <c r="A37732">
        <v>84212100</v>
      </c>
      <c r="B37732" t="e">
        <f>- - para filtrar o depurar agua</f>
        <v>#NAME?</v>
      </c>
    </row>
    <row r="37733" spans="1:2" x14ac:dyDescent="0.25">
      <c r="A37733">
        <v>84212100100</v>
      </c>
      <c r="B37733" t="s">
        <v>11500</v>
      </c>
    </row>
    <row r="37734" spans="1:2" x14ac:dyDescent="0.25">
      <c r="A37734">
        <v>84212100900</v>
      </c>
      <c r="B37734" t="s">
        <v>10</v>
      </c>
    </row>
    <row r="37735" spans="1:2" x14ac:dyDescent="0.25">
      <c r="A37735">
        <v>84212200000</v>
      </c>
      <c r="B37735" t="e">
        <f>--para filtrar o depurar las demas bebidas</f>
        <v>#NAME?</v>
      </c>
    </row>
    <row r="37736" spans="1:2" x14ac:dyDescent="0.25">
      <c r="A37736">
        <v>84212300000</v>
      </c>
      <c r="B37736" t="e">
        <f>--para filtrar lubricantes o carburantes En Los Motores de encendido por chispa o compresion</f>
        <v>#NAME?</v>
      </c>
    </row>
    <row r="37737" spans="1:2" x14ac:dyDescent="0.25">
      <c r="A37737">
        <v>842129</v>
      </c>
      <c r="B37737" t="e">
        <f>- - Los demas</f>
        <v>#NAME?</v>
      </c>
    </row>
    <row r="37738" spans="1:2" x14ac:dyDescent="0.25">
      <c r="A37738">
        <v>8421291</v>
      </c>
      <c r="B37738" t="s">
        <v>11501</v>
      </c>
    </row>
    <row r="37739" spans="1:2" x14ac:dyDescent="0.25">
      <c r="A37739">
        <v>84212911000</v>
      </c>
      <c r="B37739" t="s">
        <v>11502</v>
      </c>
    </row>
    <row r="37740" spans="1:2" x14ac:dyDescent="0.25">
      <c r="A37740">
        <v>84212919000</v>
      </c>
      <c r="B37740" t="s">
        <v>10</v>
      </c>
    </row>
    <row r="37741" spans="1:2" x14ac:dyDescent="0.25">
      <c r="A37741">
        <v>84212920000</v>
      </c>
      <c r="B37741" t="s">
        <v>11503</v>
      </c>
    </row>
    <row r="37742" spans="1:2" x14ac:dyDescent="0.25">
      <c r="A37742">
        <v>84212930000</v>
      </c>
      <c r="B37742" t="s">
        <v>11504</v>
      </c>
    </row>
    <row r="37743" spans="1:2" x14ac:dyDescent="0.25">
      <c r="A37743">
        <v>84212990</v>
      </c>
      <c r="B37743" t="s">
        <v>10</v>
      </c>
    </row>
    <row r="37744" spans="1:2" x14ac:dyDescent="0.25">
      <c r="A37744">
        <v>842129901</v>
      </c>
      <c r="B37744" t="s">
        <v>11505</v>
      </c>
    </row>
    <row r="37745" spans="1:2" x14ac:dyDescent="0.25">
      <c r="A37745">
        <v>84212990110</v>
      </c>
      <c r="B37745" t="s">
        <v>11506</v>
      </c>
    </row>
    <row r="37746" spans="1:2" x14ac:dyDescent="0.25">
      <c r="A37746">
        <v>84212990120</v>
      </c>
      <c r="B37746" t="s">
        <v>11507</v>
      </c>
    </row>
    <row r="37747" spans="1:2" x14ac:dyDescent="0.25">
      <c r="A37747">
        <v>84212990190</v>
      </c>
      <c r="B37747" t="s">
        <v>10</v>
      </c>
    </row>
    <row r="37748" spans="1:2" x14ac:dyDescent="0.25">
      <c r="A37748">
        <v>842129909</v>
      </c>
      <c r="B37748" t="s">
        <v>10</v>
      </c>
    </row>
    <row r="37749" spans="1:2" x14ac:dyDescent="0.25">
      <c r="A37749">
        <v>84212990910</v>
      </c>
      <c r="B37749" t="s">
        <v>11304</v>
      </c>
    </row>
    <row r="37750" spans="1:2" x14ac:dyDescent="0.25">
      <c r="A37750">
        <v>84212990990</v>
      </c>
      <c r="B37750" t="s">
        <v>10</v>
      </c>
    </row>
    <row r="37751" spans="1:2" x14ac:dyDescent="0.25">
      <c r="A37751">
        <v>84213</v>
      </c>
      <c r="B37751" t="s">
        <v>11508</v>
      </c>
    </row>
    <row r="37752" spans="1:2" x14ac:dyDescent="0.25">
      <c r="A37752">
        <v>84213100000</v>
      </c>
      <c r="B37752" t="e">
        <f>--Filtros de entrada de aire para Motores de encendido por chispa o compresion</f>
        <v>#NAME?</v>
      </c>
    </row>
    <row r="37753" spans="1:2" x14ac:dyDescent="0.25">
      <c r="A37753">
        <v>842139</v>
      </c>
      <c r="B37753" t="e">
        <f>- - Los demas</f>
        <v>#NAME?</v>
      </c>
    </row>
    <row r="37754" spans="1:2" x14ac:dyDescent="0.25">
      <c r="A37754">
        <v>84213910000</v>
      </c>
      <c r="B37754" t="s">
        <v>11509</v>
      </c>
    </row>
    <row r="37755" spans="1:2" x14ac:dyDescent="0.25">
      <c r="A37755">
        <v>84213920000</v>
      </c>
      <c r="B37755" t="s">
        <v>11510</v>
      </c>
    </row>
    <row r="37756" spans="1:2" x14ac:dyDescent="0.25">
      <c r="A37756">
        <v>84213930000</v>
      </c>
      <c r="B37756" t="s">
        <v>11511</v>
      </c>
    </row>
    <row r="37757" spans="1:2" x14ac:dyDescent="0.25">
      <c r="A37757">
        <v>84213990</v>
      </c>
      <c r="B37757" t="s">
        <v>10</v>
      </c>
    </row>
    <row r="37758" spans="1:2" x14ac:dyDescent="0.25">
      <c r="A37758">
        <v>84213990100</v>
      </c>
      <c r="B37758" t="s">
        <v>11512</v>
      </c>
    </row>
    <row r="37759" spans="1:2" x14ac:dyDescent="0.25">
      <c r="A37759">
        <v>84213990200</v>
      </c>
      <c r="B37759" t="s">
        <v>11513</v>
      </c>
    </row>
    <row r="37760" spans="1:2" x14ac:dyDescent="0.25">
      <c r="A37760">
        <v>84213990900</v>
      </c>
      <c r="B37760" t="s">
        <v>10</v>
      </c>
    </row>
    <row r="37761" spans="1:2" x14ac:dyDescent="0.25">
      <c r="A37761">
        <v>84219</v>
      </c>
      <c r="B37761" t="s">
        <v>11167</v>
      </c>
    </row>
    <row r="37762" spans="1:2" x14ac:dyDescent="0.25">
      <c r="A37762">
        <v>842191</v>
      </c>
      <c r="B37762" t="e">
        <f>- - de Centrifugadoras. incluidas las de secadoras centrifugas</f>
        <v>#NAME?</v>
      </c>
    </row>
    <row r="37763" spans="1:2" x14ac:dyDescent="0.25">
      <c r="A37763">
        <v>84219110</v>
      </c>
      <c r="B37763" t="s">
        <v>11514</v>
      </c>
    </row>
    <row r="37764" spans="1:2" x14ac:dyDescent="0.25">
      <c r="A37764">
        <v>84219110100</v>
      </c>
      <c r="B37764" t="s">
        <v>11515</v>
      </c>
    </row>
    <row r="37765" spans="1:2" x14ac:dyDescent="0.25">
      <c r="A37765">
        <v>842191102</v>
      </c>
      <c r="B37765" t="s">
        <v>11516</v>
      </c>
    </row>
    <row r="37766" spans="1:2" x14ac:dyDescent="0.25">
      <c r="A37766">
        <v>84219110210</v>
      </c>
      <c r="B37766" t="s">
        <v>9795</v>
      </c>
    </row>
    <row r="37767" spans="1:2" x14ac:dyDescent="0.25">
      <c r="A37767">
        <v>84219110220</v>
      </c>
      <c r="B37767" t="s">
        <v>7612</v>
      </c>
    </row>
    <row r="37768" spans="1:2" x14ac:dyDescent="0.25">
      <c r="A37768">
        <v>84219110290</v>
      </c>
      <c r="B37768" t="s">
        <v>10</v>
      </c>
    </row>
    <row r="37769" spans="1:2" x14ac:dyDescent="0.25">
      <c r="A37769">
        <v>84219110900</v>
      </c>
      <c r="B37769" t="s">
        <v>57</v>
      </c>
    </row>
    <row r="37770" spans="1:2" x14ac:dyDescent="0.25">
      <c r="A37770">
        <v>8421919</v>
      </c>
      <c r="B37770" t="s">
        <v>57</v>
      </c>
    </row>
    <row r="37771" spans="1:2" x14ac:dyDescent="0.25">
      <c r="A37771">
        <v>84219191000</v>
      </c>
      <c r="B37771" t="s">
        <v>11517</v>
      </c>
    </row>
    <row r="37772" spans="1:2" x14ac:dyDescent="0.25">
      <c r="A37772">
        <v>84219199</v>
      </c>
      <c r="B37772" t="s">
        <v>57</v>
      </c>
    </row>
    <row r="37773" spans="1:2" x14ac:dyDescent="0.25">
      <c r="A37773">
        <v>84219199100</v>
      </c>
      <c r="B37773" t="s">
        <v>11518</v>
      </c>
    </row>
    <row r="37774" spans="1:2" x14ac:dyDescent="0.25">
      <c r="A37774">
        <v>84219199900</v>
      </c>
      <c r="B37774" t="s">
        <v>57</v>
      </c>
    </row>
    <row r="37775" spans="1:2" x14ac:dyDescent="0.25">
      <c r="A37775">
        <v>842199</v>
      </c>
      <c r="B37775" t="e">
        <f>- - las demas</f>
        <v>#NAME?</v>
      </c>
    </row>
    <row r="37776" spans="1:2" x14ac:dyDescent="0.25">
      <c r="A37776">
        <v>84219910000</v>
      </c>
      <c r="B37776" t="s">
        <v>11519</v>
      </c>
    </row>
    <row r="37777" spans="1:2" x14ac:dyDescent="0.25">
      <c r="A37777">
        <v>84219920000</v>
      </c>
      <c r="B37777" t="s">
        <v>6670</v>
      </c>
    </row>
    <row r="37778" spans="1:2" x14ac:dyDescent="0.25">
      <c r="A37778">
        <v>8421999</v>
      </c>
      <c r="B37778" t="s">
        <v>57</v>
      </c>
    </row>
    <row r="37779" spans="1:2" x14ac:dyDescent="0.25">
      <c r="A37779">
        <v>84219991000</v>
      </c>
      <c r="B37779" t="s">
        <v>11520</v>
      </c>
    </row>
    <row r="37780" spans="1:2" x14ac:dyDescent="0.25">
      <c r="A37780">
        <v>84219999</v>
      </c>
      <c r="B37780" t="s">
        <v>6724</v>
      </c>
    </row>
    <row r="37781" spans="1:2" x14ac:dyDescent="0.25">
      <c r="A37781">
        <v>84219999100</v>
      </c>
      <c r="B37781" t="s">
        <v>11521</v>
      </c>
    </row>
    <row r="37782" spans="1:2" x14ac:dyDescent="0.25">
      <c r="A37782">
        <v>84219999200</v>
      </c>
      <c r="B37782" t="s">
        <v>11522</v>
      </c>
    </row>
    <row r="37783" spans="1:2" x14ac:dyDescent="0.25">
      <c r="A37783">
        <v>842199999</v>
      </c>
      <c r="B37783" t="s">
        <v>57</v>
      </c>
    </row>
    <row r="37784" spans="1:2" x14ac:dyDescent="0.25">
      <c r="A37784">
        <v>84219999910</v>
      </c>
      <c r="B37784" t="s">
        <v>11304</v>
      </c>
    </row>
    <row r="37785" spans="1:2" x14ac:dyDescent="0.25">
      <c r="A37785">
        <v>84219999990</v>
      </c>
      <c r="B37785" t="s">
        <v>10</v>
      </c>
    </row>
    <row r="37786" spans="1:2" x14ac:dyDescent="0.25">
      <c r="A37786">
        <v>8422</v>
      </c>
      <c r="B37786" t="s">
        <v>11523</v>
      </c>
    </row>
    <row r="37787" spans="1:2" x14ac:dyDescent="0.25">
      <c r="A37787">
        <v>84221</v>
      </c>
      <c r="B37787" t="s">
        <v>11524</v>
      </c>
    </row>
    <row r="37788" spans="1:2" x14ac:dyDescent="0.25">
      <c r="A37788">
        <v>84221100000</v>
      </c>
      <c r="B37788" t="e">
        <f>--de tipo domestico</f>
        <v>#NAME?</v>
      </c>
    </row>
    <row r="37789" spans="1:2" x14ac:dyDescent="0.25">
      <c r="A37789">
        <v>84221900000</v>
      </c>
      <c r="B37789" t="e">
        <f>--las demas</f>
        <v>#NAME?</v>
      </c>
    </row>
    <row r="37790" spans="1:2" x14ac:dyDescent="0.25">
      <c r="A37790">
        <v>84222000</v>
      </c>
      <c r="B37790" t="e">
        <f>- maquinas y aparatos para limpiar o secar botellas o demas recipientes</f>
        <v>#NAME?</v>
      </c>
    </row>
    <row r="37791" spans="1:2" x14ac:dyDescent="0.25">
      <c r="A37791">
        <v>84222000100</v>
      </c>
      <c r="B37791" t="s">
        <v>11525</v>
      </c>
    </row>
    <row r="37792" spans="1:2" x14ac:dyDescent="0.25">
      <c r="A37792">
        <v>84222000200</v>
      </c>
      <c r="B37792" t="s">
        <v>11526</v>
      </c>
    </row>
    <row r="37793" spans="1:2" x14ac:dyDescent="0.25">
      <c r="A37793">
        <v>84222000300</v>
      </c>
      <c r="B37793" t="s">
        <v>11527</v>
      </c>
    </row>
    <row r="37794" spans="1:2" x14ac:dyDescent="0.25">
      <c r="A37794">
        <v>84222000900</v>
      </c>
      <c r="B37794" t="s">
        <v>57</v>
      </c>
    </row>
    <row r="37795" spans="1:2" x14ac:dyDescent="0.25">
      <c r="A37795">
        <v>842230</v>
      </c>
      <c r="B37795" t="e">
        <f>- maquinas y aparatos para llenar. cerrar. tapar. taponar o etiquetar botellas. botes o latas. Cajas. Sacos (bolsas) o demas Continentes, maquinas y aparatos de capsular botellas. tarros. Tubos y Continentes analogos, maquinas y aparatos para gasear bebidas</f>
        <v>#NAME?</v>
      </c>
    </row>
    <row r="37796" spans="1:2" x14ac:dyDescent="0.25">
      <c r="A37796">
        <v>84223010000</v>
      </c>
      <c r="B37796" t="s">
        <v>11528</v>
      </c>
    </row>
    <row r="37797" spans="1:2" x14ac:dyDescent="0.25">
      <c r="A37797">
        <v>8422302</v>
      </c>
      <c r="B37797" t="s">
        <v>11529</v>
      </c>
    </row>
    <row r="37798" spans="1:2" x14ac:dyDescent="0.25">
      <c r="A37798">
        <v>84223021000</v>
      </c>
      <c r="B37798" t="s">
        <v>11530</v>
      </c>
    </row>
    <row r="37799" spans="1:2" x14ac:dyDescent="0.25">
      <c r="A37799">
        <v>84223022000</v>
      </c>
      <c r="B37799" t="s">
        <v>11531</v>
      </c>
    </row>
    <row r="37800" spans="1:2" x14ac:dyDescent="0.25">
      <c r="A37800">
        <v>84223023000</v>
      </c>
      <c r="B37800" t="s">
        <v>11532</v>
      </c>
    </row>
    <row r="37801" spans="1:2" x14ac:dyDescent="0.25">
      <c r="A37801">
        <v>84223029</v>
      </c>
      <c r="B37801" t="s">
        <v>10</v>
      </c>
    </row>
    <row r="37802" spans="1:2" x14ac:dyDescent="0.25">
      <c r="A37802">
        <v>84223029100</v>
      </c>
      <c r="B37802" t="s">
        <v>11533</v>
      </c>
    </row>
    <row r="37803" spans="1:2" x14ac:dyDescent="0.25">
      <c r="A37803">
        <v>84223029200</v>
      </c>
      <c r="B37803" t="s">
        <v>11534</v>
      </c>
    </row>
    <row r="37804" spans="1:2" x14ac:dyDescent="0.25">
      <c r="A37804">
        <v>84223029900</v>
      </c>
      <c r="B37804" t="s">
        <v>10</v>
      </c>
    </row>
    <row r="37805" spans="1:2" x14ac:dyDescent="0.25">
      <c r="A37805">
        <v>84223030000</v>
      </c>
      <c r="B37805" t="s">
        <v>11535</v>
      </c>
    </row>
    <row r="37806" spans="1:2" x14ac:dyDescent="0.25">
      <c r="A37806">
        <v>842240</v>
      </c>
      <c r="B37806" t="e">
        <f>- las demas maquinas y aparatos para empaquetar o envolver mercancias (incluidas las de envolver Con pelicula termorretractil)</f>
        <v>#NAME?</v>
      </c>
    </row>
    <row r="37807" spans="1:2" x14ac:dyDescent="0.25">
      <c r="A37807">
        <v>84224010000</v>
      </c>
      <c r="B37807" t="s">
        <v>11536</v>
      </c>
    </row>
    <row r="37808" spans="1:2" x14ac:dyDescent="0.25">
      <c r="A37808">
        <v>84224020000</v>
      </c>
      <c r="B37808" t="s">
        <v>11537</v>
      </c>
    </row>
    <row r="37809" spans="1:2" x14ac:dyDescent="0.25">
      <c r="A37809">
        <v>84224030000</v>
      </c>
      <c r="B37809" t="s">
        <v>11538</v>
      </c>
    </row>
    <row r="37810" spans="1:2" x14ac:dyDescent="0.25">
      <c r="A37810">
        <v>84224090</v>
      </c>
      <c r="B37810" t="s">
        <v>10</v>
      </c>
    </row>
    <row r="37811" spans="1:2" x14ac:dyDescent="0.25">
      <c r="A37811">
        <v>84224090100</v>
      </c>
      <c r="B37811" t="s">
        <v>11539</v>
      </c>
    </row>
    <row r="37812" spans="1:2" x14ac:dyDescent="0.25">
      <c r="A37812">
        <v>84224090200</v>
      </c>
      <c r="B37812" t="s">
        <v>11540</v>
      </c>
    </row>
    <row r="37813" spans="1:2" x14ac:dyDescent="0.25">
      <c r="A37813">
        <v>84224090300</v>
      </c>
      <c r="B37813" t="s">
        <v>11541</v>
      </c>
    </row>
    <row r="37814" spans="1:2" x14ac:dyDescent="0.25">
      <c r="A37814">
        <v>84224090400</v>
      </c>
      <c r="B37814" t="s">
        <v>11542</v>
      </c>
    </row>
    <row r="37815" spans="1:2" x14ac:dyDescent="0.25">
      <c r="A37815">
        <v>84224090900</v>
      </c>
      <c r="B37815" t="s">
        <v>57</v>
      </c>
    </row>
    <row r="37816" spans="1:2" x14ac:dyDescent="0.25">
      <c r="A37816">
        <v>842290</v>
      </c>
      <c r="B37816" t="e">
        <f>- partes</f>
        <v>#NAME?</v>
      </c>
    </row>
    <row r="37817" spans="1:2" x14ac:dyDescent="0.25">
      <c r="A37817">
        <v>84229010000</v>
      </c>
      <c r="B37817" t="s">
        <v>11543</v>
      </c>
    </row>
    <row r="37818" spans="1:2" x14ac:dyDescent="0.25">
      <c r="A37818">
        <v>84229090</v>
      </c>
      <c r="B37818" t="s">
        <v>57</v>
      </c>
    </row>
    <row r="37819" spans="1:2" x14ac:dyDescent="0.25">
      <c r="A37819">
        <v>84229090100</v>
      </c>
      <c r="B37819" t="s">
        <v>11544</v>
      </c>
    </row>
    <row r="37820" spans="1:2" x14ac:dyDescent="0.25">
      <c r="A37820">
        <v>84229090200</v>
      </c>
      <c r="B37820" t="s">
        <v>11545</v>
      </c>
    </row>
    <row r="37821" spans="1:2" x14ac:dyDescent="0.25">
      <c r="A37821">
        <v>84229090900</v>
      </c>
      <c r="B37821" t="s">
        <v>57</v>
      </c>
    </row>
    <row r="37822" spans="1:2" x14ac:dyDescent="0.25">
      <c r="A37822">
        <v>8423</v>
      </c>
      <c r="B37822" t="s">
        <v>11546</v>
      </c>
    </row>
    <row r="37823" spans="1:2" x14ac:dyDescent="0.25">
      <c r="A37823">
        <v>84231000</v>
      </c>
      <c r="B37823" t="e">
        <f>- para pesar personas. incluidos Los pesabebes, balanzas domesticas</f>
        <v>#NAME?</v>
      </c>
    </row>
    <row r="37824" spans="1:2" x14ac:dyDescent="0.25">
      <c r="A37824">
        <v>842310001</v>
      </c>
      <c r="B37824" t="s">
        <v>11547</v>
      </c>
    </row>
    <row r="37825" spans="1:2" x14ac:dyDescent="0.25">
      <c r="A37825">
        <v>84231000110</v>
      </c>
      <c r="B37825" t="s">
        <v>11548</v>
      </c>
    </row>
    <row r="37826" spans="1:2" x14ac:dyDescent="0.25">
      <c r="A37826">
        <v>84231000120</v>
      </c>
      <c r="B37826" t="s">
        <v>11549</v>
      </c>
    </row>
    <row r="37827" spans="1:2" x14ac:dyDescent="0.25">
      <c r="A37827">
        <v>84231000190</v>
      </c>
      <c r="B37827" t="s">
        <v>57</v>
      </c>
    </row>
    <row r="37828" spans="1:2" x14ac:dyDescent="0.25">
      <c r="A37828">
        <v>842310009</v>
      </c>
      <c r="B37828" t="s">
        <v>57</v>
      </c>
    </row>
    <row r="37829" spans="1:2" x14ac:dyDescent="0.25">
      <c r="A37829">
        <v>84231000910</v>
      </c>
      <c r="B37829" t="s">
        <v>11548</v>
      </c>
    </row>
    <row r="37830" spans="1:2" x14ac:dyDescent="0.25">
      <c r="A37830">
        <v>84231000920</v>
      </c>
      <c r="B37830" t="s">
        <v>11549</v>
      </c>
    </row>
    <row r="37831" spans="1:2" x14ac:dyDescent="0.25">
      <c r="A37831">
        <v>84231000990</v>
      </c>
      <c r="B37831" t="s">
        <v>57</v>
      </c>
    </row>
    <row r="37832" spans="1:2" x14ac:dyDescent="0.25">
      <c r="A37832">
        <v>84232000000</v>
      </c>
      <c r="B37832" t="e">
        <f>-Basculas y balanzas para pesada continua sobre transportador</f>
        <v>#NAME?</v>
      </c>
    </row>
    <row r="37833" spans="1:2" x14ac:dyDescent="0.25">
      <c r="A37833">
        <v>842330</v>
      </c>
      <c r="B37833" t="e">
        <f>- Basculas ybalanzas para pesada constante. incluidas las de descargar pesos determinados En Sacos (bolsas) u otros recipientes. asi como las dosificadoras de tolva</f>
        <v>#NAME?</v>
      </c>
    </row>
    <row r="37834" spans="1:2" x14ac:dyDescent="0.25">
      <c r="A37834">
        <v>8423301</v>
      </c>
      <c r="B37834" t="s">
        <v>11550</v>
      </c>
    </row>
    <row r="37835" spans="1:2" x14ac:dyDescent="0.25">
      <c r="A37835">
        <v>84233011</v>
      </c>
      <c r="B37835" t="s">
        <v>11551</v>
      </c>
    </row>
    <row r="37836" spans="1:2" x14ac:dyDescent="0.25">
      <c r="A37836">
        <v>84233011100</v>
      </c>
      <c r="B37836" t="s">
        <v>11552</v>
      </c>
    </row>
    <row r="37837" spans="1:2" x14ac:dyDescent="0.25">
      <c r="A37837">
        <v>84233011200</v>
      </c>
      <c r="B37837" t="s">
        <v>11553</v>
      </c>
    </row>
    <row r="37838" spans="1:2" x14ac:dyDescent="0.25">
      <c r="A37838">
        <v>84233011900</v>
      </c>
      <c r="B37838" t="s">
        <v>57</v>
      </c>
    </row>
    <row r="37839" spans="1:2" x14ac:dyDescent="0.25">
      <c r="A37839">
        <v>84233019</v>
      </c>
      <c r="B37839" t="s">
        <v>57</v>
      </c>
    </row>
    <row r="37840" spans="1:2" x14ac:dyDescent="0.25">
      <c r="A37840">
        <v>842330191</v>
      </c>
      <c r="B37840" t="s">
        <v>11552</v>
      </c>
    </row>
    <row r="37841" spans="1:2" x14ac:dyDescent="0.25">
      <c r="A37841">
        <v>84233019110</v>
      </c>
      <c r="B37841" t="s">
        <v>11554</v>
      </c>
    </row>
    <row r="37842" spans="1:2" x14ac:dyDescent="0.25">
      <c r="A37842">
        <v>84233019120</v>
      </c>
      <c r="B37842" t="s">
        <v>11555</v>
      </c>
    </row>
    <row r="37843" spans="1:2" x14ac:dyDescent="0.25">
      <c r="A37843">
        <v>84233019130</v>
      </c>
      <c r="B37843" t="s">
        <v>11556</v>
      </c>
    </row>
    <row r="37844" spans="1:2" x14ac:dyDescent="0.25">
      <c r="A37844">
        <v>84233019140</v>
      </c>
      <c r="B37844" t="s">
        <v>11557</v>
      </c>
    </row>
    <row r="37845" spans="1:2" x14ac:dyDescent="0.25">
      <c r="A37845">
        <v>84233019190</v>
      </c>
      <c r="B37845" t="s">
        <v>10</v>
      </c>
    </row>
    <row r="37846" spans="1:2" x14ac:dyDescent="0.25">
      <c r="A37846">
        <v>84233019200</v>
      </c>
      <c r="B37846" t="s">
        <v>11553</v>
      </c>
    </row>
    <row r="37847" spans="1:2" x14ac:dyDescent="0.25">
      <c r="A37847">
        <v>84233019900</v>
      </c>
      <c r="B37847" t="s">
        <v>57</v>
      </c>
    </row>
    <row r="37848" spans="1:2" x14ac:dyDescent="0.25">
      <c r="A37848">
        <v>84233090</v>
      </c>
      <c r="B37848" t="s">
        <v>57</v>
      </c>
    </row>
    <row r="37849" spans="1:2" x14ac:dyDescent="0.25">
      <c r="A37849">
        <v>84233090100</v>
      </c>
      <c r="B37849" t="s">
        <v>11558</v>
      </c>
    </row>
    <row r="37850" spans="1:2" x14ac:dyDescent="0.25">
      <c r="A37850">
        <v>84233090900</v>
      </c>
      <c r="B37850" t="s">
        <v>57</v>
      </c>
    </row>
    <row r="37851" spans="1:2" x14ac:dyDescent="0.25">
      <c r="A37851">
        <v>84238</v>
      </c>
      <c r="B37851" t="s">
        <v>11559</v>
      </c>
    </row>
    <row r="37852" spans="1:2" x14ac:dyDescent="0.25">
      <c r="A37852">
        <v>842381</v>
      </c>
      <c r="B37852" t="s">
        <v>11560</v>
      </c>
    </row>
    <row r="37853" spans="1:2" x14ac:dyDescent="0.25">
      <c r="A37853">
        <v>84238110</v>
      </c>
      <c r="B37853" t="s">
        <v>11561</v>
      </c>
    </row>
    <row r="37854" spans="1:2" x14ac:dyDescent="0.25">
      <c r="A37854">
        <v>842381101</v>
      </c>
      <c r="B37854" t="s">
        <v>11562</v>
      </c>
    </row>
    <row r="37855" spans="1:2" x14ac:dyDescent="0.25">
      <c r="A37855">
        <v>84238110110</v>
      </c>
      <c r="B37855" t="s">
        <v>11563</v>
      </c>
    </row>
    <row r="37856" spans="1:2" x14ac:dyDescent="0.25">
      <c r="A37856">
        <v>84238110120</v>
      </c>
      <c r="B37856" t="s">
        <v>11564</v>
      </c>
    </row>
    <row r="37857" spans="1:2" x14ac:dyDescent="0.25">
      <c r="A37857">
        <v>84238110130</v>
      </c>
      <c r="B37857" t="s">
        <v>11565</v>
      </c>
    </row>
    <row r="37858" spans="1:2" x14ac:dyDescent="0.25">
      <c r="A37858">
        <v>84238110140</v>
      </c>
      <c r="B37858" t="s">
        <v>11566</v>
      </c>
    </row>
    <row r="37859" spans="1:2" x14ac:dyDescent="0.25">
      <c r="A37859">
        <v>84238110150</v>
      </c>
      <c r="B37859" t="s">
        <v>11567</v>
      </c>
    </row>
    <row r="37860" spans="1:2" x14ac:dyDescent="0.25">
      <c r="A37860">
        <v>84238110190</v>
      </c>
      <c r="B37860" t="s">
        <v>57</v>
      </c>
    </row>
    <row r="37861" spans="1:2" x14ac:dyDescent="0.25">
      <c r="A37861">
        <v>842381109</v>
      </c>
      <c r="B37861" t="s">
        <v>57</v>
      </c>
    </row>
    <row r="37862" spans="1:2" x14ac:dyDescent="0.25">
      <c r="A37862">
        <v>84238110910</v>
      </c>
      <c r="B37862" t="s">
        <v>11568</v>
      </c>
    </row>
    <row r="37863" spans="1:2" x14ac:dyDescent="0.25">
      <c r="A37863">
        <v>84238110920</v>
      </c>
      <c r="B37863" t="s">
        <v>11564</v>
      </c>
    </row>
    <row r="37864" spans="1:2" x14ac:dyDescent="0.25">
      <c r="A37864">
        <v>84238110930</v>
      </c>
      <c r="B37864" t="s">
        <v>11565</v>
      </c>
    </row>
    <row r="37865" spans="1:2" x14ac:dyDescent="0.25">
      <c r="A37865">
        <v>84238110940</v>
      </c>
      <c r="B37865" t="s">
        <v>11566</v>
      </c>
    </row>
    <row r="37866" spans="1:2" x14ac:dyDescent="0.25">
      <c r="A37866">
        <v>84238110950</v>
      </c>
      <c r="B37866" t="s">
        <v>11567</v>
      </c>
    </row>
    <row r="37867" spans="1:2" x14ac:dyDescent="0.25">
      <c r="A37867">
        <v>84238110990</v>
      </c>
      <c r="B37867" t="s">
        <v>57</v>
      </c>
    </row>
    <row r="37868" spans="1:2" x14ac:dyDescent="0.25">
      <c r="A37868">
        <v>84238190</v>
      </c>
      <c r="B37868" t="s">
        <v>10</v>
      </c>
    </row>
    <row r="37869" spans="1:2" x14ac:dyDescent="0.25">
      <c r="A37869">
        <v>84238190100</v>
      </c>
      <c r="B37869" t="s">
        <v>11562</v>
      </c>
    </row>
    <row r="37870" spans="1:2" x14ac:dyDescent="0.25">
      <c r="A37870">
        <v>84238190900</v>
      </c>
      <c r="B37870" t="s">
        <v>57</v>
      </c>
    </row>
    <row r="37871" spans="1:2" x14ac:dyDescent="0.25">
      <c r="A37871">
        <v>84238200</v>
      </c>
      <c r="B37871" t="s">
        <v>11569</v>
      </c>
    </row>
    <row r="37872" spans="1:2" x14ac:dyDescent="0.25">
      <c r="A37872">
        <v>84238200100</v>
      </c>
      <c r="B37872" t="s">
        <v>11562</v>
      </c>
    </row>
    <row r="37873" spans="1:2" x14ac:dyDescent="0.25">
      <c r="A37873">
        <v>84238200900</v>
      </c>
      <c r="B37873" t="s">
        <v>57</v>
      </c>
    </row>
    <row r="37874" spans="1:2" x14ac:dyDescent="0.25">
      <c r="A37874">
        <v>84238900</v>
      </c>
      <c r="B37874" t="e">
        <f>- - Los demas</f>
        <v>#NAME?</v>
      </c>
    </row>
    <row r="37875" spans="1:2" x14ac:dyDescent="0.25">
      <c r="A37875">
        <v>84238900100</v>
      </c>
      <c r="B37875" t="s">
        <v>11562</v>
      </c>
    </row>
    <row r="37876" spans="1:2" x14ac:dyDescent="0.25">
      <c r="A37876">
        <v>84238900900</v>
      </c>
      <c r="B37876" t="s">
        <v>57</v>
      </c>
    </row>
    <row r="37877" spans="1:2" x14ac:dyDescent="0.25">
      <c r="A37877">
        <v>842390</v>
      </c>
      <c r="B37877" t="e">
        <f>- Pesas para toda clase de Basculas o balanzas, partes de aparatos o instrumentos de pesar</f>
        <v>#NAME?</v>
      </c>
    </row>
    <row r="37878" spans="1:2" x14ac:dyDescent="0.25">
      <c r="A37878">
        <v>84239010000</v>
      </c>
      <c r="B37878" t="s">
        <v>11570</v>
      </c>
    </row>
    <row r="37879" spans="1:2" x14ac:dyDescent="0.25">
      <c r="A37879">
        <v>8423902</v>
      </c>
      <c r="B37879" t="s">
        <v>10194</v>
      </c>
    </row>
    <row r="37880" spans="1:2" x14ac:dyDescent="0.25">
      <c r="A37880">
        <v>84239021</v>
      </c>
      <c r="B37880" t="s">
        <v>11571</v>
      </c>
    </row>
    <row r="37881" spans="1:2" x14ac:dyDescent="0.25">
      <c r="A37881">
        <v>84239021100</v>
      </c>
      <c r="B37881" t="s">
        <v>11572</v>
      </c>
    </row>
    <row r="37882" spans="1:2" x14ac:dyDescent="0.25">
      <c r="A37882">
        <v>84239021900</v>
      </c>
      <c r="B37882" t="s">
        <v>57</v>
      </c>
    </row>
    <row r="37883" spans="1:2" x14ac:dyDescent="0.25">
      <c r="A37883">
        <v>84239029</v>
      </c>
      <c r="B37883" t="s">
        <v>57</v>
      </c>
    </row>
    <row r="37884" spans="1:2" x14ac:dyDescent="0.25">
      <c r="A37884">
        <v>842390291</v>
      </c>
      <c r="B37884" t="s">
        <v>11573</v>
      </c>
    </row>
    <row r="37885" spans="1:2" x14ac:dyDescent="0.25">
      <c r="A37885">
        <v>84239029110</v>
      </c>
      <c r="B37885" t="s">
        <v>11572</v>
      </c>
    </row>
    <row r="37886" spans="1:2" x14ac:dyDescent="0.25">
      <c r="A37886">
        <v>84239029190</v>
      </c>
      <c r="B37886" t="s">
        <v>57</v>
      </c>
    </row>
    <row r="37887" spans="1:2" x14ac:dyDescent="0.25">
      <c r="A37887">
        <v>842390292</v>
      </c>
      <c r="B37887" t="s">
        <v>11574</v>
      </c>
    </row>
    <row r="37888" spans="1:2" x14ac:dyDescent="0.25">
      <c r="A37888">
        <v>84239029210</v>
      </c>
      <c r="B37888" t="s">
        <v>11572</v>
      </c>
    </row>
    <row r="37889" spans="1:2" x14ac:dyDescent="0.25">
      <c r="A37889">
        <v>84239029290</v>
      </c>
      <c r="B37889" t="s">
        <v>57</v>
      </c>
    </row>
    <row r="37890" spans="1:2" x14ac:dyDescent="0.25">
      <c r="A37890">
        <v>842390293</v>
      </c>
      <c r="B37890" t="s">
        <v>11575</v>
      </c>
    </row>
    <row r="37891" spans="1:2" x14ac:dyDescent="0.25">
      <c r="A37891">
        <v>84239029310</v>
      </c>
      <c r="B37891" t="s">
        <v>11572</v>
      </c>
    </row>
    <row r="37892" spans="1:2" x14ac:dyDescent="0.25">
      <c r="A37892">
        <v>84239029390</v>
      </c>
      <c r="B37892" t="s">
        <v>57</v>
      </c>
    </row>
    <row r="37893" spans="1:2" x14ac:dyDescent="0.25">
      <c r="A37893">
        <v>842390294</v>
      </c>
      <c r="B37893" t="s">
        <v>11576</v>
      </c>
    </row>
    <row r="37894" spans="1:2" x14ac:dyDescent="0.25">
      <c r="A37894">
        <v>84239029410</v>
      </c>
      <c r="B37894" t="s">
        <v>11572</v>
      </c>
    </row>
    <row r="37895" spans="1:2" x14ac:dyDescent="0.25">
      <c r="A37895">
        <v>84239029490</v>
      </c>
      <c r="B37895" t="s">
        <v>57</v>
      </c>
    </row>
    <row r="37896" spans="1:2" x14ac:dyDescent="0.25">
      <c r="A37896">
        <v>842390295</v>
      </c>
      <c r="B37896" t="s">
        <v>11577</v>
      </c>
    </row>
    <row r="37897" spans="1:2" x14ac:dyDescent="0.25">
      <c r="A37897">
        <v>84239029510</v>
      </c>
      <c r="B37897" t="s">
        <v>11572</v>
      </c>
    </row>
    <row r="37898" spans="1:2" x14ac:dyDescent="0.25">
      <c r="A37898">
        <v>84239029590</v>
      </c>
      <c r="B37898" t="s">
        <v>57</v>
      </c>
    </row>
    <row r="37899" spans="1:2" x14ac:dyDescent="0.25">
      <c r="A37899">
        <v>84239029900</v>
      </c>
      <c r="B37899" t="s">
        <v>57</v>
      </c>
    </row>
    <row r="37900" spans="1:2" x14ac:dyDescent="0.25">
      <c r="A37900">
        <v>8424</v>
      </c>
      <c r="B37900" t="s">
        <v>11578</v>
      </c>
    </row>
    <row r="37901" spans="1:2" x14ac:dyDescent="0.25">
      <c r="A37901">
        <v>84241000</v>
      </c>
      <c r="B37901" t="e">
        <f>- Extintores. incluso cargados</f>
        <v>#NAME?</v>
      </c>
    </row>
    <row r="37902" spans="1:2" x14ac:dyDescent="0.25">
      <c r="A37902">
        <v>842410001</v>
      </c>
      <c r="B37902" t="s">
        <v>11579</v>
      </c>
    </row>
    <row r="37903" spans="1:2" x14ac:dyDescent="0.25">
      <c r="A37903">
        <v>8424100011</v>
      </c>
      <c r="B37903" t="s">
        <v>11580</v>
      </c>
    </row>
    <row r="37904" spans="1:2" x14ac:dyDescent="0.25">
      <c r="A37904">
        <v>84241000111</v>
      </c>
      <c r="B37904" t="s">
        <v>11581</v>
      </c>
    </row>
    <row r="37905" spans="1:2" x14ac:dyDescent="0.25">
      <c r="A37905">
        <v>84241000112</v>
      </c>
      <c r="B37905" t="s">
        <v>11582</v>
      </c>
    </row>
    <row r="37906" spans="1:2" x14ac:dyDescent="0.25">
      <c r="A37906">
        <v>84241000119</v>
      </c>
      <c r="B37906" t="s">
        <v>10</v>
      </c>
    </row>
    <row r="37907" spans="1:2" x14ac:dyDescent="0.25">
      <c r="A37907">
        <v>8424100012</v>
      </c>
      <c r="B37907" t="s">
        <v>11583</v>
      </c>
    </row>
    <row r="37908" spans="1:2" x14ac:dyDescent="0.25">
      <c r="A37908">
        <v>84241000121</v>
      </c>
      <c r="B37908" t="s">
        <v>11581</v>
      </c>
    </row>
    <row r="37909" spans="1:2" x14ac:dyDescent="0.25">
      <c r="A37909">
        <v>84241000122</v>
      </c>
      <c r="B37909" t="s">
        <v>11582</v>
      </c>
    </row>
    <row r="37910" spans="1:2" x14ac:dyDescent="0.25">
      <c r="A37910">
        <v>84241000123</v>
      </c>
      <c r="B37910" t="s">
        <v>11584</v>
      </c>
    </row>
    <row r="37911" spans="1:2" x14ac:dyDescent="0.25">
      <c r="A37911">
        <v>84241000129</v>
      </c>
      <c r="B37911" t="s">
        <v>10</v>
      </c>
    </row>
    <row r="37912" spans="1:2" x14ac:dyDescent="0.25">
      <c r="A37912">
        <v>8424100013</v>
      </c>
      <c r="B37912" t="s">
        <v>11585</v>
      </c>
    </row>
    <row r="37913" spans="1:2" x14ac:dyDescent="0.25">
      <c r="A37913">
        <v>84241000131</v>
      </c>
      <c r="B37913" t="s">
        <v>11581</v>
      </c>
    </row>
    <row r="37914" spans="1:2" x14ac:dyDescent="0.25">
      <c r="A37914">
        <v>84241000132</v>
      </c>
      <c r="B37914" t="s">
        <v>11582</v>
      </c>
    </row>
    <row r="37915" spans="1:2" x14ac:dyDescent="0.25">
      <c r="A37915">
        <v>84241000133</v>
      </c>
      <c r="B37915" t="s">
        <v>11584</v>
      </c>
    </row>
    <row r="37916" spans="1:2" x14ac:dyDescent="0.25">
      <c r="A37916">
        <v>84241000139</v>
      </c>
      <c r="B37916" t="s">
        <v>10</v>
      </c>
    </row>
    <row r="37917" spans="1:2" x14ac:dyDescent="0.25">
      <c r="A37917">
        <v>8424100014</v>
      </c>
      <c r="B37917" t="s">
        <v>11586</v>
      </c>
    </row>
    <row r="37918" spans="1:2" x14ac:dyDescent="0.25">
      <c r="A37918">
        <v>84241000141</v>
      </c>
      <c r="B37918" t="s">
        <v>11587</v>
      </c>
    </row>
    <row r="37919" spans="1:2" x14ac:dyDescent="0.25">
      <c r="A37919">
        <v>84241000142</v>
      </c>
      <c r="B37919" t="s">
        <v>11588</v>
      </c>
    </row>
    <row r="37920" spans="1:2" x14ac:dyDescent="0.25">
      <c r="A37920">
        <v>84241000143</v>
      </c>
      <c r="B37920" t="s">
        <v>11589</v>
      </c>
    </row>
    <row r="37921" spans="1:2" x14ac:dyDescent="0.25">
      <c r="A37921">
        <v>84241000144</v>
      </c>
      <c r="B37921" t="s">
        <v>1236</v>
      </c>
    </row>
    <row r="37922" spans="1:2" x14ac:dyDescent="0.25">
      <c r="A37922">
        <v>8424100015</v>
      </c>
      <c r="B37922" t="s">
        <v>11590</v>
      </c>
    </row>
    <row r="37923" spans="1:2" x14ac:dyDescent="0.25">
      <c r="A37923">
        <v>84241000151</v>
      </c>
      <c r="B37923" t="s">
        <v>11581</v>
      </c>
    </row>
    <row r="37924" spans="1:2" x14ac:dyDescent="0.25">
      <c r="A37924">
        <v>84241000152</v>
      </c>
      <c r="B37924" t="s">
        <v>11582</v>
      </c>
    </row>
    <row r="37925" spans="1:2" x14ac:dyDescent="0.25">
      <c r="A37925">
        <v>84241000153</v>
      </c>
      <c r="B37925" t="s">
        <v>11584</v>
      </c>
    </row>
    <row r="37926" spans="1:2" x14ac:dyDescent="0.25">
      <c r="A37926">
        <v>84241000159</v>
      </c>
      <c r="B37926" t="s">
        <v>10</v>
      </c>
    </row>
    <row r="37927" spans="1:2" x14ac:dyDescent="0.25">
      <c r="A37927">
        <v>8424100016</v>
      </c>
      <c r="B37927" t="s">
        <v>11591</v>
      </c>
    </row>
    <row r="37928" spans="1:2" x14ac:dyDescent="0.25">
      <c r="A37928">
        <v>84241000161</v>
      </c>
      <c r="B37928" t="s">
        <v>11581</v>
      </c>
    </row>
    <row r="37929" spans="1:2" x14ac:dyDescent="0.25">
      <c r="A37929">
        <v>84241000162</v>
      </c>
      <c r="B37929" t="s">
        <v>11582</v>
      </c>
    </row>
    <row r="37930" spans="1:2" x14ac:dyDescent="0.25">
      <c r="A37930">
        <v>84241000163</v>
      </c>
      <c r="B37930" t="s">
        <v>11584</v>
      </c>
    </row>
    <row r="37931" spans="1:2" x14ac:dyDescent="0.25">
      <c r="A37931">
        <v>84241000169</v>
      </c>
      <c r="B37931" t="s">
        <v>10</v>
      </c>
    </row>
    <row r="37932" spans="1:2" x14ac:dyDescent="0.25">
      <c r="A37932">
        <v>8424100017</v>
      </c>
      <c r="B37932" t="s">
        <v>11592</v>
      </c>
    </row>
    <row r="37933" spans="1:2" x14ac:dyDescent="0.25">
      <c r="A37933">
        <v>84241000171</v>
      </c>
      <c r="B37933" t="s">
        <v>11581</v>
      </c>
    </row>
    <row r="37934" spans="1:2" x14ac:dyDescent="0.25">
      <c r="A37934">
        <v>84241000172</v>
      </c>
      <c r="B37934" t="s">
        <v>11582</v>
      </c>
    </row>
    <row r="37935" spans="1:2" x14ac:dyDescent="0.25">
      <c r="A37935">
        <v>84241000173</v>
      </c>
      <c r="B37935" t="s">
        <v>11584</v>
      </c>
    </row>
    <row r="37936" spans="1:2" x14ac:dyDescent="0.25">
      <c r="A37936">
        <v>84241000179</v>
      </c>
      <c r="B37936" t="s">
        <v>10</v>
      </c>
    </row>
    <row r="37937" spans="1:2" x14ac:dyDescent="0.25">
      <c r="A37937">
        <v>8424100018</v>
      </c>
      <c r="B37937" t="s">
        <v>11593</v>
      </c>
    </row>
    <row r="37938" spans="1:2" x14ac:dyDescent="0.25">
      <c r="A37938">
        <v>84241000181</v>
      </c>
      <c r="B37938" t="s">
        <v>11581</v>
      </c>
    </row>
    <row r="37939" spans="1:2" x14ac:dyDescent="0.25">
      <c r="A37939">
        <v>84241000182</v>
      </c>
      <c r="B37939" t="s">
        <v>11582</v>
      </c>
    </row>
    <row r="37940" spans="1:2" x14ac:dyDescent="0.25">
      <c r="A37940">
        <v>84241000183</v>
      </c>
      <c r="B37940" t="s">
        <v>11584</v>
      </c>
    </row>
    <row r="37941" spans="1:2" x14ac:dyDescent="0.25">
      <c r="A37941">
        <v>84241000189</v>
      </c>
      <c r="B37941" t="s">
        <v>10</v>
      </c>
    </row>
    <row r="37942" spans="1:2" x14ac:dyDescent="0.25">
      <c r="A37942">
        <v>8424100019</v>
      </c>
      <c r="B37942" t="s">
        <v>10</v>
      </c>
    </row>
    <row r="37943" spans="1:2" x14ac:dyDescent="0.25">
      <c r="A37943">
        <v>84241000191</v>
      </c>
      <c r="B37943" t="s">
        <v>11581</v>
      </c>
    </row>
    <row r="37944" spans="1:2" x14ac:dyDescent="0.25">
      <c r="A37944">
        <v>84241000192</v>
      </c>
      <c r="B37944" t="s">
        <v>11582</v>
      </c>
    </row>
    <row r="37945" spans="1:2" x14ac:dyDescent="0.25">
      <c r="A37945">
        <v>84241000193</v>
      </c>
      <c r="B37945" t="s">
        <v>11584</v>
      </c>
    </row>
    <row r="37946" spans="1:2" x14ac:dyDescent="0.25">
      <c r="A37946">
        <v>84241000199</v>
      </c>
      <c r="B37946" t="s">
        <v>10</v>
      </c>
    </row>
    <row r="37947" spans="1:2" x14ac:dyDescent="0.25">
      <c r="A37947">
        <v>842410009</v>
      </c>
      <c r="B37947" t="s">
        <v>10</v>
      </c>
    </row>
    <row r="37948" spans="1:2" x14ac:dyDescent="0.25">
      <c r="A37948">
        <v>84241000910</v>
      </c>
      <c r="B37948" t="s">
        <v>11581</v>
      </c>
    </row>
    <row r="37949" spans="1:2" x14ac:dyDescent="0.25">
      <c r="A37949">
        <v>84241000920</v>
      </c>
      <c r="B37949" t="s">
        <v>11582</v>
      </c>
    </row>
    <row r="37950" spans="1:2" x14ac:dyDescent="0.25">
      <c r="A37950">
        <v>84241000930</v>
      </c>
      <c r="B37950" t="s">
        <v>11584</v>
      </c>
    </row>
    <row r="37951" spans="1:2" x14ac:dyDescent="0.25">
      <c r="A37951">
        <v>84241000990</v>
      </c>
      <c r="B37951" t="s">
        <v>10</v>
      </c>
    </row>
    <row r="37952" spans="1:2" x14ac:dyDescent="0.25">
      <c r="A37952">
        <v>84242000</v>
      </c>
      <c r="B37952" t="e">
        <f>- Pistolas aerograficas y aparatos similares</f>
        <v>#NAME?</v>
      </c>
    </row>
    <row r="37953" spans="1:2" x14ac:dyDescent="0.25">
      <c r="A37953">
        <v>84242000100</v>
      </c>
      <c r="B37953" t="s">
        <v>11594</v>
      </c>
    </row>
    <row r="37954" spans="1:2" x14ac:dyDescent="0.25">
      <c r="A37954">
        <v>84242000900</v>
      </c>
      <c r="B37954" t="s">
        <v>10</v>
      </c>
    </row>
    <row r="37955" spans="1:2" x14ac:dyDescent="0.25">
      <c r="A37955">
        <v>842430</v>
      </c>
      <c r="B37955" t="e">
        <f>- maquinas y aparatos de chorro de arena o de vapor y aparatos de chorro similares</f>
        <v>#NAME?</v>
      </c>
    </row>
    <row r="37956" spans="1:2" x14ac:dyDescent="0.25">
      <c r="A37956">
        <v>84243010</v>
      </c>
      <c r="B37956" t="s">
        <v>11595</v>
      </c>
    </row>
    <row r="37957" spans="1:2" x14ac:dyDescent="0.25">
      <c r="A37957">
        <v>84243010100</v>
      </c>
      <c r="B37957" t="s">
        <v>11596</v>
      </c>
    </row>
    <row r="37958" spans="1:2" x14ac:dyDescent="0.25">
      <c r="A37958">
        <v>84243010200</v>
      </c>
      <c r="B37958" t="s">
        <v>11597</v>
      </c>
    </row>
    <row r="37959" spans="1:2" x14ac:dyDescent="0.25">
      <c r="A37959">
        <v>84243010900</v>
      </c>
      <c r="B37959" t="s">
        <v>10</v>
      </c>
    </row>
    <row r="37960" spans="1:2" x14ac:dyDescent="0.25">
      <c r="A37960">
        <v>84243020000</v>
      </c>
      <c r="B37960" t="s">
        <v>11598</v>
      </c>
    </row>
    <row r="37961" spans="1:2" x14ac:dyDescent="0.25">
      <c r="A37961">
        <v>84243030000</v>
      </c>
      <c r="B37961" t="s">
        <v>11599</v>
      </c>
    </row>
    <row r="37962" spans="1:2" x14ac:dyDescent="0.25">
      <c r="A37962">
        <v>84243090</v>
      </c>
      <c r="B37962" t="s">
        <v>10</v>
      </c>
    </row>
    <row r="37963" spans="1:2" x14ac:dyDescent="0.25">
      <c r="A37963">
        <v>84243090100</v>
      </c>
      <c r="B37963" t="s">
        <v>11600</v>
      </c>
    </row>
    <row r="37964" spans="1:2" x14ac:dyDescent="0.25">
      <c r="A37964">
        <v>84243090200</v>
      </c>
      <c r="B37964" t="s">
        <v>11601</v>
      </c>
    </row>
    <row r="37965" spans="1:2" x14ac:dyDescent="0.25">
      <c r="A37965">
        <v>84243090300</v>
      </c>
      <c r="B37965" t="s">
        <v>11602</v>
      </c>
    </row>
    <row r="37966" spans="1:2" x14ac:dyDescent="0.25">
      <c r="A37966">
        <v>842430904</v>
      </c>
      <c r="B37966" t="s">
        <v>11603</v>
      </c>
    </row>
    <row r="37967" spans="1:2" x14ac:dyDescent="0.25">
      <c r="A37967">
        <v>84243090410</v>
      </c>
      <c r="B37967" t="s">
        <v>11604</v>
      </c>
    </row>
    <row r="37968" spans="1:2" x14ac:dyDescent="0.25">
      <c r="A37968">
        <v>84243090420</v>
      </c>
      <c r="B37968" t="s">
        <v>11605</v>
      </c>
    </row>
    <row r="37969" spans="1:2" x14ac:dyDescent="0.25">
      <c r="A37969">
        <v>84243090490</v>
      </c>
      <c r="B37969" t="s">
        <v>57</v>
      </c>
    </row>
    <row r="37970" spans="1:2" x14ac:dyDescent="0.25">
      <c r="A37970">
        <v>84243090900</v>
      </c>
      <c r="B37970" t="s">
        <v>10</v>
      </c>
    </row>
    <row r="37971" spans="1:2" x14ac:dyDescent="0.25">
      <c r="A37971">
        <v>84244</v>
      </c>
      <c r="B37971" t="s">
        <v>11606</v>
      </c>
    </row>
    <row r="37972" spans="1:2" x14ac:dyDescent="0.25">
      <c r="A37972">
        <v>84244100</v>
      </c>
      <c r="B37972" t="e">
        <f>- - Pulverizadores portatiles</f>
        <v>#NAME?</v>
      </c>
    </row>
    <row r="37973" spans="1:2" x14ac:dyDescent="0.25">
      <c r="A37973">
        <v>84244100100</v>
      </c>
      <c r="B37973" t="s">
        <v>11607</v>
      </c>
    </row>
    <row r="37974" spans="1:2" x14ac:dyDescent="0.25">
      <c r="A37974">
        <v>84244100900</v>
      </c>
      <c r="B37974" t="s">
        <v>10</v>
      </c>
    </row>
    <row r="37975" spans="1:2" x14ac:dyDescent="0.25">
      <c r="A37975">
        <v>84244900</v>
      </c>
      <c r="B37975" t="e">
        <f>- - Los demas</f>
        <v>#NAME?</v>
      </c>
    </row>
    <row r="37976" spans="1:2" x14ac:dyDescent="0.25">
      <c r="A37976">
        <v>842449001</v>
      </c>
      <c r="B37976" t="s">
        <v>11608</v>
      </c>
    </row>
    <row r="37977" spans="1:2" x14ac:dyDescent="0.25">
      <c r="A37977">
        <v>84244900110</v>
      </c>
      <c r="B37977" t="s">
        <v>11609</v>
      </c>
    </row>
    <row r="37978" spans="1:2" x14ac:dyDescent="0.25">
      <c r="A37978">
        <v>84244900190</v>
      </c>
      <c r="B37978" t="s">
        <v>10</v>
      </c>
    </row>
    <row r="37979" spans="1:2" x14ac:dyDescent="0.25">
      <c r="A37979">
        <v>842449009</v>
      </c>
      <c r="B37979" t="s">
        <v>10</v>
      </c>
    </row>
    <row r="37980" spans="1:2" x14ac:dyDescent="0.25">
      <c r="A37980">
        <v>84244900910</v>
      </c>
      <c r="B37980" t="s">
        <v>11610</v>
      </c>
    </row>
    <row r="37981" spans="1:2" x14ac:dyDescent="0.25">
      <c r="A37981">
        <v>84244900990</v>
      </c>
      <c r="B37981" t="s">
        <v>10</v>
      </c>
    </row>
    <row r="37982" spans="1:2" x14ac:dyDescent="0.25">
      <c r="A37982">
        <v>84248</v>
      </c>
      <c r="B37982" t="s">
        <v>10369</v>
      </c>
    </row>
    <row r="37983" spans="1:2" x14ac:dyDescent="0.25">
      <c r="A37983">
        <v>842482</v>
      </c>
      <c r="B37983" t="e">
        <f>- - para agricultura u horticultura</f>
        <v>#NAME?</v>
      </c>
    </row>
    <row r="37984" spans="1:2" x14ac:dyDescent="0.25">
      <c r="A37984">
        <v>8424822</v>
      </c>
      <c r="B37984" t="s">
        <v>11611</v>
      </c>
    </row>
    <row r="37985" spans="1:2" x14ac:dyDescent="0.25">
      <c r="A37985">
        <v>84248221</v>
      </c>
      <c r="B37985" t="s">
        <v>11612</v>
      </c>
    </row>
    <row r="37986" spans="1:2" x14ac:dyDescent="0.25">
      <c r="A37986">
        <v>842482211</v>
      </c>
      <c r="B37986" t="s">
        <v>11608</v>
      </c>
    </row>
    <row r="37987" spans="1:2" x14ac:dyDescent="0.25">
      <c r="A37987">
        <v>84248221110</v>
      </c>
      <c r="B37987" t="s">
        <v>11613</v>
      </c>
    </row>
    <row r="37988" spans="1:2" x14ac:dyDescent="0.25">
      <c r="A37988">
        <v>84248221120</v>
      </c>
      <c r="B37988" t="s">
        <v>11614</v>
      </c>
    </row>
    <row r="37989" spans="1:2" x14ac:dyDescent="0.25">
      <c r="A37989">
        <v>84248221190</v>
      </c>
      <c r="B37989" t="s">
        <v>10</v>
      </c>
    </row>
    <row r="37990" spans="1:2" x14ac:dyDescent="0.25">
      <c r="A37990">
        <v>842482219</v>
      </c>
      <c r="B37990" t="s">
        <v>10</v>
      </c>
    </row>
    <row r="37991" spans="1:2" x14ac:dyDescent="0.25">
      <c r="A37991">
        <v>8424822191</v>
      </c>
      <c r="B37991" t="s">
        <v>11615</v>
      </c>
    </row>
    <row r="37992" spans="1:2" x14ac:dyDescent="0.25">
      <c r="A37992">
        <v>84248221911</v>
      </c>
      <c r="B37992" t="s">
        <v>11616</v>
      </c>
    </row>
    <row r="37993" spans="1:2" x14ac:dyDescent="0.25">
      <c r="A37993">
        <v>84248221912</v>
      </c>
      <c r="B37993" t="s">
        <v>11617</v>
      </c>
    </row>
    <row r="37994" spans="1:2" x14ac:dyDescent="0.25">
      <c r="A37994">
        <v>84248221913</v>
      </c>
      <c r="B37994" t="s">
        <v>11618</v>
      </c>
    </row>
    <row r="37995" spans="1:2" x14ac:dyDescent="0.25">
      <c r="A37995">
        <v>84248221914</v>
      </c>
      <c r="B37995" t="s">
        <v>11619</v>
      </c>
    </row>
    <row r="37996" spans="1:2" x14ac:dyDescent="0.25">
      <c r="A37996">
        <v>84248221915</v>
      </c>
      <c r="B37996" t="s">
        <v>11620</v>
      </c>
    </row>
    <row r="37997" spans="1:2" x14ac:dyDescent="0.25">
      <c r="A37997">
        <v>84248221919</v>
      </c>
      <c r="B37997" t="s">
        <v>10</v>
      </c>
    </row>
    <row r="37998" spans="1:2" x14ac:dyDescent="0.25">
      <c r="A37998">
        <v>8424822192</v>
      </c>
      <c r="B37998" t="s">
        <v>11621</v>
      </c>
    </row>
    <row r="37999" spans="1:2" x14ac:dyDescent="0.25">
      <c r="A37999">
        <v>84248221921</v>
      </c>
      <c r="B37999" t="s">
        <v>11622</v>
      </c>
    </row>
    <row r="38000" spans="1:2" x14ac:dyDescent="0.25">
      <c r="A38000">
        <v>84248221922</v>
      </c>
      <c r="B38000" t="s">
        <v>11623</v>
      </c>
    </row>
    <row r="38001" spans="1:2" x14ac:dyDescent="0.25">
      <c r="A38001">
        <v>84248221923</v>
      </c>
      <c r="B38001" t="s">
        <v>11624</v>
      </c>
    </row>
    <row r="38002" spans="1:2" x14ac:dyDescent="0.25">
      <c r="A38002">
        <v>84248221929</v>
      </c>
      <c r="B38002" t="s">
        <v>10</v>
      </c>
    </row>
    <row r="38003" spans="1:2" x14ac:dyDescent="0.25">
      <c r="A38003">
        <v>84248221990</v>
      </c>
      <c r="B38003" t="s">
        <v>10</v>
      </c>
    </row>
    <row r="38004" spans="1:2" x14ac:dyDescent="0.25">
      <c r="A38004">
        <v>84248229</v>
      </c>
      <c r="B38004" t="s">
        <v>10</v>
      </c>
    </row>
    <row r="38005" spans="1:2" x14ac:dyDescent="0.25">
      <c r="A38005">
        <v>84248229100</v>
      </c>
      <c r="B38005" t="s">
        <v>11625</v>
      </c>
    </row>
    <row r="38006" spans="1:2" x14ac:dyDescent="0.25">
      <c r="A38006">
        <v>842482299</v>
      </c>
      <c r="B38006" t="s">
        <v>10</v>
      </c>
    </row>
    <row r="38007" spans="1:2" x14ac:dyDescent="0.25">
      <c r="A38007">
        <v>84248229910</v>
      </c>
      <c r="B38007" t="s">
        <v>11626</v>
      </c>
    </row>
    <row r="38008" spans="1:2" x14ac:dyDescent="0.25">
      <c r="A38008">
        <v>84248229990</v>
      </c>
      <c r="B38008" t="s">
        <v>10</v>
      </c>
    </row>
    <row r="38009" spans="1:2" x14ac:dyDescent="0.25">
      <c r="A38009">
        <v>84248290</v>
      </c>
      <c r="B38009" t="s">
        <v>10</v>
      </c>
    </row>
    <row r="38010" spans="1:2" x14ac:dyDescent="0.25">
      <c r="A38010">
        <v>84248290100</v>
      </c>
      <c r="B38010" t="s">
        <v>11627</v>
      </c>
    </row>
    <row r="38011" spans="1:2" x14ac:dyDescent="0.25">
      <c r="A38011">
        <v>84248290900</v>
      </c>
      <c r="B38011" t="s">
        <v>10</v>
      </c>
    </row>
    <row r="38012" spans="1:2" x14ac:dyDescent="0.25">
      <c r="A38012">
        <v>842489</v>
      </c>
      <c r="B38012" t="e">
        <f>- - Los demas</f>
        <v>#NAME?</v>
      </c>
    </row>
    <row r="38013" spans="1:2" x14ac:dyDescent="0.25">
      <c r="A38013">
        <v>84248910000</v>
      </c>
      <c r="B38013" t="s">
        <v>11628</v>
      </c>
    </row>
    <row r="38014" spans="1:2" x14ac:dyDescent="0.25">
      <c r="A38014">
        <v>84248920000</v>
      </c>
      <c r="B38014" t="s">
        <v>11629</v>
      </c>
    </row>
    <row r="38015" spans="1:2" x14ac:dyDescent="0.25">
      <c r="A38015">
        <v>84248990</v>
      </c>
      <c r="B38015" t="s">
        <v>10</v>
      </c>
    </row>
    <row r="38016" spans="1:2" x14ac:dyDescent="0.25">
      <c r="A38016">
        <v>84248990100</v>
      </c>
      <c r="B38016" t="s">
        <v>11630</v>
      </c>
    </row>
    <row r="38017" spans="1:2" x14ac:dyDescent="0.25">
      <c r="A38017">
        <v>84248990200</v>
      </c>
      <c r="B38017" t="s">
        <v>11631</v>
      </c>
    </row>
    <row r="38018" spans="1:2" x14ac:dyDescent="0.25">
      <c r="A38018">
        <v>84248990300</v>
      </c>
      <c r="B38018" t="s">
        <v>11632</v>
      </c>
    </row>
    <row r="38019" spans="1:2" x14ac:dyDescent="0.25">
      <c r="A38019">
        <v>84248990400</v>
      </c>
      <c r="B38019" t="s">
        <v>11633</v>
      </c>
    </row>
    <row r="38020" spans="1:2" x14ac:dyDescent="0.25">
      <c r="A38020">
        <v>84248990900</v>
      </c>
      <c r="B38020" t="s">
        <v>10</v>
      </c>
    </row>
    <row r="38021" spans="1:2" x14ac:dyDescent="0.25">
      <c r="A38021">
        <v>842490</v>
      </c>
      <c r="B38021" t="e">
        <f>- partes</f>
        <v>#NAME?</v>
      </c>
    </row>
    <row r="38022" spans="1:2" x14ac:dyDescent="0.25">
      <c r="A38022">
        <v>84249010000</v>
      </c>
      <c r="B38022" t="s">
        <v>11634</v>
      </c>
    </row>
    <row r="38023" spans="1:2" x14ac:dyDescent="0.25">
      <c r="A38023">
        <v>84249090</v>
      </c>
      <c r="B38023" t="s">
        <v>57</v>
      </c>
    </row>
    <row r="38024" spans="1:2" x14ac:dyDescent="0.25">
      <c r="A38024">
        <v>84249090100</v>
      </c>
      <c r="B38024" t="s">
        <v>11635</v>
      </c>
    </row>
    <row r="38025" spans="1:2" x14ac:dyDescent="0.25">
      <c r="A38025">
        <v>84249090200</v>
      </c>
      <c r="B38025" t="s">
        <v>11636</v>
      </c>
    </row>
    <row r="38026" spans="1:2" x14ac:dyDescent="0.25">
      <c r="A38026">
        <v>84249090300</v>
      </c>
      <c r="B38026" t="s">
        <v>11637</v>
      </c>
    </row>
    <row r="38027" spans="1:2" x14ac:dyDescent="0.25">
      <c r="A38027">
        <v>842490909</v>
      </c>
      <c r="B38027" t="s">
        <v>57</v>
      </c>
    </row>
    <row r="38028" spans="1:2" x14ac:dyDescent="0.25">
      <c r="A38028">
        <v>84249090910</v>
      </c>
      <c r="B38028" t="s">
        <v>11304</v>
      </c>
    </row>
    <row r="38029" spans="1:2" x14ac:dyDescent="0.25">
      <c r="A38029">
        <v>84249090990</v>
      </c>
      <c r="B38029" t="s">
        <v>10</v>
      </c>
    </row>
    <row r="38030" spans="1:2" x14ac:dyDescent="0.25">
      <c r="A38030">
        <v>8425</v>
      </c>
      <c r="B38030" t="s">
        <v>11638</v>
      </c>
    </row>
    <row r="38031" spans="1:2" x14ac:dyDescent="0.25">
      <c r="A38031">
        <v>84251</v>
      </c>
      <c r="B38031" t="s">
        <v>11639</v>
      </c>
    </row>
    <row r="38032" spans="1:2" x14ac:dyDescent="0.25">
      <c r="A38032">
        <v>84251100</v>
      </c>
      <c r="B38032" t="e">
        <f>- - Con motor electrico</f>
        <v>#NAME?</v>
      </c>
    </row>
    <row r="38033" spans="1:2" x14ac:dyDescent="0.25">
      <c r="A38033">
        <v>84251100100</v>
      </c>
      <c r="B38033" t="s">
        <v>11640</v>
      </c>
    </row>
    <row r="38034" spans="1:2" x14ac:dyDescent="0.25">
      <c r="A38034">
        <v>84251100200</v>
      </c>
      <c r="B38034" t="s">
        <v>11641</v>
      </c>
    </row>
    <row r="38035" spans="1:2" x14ac:dyDescent="0.25">
      <c r="A38035">
        <v>84251100300</v>
      </c>
      <c r="B38035" t="s">
        <v>11642</v>
      </c>
    </row>
    <row r="38036" spans="1:2" x14ac:dyDescent="0.25">
      <c r="A38036">
        <v>84251100900</v>
      </c>
      <c r="B38036" t="s">
        <v>10</v>
      </c>
    </row>
    <row r="38037" spans="1:2" x14ac:dyDescent="0.25">
      <c r="A38037">
        <v>842519</v>
      </c>
      <c r="B38037" t="e">
        <f>- - Los demas</f>
        <v>#NAME?</v>
      </c>
    </row>
    <row r="38038" spans="1:2" x14ac:dyDescent="0.25">
      <c r="A38038">
        <v>84251910</v>
      </c>
      <c r="B38038" t="s">
        <v>11643</v>
      </c>
    </row>
    <row r="38039" spans="1:2" x14ac:dyDescent="0.25">
      <c r="A38039">
        <v>84251910100</v>
      </c>
      <c r="B38039" t="s">
        <v>11644</v>
      </c>
    </row>
    <row r="38040" spans="1:2" x14ac:dyDescent="0.25">
      <c r="A38040">
        <v>84251910200</v>
      </c>
      <c r="B38040" t="s">
        <v>11645</v>
      </c>
    </row>
    <row r="38041" spans="1:2" x14ac:dyDescent="0.25">
      <c r="A38041">
        <v>84251910300</v>
      </c>
      <c r="B38041" t="s">
        <v>11646</v>
      </c>
    </row>
    <row r="38042" spans="1:2" x14ac:dyDescent="0.25">
      <c r="A38042">
        <v>84251910900</v>
      </c>
      <c r="B38042" t="s">
        <v>10</v>
      </c>
    </row>
    <row r="38043" spans="1:2" x14ac:dyDescent="0.25">
      <c r="A38043">
        <v>84251990000</v>
      </c>
      <c r="B38043" t="s">
        <v>10</v>
      </c>
    </row>
    <row r="38044" spans="1:2" x14ac:dyDescent="0.25">
      <c r="A38044">
        <v>84253</v>
      </c>
      <c r="B38044" t="s">
        <v>11647</v>
      </c>
    </row>
    <row r="38045" spans="1:2" x14ac:dyDescent="0.25">
      <c r="A38045">
        <v>842531</v>
      </c>
      <c r="B38045" t="e">
        <f>- - Con motor electrico</f>
        <v>#NAME?</v>
      </c>
    </row>
    <row r="38046" spans="1:2" x14ac:dyDescent="0.25">
      <c r="A38046">
        <v>84253110</v>
      </c>
      <c r="B38046" t="s">
        <v>11648</v>
      </c>
    </row>
    <row r="38047" spans="1:2" x14ac:dyDescent="0.25">
      <c r="A38047">
        <v>842531101</v>
      </c>
      <c r="B38047" t="s">
        <v>11649</v>
      </c>
    </row>
    <row r="38048" spans="1:2" x14ac:dyDescent="0.25">
      <c r="A38048">
        <v>84253110110</v>
      </c>
      <c r="B38048" t="s">
        <v>11650</v>
      </c>
    </row>
    <row r="38049" spans="1:2" x14ac:dyDescent="0.25">
      <c r="A38049">
        <v>84253110120</v>
      </c>
      <c r="B38049" t="s">
        <v>11651</v>
      </c>
    </row>
    <row r="38050" spans="1:2" x14ac:dyDescent="0.25">
      <c r="A38050">
        <v>84253110130</v>
      </c>
      <c r="B38050" t="s">
        <v>11652</v>
      </c>
    </row>
    <row r="38051" spans="1:2" x14ac:dyDescent="0.25">
      <c r="A38051">
        <v>84253110140</v>
      </c>
      <c r="B38051" t="s">
        <v>11653</v>
      </c>
    </row>
    <row r="38052" spans="1:2" x14ac:dyDescent="0.25">
      <c r="A38052">
        <v>84253110190</v>
      </c>
      <c r="B38052" t="s">
        <v>10</v>
      </c>
    </row>
    <row r="38053" spans="1:2" x14ac:dyDescent="0.25">
      <c r="A38053">
        <v>842531109</v>
      </c>
      <c r="B38053" t="s">
        <v>10</v>
      </c>
    </row>
    <row r="38054" spans="1:2" x14ac:dyDescent="0.25">
      <c r="A38054">
        <v>84253110910</v>
      </c>
      <c r="B38054" t="s">
        <v>11654</v>
      </c>
    </row>
    <row r="38055" spans="1:2" x14ac:dyDescent="0.25">
      <c r="A38055">
        <v>84253110920</v>
      </c>
      <c r="B38055" t="s">
        <v>11655</v>
      </c>
    </row>
    <row r="38056" spans="1:2" x14ac:dyDescent="0.25">
      <c r="A38056">
        <v>84253110930</v>
      </c>
      <c r="B38056" t="s">
        <v>11656</v>
      </c>
    </row>
    <row r="38057" spans="1:2" x14ac:dyDescent="0.25">
      <c r="A38057">
        <v>84253110990</v>
      </c>
      <c r="B38057" t="s">
        <v>10</v>
      </c>
    </row>
    <row r="38058" spans="1:2" x14ac:dyDescent="0.25">
      <c r="A38058">
        <v>84253190000</v>
      </c>
      <c r="B38058" t="s">
        <v>10</v>
      </c>
    </row>
    <row r="38059" spans="1:2" x14ac:dyDescent="0.25">
      <c r="A38059">
        <v>842539</v>
      </c>
      <c r="B38059" t="e">
        <f>- - Los demas</f>
        <v>#NAME?</v>
      </c>
    </row>
    <row r="38060" spans="1:2" x14ac:dyDescent="0.25">
      <c r="A38060">
        <v>84253910</v>
      </c>
      <c r="B38060" t="s">
        <v>11648</v>
      </c>
    </row>
    <row r="38061" spans="1:2" x14ac:dyDescent="0.25">
      <c r="A38061">
        <v>84253910100</v>
      </c>
      <c r="B38061" t="s">
        <v>11654</v>
      </c>
    </row>
    <row r="38062" spans="1:2" x14ac:dyDescent="0.25">
      <c r="A38062">
        <v>84253910200</v>
      </c>
      <c r="B38062" t="s">
        <v>11655</v>
      </c>
    </row>
    <row r="38063" spans="1:2" x14ac:dyDescent="0.25">
      <c r="A38063">
        <v>84253910300</v>
      </c>
      <c r="B38063" t="s">
        <v>11656</v>
      </c>
    </row>
    <row r="38064" spans="1:2" x14ac:dyDescent="0.25">
      <c r="A38064">
        <v>84253910900</v>
      </c>
      <c r="B38064" t="s">
        <v>10</v>
      </c>
    </row>
    <row r="38065" spans="1:2" x14ac:dyDescent="0.25">
      <c r="A38065">
        <v>84253990000</v>
      </c>
      <c r="B38065" t="s">
        <v>10</v>
      </c>
    </row>
    <row r="38066" spans="1:2" x14ac:dyDescent="0.25">
      <c r="A38066">
        <v>84254</v>
      </c>
      <c r="B38066" t="s">
        <v>11657</v>
      </c>
    </row>
    <row r="38067" spans="1:2" x14ac:dyDescent="0.25">
      <c r="A38067">
        <v>84254100</v>
      </c>
      <c r="B38067" t="e">
        <f>- - elevadores fijos para vehiculos automoviles. de Los tipos utilizados En talleres</f>
        <v>#NAME?</v>
      </c>
    </row>
    <row r="38068" spans="1:2" x14ac:dyDescent="0.25">
      <c r="A38068">
        <v>84254100100</v>
      </c>
      <c r="B38068" t="s">
        <v>11658</v>
      </c>
    </row>
    <row r="38069" spans="1:2" x14ac:dyDescent="0.25">
      <c r="A38069">
        <v>84254100200</v>
      </c>
      <c r="B38069" t="s">
        <v>11659</v>
      </c>
    </row>
    <row r="38070" spans="1:2" x14ac:dyDescent="0.25">
      <c r="A38070">
        <v>842541003</v>
      </c>
      <c r="B38070" t="s">
        <v>11660</v>
      </c>
    </row>
    <row r="38071" spans="1:2" x14ac:dyDescent="0.25">
      <c r="A38071">
        <v>84254100310</v>
      </c>
      <c r="B38071" t="s">
        <v>11661</v>
      </c>
    </row>
    <row r="38072" spans="1:2" x14ac:dyDescent="0.25">
      <c r="A38072">
        <v>84254100390</v>
      </c>
      <c r="B38072" t="s">
        <v>10</v>
      </c>
    </row>
    <row r="38073" spans="1:2" x14ac:dyDescent="0.25">
      <c r="A38073">
        <v>842541009</v>
      </c>
      <c r="B38073" t="s">
        <v>10</v>
      </c>
    </row>
    <row r="38074" spans="1:2" x14ac:dyDescent="0.25">
      <c r="A38074">
        <v>84254100910</v>
      </c>
      <c r="B38074" t="s">
        <v>11662</v>
      </c>
    </row>
    <row r="38075" spans="1:2" x14ac:dyDescent="0.25">
      <c r="A38075">
        <v>84254100990</v>
      </c>
      <c r="B38075" t="s">
        <v>10</v>
      </c>
    </row>
    <row r="38076" spans="1:2" x14ac:dyDescent="0.25">
      <c r="A38076">
        <v>84254200</v>
      </c>
      <c r="B38076" t="e">
        <f>- - Los demas Gatos hidraulicos</f>
        <v>#NAME?</v>
      </c>
    </row>
    <row r="38077" spans="1:2" x14ac:dyDescent="0.25">
      <c r="A38077">
        <v>842542001</v>
      </c>
      <c r="B38077" t="s">
        <v>11663</v>
      </c>
    </row>
    <row r="38078" spans="1:2" x14ac:dyDescent="0.25">
      <c r="A38078">
        <v>84254200110</v>
      </c>
      <c r="B38078" t="s">
        <v>11658</v>
      </c>
    </row>
    <row r="38079" spans="1:2" x14ac:dyDescent="0.25">
      <c r="A38079">
        <v>84254200120</v>
      </c>
      <c r="B38079" t="s">
        <v>11659</v>
      </c>
    </row>
    <row r="38080" spans="1:2" x14ac:dyDescent="0.25">
      <c r="A38080">
        <v>8425420013</v>
      </c>
      <c r="B38080" t="s">
        <v>11660</v>
      </c>
    </row>
    <row r="38081" spans="1:2" x14ac:dyDescent="0.25">
      <c r="A38081">
        <v>84254200131</v>
      </c>
      <c r="B38081" t="s">
        <v>11664</v>
      </c>
    </row>
    <row r="38082" spans="1:2" x14ac:dyDescent="0.25">
      <c r="A38082">
        <v>84254200139</v>
      </c>
      <c r="B38082" t="s">
        <v>10</v>
      </c>
    </row>
    <row r="38083" spans="1:2" x14ac:dyDescent="0.25">
      <c r="A38083">
        <v>84254200190</v>
      </c>
      <c r="B38083" t="s">
        <v>10</v>
      </c>
    </row>
    <row r="38084" spans="1:2" x14ac:dyDescent="0.25">
      <c r="A38084">
        <v>842542009</v>
      </c>
      <c r="B38084" t="s">
        <v>10</v>
      </c>
    </row>
    <row r="38085" spans="1:2" x14ac:dyDescent="0.25">
      <c r="A38085">
        <v>84254200910</v>
      </c>
      <c r="B38085" t="s">
        <v>11658</v>
      </c>
    </row>
    <row r="38086" spans="1:2" x14ac:dyDescent="0.25">
      <c r="A38086">
        <v>84254200920</v>
      </c>
      <c r="B38086" t="s">
        <v>11659</v>
      </c>
    </row>
    <row r="38087" spans="1:2" x14ac:dyDescent="0.25">
      <c r="A38087">
        <v>8425420093</v>
      </c>
      <c r="B38087" t="s">
        <v>11660</v>
      </c>
    </row>
    <row r="38088" spans="1:2" x14ac:dyDescent="0.25">
      <c r="A38088">
        <v>84254200931</v>
      </c>
      <c r="B38088" t="s">
        <v>11664</v>
      </c>
    </row>
    <row r="38089" spans="1:2" x14ac:dyDescent="0.25">
      <c r="A38089">
        <v>84254200939</v>
      </c>
      <c r="B38089" t="s">
        <v>10</v>
      </c>
    </row>
    <row r="38090" spans="1:2" x14ac:dyDescent="0.25">
      <c r="A38090">
        <v>84254200940</v>
      </c>
      <c r="B38090" t="s">
        <v>11641</v>
      </c>
    </row>
    <row r="38091" spans="1:2" x14ac:dyDescent="0.25">
      <c r="A38091">
        <v>84254200950</v>
      </c>
      <c r="B38091" t="s">
        <v>11665</v>
      </c>
    </row>
    <row r="38092" spans="1:2" x14ac:dyDescent="0.25">
      <c r="A38092">
        <v>84254200990</v>
      </c>
      <c r="B38092" t="s">
        <v>10</v>
      </c>
    </row>
    <row r="38093" spans="1:2" x14ac:dyDescent="0.25">
      <c r="A38093">
        <v>842549</v>
      </c>
      <c r="B38093" t="e">
        <f>- - Los demas</f>
        <v>#NAME?</v>
      </c>
    </row>
    <row r="38094" spans="1:2" x14ac:dyDescent="0.25">
      <c r="A38094">
        <v>84254910</v>
      </c>
      <c r="B38094" t="s">
        <v>10706</v>
      </c>
    </row>
    <row r="38095" spans="1:2" x14ac:dyDescent="0.25">
      <c r="A38095">
        <v>84254910100</v>
      </c>
      <c r="B38095" t="s">
        <v>11666</v>
      </c>
    </row>
    <row r="38096" spans="1:2" x14ac:dyDescent="0.25">
      <c r="A38096">
        <v>84254910200</v>
      </c>
      <c r="B38096" t="s">
        <v>11645</v>
      </c>
    </row>
    <row r="38097" spans="1:2" x14ac:dyDescent="0.25">
      <c r="A38097">
        <v>84254910300</v>
      </c>
      <c r="B38097" t="s">
        <v>11646</v>
      </c>
    </row>
    <row r="38098" spans="1:2" x14ac:dyDescent="0.25">
      <c r="A38098">
        <v>84254910900</v>
      </c>
      <c r="B38098" t="s">
        <v>10</v>
      </c>
    </row>
    <row r="38099" spans="1:2" x14ac:dyDescent="0.25">
      <c r="A38099">
        <v>84254990</v>
      </c>
      <c r="B38099" t="s">
        <v>10</v>
      </c>
    </row>
    <row r="38100" spans="1:2" x14ac:dyDescent="0.25">
      <c r="A38100">
        <v>84254990100</v>
      </c>
      <c r="B38100" t="s">
        <v>11658</v>
      </c>
    </row>
    <row r="38101" spans="1:2" x14ac:dyDescent="0.25">
      <c r="A38101">
        <v>84254990200</v>
      </c>
      <c r="B38101" t="s">
        <v>11659</v>
      </c>
    </row>
    <row r="38102" spans="1:2" x14ac:dyDescent="0.25">
      <c r="A38102">
        <v>84254990300</v>
      </c>
      <c r="B38102" t="s">
        <v>11660</v>
      </c>
    </row>
    <row r="38103" spans="1:2" x14ac:dyDescent="0.25">
      <c r="A38103">
        <v>84254990900</v>
      </c>
      <c r="B38103" t="s">
        <v>10</v>
      </c>
    </row>
    <row r="38104" spans="1:2" x14ac:dyDescent="0.25">
      <c r="A38104">
        <v>8426</v>
      </c>
      <c r="B38104" t="s">
        <v>11667</v>
      </c>
    </row>
    <row r="38105" spans="1:2" x14ac:dyDescent="0.25">
      <c r="A38105">
        <v>84261</v>
      </c>
      <c r="B38105" t="s">
        <v>11668</v>
      </c>
    </row>
    <row r="38106" spans="1:2" x14ac:dyDescent="0.25">
      <c r="A38106">
        <v>84261100000</v>
      </c>
      <c r="B38106" t="e">
        <f>--Puentes (incluidas las vigas) rodantes. sobre soporte fijo</f>
        <v>#NAME?</v>
      </c>
    </row>
    <row r="38107" spans="1:2" x14ac:dyDescent="0.25">
      <c r="A38107">
        <v>84261200</v>
      </c>
      <c r="B38107" t="e">
        <f>--Porticos moviles sobre Neumaticos y carretillas puente</f>
        <v>#NAME?</v>
      </c>
    </row>
    <row r="38108" spans="1:2" x14ac:dyDescent="0.25">
      <c r="A38108">
        <v>84261200100</v>
      </c>
      <c r="B38108" t="s">
        <v>11669</v>
      </c>
    </row>
    <row r="38109" spans="1:2" x14ac:dyDescent="0.25">
      <c r="A38109">
        <v>84261200900</v>
      </c>
      <c r="B38109" t="s">
        <v>10</v>
      </c>
    </row>
    <row r="38110" spans="1:2" x14ac:dyDescent="0.25">
      <c r="A38110">
        <v>84261900</v>
      </c>
      <c r="B38110" t="e">
        <f>- - Los demas</f>
        <v>#NAME?</v>
      </c>
    </row>
    <row r="38111" spans="1:2" x14ac:dyDescent="0.25">
      <c r="A38111">
        <v>84261900100</v>
      </c>
      <c r="B38111" t="s">
        <v>11670</v>
      </c>
    </row>
    <row r="38112" spans="1:2" x14ac:dyDescent="0.25">
      <c r="A38112">
        <v>84261900900</v>
      </c>
      <c r="B38112" t="s">
        <v>10</v>
      </c>
    </row>
    <row r="38113" spans="1:2" x14ac:dyDescent="0.25">
      <c r="A38113">
        <v>84262000000</v>
      </c>
      <c r="B38113" t="e">
        <f>-Gruas de torrre</f>
        <v>#NAME?</v>
      </c>
    </row>
    <row r="38114" spans="1:2" x14ac:dyDescent="0.25">
      <c r="A38114">
        <v>84263000</v>
      </c>
      <c r="B38114" t="e">
        <f>-Gruas de portico</f>
        <v>#NAME?</v>
      </c>
    </row>
    <row r="38115" spans="1:2" x14ac:dyDescent="0.25">
      <c r="A38115">
        <v>84263000100</v>
      </c>
      <c r="B38115" t="s">
        <v>11669</v>
      </c>
    </row>
    <row r="38116" spans="1:2" x14ac:dyDescent="0.25">
      <c r="A38116">
        <v>84263000900</v>
      </c>
      <c r="B38116" t="s">
        <v>57</v>
      </c>
    </row>
    <row r="38117" spans="1:2" x14ac:dyDescent="0.25">
      <c r="A38117">
        <v>84264</v>
      </c>
      <c r="B38117" t="s">
        <v>11671</v>
      </c>
    </row>
    <row r="38118" spans="1:2" x14ac:dyDescent="0.25">
      <c r="A38118">
        <v>842641</v>
      </c>
      <c r="B38118" t="e">
        <f>- - sobre Neumaticos</f>
        <v>#NAME?</v>
      </c>
    </row>
    <row r="38119" spans="1:2" x14ac:dyDescent="0.25">
      <c r="A38119">
        <v>84264110000</v>
      </c>
      <c r="B38119" t="s">
        <v>11672</v>
      </c>
    </row>
    <row r="38120" spans="1:2" x14ac:dyDescent="0.25">
      <c r="A38120">
        <v>84264190000</v>
      </c>
      <c r="B38120" t="s">
        <v>10</v>
      </c>
    </row>
    <row r="38121" spans="1:2" x14ac:dyDescent="0.25">
      <c r="A38121">
        <v>842649</v>
      </c>
      <c r="B38121" t="e">
        <f>- - Los demas</f>
        <v>#NAME?</v>
      </c>
    </row>
    <row r="38122" spans="1:2" x14ac:dyDescent="0.25">
      <c r="A38122">
        <v>84264910000</v>
      </c>
      <c r="B38122" t="s">
        <v>11673</v>
      </c>
    </row>
    <row r="38123" spans="1:2" x14ac:dyDescent="0.25">
      <c r="A38123">
        <v>84264990</v>
      </c>
      <c r="B38123" t="s">
        <v>10</v>
      </c>
    </row>
    <row r="38124" spans="1:2" x14ac:dyDescent="0.25">
      <c r="A38124">
        <v>84264990100</v>
      </c>
      <c r="B38124" t="s">
        <v>11674</v>
      </c>
    </row>
    <row r="38125" spans="1:2" x14ac:dyDescent="0.25">
      <c r="A38125">
        <v>84264990900</v>
      </c>
      <c r="B38125" t="s">
        <v>10</v>
      </c>
    </row>
    <row r="38126" spans="1:2" x14ac:dyDescent="0.25">
      <c r="A38126">
        <v>84269</v>
      </c>
      <c r="B38126" t="s">
        <v>11675</v>
      </c>
    </row>
    <row r="38127" spans="1:2" x14ac:dyDescent="0.25">
      <c r="A38127">
        <v>84269100</v>
      </c>
      <c r="B38127" t="e">
        <f>- - concebidos para montarlos sobre vehiculos de carretera</f>
        <v>#NAME?</v>
      </c>
    </row>
    <row r="38128" spans="1:2" x14ac:dyDescent="0.25">
      <c r="A38128">
        <v>84269100100</v>
      </c>
      <c r="B38128" t="s">
        <v>11676</v>
      </c>
    </row>
    <row r="38129" spans="1:2" x14ac:dyDescent="0.25">
      <c r="A38129">
        <v>84269100200</v>
      </c>
      <c r="B38129" t="s">
        <v>11677</v>
      </c>
    </row>
    <row r="38130" spans="1:2" x14ac:dyDescent="0.25">
      <c r="A38130">
        <v>84269100900</v>
      </c>
      <c r="B38130" t="s">
        <v>10</v>
      </c>
    </row>
    <row r="38131" spans="1:2" x14ac:dyDescent="0.25">
      <c r="A38131">
        <v>84269900000</v>
      </c>
      <c r="B38131" t="e">
        <f>--Los demas</f>
        <v>#NAME?</v>
      </c>
    </row>
    <row r="38132" spans="1:2" x14ac:dyDescent="0.25">
      <c r="A38132">
        <v>8427</v>
      </c>
      <c r="B38132" t="s">
        <v>11678</v>
      </c>
    </row>
    <row r="38133" spans="1:2" x14ac:dyDescent="0.25">
      <c r="A38133">
        <v>842710</v>
      </c>
      <c r="B38133" t="e">
        <f>- carretillas autopropulsadas Con motor electrico</f>
        <v>#NAME?</v>
      </c>
    </row>
    <row r="38134" spans="1:2" x14ac:dyDescent="0.25">
      <c r="A38134">
        <v>8427101</v>
      </c>
      <c r="B38134" t="s">
        <v>11679</v>
      </c>
    </row>
    <row r="38135" spans="1:2" x14ac:dyDescent="0.25">
      <c r="A38135">
        <v>84271011</v>
      </c>
      <c r="B38135" t="s">
        <v>11680</v>
      </c>
    </row>
    <row r="38136" spans="1:2" x14ac:dyDescent="0.25">
      <c r="A38136">
        <v>842710111</v>
      </c>
      <c r="B38136" t="s">
        <v>11681</v>
      </c>
    </row>
    <row r="38137" spans="1:2" x14ac:dyDescent="0.25">
      <c r="A38137">
        <v>84271011110</v>
      </c>
      <c r="B38137" t="s">
        <v>11682</v>
      </c>
    </row>
    <row r="38138" spans="1:2" x14ac:dyDescent="0.25">
      <c r="A38138">
        <v>84271011120</v>
      </c>
      <c r="B38138" t="s">
        <v>11683</v>
      </c>
    </row>
    <row r="38139" spans="1:2" x14ac:dyDescent="0.25">
      <c r="A38139">
        <v>84271011130</v>
      </c>
      <c r="B38139" t="s">
        <v>11684</v>
      </c>
    </row>
    <row r="38140" spans="1:2" x14ac:dyDescent="0.25">
      <c r="A38140">
        <v>84271011190</v>
      </c>
      <c r="B38140" t="s">
        <v>57</v>
      </c>
    </row>
    <row r="38141" spans="1:2" x14ac:dyDescent="0.25">
      <c r="A38141">
        <v>842710119</v>
      </c>
      <c r="B38141" t="s">
        <v>57</v>
      </c>
    </row>
    <row r="38142" spans="1:2" x14ac:dyDescent="0.25">
      <c r="A38142">
        <v>84271011910</v>
      </c>
      <c r="B38142" t="s">
        <v>11682</v>
      </c>
    </row>
    <row r="38143" spans="1:2" x14ac:dyDescent="0.25">
      <c r="A38143">
        <v>84271011920</v>
      </c>
      <c r="B38143" t="s">
        <v>11683</v>
      </c>
    </row>
    <row r="38144" spans="1:2" x14ac:dyDescent="0.25">
      <c r="A38144">
        <v>84271011930</v>
      </c>
      <c r="B38144" t="s">
        <v>11684</v>
      </c>
    </row>
    <row r="38145" spans="1:2" x14ac:dyDescent="0.25">
      <c r="A38145">
        <v>84271011990</v>
      </c>
      <c r="B38145" t="s">
        <v>57</v>
      </c>
    </row>
    <row r="38146" spans="1:2" x14ac:dyDescent="0.25">
      <c r="A38146">
        <v>84271019</v>
      </c>
      <c r="B38146" t="s">
        <v>57</v>
      </c>
    </row>
    <row r="38147" spans="1:2" x14ac:dyDescent="0.25">
      <c r="A38147">
        <v>842710191</v>
      </c>
      <c r="B38147" t="s">
        <v>11685</v>
      </c>
    </row>
    <row r="38148" spans="1:2" x14ac:dyDescent="0.25">
      <c r="A38148">
        <v>84271019110</v>
      </c>
      <c r="B38148" t="s">
        <v>11682</v>
      </c>
    </row>
    <row r="38149" spans="1:2" x14ac:dyDescent="0.25">
      <c r="A38149">
        <v>84271019120</v>
      </c>
      <c r="B38149" t="s">
        <v>11683</v>
      </c>
    </row>
    <row r="38150" spans="1:2" x14ac:dyDescent="0.25">
      <c r="A38150">
        <v>84271019190</v>
      </c>
      <c r="B38150" t="s">
        <v>57</v>
      </c>
    </row>
    <row r="38151" spans="1:2" x14ac:dyDescent="0.25">
      <c r="A38151">
        <v>842710192</v>
      </c>
      <c r="B38151" t="s">
        <v>11686</v>
      </c>
    </row>
    <row r="38152" spans="1:2" x14ac:dyDescent="0.25">
      <c r="A38152">
        <v>84271019210</v>
      </c>
      <c r="B38152" t="s">
        <v>11682</v>
      </c>
    </row>
    <row r="38153" spans="1:2" x14ac:dyDescent="0.25">
      <c r="A38153">
        <v>84271019220</v>
      </c>
      <c r="B38153" t="s">
        <v>11683</v>
      </c>
    </row>
    <row r="38154" spans="1:2" x14ac:dyDescent="0.25">
      <c r="A38154">
        <v>84271019230</v>
      </c>
      <c r="B38154" t="s">
        <v>11684</v>
      </c>
    </row>
    <row r="38155" spans="1:2" x14ac:dyDescent="0.25">
      <c r="A38155">
        <v>84271019290</v>
      </c>
      <c r="B38155" t="s">
        <v>57</v>
      </c>
    </row>
    <row r="38156" spans="1:2" x14ac:dyDescent="0.25">
      <c r="A38156">
        <v>842710193</v>
      </c>
      <c r="B38156" t="s">
        <v>11687</v>
      </c>
    </row>
    <row r="38157" spans="1:2" x14ac:dyDescent="0.25">
      <c r="A38157">
        <v>84271019310</v>
      </c>
      <c r="B38157" t="s">
        <v>11682</v>
      </c>
    </row>
    <row r="38158" spans="1:2" x14ac:dyDescent="0.25">
      <c r="A38158">
        <v>84271019320</v>
      </c>
      <c r="B38158" t="s">
        <v>11683</v>
      </c>
    </row>
    <row r="38159" spans="1:2" x14ac:dyDescent="0.25">
      <c r="A38159">
        <v>84271019330</v>
      </c>
      <c r="B38159" t="s">
        <v>11684</v>
      </c>
    </row>
    <row r="38160" spans="1:2" x14ac:dyDescent="0.25">
      <c r="A38160">
        <v>84271019390</v>
      </c>
      <c r="B38160" t="s">
        <v>57</v>
      </c>
    </row>
    <row r="38161" spans="1:2" x14ac:dyDescent="0.25">
      <c r="A38161">
        <v>842710194</v>
      </c>
      <c r="B38161" t="s">
        <v>11688</v>
      </c>
    </row>
    <row r="38162" spans="1:2" x14ac:dyDescent="0.25">
      <c r="A38162">
        <v>84271019410</v>
      </c>
      <c r="B38162" t="s">
        <v>11682</v>
      </c>
    </row>
    <row r="38163" spans="1:2" x14ac:dyDescent="0.25">
      <c r="A38163">
        <v>84271019420</v>
      </c>
      <c r="B38163" t="s">
        <v>11683</v>
      </c>
    </row>
    <row r="38164" spans="1:2" x14ac:dyDescent="0.25">
      <c r="A38164">
        <v>84271019430</v>
      </c>
      <c r="B38164" t="s">
        <v>11684</v>
      </c>
    </row>
    <row r="38165" spans="1:2" x14ac:dyDescent="0.25">
      <c r="A38165">
        <v>84271019490</v>
      </c>
      <c r="B38165" t="s">
        <v>57</v>
      </c>
    </row>
    <row r="38166" spans="1:2" x14ac:dyDescent="0.25">
      <c r="A38166">
        <v>842710199</v>
      </c>
      <c r="B38166" t="s">
        <v>57</v>
      </c>
    </row>
    <row r="38167" spans="1:2" x14ac:dyDescent="0.25">
      <c r="A38167">
        <v>84271019910</v>
      </c>
      <c r="B38167" t="s">
        <v>11682</v>
      </c>
    </row>
    <row r="38168" spans="1:2" x14ac:dyDescent="0.25">
      <c r="A38168">
        <v>84271019920</v>
      </c>
      <c r="B38168" t="s">
        <v>11683</v>
      </c>
    </row>
    <row r="38169" spans="1:2" x14ac:dyDescent="0.25">
      <c r="A38169">
        <v>84271019930</v>
      </c>
      <c r="B38169" t="s">
        <v>11684</v>
      </c>
    </row>
    <row r="38170" spans="1:2" x14ac:dyDescent="0.25">
      <c r="A38170">
        <v>84271019990</v>
      </c>
      <c r="B38170" t="s">
        <v>57</v>
      </c>
    </row>
    <row r="38171" spans="1:2" x14ac:dyDescent="0.25">
      <c r="A38171">
        <v>84271090</v>
      </c>
      <c r="B38171" t="s">
        <v>57</v>
      </c>
    </row>
    <row r="38172" spans="1:2" x14ac:dyDescent="0.25">
      <c r="A38172">
        <v>84271090100</v>
      </c>
      <c r="B38172" t="s">
        <v>11685</v>
      </c>
    </row>
    <row r="38173" spans="1:2" x14ac:dyDescent="0.25">
      <c r="A38173">
        <v>84271090200</v>
      </c>
      <c r="B38173" t="s">
        <v>11686</v>
      </c>
    </row>
    <row r="38174" spans="1:2" x14ac:dyDescent="0.25">
      <c r="A38174">
        <v>84271090300</v>
      </c>
      <c r="B38174" t="s">
        <v>11687</v>
      </c>
    </row>
    <row r="38175" spans="1:2" x14ac:dyDescent="0.25">
      <c r="A38175">
        <v>84271090400</v>
      </c>
      <c r="B38175" t="s">
        <v>11688</v>
      </c>
    </row>
    <row r="38176" spans="1:2" x14ac:dyDescent="0.25">
      <c r="A38176">
        <v>84271090500</v>
      </c>
      <c r="B38176" t="s">
        <v>11689</v>
      </c>
    </row>
    <row r="38177" spans="1:2" x14ac:dyDescent="0.25">
      <c r="A38177">
        <v>84271090600</v>
      </c>
      <c r="B38177" t="s">
        <v>11690</v>
      </c>
    </row>
    <row r="38178" spans="1:2" x14ac:dyDescent="0.25">
      <c r="A38178">
        <v>84271090900</v>
      </c>
      <c r="B38178" t="s">
        <v>57</v>
      </c>
    </row>
    <row r="38179" spans="1:2" x14ac:dyDescent="0.25">
      <c r="A38179">
        <v>842720</v>
      </c>
      <c r="B38179" t="e">
        <f>- las demas carretillas autopropulsadas</f>
        <v>#NAME?</v>
      </c>
    </row>
    <row r="38180" spans="1:2" x14ac:dyDescent="0.25">
      <c r="A38180">
        <v>84272010</v>
      </c>
      <c r="B38180" t="s">
        <v>11691</v>
      </c>
    </row>
    <row r="38181" spans="1:2" x14ac:dyDescent="0.25">
      <c r="A38181">
        <v>842720101</v>
      </c>
      <c r="B38181" t="s">
        <v>11681</v>
      </c>
    </row>
    <row r="38182" spans="1:2" x14ac:dyDescent="0.25">
      <c r="A38182">
        <v>84272010110</v>
      </c>
      <c r="B38182" t="s">
        <v>11682</v>
      </c>
    </row>
    <row r="38183" spans="1:2" x14ac:dyDescent="0.25">
      <c r="A38183">
        <v>84272010120</v>
      </c>
      <c r="B38183" t="s">
        <v>11683</v>
      </c>
    </row>
    <row r="38184" spans="1:2" x14ac:dyDescent="0.25">
      <c r="A38184">
        <v>84272010130</v>
      </c>
      <c r="B38184" t="s">
        <v>11684</v>
      </c>
    </row>
    <row r="38185" spans="1:2" x14ac:dyDescent="0.25">
      <c r="A38185">
        <v>84272010190</v>
      </c>
      <c r="B38185" t="s">
        <v>57</v>
      </c>
    </row>
    <row r="38186" spans="1:2" x14ac:dyDescent="0.25">
      <c r="A38186">
        <v>842720109</v>
      </c>
      <c r="B38186" t="s">
        <v>57</v>
      </c>
    </row>
    <row r="38187" spans="1:2" x14ac:dyDescent="0.25">
      <c r="A38187">
        <v>84272010910</v>
      </c>
      <c r="B38187" t="s">
        <v>11682</v>
      </c>
    </row>
    <row r="38188" spans="1:2" x14ac:dyDescent="0.25">
      <c r="A38188">
        <v>84272010920</v>
      </c>
      <c r="B38188" t="s">
        <v>11683</v>
      </c>
    </row>
    <row r="38189" spans="1:2" x14ac:dyDescent="0.25">
      <c r="A38189">
        <v>84272010930</v>
      </c>
      <c r="B38189" t="s">
        <v>11684</v>
      </c>
    </row>
    <row r="38190" spans="1:2" x14ac:dyDescent="0.25">
      <c r="A38190">
        <v>84272010990</v>
      </c>
      <c r="B38190" t="s">
        <v>57</v>
      </c>
    </row>
    <row r="38191" spans="1:2" x14ac:dyDescent="0.25">
      <c r="A38191">
        <v>84272090</v>
      </c>
      <c r="B38191" t="s">
        <v>57</v>
      </c>
    </row>
    <row r="38192" spans="1:2" x14ac:dyDescent="0.25">
      <c r="A38192">
        <v>842720901</v>
      </c>
      <c r="B38192" t="s">
        <v>11685</v>
      </c>
    </row>
    <row r="38193" spans="1:2" x14ac:dyDescent="0.25">
      <c r="A38193">
        <v>84272090110</v>
      </c>
      <c r="B38193" t="s">
        <v>11682</v>
      </c>
    </row>
    <row r="38194" spans="1:2" x14ac:dyDescent="0.25">
      <c r="A38194">
        <v>84272090120</v>
      </c>
      <c r="B38194" t="s">
        <v>11683</v>
      </c>
    </row>
    <row r="38195" spans="1:2" x14ac:dyDescent="0.25">
      <c r="A38195">
        <v>84272090190</v>
      </c>
      <c r="B38195" t="s">
        <v>57</v>
      </c>
    </row>
    <row r="38196" spans="1:2" x14ac:dyDescent="0.25">
      <c r="A38196">
        <v>842720902</v>
      </c>
      <c r="B38196" t="s">
        <v>11686</v>
      </c>
    </row>
    <row r="38197" spans="1:2" x14ac:dyDescent="0.25">
      <c r="A38197">
        <v>84272090210</v>
      </c>
      <c r="B38197" t="s">
        <v>11682</v>
      </c>
    </row>
    <row r="38198" spans="1:2" x14ac:dyDescent="0.25">
      <c r="A38198">
        <v>84272090220</v>
      </c>
      <c r="B38198" t="s">
        <v>11683</v>
      </c>
    </row>
    <row r="38199" spans="1:2" x14ac:dyDescent="0.25">
      <c r="A38199">
        <v>84272090230</v>
      </c>
      <c r="B38199" t="s">
        <v>11684</v>
      </c>
    </row>
    <row r="38200" spans="1:2" x14ac:dyDescent="0.25">
      <c r="A38200">
        <v>84272090290</v>
      </c>
      <c r="B38200" t="s">
        <v>57</v>
      </c>
    </row>
    <row r="38201" spans="1:2" x14ac:dyDescent="0.25">
      <c r="A38201">
        <v>842720903</v>
      </c>
      <c r="B38201" t="s">
        <v>11687</v>
      </c>
    </row>
    <row r="38202" spans="1:2" x14ac:dyDescent="0.25">
      <c r="A38202">
        <v>84272090310</v>
      </c>
      <c r="B38202" t="s">
        <v>11682</v>
      </c>
    </row>
    <row r="38203" spans="1:2" x14ac:dyDescent="0.25">
      <c r="A38203">
        <v>84272090320</v>
      </c>
      <c r="B38203" t="s">
        <v>11683</v>
      </c>
    </row>
    <row r="38204" spans="1:2" x14ac:dyDescent="0.25">
      <c r="A38204">
        <v>84272090330</v>
      </c>
      <c r="B38204" t="s">
        <v>11684</v>
      </c>
    </row>
    <row r="38205" spans="1:2" x14ac:dyDescent="0.25">
      <c r="A38205">
        <v>84272090390</v>
      </c>
      <c r="B38205" t="s">
        <v>57</v>
      </c>
    </row>
    <row r="38206" spans="1:2" x14ac:dyDescent="0.25">
      <c r="A38206">
        <v>842720904</v>
      </c>
      <c r="B38206" t="s">
        <v>11688</v>
      </c>
    </row>
    <row r="38207" spans="1:2" x14ac:dyDescent="0.25">
      <c r="A38207">
        <v>84272090410</v>
      </c>
      <c r="B38207" t="s">
        <v>11682</v>
      </c>
    </row>
    <row r="38208" spans="1:2" x14ac:dyDescent="0.25">
      <c r="A38208">
        <v>84272090420</v>
      </c>
      <c r="B38208" t="s">
        <v>11683</v>
      </c>
    </row>
    <row r="38209" spans="1:2" x14ac:dyDescent="0.25">
      <c r="A38209">
        <v>84272090430</v>
      </c>
      <c r="B38209" t="s">
        <v>11684</v>
      </c>
    </row>
    <row r="38210" spans="1:2" x14ac:dyDescent="0.25">
      <c r="A38210">
        <v>84272090490</v>
      </c>
      <c r="B38210" t="s">
        <v>57</v>
      </c>
    </row>
    <row r="38211" spans="1:2" x14ac:dyDescent="0.25">
      <c r="A38211">
        <v>842720909</v>
      </c>
      <c r="B38211" t="s">
        <v>57</v>
      </c>
    </row>
    <row r="38212" spans="1:2" x14ac:dyDescent="0.25">
      <c r="A38212">
        <v>84272090910</v>
      </c>
      <c r="B38212" t="s">
        <v>11682</v>
      </c>
    </row>
    <row r="38213" spans="1:2" x14ac:dyDescent="0.25">
      <c r="A38213">
        <v>84272090920</v>
      </c>
      <c r="B38213" t="s">
        <v>11683</v>
      </c>
    </row>
    <row r="38214" spans="1:2" x14ac:dyDescent="0.25">
      <c r="A38214">
        <v>84272090930</v>
      </c>
      <c r="B38214" t="s">
        <v>11684</v>
      </c>
    </row>
    <row r="38215" spans="1:2" x14ac:dyDescent="0.25">
      <c r="A38215">
        <v>84272090990</v>
      </c>
      <c r="B38215" t="s">
        <v>57</v>
      </c>
    </row>
    <row r="38216" spans="1:2" x14ac:dyDescent="0.25">
      <c r="A38216">
        <v>84279000</v>
      </c>
      <c r="B38216" t="e">
        <f>- las demas carretillas</f>
        <v>#NAME?</v>
      </c>
    </row>
    <row r="38217" spans="1:2" x14ac:dyDescent="0.25">
      <c r="A38217">
        <v>84279000100</v>
      </c>
      <c r="B38217" t="s">
        <v>11692</v>
      </c>
    </row>
    <row r="38218" spans="1:2" x14ac:dyDescent="0.25">
      <c r="A38218">
        <v>84279000900</v>
      </c>
      <c r="B38218" t="s">
        <v>57</v>
      </c>
    </row>
    <row r="38219" spans="1:2" x14ac:dyDescent="0.25">
      <c r="A38219">
        <v>8428</v>
      </c>
      <c r="B38219" t="s">
        <v>11693</v>
      </c>
    </row>
    <row r="38220" spans="1:2" x14ac:dyDescent="0.25">
      <c r="A38220">
        <v>84281000</v>
      </c>
      <c r="B38220" t="e">
        <f>- Ascensores y montacargas</f>
        <v>#NAME?</v>
      </c>
    </row>
    <row r="38221" spans="1:2" x14ac:dyDescent="0.25">
      <c r="A38221">
        <v>842810001</v>
      </c>
      <c r="B38221" t="s">
        <v>11694</v>
      </c>
    </row>
    <row r="38222" spans="1:2" x14ac:dyDescent="0.25">
      <c r="A38222">
        <v>8428100011</v>
      </c>
      <c r="B38222" t="s">
        <v>11695</v>
      </c>
    </row>
    <row r="38223" spans="1:2" x14ac:dyDescent="0.25">
      <c r="A38223">
        <v>84281000111</v>
      </c>
      <c r="B38223" t="s">
        <v>11696</v>
      </c>
    </row>
    <row r="38224" spans="1:2" x14ac:dyDescent="0.25">
      <c r="A38224">
        <v>84281000112</v>
      </c>
      <c r="B38224" t="s">
        <v>11697</v>
      </c>
    </row>
    <row r="38225" spans="1:2" x14ac:dyDescent="0.25">
      <c r="A38225">
        <v>84281000113</v>
      </c>
      <c r="B38225" t="s">
        <v>11698</v>
      </c>
    </row>
    <row r="38226" spans="1:2" x14ac:dyDescent="0.25">
      <c r="A38226">
        <v>84281000114</v>
      </c>
      <c r="B38226" t="s">
        <v>11699</v>
      </c>
    </row>
    <row r="38227" spans="1:2" x14ac:dyDescent="0.25">
      <c r="A38227">
        <v>84281000115</v>
      </c>
      <c r="B38227" t="s">
        <v>11700</v>
      </c>
    </row>
    <row r="38228" spans="1:2" x14ac:dyDescent="0.25">
      <c r="A38228">
        <v>84281000116</v>
      </c>
      <c r="B38228" t="s">
        <v>11701</v>
      </c>
    </row>
    <row r="38229" spans="1:2" x14ac:dyDescent="0.25">
      <c r="A38229">
        <v>84281000117</v>
      </c>
      <c r="B38229" t="s">
        <v>11702</v>
      </c>
    </row>
    <row r="38230" spans="1:2" x14ac:dyDescent="0.25">
      <c r="A38230">
        <v>84281000119</v>
      </c>
      <c r="B38230" t="s">
        <v>10</v>
      </c>
    </row>
    <row r="38231" spans="1:2" x14ac:dyDescent="0.25">
      <c r="A38231">
        <v>8428100019</v>
      </c>
      <c r="B38231" t="s">
        <v>10</v>
      </c>
    </row>
    <row r="38232" spans="1:2" x14ac:dyDescent="0.25">
      <c r="A38232">
        <v>84281000191</v>
      </c>
      <c r="B38232" t="s">
        <v>11703</v>
      </c>
    </row>
    <row r="38233" spans="1:2" x14ac:dyDescent="0.25">
      <c r="A38233">
        <v>84281000199</v>
      </c>
      <c r="B38233" t="s">
        <v>10</v>
      </c>
    </row>
    <row r="38234" spans="1:2" x14ac:dyDescent="0.25">
      <c r="A38234">
        <v>842810002</v>
      </c>
      <c r="B38234" t="s">
        <v>11704</v>
      </c>
    </row>
    <row r="38235" spans="1:2" x14ac:dyDescent="0.25">
      <c r="A38235">
        <v>8428100021</v>
      </c>
      <c r="B38235" t="s">
        <v>11703</v>
      </c>
    </row>
    <row r="38236" spans="1:2" x14ac:dyDescent="0.25">
      <c r="A38236">
        <v>84281000211</v>
      </c>
      <c r="B38236" t="s">
        <v>11705</v>
      </c>
    </row>
    <row r="38237" spans="1:2" x14ac:dyDescent="0.25">
      <c r="A38237">
        <v>84281000212</v>
      </c>
      <c r="B38237" t="s">
        <v>11706</v>
      </c>
    </row>
    <row r="38238" spans="1:2" x14ac:dyDescent="0.25">
      <c r="A38238">
        <v>84281000213</v>
      </c>
      <c r="B38238" t="s">
        <v>11707</v>
      </c>
    </row>
    <row r="38239" spans="1:2" x14ac:dyDescent="0.25">
      <c r="A38239">
        <v>84281000214</v>
      </c>
      <c r="B38239" t="s">
        <v>11708</v>
      </c>
    </row>
    <row r="38240" spans="1:2" x14ac:dyDescent="0.25">
      <c r="A38240">
        <v>84281000219</v>
      </c>
      <c r="B38240" t="s">
        <v>10</v>
      </c>
    </row>
    <row r="38241" spans="1:2" x14ac:dyDescent="0.25">
      <c r="A38241">
        <v>8428100022</v>
      </c>
      <c r="B38241" t="s">
        <v>11709</v>
      </c>
    </row>
    <row r="38242" spans="1:2" x14ac:dyDescent="0.25">
      <c r="A38242">
        <v>84281000221</v>
      </c>
      <c r="B38242" t="s">
        <v>11705</v>
      </c>
    </row>
    <row r="38243" spans="1:2" x14ac:dyDescent="0.25">
      <c r="A38243">
        <v>84281000222</v>
      </c>
      <c r="B38243" t="s">
        <v>11706</v>
      </c>
    </row>
    <row r="38244" spans="1:2" x14ac:dyDescent="0.25">
      <c r="A38244">
        <v>84281000223</v>
      </c>
      <c r="B38244" t="s">
        <v>11707</v>
      </c>
    </row>
    <row r="38245" spans="1:2" x14ac:dyDescent="0.25">
      <c r="A38245">
        <v>84281000224</v>
      </c>
      <c r="B38245" t="s">
        <v>11708</v>
      </c>
    </row>
    <row r="38246" spans="1:2" x14ac:dyDescent="0.25">
      <c r="A38246">
        <v>84281000229</v>
      </c>
      <c r="B38246" t="s">
        <v>10</v>
      </c>
    </row>
    <row r="38247" spans="1:2" x14ac:dyDescent="0.25">
      <c r="A38247">
        <v>8428100029</v>
      </c>
      <c r="B38247" t="s">
        <v>10</v>
      </c>
    </row>
    <row r="38248" spans="1:2" x14ac:dyDescent="0.25">
      <c r="A38248">
        <v>84281000291</v>
      </c>
      <c r="B38248" t="s">
        <v>11705</v>
      </c>
    </row>
    <row r="38249" spans="1:2" x14ac:dyDescent="0.25">
      <c r="A38249">
        <v>84281000292</v>
      </c>
      <c r="B38249" t="s">
        <v>11706</v>
      </c>
    </row>
    <row r="38250" spans="1:2" x14ac:dyDescent="0.25">
      <c r="A38250">
        <v>84281000293</v>
      </c>
      <c r="B38250" t="s">
        <v>11707</v>
      </c>
    </row>
    <row r="38251" spans="1:2" x14ac:dyDescent="0.25">
      <c r="A38251">
        <v>84281000294</v>
      </c>
      <c r="B38251" t="s">
        <v>11708</v>
      </c>
    </row>
    <row r="38252" spans="1:2" x14ac:dyDescent="0.25">
      <c r="A38252">
        <v>84281000299</v>
      </c>
      <c r="B38252" t="s">
        <v>10</v>
      </c>
    </row>
    <row r="38253" spans="1:2" x14ac:dyDescent="0.25">
      <c r="A38253">
        <v>84281000300</v>
      </c>
      <c r="B38253" t="s">
        <v>11710</v>
      </c>
    </row>
    <row r="38254" spans="1:2" x14ac:dyDescent="0.25">
      <c r="A38254">
        <v>842820</v>
      </c>
      <c r="B38254" t="e">
        <f>- aparatos elevadores o transportadores. Neumaticos</f>
        <v>#NAME?</v>
      </c>
    </row>
    <row r="38255" spans="1:2" x14ac:dyDescent="0.25">
      <c r="A38255">
        <v>84282010000</v>
      </c>
      <c r="B38255" t="s">
        <v>11711</v>
      </c>
    </row>
    <row r="38256" spans="1:2" x14ac:dyDescent="0.25">
      <c r="A38256">
        <v>84282090</v>
      </c>
      <c r="B38256" t="s">
        <v>10</v>
      </c>
    </row>
    <row r="38257" spans="1:2" x14ac:dyDescent="0.25">
      <c r="A38257">
        <v>84282090100</v>
      </c>
      <c r="B38257" t="s">
        <v>11712</v>
      </c>
    </row>
    <row r="38258" spans="1:2" x14ac:dyDescent="0.25">
      <c r="A38258">
        <v>84282090900</v>
      </c>
      <c r="B38258" t="s">
        <v>10</v>
      </c>
    </row>
    <row r="38259" spans="1:2" x14ac:dyDescent="0.25">
      <c r="A38259">
        <v>84283</v>
      </c>
      <c r="B38259" t="s">
        <v>11713</v>
      </c>
    </row>
    <row r="38260" spans="1:2" x14ac:dyDescent="0.25">
      <c r="A38260">
        <v>84283100000</v>
      </c>
      <c r="B38260" t="e">
        <f>--especialmente concebidos para el interior de minas u otros trabajos subterraneos</f>
        <v>#NAME?</v>
      </c>
    </row>
    <row r="38261" spans="1:2" x14ac:dyDescent="0.25">
      <c r="A38261">
        <v>84283200000</v>
      </c>
      <c r="B38261" t="e">
        <f>--Los demas. de cangilones</f>
        <v>#NAME?</v>
      </c>
    </row>
    <row r="38262" spans="1:2" x14ac:dyDescent="0.25">
      <c r="A38262">
        <v>84283300</v>
      </c>
      <c r="B38262" t="e">
        <f>- - Los demas. de banda o correa</f>
        <v>#NAME?</v>
      </c>
    </row>
    <row r="38263" spans="1:2" x14ac:dyDescent="0.25">
      <c r="A38263">
        <v>84283300100</v>
      </c>
      <c r="B38263" t="s">
        <v>11714</v>
      </c>
    </row>
    <row r="38264" spans="1:2" x14ac:dyDescent="0.25">
      <c r="A38264">
        <v>84283300200</v>
      </c>
      <c r="B38264" t="s">
        <v>11715</v>
      </c>
    </row>
    <row r="38265" spans="1:2" x14ac:dyDescent="0.25">
      <c r="A38265">
        <v>84283300300</v>
      </c>
      <c r="B38265" t="s">
        <v>11716</v>
      </c>
    </row>
    <row r="38266" spans="1:2" x14ac:dyDescent="0.25">
      <c r="A38266">
        <v>84283300900</v>
      </c>
      <c r="B38266" t="s">
        <v>10</v>
      </c>
    </row>
    <row r="38267" spans="1:2" x14ac:dyDescent="0.25">
      <c r="A38267">
        <v>842839</v>
      </c>
      <c r="B38267" t="e">
        <f>- - Los demas</f>
        <v>#NAME?</v>
      </c>
    </row>
    <row r="38268" spans="1:2" x14ac:dyDescent="0.25">
      <c r="A38268">
        <v>84283910000</v>
      </c>
      <c r="B38268" t="s">
        <v>11717</v>
      </c>
    </row>
    <row r="38269" spans="1:2" x14ac:dyDescent="0.25">
      <c r="A38269">
        <v>84283920000</v>
      </c>
      <c r="B38269" t="s">
        <v>11718</v>
      </c>
    </row>
    <row r="38270" spans="1:2" x14ac:dyDescent="0.25">
      <c r="A38270">
        <v>84283930000</v>
      </c>
      <c r="B38270" t="s">
        <v>11719</v>
      </c>
    </row>
    <row r="38271" spans="1:2" x14ac:dyDescent="0.25">
      <c r="A38271">
        <v>84283990</v>
      </c>
      <c r="B38271" t="s">
        <v>10</v>
      </c>
    </row>
    <row r="38272" spans="1:2" x14ac:dyDescent="0.25">
      <c r="A38272">
        <v>84283990100</v>
      </c>
      <c r="B38272" t="s">
        <v>11720</v>
      </c>
    </row>
    <row r="38273" spans="1:2" x14ac:dyDescent="0.25">
      <c r="A38273">
        <v>84283990900</v>
      </c>
      <c r="B38273" t="s">
        <v>10</v>
      </c>
    </row>
    <row r="38274" spans="1:2" x14ac:dyDescent="0.25">
      <c r="A38274">
        <v>84284000000</v>
      </c>
      <c r="B38274" t="e">
        <f>-Escaleras Mecanicas y pasillos moviles</f>
        <v>#NAME?</v>
      </c>
    </row>
    <row r="38275" spans="1:2" x14ac:dyDescent="0.25">
      <c r="A38275">
        <v>84286000</v>
      </c>
      <c r="B38275" t="e">
        <f>- Telefericos (incluidos las telesillas y Los telesquis), Mecanismos de traccion para funiculares</f>
        <v>#NAME?</v>
      </c>
    </row>
    <row r="38276" spans="1:2" x14ac:dyDescent="0.25">
      <c r="A38276">
        <v>84286000100</v>
      </c>
      <c r="B38276" t="s">
        <v>11721</v>
      </c>
    </row>
    <row r="38277" spans="1:2" x14ac:dyDescent="0.25">
      <c r="A38277">
        <v>84286000200</v>
      </c>
      <c r="B38277" t="s">
        <v>11722</v>
      </c>
    </row>
    <row r="38278" spans="1:2" x14ac:dyDescent="0.25">
      <c r="A38278">
        <v>84286000300</v>
      </c>
      <c r="B38278" t="s">
        <v>11723</v>
      </c>
    </row>
    <row r="38279" spans="1:2" x14ac:dyDescent="0.25">
      <c r="A38279">
        <v>84286000400</v>
      </c>
      <c r="B38279" t="s">
        <v>11724</v>
      </c>
    </row>
    <row r="38280" spans="1:2" x14ac:dyDescent="0.25">
      <c r="A38280">
        <v>84286000900</v>
      </c>
      <c r="B38280" t="s">
        <v>10</v>
      </c>
    </row>
    <row r="38281" spans="1:2" x14ac:dyDescent="0.25">
      <c r="A38281">
        <v>842890</v>
      </c>
      <c r="B38281" t="e">
        <f>- las demas maquinas y aparatos</f>
        <v>#NAME?</v>
      </c>
    </row>
    <row r="38282" spans="1:2" x14ac:dyDescent="0.25">
      <c r="A38282">
        <v>84289010000</v>
      </c>
      <c r="B38282" t="s">
        <v>11725</v>
      </c>
    </row>
    <row r="38283" spans="1:2" x14ac:dyDescent="0.25">
      <c r="A38283">
        <v>84289020000</v>
      </c>
      <c r="B38283" t="s">
        <v>11726</v>
      </c>
    </row>
    <row r="38284" spans="1:2" x14ac:dyDescent="0.25">
      <c r="A38284">
        <v>84289030000</v>
      </c>
      <c r="B38284" t="s">
        <v>11727</v>
      </c>
    </row>
    <row r="38285" spans="1:2" x14ac:dyDescent="0.25">
      <c r="A38285">
        <v>84289090</v>
      </c>
      <c r="B38285" t="s">
        <v>10</v>
      </c>
    </row>
    <row r="38286" spans="1:2" x14ac:dyDescent="0.25">
      <c r="A38286">
        <v>84289090100</v>
      </c>
      <c r="B38286" t="s">
        <v>11728</v>
      </c>
    </row>
    <row r="38287" spans="1:2" x14ac:dyDescent="0.25">
      <c r="A38287">
        <v>84289090200</v>
      </c>
      <c r="B38287" t="s">
        <v>11729</v>
      </c>
    </row>
    <row r="38288" spans="1:2" x14ac:dyDescent="0.25">
      <c r="A38288">
        <v>84289090300</v>
      </c>
      <c r="B38288" t="s">
        <v>11730</v>
      </c>
    </row>
    <row r="38289" spans="1:2" x14ac:dyDescent="0.25">
      <c r="A38289">
        <v>84289090400</v>
      </c>
      <c r="B38289" t="s">
        <v>11731</v>
      </c>
    </row>
    <row r="38290" spans="1:2" x14ac:dyDescent="0.25">
      <c r="A38290">
        <v>84289090500</v>
      </c>
      <c r="B38290" t="s">
        <v>11627</v>
      </c>
    </row>
    <row r="38291" spans="1:2" x14ac:dyDescent="0.25">
      <c r="A38291">
        <v>842890906</v>
      </c>
      <c r="B38291" t="s">
        <v>11732</v>
      </c>
    </row>
    <row r="38292" spans="1:2" x14ac:dyDescent="0.25">
      <c r="A38292">
        <v>84289090610</v>
      </c>
      <c r="B38292" t="s">
        <v>11733</v>
      </c>
    </row>
    <row r="38293" spans="1:2" x14ac:dyDescent="0.25">
      <c r="A38293">
        <v>84289090620</v>
      </c>
      <c r="B38293" t="s">
        <v>11734</v>
      </c>
    </row>
    <row r="38294" spans="1:2" x14ac:dyDescent="0.25">
      <c r="A38294">
        <v>84289090630</v>
      </c>
      <c r="B38294" t="s">
        <v>11735</v>
      </c>
    </row>
    <row r="38295" spans="1:2" x14ac:dyDescent="0.25">
      <c r="A38295">
        <v>84289090640</v>
      </c>
      <c r="B38295" t="s">
        <v>11736</v>
      </c>
    </row>
    <row r="38296" spans="1:2" x14ac:dyDescent="0.25">
      <c r="A38296">
        <v>84289090650</v>
      </c>
      <c r="B38296" t="s">
        <v>11737</v>
      </c>
    </row>
    <row r="38297" spans="1:2" x14ac:dyDescent="0.25">
      <c r="A38297">
        <v>84289090660</v>
      </c>
      <c r="B38297" t="s">
        <v>11738</v>
      </c>
    </row>
    <row r="38298" spans="1:2" x14ac:dyDescent="0.25">
      <c r="A38298">
        <v>84289090690</v>
      </c>
      <c r="B38298" t="s">
        <v>57</v>
      </c>
    </row>
    <row r="38299" spans="1:2" x14ac:dyDescent="0.25">
      <c r="A38299">
        <v>84289090900</v>
      </c>
      <c r="B38299" t="s">
        <v>10</v>
      </c>
    </row>
    <row r="38300" spans="1:2" x14ac:dyDescent="0.25">
      <c r="A38300">
        <v>8429</v>
      </c>
      <c r="B38300" t="s">
        <v>11739</v>
      </c>
    </row>
    <row r="38301" spans="1:2" x14ac:dyDescent="0.25">
      <c r="A38301">
        <v>84291</v>
      </c>
      <c r="B38301" t="s">
        <v>11740</v>
      </c>
    </row>
    <row r="38302" spans="1:2" x14ac:dyDescent="0.25">
      <c r="A38302">
        <v>842911</v>
      </c>
      <c r="B38302" t="e">
        <f>- - de orugas</f>
        <v>#NAME?</v>
      </c>
    </row>
    <row r="38303" spans="1:2" x14ac:dyDescent="0.25">
      <c r="A38303">
        <v>84291110000</v>
      </c>
      <c r="B38303" t="s">
        <v>11741</v>
      </c>
    </row>
    <row r="38304" spans="1:2" x14ac:dyDescent="0.25">
      <c r="A38304">
        <v>84291190000</v>
      </c>
      <c r="B38304" t="s">
        <v>57</v>
      </c>
    </row>
    <row r="38305" spans="1:2" x14ac:dyDescent="0.25">
      <c r="A38305">
        <v>842919</v>
      </c>
      <c r="B38305" t="e">
        <f>- - las demas</f>
        <v>#NAME?</v>
      </c>
    </row>
    <row r="38306" spans="1:2" x14ac:dyDescent="0.25">
      <c r="A38306">
        <v>84291910000</v>
      </c>
      <c r="B38306" t="s">
        <v>11742</v>
      </c>
    </row>
    <row r="38307" spans="1:2" x14ac:dyDescent="0.25">
      <c r="A38307">
        <v>84291990000</v>
      </c>
      <c r="B38307" t="s">
        <v>57</v>
      </c>
    </row>
    <row r="38308" spans="1:2" x14ac:dyDescent="0.25">
      <c r="A38308">
        <v>842920</v>
      </c>
      <c r="B38308" t="e">
        <f>- Niveladoras</f>
        <v>#NAME?</v>
      </c>
    </row>
    <row r="38309" spans="1:2" x14ac:dyDescent="0.25">
      <c r="A38309">
        <v>84292010000</v>
      </c>
      <c r="B38309" t="s">
        <v>11743</v>
      </c>
    </row>
    <row r="38310" spans="1:2" x14ac:dyDescent="0.25">
      <c r="A38310">
        <v>84292090000</v>
      </c>
      <c r="B38310" t="s">
        <v>57</v>
      </c>
    </row>
    <row r="38311" spans="1:2" x14ac:dyDescent="0.25">
      <c r="A38311">
        <v>84293000000</v>
      </c>
      <c r="B38311" t="s">
        <v>11744</v>
      </c>
    </row>
    <row r="38312" spans="1:2" x14ac:dyDescent="0.25">
      <c r="A38312">
        <v>84294000000</v>
      </c>
      <c r="B38312" t="e">
        <f>-Compactadoras y apisonadoras (aplanadoras)</f>
        <v>#NAME?</v>
      </c>
    </row>
    <row r="38313" spans="1:2" x14ac:dyDescent="0.25">
      <c r="A38313">
        <v>84295</v>
      </c>
      <c r="B38313" t="s">
        <v>11745</v>
      </c>
    </row>
    <row r="38314" spans="1:2" x14ac:dyDescent="0.25">
      <c r="A38314">
        <v>842951</v>
      </c>
      <c r="B38314" t="e">
        <f>- - cargadoras y palas cargadoras de carga frontal</f>
        <v>#NAME?</v>
      </c>
    </row>
    <row r="38315" spans="1:2" x14ac:dyDescent="0.25">
      <c r="A38315">
        <v>8429511</v>
      </c>
      <c r="B38315" t="s">
        <v>11746</v>
      </c>
    </row>
    <row r="38316" spans="1:2" x14ac:dyDescent="0.25">
      <c r="A38316">
        <v>84295111000</v>
      </c>
      <c r="B38316" t="s">
        <v>11747</v>
      </c>
    </row>
    <row r="38317" spans="1:2" x14ac:dyDescent="0.25">
      <c r="A38317">
        <v>84295119000</v>
      </c>
      <c r="B38317" t="s">
        <v>57</v>
      </c>
    </row>
    <row r="38318" spans="1:2" x14ac:dyDescent="0.25">
      <c r="A38318">
        <v>8429512</v>
      </c>
      <c r="B38318" t="s">
        <v>11748</v>
      </c>
    </row>
    <row r="38319" spans="1:2" x14ac:dyDescent="0.25">
      <c r="A38319">
        <v>84295121000</v>
      </c>
      <c r="B38319" t="s">
        <v>11749</v>
      </c>
    </row>
    <row r="38320" spans="1:2" x14ac:dyDescent="0.25">
      <c r="A38320">
        <v>84295129000</v>
      </c>
      <c r="B38320" t="s">
        <v>57</v>
      </c>
    </row>
    <row r="38321" spans="1:2" x14ac:dyDescent="0.25">
      <c r="A38321">
        <v>8429519</v>
      </c>
      <c r="B38321" t="s">
        <v>57</v>
      </c>
    </row>
    <row r="38322" spans="1:2" x14ac:dyDescent="0.25">
      <c r="A38322">
        <v>84295191000</v>
      </c>
      <c r="B38322" t="s">
        <v>11750</v>
      </c>
    </row>
    <row r="38323" spans="1:2" x14ac:dyDescent="0.25">
      <c r="A38323">
        <v>84295192000</v>
      </c>
      <c r="B38323" t="s">
        <v>11751</v>
      </c>
    </row>
    <row r="38324" spans="1:2" x14ac:dyDescent="0.25">
      <c r="A38324">
        <v>84295199000</v>
      </c>
      <c r="B38324" t="s">
        <v>57</v>
      </c>
    </row>
    <row r="38325" spans="1:2" x14ac:dyDescent="0.25">
      <c r="A38325">
        <v>842952</v>
      </c>
      <c r="B38325" t="s">
        <v>11752</v>
      </c>
    </row>
    <row r="38326" spans="1:2" x14ac:dyDescent="0.25">
      <c r="A38326">
        <v>8429521</v>
      </c>
      <c r="B38326" t="s">
        <v>11753</v>
      </c>
    </row>
    <row r="38327" spans="1:2" x14ac:dyDescent="0.25">
      <c r="A38327">
        <v>84295211000</v>
      </c>
      <c r="B38327" t="s">
        <v>11754</v>
      </c>
    </row>
    <row r="38328" spans="1:2" x14ac:dyDescent="0.25">
      <c r="A38328">
        <v>84295212000</v>
      </c>
      <c r="B38328" t="s">
        <v>11755</v>
      </c>
    </row>
    <row r="38329" spans="1:2" x14ac:dyDescent="0.25">
      <c r="A38329">
        <v>84295219000</v>
      </c>
      <c r="B38329" t="s">
        <v>57</v>
      </c>
    </row>
    <row r="38330" spans="1:2" x14ac:dyDescent="0.25">
      <c r="A38330">
        <v>84295220000</v>
      </c>
      <c r="B38330" t="s">
        <v>11756</v>
      </c>
    </row>
    <row r="38331" spans="1:2" x14ac:dyDescent="0.25">
      <c r="A38331">
        <v>84295290000</v>
      </c>
      <c r="B38331" t="s">
        <v>57</v>
      </c>
    </row>
    <row r="38332" spans="1:2" x14ac:dyDescent="0.25">
      <c r="A38332">
        <v>84295900</v>
      </c>
      <c r="B38332" t="e">
        <f>- - las demas</f>
        <v>#NAME?</v>
      </c>
    </row>
    <row r="38333" spans="1:2" x14ac:dyDescent="0.25">
      <c r="A38333">
        <v>84295900100</v>
      </c>
      <c r="B38333" t="s">
        <v>11757</v>
      </c>
    </row>
    <row r="38334" spans="1:2" x14ac:dyDescent="0.25">
      <c r="A38334">
        <v>84295900200</v>
      </c>
      <c r="B38334" t="s">
        <v>11753</v>
      </c>
    </row>
    <row r="38335" spans="1:2" x14ac:dyDescent="0.25">
      <c r="A38335">
        <v>84295900900</v>
      </c>
      <c r="B38335" t="s">
        <v>57</v>
      </c>
    </row>
    <row r="38336" spans="1:2" x14ac:dyDescent="0.25">
      <c r="A38336">
        <v>8430</v>
      </c>
      <c r="B38336" t="s">
        <v>11758</v>
      </c>
    </row>
    <row r="38337" spans="1:2" x14ac:dyDescent="0.25">
      <c r="A38337">
        <v>84301000</v>
      </c>
      <c r="B38337" t="e">
        <f>- Martinetes y maquinas para arrancar pilotes. estacas o similares</f>
        <v>#NAME?</v>
      </c>
    </row>
    <row r="38338" spans="1:2" x14ac:dyDescent="0.25">
      <c r="A38338">
        <v>84301000100</v>
      </c>
      <c r="B38338" t="s">
        <v>11759</v>
      </c>
    </row>
    <row r="38339" spans="1:2" x14ac:dyDescent="0.25">
      <c r="A38339">
        <v>84301000900</v>
      </c>
      <c r="B38339" t="s">
        <v>57</v>
      </c>
    </row>
    <row r="38340" spans="1:2" x14ac:dyDescent="0.25">
      <c r="A38340">
        <v>84302000000</v>
      </c>
      <c r="B38340" t="e">
        <f>-Quitanieves</f>
        <v>#NAME?</v>
      </c>
    </row>
    <row r="38341" spans="1:2" x14ac:dyDescent="0.25">
      <c r="A38341">
        <v>84303</v>
      </c>
      <c r="B38341" t="s">
        <v>11760</v>
      </c>
    </row>
    <row r="38342" spans="1:2" x14ac:dyDescent="0.25">
      <c r="A38342">
        <v>843031</v>
      </c>
      <c r="B38342" t="e">
        <f>- - autopropulsadas</f>
        <v>#NAME?</v>
      </c>
    </row>
    <row r="38343" spans="1:2" x14ac:dyDescent="0.25">
      <c r="A38343">
        <v>84303110000</v>
      </c>
      <c r="B38343" t="s">
        <v>11761</v>
      </c>
    </row>
    <row r="38344" spans="1:2" x14ac:dyDescent="0.25">
      <c r="A38344">
        <v>84303190000</v>
      </c>
      <c r="B38344" t="s">
        <v>57</v>
      </c>
    </row>
    <row r="38345" spans="1:2" x14ac:dyDescent="0.25">
      <c r="A38345">
        <v>843039</v>
      </c>
      <c r="B38345" t="e">
        <f>- - las demas</f>
        <v>#NAME?</v>
      </c>
    </row>
    <row r="38346" spans="1:2" x14ac:dyDescent="0.25">
      <c r="A38346">
        <v>84303910000</v>
      </c>
      <c r="B38346" t="s">
        <v>11761</v>
      </c>
    </row>
    <row r="38347" spans="1:2" x14ac:dyDescent="0.25">
      <c r="A38347">
        <v>84303990000</v>
      </c>
      <c r="B38347" t="s">
        <v>57</v>
      </c>
    </row>
    <row r="38348" spans="1:2" x14ac:dyDescent="0.25">
      <c r="A38348">
        <v>84304</v>
      </c>
      <c r="B38348" t="s">
        <v>11762</v>
      </c>
    </row>
    <row r="38349" spans="1:2" x14ac:dyDescent="0.25">
      <c r="A38349">
        <v>843041</v>
      </c>
      <c r="B38349" t="e">
        <f>- - autopropulsadas</f>
        <v>#NAME?</v>
      </c>
    </row>
    <row r="38350" spans="1:2" x14ac:dyDescent="0.25">
      <c r="A38350">
        <v>84304110000</v>
      </c>
      <c r="B38350" t="s">
        <v>11763</v>
      </c>
    </row>
    <row r="38351" spans="1:2" x14ac:dyDescent="0.25">
      <c r="A38351">
        <v>84304120000</v>
      </c>
      <c r="B38351" t="s">
        <v>11764</v>
      </c>
    </row>
    <row r="38352" spans="1:2" x14ac:dyDescent="0.25">
      <c r="A38352">
        <v>84304130000</v>
      </c>
      <c r="B38352" t="s">
        <v>11765</v>
      </c>
    </row>
    <row r="38353" spans="1:2" x14ac:dyDescent="0.25">
      <c r="A38353">
        <v>84304190000</v>
      </c>
      <c r="B38353" t="s">
        <v>57</v>
      </c>
    </row>
    <row r="38354" spans="1:2" x14ac:dyDescent="0.25">
      <c r="A38354">
        <v>843049</v>
      </c>
      <c r="B38354" t="e">
        <f>- - las demas</f>
        <v>#NAME?</v>
      </c>
    </row>
    <row r="38355" spans="1:2" x14ac:dyDescent="0.25">
      <c r="A38355">
        <v>84304910000</v>
      </c>
      <c r="B38355" t="s">
        <v>11763</v>
      </c>
    </row>
    <row r="38356" spans="1:2" x14ac:dyDescent="0.25">
      <c r="A38356">
        <v>84304920000</v>
      </c>
      <c r="B38356" t="s">
        <v>11765</v>
      </c>
    </row>
    <row r="38357" spans="1:2" x14ac:dyDescent="0.25">
      <c r="A38357">
        <v>84304990000</v>
      </c>
      <c r="B38357" t="s">
        <v>57</v>
      </c>
    </row>
    <row r="38358" spans="1:2" x14ac:dyDescent="0.25">
      <c r="A38358">
        <v>84305000000</v>
      </c>
      <c r="B38358" t="e">
        <f>-las demas maquinas y aparatos. autopropulsados</f>
        <v>#NAME?</v>
      </c>
    </row>
    <row r="38359" spans="1:2" x14ac:dyDescent="0.25">
      <c r="A38359">
        <v>84306</v>
      </c>
      <c r="B38359" t="s">
        <v>11766</v>
      </c>
    </row>
    <row r="38360" spans="1:2" x14ac:dyDescent="0.25">
      <c r="A38360">
        <v>84306100</v>
      </c>
      <c r="B38360" t="e">
        <f>- - maquinas y aparatos de compactar o apisonar (aplanar)</f>
        <v>#NAME?</v>
      </c>
    </row>
    <row r="38361" spans="1:2" x14ac:dyDescent="0.25">
      <c r="A38361">
        <v>843061001</v>
      </c>
      <c r="B38361" t="s">
        <v>11767</v>
      </c>
    </row>
    <row r="38362" spans="1:2" x14ac:dyDescent="0.25">
      <c r="A38362">
        <v>84306100110</v>
      </c>
      <c r="B38362" t="s">
        <v>11768</v>
      </c>
    </row>
    <row r="38363" spans="1:2" x14ac:dyDescent="0.25">
      <c r="A38363">
        <v>84306100120</v>
      </c>
      <c r="B38363" t="s">
        <v>11769</v>
      </c>
    </row>
    <row r="38364" spans="1:2" x14ac:dyDescent="0.25">
      <c r="A38364">
        <v>84306100130</v>
      </c>
      <c r="B38364" t="s">
        <v>11770</v>
      </c>
    </row>
    <row r="38365" spans="1:2" x14ac:dyDescent="0.25">
      <c r="A38365">
        <v>84306100190</v>
      </c>
      <c r="B38365" t="s">
        <v>10</v>
      </c>
    </row>
    <row r="38366" spans="1:2" x14ac:dyDescent="0.25">
      <c r="A38366">
        <v>84306100200</v>
      </c>
      <c r="B38366" t="s">
        <v>11771</v>
      </c>
    </row>
    <row r="38367" spans="1:2" x14ac:dyDescent="0.25">
      <c r="A38367">
        <v>84306100900</v>
      </c>
      <c r="B38367" t="s">
        <v>10</v>
      </c>
    </row>
    <row r="38368" spans="1:2" x14ac:dyDescent="0.25">
      <c r="A38368">
        <v>843069</v>
      </c>
      <c r="B38368" t="e">
        <f>- - Los demas</f>
        <v>#NAME?</v>
      </c>
    </row>
    <row r="38369" spans="1:2" x14ac:dyDescent="0.25">
      <c r="A38369">
        <v>8430691</v>
      </c>
      <c r="B38369" t="s">
        <v>11772</v>
      </c>
    </row>
    <row r="38370" spans="1:2" x14ac:dyDescent="0.25">
      <c r="A38370">
        <v>84306911000</v>
      </c>
      <c r="B38370" t="s">
        <v>11773</v>
      </c>
    </row>
    <row r="38371" spans="1:2" x14ac:dyDescent="0.25">
      <c r="A38371">
        <v>84306919000</v>
      </c>
      <c r="B38371" t="s">
        <v>10</v>
      </c>
    </row>
    <row r="38372" spans="1:2" x14ac:dyDescent="0.25">
      <c r="A38372">
        <v>84306990</v>
      </c>
      <c r="B38372" t="s">
        <v>10</v>
      </c>
    </row>
    <row r="38373" spans="1:2" x14ac:dyDescent="0.25">
      <c r="A38373">
        <v>84306990100</v>
      </c>
      <c r="B38373" t="s">
        <v>11774</v>
      </c>
    </row>
    <row r="38374" spans="1:2" x14ac:dyDescent="0.25">
      <c r="A38374">
        <v>84306990900</v>
      </c>
      <c r="B38374" t="s">
        <v>10</v>
      </c>
    </row>
    <row r="38375" spans="1:2" x14ac:dyDescent="0.25">
      <c r="A38375">
        <v>8431</v>
      </c>
      <c r="B38375" t="s">
        <v>11775</v>
      </c>
    </row>
    <row r="38376" spans="1:2" x14ac:dyDescent="0.25">
      <c r="A38376">
        <v>843110</v>
      </c>
      <c r="B38376" t="s">
        <v>11776</v>
      </c>
    </row>
    <row r="38377" spans="1:2" x14ac:dyDescent="0.25">
      <c r="A38377">
        <v>84311010000</v>
      </c>
      <c r="B38377" t="s">
        <v>11777</v>
      </c>
    </row>
    <row r="38378" spans="1:2" x14ac:dyDescent="0.25">
      <c r="A38378">
        <v>84311090000</v>
      </c>
      <c r="B38378" t="s">
        <v>57</v>
      </c>
    </row>
    <row r="38379" spans="1:2" x14ac:dyDescent="0.25">
      <c r="A38379">
        <v>843120</v>
      </c>
      <c r="B38379" t="s">
        <v>11778</v>
      </c>
    </row>
    <row r="38380" spans="1:2" x14ac:dyDescent="0.25">
      <c r="A38380">
        <v>8431201</v>
      </c>
      <c r="B38380" t="s">
        <v>11779</v>
      </c>
    </row>
    <row r="38381" spans="1:2" x14ac:dyDescent="0.25">
      <c r="A38381">
        <v>84312011</v>
      </c>
      <c r="B38381" t="s">
        <v>11780</v>
      </c>
    </row>
    <row r="38382" spans="1:2" x14ac:dyDescent="0.25">
      <c r="A38382">
        <v>84312011100</v>
      </c>
      <c r="B38382" t="s">
        <v>11781</v>
      </c>
    </row>
    <row r="38383" spans="1:2" x14ac:dyDescent="0.25">
      <c r="A38383">
        <v>84312011900</v>
      </c>
      <c r="B38383" t="s">
        <v>57</v>
      </c>
    </row>
    <row r="38384" spans="1:2" x14ac:dyDescent="0.25">
      <c r="A38384">
        <v>84312019</v>
      </c>
      <c r="B38384" t="s">
        <v>11782</v>
      </c>
    </row>
    <row r="38385" spans="1:2" x14ac:dyDescent="0.25">
      <c r="A38385">
        <v>84312019100</v>
      </c>
      <c r="B38385" t="s">
        <v>11781</v>
      </c>
    </row>
    <row r="38386" spans="1:2" x14ac:dyDescent="0.25">
      <c r="A38386">
        <v>84312019900</v>
      </c>
      <c r="B38386" t="s">
        <v>57</v>
      </c>
    </row>
    <row r="38387" spans="1:2" x14ac:dyDescent="0.25">
      <c r="A38387">
        <v>84312090000</v>
      </c>
      <c r="B38387" t="s">
        <v>57</v>
      </c>
    </row>
    <row r="38388" spans="1:2" x14ac:dyDescent="0.25">
      <c r="A38388">
        <v>84313</v>
      </c>
      <c r="B38388" t="s">
        <v>11783</v>
      </c>
    </row>
    <row r="38389" spans="1:2" x14ac:dyDescent="0.25">
      <c r="A38389">
        <v>843131</v>
      </c>
      <c r="B38389" t="e">
        <f>- - de ascensores. montacargas o Escaleras Mecanicas</f>
        <v>#NAME?</v>
      </c>
    </row>
    <row r="38390" spans="1:2" x14ac:dyDescent="0.25">
      <c r="A38390">
        <v>84313110</v>
      </c>
      <c r="B38390" t="s">
        <v>11784</v>
      </c>
    </row>
    <row r="38391" spans="1:2" x14ac:dyDescent="0.25">
      <c r="A38391">
        <v>84313110100</v>
      </c>
      <c r="B38391" t="s">
        <v>11785</v>
      </c>
    </row>
    <row r="38392" spans="1:2" x14ac:dyDescent="0.25">
      <c r="A38392">
        <v>84313110200</v>
      </c>
      <c r="B38392" t="s">
        <v>11786</v>
      </c>
    </row>
    <row r="38393" spans="1:2" x14ac:dyDescent="0.25">
      <c r="A38393">
        <v>84313110300</v>
      </c>
      <c r="B38393" t="s">
        <v>11787</v>
      </c>
    </row>
    <row r="38394" spans="1:2" x14ac:dyDescent="0.25">
      <c r="A38394">
        <v>84313110400</v>
      </c>
      <c r="B38394" t="s">
        <v>11788</v>
      </c>
    </row>
    <row r="38395" spans="1:2" x14ac:dyDescent="0.25">
      <c r="A38395">
        <v>84313110900</v>
      </c>
      <c r="B38395" t="s">
        <v>10</v>
      </c>
    </row>
    <row r="38396" spans="1:2" x14ac:dyDescent="0.25">
      <c r="A38396">
        <v>84313190</v>
      </c>
      <c r="B38396" t="s">
        <v>57</v>
      </c>
    </row>
    <row r="38397" spans="1:2" x14ac:dyDescent="0.25">
      <c r="A38397">
        <v>84313190100</v>
      </c>
      <c r="B38397" t="s">
        <v>11789</v>
      </c>
    </row>
    <row r="38398" spans="1:2" x14ac:dyDescent="0.25">
      <c r="A38398">
        <v>84313190200</v>
      </c>
      <c r="B38398" t="s">
        <v>11786</v>
      </c>
    </row>
    <row r="38399" spans="1:2" x14ac:dyDescent="0.25">
      <c r="A38399">
        <v>84313190300</v>
      </c>
      <c r="B38399" t="s">
        <v>11788</v>
      </c>
    </row>
    <row r="38400" spans="1:2" x14ac:dyDescent="0.25">
      <c r="A38400">
        <v>84313190400</v>
      </c>
      <c r="B38400" t="s">
        <v>11790</v>
      </c>
    </row>
    <row r="38401" spans="1:2" x14ac:dyDescent="0.25">
      <c r="A38401">
        <v>84313190900</v>
      </c>
      <c r="B38401" t="s">
        <v>10</v>
      </c>
    </row>
    <row r="38402" spans="1:2" x14ac:dyDescent="0.25">
      <c r="A38402">
        <v>84313900000</v>
      </c>
      <c r="B38402" t="e">
        <f>--las demas</f>
        <v>#NAME?</v>
      </c>
    </row>
    <row r="38403" spans="1:2" x14ac:dyDescent="0.25">
      <c r="A38403">
        <v>84314</v>
      </c>
      <c r="B38403" t="s">
        <v>11791</v>
      </c>
    </row>
    <row r="38404" spans="1:2" x14ac:dyDescent="0.25">
      <c r="A38404">
        <v>84314100000</v>
      </c>
      <c r="B38404" t="e">
        <f>--Cangilones. cucharas. cucharas de almeja. palas y garras o pinzas</f>
        <v>#NAME?</v>
      </c>
    </row>
    <row r="38405" spans="1:2" x14ac:dyDescent="0.25">
      <c r="A38405">
        <v>84314200000</v>
      </c>
      <c r="B38405" t="s">
        <v>11792</v>
      </c>
    </row>
    <row r="38406" spans="1:2" x14ac:dyDescent="0.25">
      <c r="A38406">
        <v>843143</v>
      </c>
      <c r="B38406" t="s">
        <v>11793</v>
      </c>
    </row>
    <row r="38407" spans="1:2" x14ac:dyDescent="0.25">
      <c r="A38407">
        <v>84314310000</v>
      </c>
      <c r="B38407" t="s">
        <v>11794</v>
      </c>
    </row>
    <row r="38408" spans="1:2" x14ac:dyDescent="0.25">
      <c r="A38408">
        <v>84314390000</v>
      </c>
      <c r="B38408" t="s">
        <v>57</v>
      </c>
    </row>
    <row r="38409" spans="1:2" x14ac:dyDescent="0.25">
      <c r="A38409">
        <v>843149</v>
      </c>
      <c r="B38409" t="e">
        <f>- - las demas</f>
        <v>#NAME?</v>
      </c>
    </row>
    <row r="38410" spans="1:2" x14ac:dyDescent="0.25">
      <c r="A38410">
        <v>84314910000</v>
      </c>
      <c r="B38410" t="s">
        <v>11795</v>
      </c>
    </row>
    <row r="38411" spans="1:2" x14ac:dyDescent="0.25">
      <c r="A38411">
        <v>8431492</v>
      </c>
      <c r="B38411" t="s">
        <v>11796</v>
      </c>
    </row>
    <row r="38412" spans="1:2" x14ac:dyDescent="0.25">
      <c r="A38412">
        <v>84314921</v>
      </c>
      <c r="B38412" t="s">
        <v>11785</v>
      </c>
    </row>
    <row r="38413" spans="1:2" x14ac:dyDescent="0.25">
      <c r="A38413">
        <v>84314921100</v>
      </c>
      <c r="B38413" t="s">
        <v>11797</v>
      </c>
    </row>
    <row r="38414" spans="1:2" x14ac:dyDescent="0.25">
      <c r="A38414">
        <v>84314921900</v>
      </c>
      <c r="B38414" t="s">
        <v>57</v>
      </c>
    </row>
    <row r="38415" spans="1:2" x14ac:dyDescent="0.25">
      <c r="A38415">
        <v>84314922</v>
      </c>
      <c r="B38415" t="s">
        <v>11798</v>
      </c>
    </row>
    <row r="38416" spans="1:2" x14ac:dyDescent="0.25">
      <c r="A38416">
        <v>84314922100</v>
      </c>
      <c r="B38416" t="s">
        <v>11797</v>
      </c>
    </row>
    <row r="38417" spans="1:2" x14ac:dyDescent="0.25">
      <c r="A38417">
        <v>84314922900</v>
      </c>
      <c r="B38417" t="s">
        <v>57</v>
      </c>
    </row>
    <row r="38418" spans="1:2" x14ac:dyDescent="0.25">
      <c r="A38418">
        <v>84314923000</v>
      </c>
      <c r="B38418" t="s">
        <v>11799</v>
      </c>
    </row>
    <row r="38419" spans="1:2" x14ac:dyDescent="0.25">
      <c r="A38419">
        <v>84314929</v>
      </c>
      <c r="B38419" t="s">
        <v>57</v>
      </c>
    </row>
    <row r="38420" spans="1:2" x14ac:dyDescent="0.25">
      <c r="A38420">
        <v>84314929100</v>
      </c>
      <c r="B38420" t="s">
        <v>11797</v>
      </c>
    </row>
    <row r="38421" spans="1:2" x14ac:dyDescent="0.25">
      <c r="A38421">
        <v>84314929900</v>
      </c>
      <c r="B38421" t="s">
        <v>57</v>
      </c>
    </row>
    <row r="38422" spans="1:2" x14ac:dyDescent="0.25">
      <c r="A38422">
        <v>8432</v>
      </c>
      <c r="B38422" t="s">
        <v>11800</v>
      </c>
    </row>
    <row r="38423" spans="1:2" x14ac:dyDescent="0.25">
      <c r="A38423">
        <v>84321000000</v>
      </c>
      <c r="B38423" t="e">
        <f>-Arados</f>
        <v>#NAME?</v>
      </c>
    </row>
    <row r="38424" spans="1:2" x14ac:dyDescent="0.25">
      <c r="A38424">
        <v>84322</v>
      </c>
      <c r="B38424" t="s">
        <v>11801</v>
      </c>
    </row>
    <row r="38425" spans="1:2" x14ac:dyDescent="0.25">
      <c r="A38425">
        <v>84322100000</v>
      </c>
      <c r="B38425" t="e">
        <f>--Gradas (rastras) de discos</f>
        <v>#NAME?</v>
      </c>
    </row>
    <row r="38426" spans="1:2" x14ac:dyDescent="0.25">
      <c r="A38426">
        <v>84322900</v>
      </c>
      <c r="B38426" t="e">
        <f>- - Los demas</f>
        <v>#NAME?</v>
      </c>
    </row>
    <row r="38427" spans="1:2" x14ac:dyDescent="0.25">
      <c r="A38427">
        <v>84322900100</v>
      </c>
      <c r="B38427" t="s">
        <v>11802</v>
      </c>
    </row>
    <row r="38428" spans="1:2" x14ac:dyDescent="0.25">
      <c r="A38428">
        <v>84322900200</v>
      </c>
      <c r="B38428" t="s">
        <v>11803</v>
      </c>
    </row>
    <row r="38429" spans="1:2" x14ac:dyDescent="0.25">
      <c r="A38429">
        <v>84322900300</v>
      </c>
      <c r="B38429" t="s">
        <v>11804</v>
      </c>
    </row>
    <row r="38430" spans="1:2" x14ac:dyDescent="0.25">
      <c r="A38430">
        <v>84322900400</v>
      </c>
      <c r="B38430" t="s">
        <v>11805</v>
      </c>
    </row>
    <row r="38431" spans="1:2" x14ac:dyDescent="0.25">
      <c r="A38431">
        <v>84322900500</v>
      </c>
      <c r="B38431" t="s">
        <v>11806</v>
      </c>
    </row>
    <row r="38432" spans="1:2" x14ac:dyDescent="0.25">
      <c r="A38432">
        <v>84322900600</v>
      </c>
      <c r="B38432" t="s">
        <v>11807</v>
      </c>
    </row>
    <row r="38433" spans="1:2" x14ac:dyDescent="0.25">
      <c r="A38433">
        <v>84322900700</v>
      </c>
      <c r="B38433" t="s">
        <v>11808</v>
      </c>
    </row>
    <row r="38434" spans="1:2" x14ac:dyDescent="0.25">
      <c r="A38434">
        <v>84322900900</v>
      </c>
      <c r="B38434" t="s">
        <v>10</v>
      </c>
    </row>
    <row r="38435" spans="1:2" x14ac:dyDescent="0.25">
      <c r="A38435">
        <v>84323</v>
      </c>
      <c r="B38435" t="s">
        <v>11809</v>
      </c>
    </row>
    <row r="38436" spans="1:2" x14ac:dyDescent="0.25">
      <c r="A38436">
        <v>843231</v>
      </c>
      <c r="B38436" t="e">
        <f>- - Sembradoras. plantadoras y trasplantadoras. para siembra directa.</f>
        <v>#NAME?</v>
      </c>
    </row>
    <row r="38437" spans="1:2" x14ac:dyDescent="0.25">
      <c r="A38437">
        <v>84323110</v>
      </c>
      <c r="B38437" t="s">
        <v>11810</v>
      </c>
    </row>
    <row r="38438" spans="1:2" x14ac:dyDescent="0.25">
      <c r="A38438">
        <v>84323110100</v>
      </c>
      <c r="B38438" t="s">
        <v>11759</v>
      </c>
    </row>
    <row r="38439" spans="1:2" x14ac:dyDescent="0.25">
      <c r="A38439">
        <v>84323110900</v>
      </c>
      <c r="B38439" t="s">
        <v>57</v>
      </c>
    </row>
    <row r="38440" spans="1:2" x14ac:dyDescent="0.25">
      <c r="A38440">
        <v>84323190</v>
      </c>
      <c r="B38440" t="s">
        <v>57</v>
      </c>
    </row>
    <row r="38441" spans="1:2" x14ac:dyDescent="0.25">
      <c r="A38441">
        <v>843231901</v>
      </c>
      <c r="B38441" t="s">
        <v>11759</v>
      </c>
    </row>
    <row r="38442" spans="1:2" x14ac:dyDescent="0.25">
      <c r="A38442">
        <v>84323190110</v>
      </c>
      <c r="B38442" t="s">
        <v>11811</v>
      </c>
    </row>
    <row r="38443" spans="1:2" x14ac:dyDescent="0.25">
      <c r="A38443">
        <v>84323190190</v>
      </c>
      <c r="B38443" t="s">
        <v>57</v>
      </c>
    </row>
    <row r="38444" spans="1:2" x14ac:dyDescent="0.25">
      <c r="A38444">
        <v>84323190900</v>
      </c>
      <c r="B38444" t="s">
        <v>10</v>
      </c>
    </row>
    <row r="38445" spans="1:2" x14ac:dyDescent="0.25">
      <c r="A38445">
        <v>843239</v>
      </c>
      <c r="B38445" t="e">
        <f>- - las demas.</f>
        <v>#NAME?</v>
      </c>
    </row>
    <row r="38446" spans="1:2" x14ac:dyDescent="0.25">
      <c r="A38446">
        <v>84323910</v>
      </c>
      <c r="B38446" t="s">
        <v>11810</v>
      </c>
    </row>
    <row r="38447" spans="1:2" x14ac:dyDescent="0.25">
      <c r="A38447">
        <v>84323910100</v>
      </c>
      <c r="B38447" t="s">
        <v>11759</v>
      </c>
    </row>
    <row r="38448" spans="1:2" x14ac:dyDescent="0.25">
      <c r="A38448">
        <v>84323910900</v>
      </c>
      <c r="B38448" t="s">
        <v>57</v>
      </c>
    </row>
    <row r="38449" spans="1:2" x14ac:dyDescent="0.25">
      <c r="A38449">
        <v>84323990</v>
      </c>
      <c r="B38449" t="s">
        <v>57</v>
      </c>
    </row>
    <row r="38450" spans="1:2" x14ac:dyDescent="0.25">
      <c r="A38450">
        <v>843239901</v>
      </c>
      <c r="B38450" t="s">
        <v>11759</v>
      </c>
    </row>
    <row r="38451" spans="1:2" x14ac:dyDescent="0.25">
      <c r="A38451">
        <v>84323990110</v>
      </c>
      <c r="B38451" t="s">
        <v>11811</v>
      </c>
    </row>
    <row r="38452" spans="1:2" x14ac:dyDescent="0.25">
      <c r="A38452">
        <v>84323990190</v>
      </c>
      <c r="B38452" t="s">
        <v>57</v>
      </c>
    </row>
    <row r="38453" spans="1:2" x14ac:dyDescent="0.25">
      <c r="A38453">
        <v>84323990900</v>
      </c>
      <c r="B38453" t="s">
        <v>57</v>
      </c>
    </row>
    <row r="38454" spans="1:2" x14ac:dyDescent="0.25">
      <c r="A38454">
        <v>84324</v>
      </c>
      <c r="B38454" t="s">
        <v>11812</v>
      </c>
    </row>
    <row r="38455" spans="1:2" x14ac:dyDescent="0.25">
      <c r="A38455">
        <v>84324100</v>
      </c>
      <c r="B38455" t="e">
        <f>- - Esparcidores de estiercol</f>
        <v>#NAME?</v>
      </c>
    </row>
    <row r="38456" spans="1:2" x14ac:dyDescent="0.25">
      <c r="A38456">
        <v>84324100100</v>
      </c>
      <c r="B38456" t="s">
        <v>11627</v>
      </c>
    </row>
    <row r="38457" spans="1:2" x14ac:dyDescent="0.25">
      <c r="A38457">
        <v>84324100900</v>
      </c>
      <c r="B38457" t="s">
        <v>57</v>
      </c>
    </row>
    <row r="38458" spans="1:2" x14ac:dyDescent="0.25">
      <c r="A38458">
        <v>84324200</v>
      </c>
      <c r="B38458" t="e">
        <f>- - distribuidores de Abonos</f>
        <v>#NAME?</v>
      </c>
    </row>
    <row r="38459" spans="1:2" x14ac:dyDescent="0.25">
      <c r="A38459">
        <v>84324200100</v>
      </c>
      <c r="B38459" t="s">
        <v>11627</v>
      </c>
    </row>
    <row r="38460" spans="1:2" x14ac:dyDescent="0.25">
      <c r="A38460">
        <v>84324200900</v>
      </c>
      <c r="B38460" t="s">
        <v>57</v>
      </c>
    </row>
    <row r="38461" spans="1:2" x14ac:dyDescent="0.25">
      <c r="A38461">
        <v>84328000000</v>
      </c>
      <c r="B38461" t="e">
        <f>-las demas maquinas. aparatos y artefactos</f>
        <v>#NAME?</v>
      </c>
    </row>
    <row r="38462" spans="1:2" x14ac:dyDescent="0.25">
      <c r="A38462">
        <v>84329000</v>
      </c>
      <c r="B38462" t="e">
        <f>- partes</f>
        <v>#NAME?</v>
      </c>
    </row>
    <row r="38463" spans="1:2" x14ac:dyDescent="0.25">
      <c r="A38463">
        <v>843290001</v>
      </c>
      <c r="B38463" t="s">
        <v>11813</v>
      </c>
    </row>
    <row r="38464" spans="1:2" x14ac:dyDescent="0.25">
      <c r="A38464">
        <v>84329000110</v>
      </c>
      <c r="B38464" t="s">
        <v>11814</v>
      </c>
    </row>
    <row r="38465" spans="1:2" x14ac:dyDescent="0.25">
      <c r="A38465">
        <v>84329000120</v>
      </c>
      <c r="B38465" t="s">
        <v>11815</v>
      </c>
    </row>
    <row r="38466" spans="1:2" x14ac:dyDescent="0.25">
      <c r="A38466">
        <v>84329000130</v>
      </c>
      <c r="B38466" t="s">
        <v>11816</v>
      </c>
    </row>
    <row r="38467" spans="1:2" x14ac:dyDescent="0.25">
      <c r="A38467">
        <v>84329000190</v>
      </c>
      <c r="B38467" t="s">
        <v>10</v>
      </c>
    </row>
    <row r="38468" spans="1:2" x14ac:dyDescent="0.25">
      <c r="A38468">
        <v>84329000900</v>
      </c>
      <c r="B38468" t="s">
        <v>57</v>
      </c>
    </row>
    <row r="38469" spans="1:2" x14ac:dyDescent="0.25">
      <c r="A38469">
        <v>8433</v>
      </c>
      <c r="B38469" t="s">
        <v>11817</v>
      </c>
    </row>
    <row r="38470" spans="1:2" x14ac:dyDescent="0.25">
      <c r="A38470">
        <v>84331</v>
      </c>
      <c r="B38470" t="s">
        <v>11818</v>
      </c>
    </row>
    <row r="38471" spans="1:2" x14ac:dyDescent="0.25">
      <c r="A38471">
        <v>84331100000</v>
      </c>
      <c r="B38471" t="e">
        <f>--Con motor. En las que el dispositivo de corte gire En un plano horizontal</f>
        <v>#NAME?</v>
      </c>
    </row>
    <row r="38472" spans="1:2" x14ac:dyDescent="0.25">
      <c r="A38472">
        <v>84331900000</v>
      </c>
      <c r="B38472" t="e">
        <f>--las demas</f>
        <v>#NAME?</v>
      </c>
    </row>
    <row r="38473" spans="1:2" x14ac:dyDescent="0.25">
      <c r="A38473">
        <v>843320</v>
      </c>
      <c r="B38473" t="e">
        <f>- Guadañadoras. incluidas las barras de corte para montar sobre un tractor</f>
        <v>#NAME?</v>
      </c>
    </row>
    <row r="38474" spans="1:2" x14ac:dyDescent="0.25">
      <c r="A38474">
        <v>84332010</v>
      </c>
      <c r="B38474" t="s">
        <v>11819</v>
      </c>
    </row>
    <row r="38475" spans="1:2" x14ac:dyDescent="0.25">
      <c r="A38475">
        <v>84332010100</v>
      </c>
      <c r="B38475" t="s">
        <v>11820</v>
      </c>
    </row>
    <row r="38476" spans="1:2" x14ac:dyDescent="0.25">
      <c r="A38476">
        <v>84332010900</v>
      </c>
      <c r="B38476" t="s">
        <v>57</v>
      </c>
    </row>
    <row r="38477" spans="1:2" x14ac:dyDescent="0.25">
      <c r="A38477">
        <v>84332090</v>
      </c>
      <c r="B38477" t="s">
        <v>57</v>
      </c>
    </row>
    <row r="38478" spans="1:2" x14ac:dyDescent="0.25">
      <c r="A38478">
        <v>84332090100</v>
      </c>
      <c r="B38478" t="s">
        <v>11821</v>
      </c>
    </row>
    <row r="38479" spans="1:2" x14ac:dyDescent="0.25">
      <c r="A38479">
        <v>84332090900</v>
      </c>
      <c r="B38479" t="s">
        <v>57</v>
      </c>
    </row>
    <row r="38480" spans="1:2" x14ac:dyDescent="0.25">
      <c r="A38480">
        <v>84333000000</v>
      </c>
      <c r="B38480" t="e">
        <f>-las demas maquinas y aparatos de henificar</f>
        <v>#NAME?</v>
      </c>
    </row>
    <row r="38481" spans="1:2" x14ac:dyDescent="0.25">
      <c r="A38481">
        <v>84334000</v>
      </c>
      <c r="B38481" t="e">
        <f>-prensas para Paja o forraje. incluidas las prensas recogedoras</f>
        <v>#NAME?</v>
      </c>
    </row>
    <row r="38482" spans="1:2" x14ac:dyDescent="0.25">
      <c r="A38482">
        <v>84334000100</v>
      </c>
      <c r="B38482" t="s">
        <v>11822</v>
      </c>
    </row>
    <row r="38483" spans="1:2" x14ac:dyDescent="0.25">
      <c r="A38483">
        <v>84334000900</v>
      </c>
      <c r="B38483" t="s">
        <v>57</v>
      </c>
    </row>
    <row r="38484" spans="1:2" x14ac:dyDescent="0.25">
      <c r="A38484">
        <v>84335</v>
      </c>
      <c r="B38484" t="s">
        <v>11823</v>
      </c>
    </row>
    <row r="38485" spans="1:2" x14ac:dyDescent="0.25">
      <c r="A38485">
        <v>84335100</v>
      </c>
      <c r="B38485" t="e">
        <f>- - Cosechadoras-trilladoras</f>
        <v>#NAME?</v>
      </c>
    </row>
    <row r="38486" spans="1:2" x14ac:dyDescent="0.25">
      <c r="A38486">
        <v>84335100100</v>
      </c>
      <c r="B38486" t="s">
        <v>11759</v>
      </c>
    </row>
    <row r="38487" spans="1:2" x14ac:dyDescent="0.25">
      <c r="A38487">
        <v>84335100900</v>
      </c>
      <c r="B38487" t="s">
        <v>57</v>
      </c>
    </row>
    <row r="38488" spans="1:2" x14ac:dyDescent="0.25">
      <c r="A38488">
        <v>84335200</v>
      </c>
      <c r="B38488" t="e">
        <f>- - las demas maquinas y aparatos de trillar</f>
        <v>#NAME?</v>
      </c>
    </row>
    <row r="38489" spans="1:2" x14ac:dyDescent="0.25">
      <c r="A38489">
        <v>84335200100</v>
      </c>
      <c r="B38489" t="s">
        <v>11626</v>
      </c>
    </row>
    <row r="38490" spans="1:2" x14ac:dyDescent="0.25">
      <c r="A38490">
        <v>84335200900</v>
      </c>
      <c r="B38490" t="s">
        <v>10</v>
      </c>
    </row>
    <row r="38491" spans="1:2" x14ac:dyDescent="0.25">
      <c r="A38491">
        <v>84335300</v>
      </c>
      <c r="B38491" t="e">
        <f>- - maquinas de cosechar raices o tuberculos</f>
        <v>#NAME?</v>
      </c>
    </row>
    <row r="38492" spans="1:2" x14ac:dyDescent="0.25">
      <c r="A38492">
        <v>843353001</v>
      </c>
      <c r="B38492" t="s">
        <v>11759</v>
      </c>
    </row>
    <row r="38493" spans="1:2" x14ac:dyDescent="0.25">
      <c r="A38493">
        <v>84335300110</v>
      </c>
      <c r="B38493" t="s">
        <v>11824</v>
      </c>
    </row>
    <row r="38494" spans="1:2" x14ac:dyDescent="0.25">
      <c r="A38494">
        <v>84335300190</v>
      </c>
      <c r="B38494" t="s">
        <v>57</v>
      </c>
    </row>
    <row r="38495" spans="1:2" x14ac:dyDescent="0.25">
      <c r="A38495">
        <v>843353009</v>
      </c>
      <c r="B38495" t="s">
        <v>57</v>
      </c>
    </row>
    <row r="38496" spans="1:2" x14ac:dyDescent="0.25">
      <c r="A38496">
        <v>84335300910</v>
      </c>
      <c r="B38496" t="s">
        <v>11824</v>
      </c>
    </row>
    <row r="38497" spans="1:2" x14ac:dyDescent="0.25">
      <c r="A38497">
        <v>84335300990</v>
      </c>
      <c r="B38497" t="s">
        <v>57</v>
      </c>
    </row>
    <row r="38498" spans="1:2" x14ac:dyDescent="0.25">
      <c r="A38498">
        <v>843359</v>
      </c>
      <c r="B38498" t="e">
        <f>- - Los demas</f>
        <v>#NAME?</v>
      </c>
    </row>
    <row r="38499" spans="1:2" x14ac:dyDescent="0.25">
      <c r="A38499">
        <v>8433591</v>
      </c>
      <c r="B38499" t="s">
        <v>11825</v>
      </c>
    </row>
    <row r="38500" spans="1:2" x14ac:dyDescent="0.25">
      <c r="A38500">
        <v>84335911000</v>
      </c>
      <c r="B38500" t="s">
        <v>11826</v>
      </c>
    </row>
    <row r="38501" spans="1:2" x14ac:dyDescent="0.25">
      <c r="A38501">
        <v>84335919</v>
      </c>
      <c r="B38501" t="s">
        <v>57</v>
      </c>
    </row>
    <row r="38502" spans="1:2" x14ac:dyDescent="0.25">
      <c r="A38502">
        <v>84335919100</v>
      </c>
      <c r="B38502" t="s">
        <v>11827</v>
      </c>
    </row>
    <row r="38503" spans="1:2" x14ac:dyDescent="0.25">
      <c r="A38503">
        <v>84335919900</v>
      </c>
      <c r="B38503" t="s">
        <v>57</v>
      </c>
    </row>
    <row r="38504" spans="1:2" x14ac:dyDescent="0.25">
      <c r="A38504">
        <v>84335990</v>
      </c>
      <c r="B38504" t="s">
        <v>10</v>
      </c>
    </row>
    <row r="38505" spans="1:2" x14ac:dyDescent="0.25">
      <c r="A38505">
        <v>843359901</v>
      </c>
      <c r="B38505" t="s">
        <v>11759</v>
      </c>
    </row>
    <row r="38506" spans="1:2" x14ac:dyDescent="0.25">
      <c r="A38506">
        <v>8433599011</v>
      </c>
      <c r="B38506" t="s">
        <v>11828</v>
      </c>
    </row>
    <row r="38507" spans="1:2" x14ac:dyDescent="0.25">
      <c r="A38507">
        <v>84335990111</v>
      </c>
      <c r="B38507" t="s">
        <v>11829</v>
      </c>
    </row>
    <row r="38508" spans="1:2" x14ac:dyDescent="0.25">
      <c r="A38508">
        <v>84335990119</v>
      </c>
      <c r="B38508" t="s">
        <v>57</v>
      </c>
    </row>
    <row r="38509" spans="1:2" x14ac:dyDescent="0.25">
      <c r="A38509">
        <v>84335990120</v>
      </c>
      <c r="B38509" t="s">
        <v>11830</v>
      </c>
    </row>
    <row r="38510" spans="1:2" x14ac:dyDescent="0.25">
      <c r="A38510">
        <v>84335990130</v>
      </c>
      <c r="B38510" t="s">
        <v>721</v>
      </c>
    </row>
    <row r="38511" spans="1:2" x14ac:dyDescent="0.25">
      <c r="A38511">
        <v>84335990140</v>
      </c>
      <c r="B38511" t="s">
        <v>11831</v>
      </c>
    </row>
    <row r="38512" spans="1:2" x14ac:dyDescent="0.25">
      <c r="A38512">
        <v>84335990150</v>
      </c>
      <c r="B38512" t="s">
        <v>11832</v>
      </c>
    </row>
    <row r="38513" spans="1:2" x14ac:dyDescent="0.25">
      <c r="A38513">
        <v>84335990160</v>
      </c>
      <c r="B38513" t="s">
        <v>11833</v>
      </c>
    </row>
    <row r="38514" spans="1:2" x14ac:dyDescent="0.25">
      <c r="A38514">
        <v>84335990190</v>
      </c>
      <c r="B38514" t="s">
        <v>57</v>
      </c>
    </row>
    <row r="38515" spans="1:2" x14ac:dyDescent="0.25">
      <c r="A38515">
        <v>843359909</v>
      </c>
      <c r="B38515" t="s">
        <v>10</v>
      </c>
    </row>
    <row r="38516" spans="1:2" x14ac:dyDescent="0.25">
      <c r="A38516">
        <v>84335990910</v>
      </c>
      <c r="B38516" t="s">
        <v>11834</v>
      </c>
    </row>
    <row r="38517" spans="1:2" x14ac:dyDescent="0.25">
      <c r="A38517">
        <v>84335990920</v>
      </c>
      <c r="B38517" t="s">
        <v>11831</v>
      </c>
    </row>
    <row r="38518" spans="1:2" x14ac:dyDescent="0.25">
      <c r="A38518">
        <v>84335990930</v>
      </c>
      <c r="B38518" t="s">
        <v>11832</v>
      </c>
    </row>
    <row r="38519" spans="1:2" x14ac:dyDescent="0.25">
      <c r="A38519">
        <v>84335990940</v>
      </c>
      <c r="B38519" t="s">
        <v>11833</v>
      </c>
    </row>
    <row r="38520" spans="1:2" x14ac:dyDescent="0.25">
      <c r="A38520">
        <v>84335990950</v>
      </c>
      <c r="B38520" t="s">
        <v>11835</v>
      </c>
    </row>
    <row r="38521" spans="1:2" x14ac:dyDescent="0.25">
      <c r="A38521">
        <v>84335990990</v>
      </c>
      <c r="B38521" t="s">
        <v>57</v>
      </c>
    </row>
    <row r="38522" spans="1:2" x14ac:dyDescent="0.25">
      <c r="A38522">
        <v>843360</v>
      </c>
      <c r="B38522" t="e">
        <f>- maquinas para limpieza o clasificacion de huevos. frutos o demas Productos agricolas</f>
        <v>#NAME?</v>
      </c>
    </row>
    <row r="38523" spans="1:2" x14ac:dyDescent="0.25">
      <c r="A38523">
        <v>84336010000</v>
      </c>
      <c r="B38523" t="s">
        <v>11836</v>
      </c>
    </row>
    <row r="38524" spans="1:2" x14ac:dyDescent="0.25">
      <c r="A38524">
        <v>8433602</v>
      </c>
      <c r="B38524" t="s">
        <v>11837</v>
      </c>
    </row>
    <row r="38525" spans="1:2" x14ac:dyDescent="0.25">
      <c r="A38525">
        <v>84336021000</v>
      </c>
      <c r="B38525" t="s">
        <v>11838</v>
      </c>
    </row>
    <row r="38526" spans="1:2" x14ac:dyDescent="0.25">
      <c r="A38526">
        <v>84336029000</v>
      </c>
      <c r="B38526" t="s">
        <v>57</v>
      </c>
    </row>
    <row r="38527" spans="1:2" x14ac:dyDescent="0.25">
      <c r="A38527">
        <v>84336090</v>
      </c>
      <c r="B38527" t="s">
        <v>57</v>
      </c>
    </row>
    <row r="38528" spans="1:2" x14ac:dyDescent="0.25">
      <c r="A38528">
        <v>843360901</v>
      </c>
      <c r="B38528" t="s">
        <v>11839</v>
      </c>
    </row>
    <row r="38529" spans="1:2" x14ac:dyDescent="0.25">
      <c r="A38529">
        <v>84336090110</v>
      </c>
      <c r="B38529" t="s">
        <v>11840</v>
      </c>
    </row>
    <row r="38530" spans="1:2" x14ac:dyDescent="0.25">
      <c r="A38530">
        <v>84336090190</v>
      </c>
      <c r="B38530" t="s">
        <v>57</v>
      </c>
    </row>
    <row r="38531" spans="1:2" x14ac:dyDescent="0.25">
      <c r="A38531">
        <v>84336090200</v>
      </c>
      <c r="B38531" t="s">
        <v>11841</v>
      </c>
    </row>
    <row r="38532" spans="1:2" x14ac:dyDescent="0.25">
      <c r="A38532">
        <v>84336090900</v>
      </c>
      <c r="B38532" t="s">
        <v>57</v>
      </c>
    </row>
    <row r="38533" spans="1:2" x14ac:dyDescent="0.25">
      <c r="A38533">
        <v>843390</v>
      </c>
      <c r="B38533" t="e">
        <f>- partes</f>
        <v>#NAME?</v>
      </c>
    </row>
    <row r="38534" spans="1:2" x14ac:dyDescent="0.25">
      <c r="A38534">
        <v>84339010000</v>
      </c>
      <c r="B38534" t="s">
        <v>11842</v>
      </c>
    </row>
    <row r="38535" spans="1:2" x14ac:dyDescent="0.25">
      <c r="A38535">
        <v>84339090</v>
      </c>
      <c r="B38535" t="s">
        <v>57</v>
      </c>
    </row>
    <row r="38536" spans="1:2" x14ac:dyDescent="0.25">
      <c r="A38536">
        <v>84339090100</v>
      </c>
      <c r="B38536" t="s">
        <v>11843</v>
      </c>
    </row>
    <row r="38537" spans="1:2" x14ac:dyDescent="0.25">
      <c r="A38537">
        <v>843390909</v>
      </c>
      <c r="B38537" t="s">
        <v>57</v>
      </c>
    </row>
    <row r="38538" spans="1:2" x14ac:dyDescent="0.25">
      <c r="A38538">
        <v>84339090910</v>
      </c>
      <c r="B38538" t="s">
        <v>11304</v>
      </c>
    </row>
    <row r="38539" spans="1:2" x14ac:dyDescent="0.25">
      <c r="A38539">
        <v>84339090990</v>
      </c>
      <c r="B38539" t="s">
        <v>10</v>
      </c>
    </row>
    <row r="38540" spans="1:2" x14ac:dyDescent="0.25">
      <c r="A38540">
        <v>8434</v>
      </c>
      <c r="B38540" t="s">
        <v>11844</v>
      </c>
    </row>
    <row r="38541" spans="1:2" x14ac:dyDescent="0.25">
      <c r="A38541">
        <v>84341000</v>
      </c>
      <c r="B38541" t="e">
        <f>-maquinas de ordeñar</f>
        <v>#NAME?</v>
      </c>
    </row>
    <row r="38542" spans="1:2" x14ac:dyDescent="0.25">
      <c r="A38542">
        <v>84341000100</v>
      </c>
      <c r="B38542" t="s">
        <v>11845</v>
      </c>
    </row>
    <row r="38543" spans="1:2" x14ac:dyDescent="0.25">
      <c r="A38543">
        <v>84341000900</v>
      </c>
      <c r="B38543" t="s">
        <v>57</v>
      </c>
    </row>
    <row r="38544" spans="1:2" x14ac:dyDescent="0.25">
      <c r="A38544">
        <v>843420</v>
      </c>
      <c r="B38544" t="e">
        <f>- maquinas y aparatos para la industria lechera</f>
        <v>#NAME?</v>
      </c>
    </row>
    <row r="38545" spans="1:2" x14ac:dyDescent="0.25">
      <c r="A38545">
        <v>84342010000</v>
      </c>
      <c r="B38545" t="s">
        <v>11846</v>
      </c>
    </row>
    <row r="38546" spans="1:2" x14ac:dyDescent="0.25">
      <c r="A38546">
        <v>84342090</v>
      </c>
      <c r="B38546" t="s">
        <v>10</v>
      </c>
    </row>
    <row r="38547" spans="1:2" x14ac:dyDescent="0.25">
      <c r="A38547">
        <v>843420901</v>
      </c>
      <c r="B38547" t="s">
        <v>11847</v>
      </c>
    </row>
    <row r="38548" spans="1:2" x14ac:dyDescent="0.25">
      <c r="A38548">
        <v>84342090110</v>
      </c>
      <c r="B38548" t="s">
        <v>11848</v>
      </c>
    </row>
    <row r="38549" spans="1:2" x14ac:dyDescent="0.25">
      <c r="A38549">
        <v>84342090120</v>
      </c>
      <c r="B38549" t="s">
        <v>11849</v>
      </c>
    </row>
    <row r="38550" spans="1:2" x14ac:dyDescent="0.25">
      <c r="A38550">
        <v>84342090130</v>
      </c>
      <c r="B38550" t="s">
        <v>11850</v>
      </c>
    </row>
    <row r="38551" spans="1:2" x14ac:dyDescent="0.25">
      <c r="A38551">
        <v>84342090140</v>
      </c>
      <c r="B38551" t="s">
        <v>11851</v>
      </c>
    </row>
    <row r="38552" spans="1:2" x14ac:dyDescent="0.25">
      <c r="A38552">
        <v>84342090190</v>
      </c>
      <c r="B38552" t="s">
        <v>10</v>
      </c>
    </row>
    <row r="38553" spans="1:2" x14ac:dyDescent="0.25">
      <c r="A38553">
        <v>843420902</v>
      </c>
      <c r="B38553" t="s">
        <v>11852</v>
      </c>
    </row>
    <row r="38554" spans="1:2" x14ac:dyDescent="0.25">
      <c r="A38554">
        <v>84342090210</v>
      </c>
      <c r="B38554" t="s">
        <v>11853</v>
      </c>
    </row>
    <row r="38555" spans="1:2" x14ac:dyDescent="0.25">
      <c r="A38555">
        <v>84342090220</v>
      </c>
      <c r="B38555" t="s">
        <v>11851</v>
      </c>
    </row>
    <row r="38556" spans="1:2" x14ac:dyDescent="0.25">
      <c r="A38556">
        <v>84342090230</v>
      </c>
      <c r="B38556" t="s">
        <v>11854</v>
      </c>
    </row>
    <row r="38557" spans="1:2" x14ac:dyDescent="0.25">
      <c r="A38557">
        <v>84342090290</v>
      </c>
      <c r="B38557" t="s">
        <v>10</v>
      </c>
    </row>
    <row r="38558" spans="1:2" x14ac:dyDescent="0.25">
      <c r="A38558">
        <v>84342090900</v>
      </c>
      <c r="B38558" t="s">
        <v>10</v>
      </c>
    </row>
    <row r="38559" spans="1:2" x14ac:dyDescent="0.25">
      <c r="A38559">
        <v>84349000000</v>
      </c>
      <c r="B38559" t="e">
        <f>-partes</f>
        <v>#NAME?</v>
      </c>
    </row>
    <row r="38560" spans="1:2" x14ac:dyDescent="0.25">
      <c r="A38560">
        <v>8435</v>
      </c>
      <c r="B38560" t="s">
        <v>11855</v>
      </c>
    </row>
    <row r="38561" spans="1:2" x14ac:dyDescent="0.25">
      <c r="A38561">
        <v>84351000</v>
      </c>
      <c r="B38561" t="e">
        <f>- maquinas y aparatos</f>
        <v>#NAME?</v>
      </c>
    </row>
    <row r="38562" spans="1:2" x14ac:dyDescent="0.25">
      <c r="A38562">
        <v>843510001</v>
      </c>
      <c r="B38562" t="s">
        <v>11854</v>
      </c>
    </row>
    <row r="38563" spans="1:2" x14ac:dyDescent="0.25">
      <c r="A38563">
        <v>84351000110</v>
      </c>
      <c r="B38563" t="s">
        <v>11856</v>
      </c>
    </row>
    <row r="38564" spans="1:2" x14ac:dyDescent="0.25">
      <c r="A38564">
        <v>8435100012</v>
      </c>
      <c r="B38564" t="s">
        <v>11857</v>
      </c>
    </row>
    <row r="38565" spans="1:2" x14ac:dyDescent="0.25">
      <c r="A38565">
        <v>84351000121</v>
      </c>
      <c r="B38565" t="s">
        <v>11858</v>
      </c>
    </row>
    <row r="38566" spans="1:2" x14ac:dyDescent="0.25">
      <c r="A38566">
        <v>84351000129</v>
      </c>
      <c r="B38566" t="s">
        <v>57</v>
      </c>
    </row>
    <row r="38567" spans="1:2" x14ac:dyDescent="0.25">
      <c r="A38567">
        <v>84351000130</v>
      </c>
      <c r="B38567" t="s">
        <v>11859</v>
      </c>
    </row>
    <row r="38568" spans="1:2" x14ac:dyDescent="0.25">
      <c r="A38568">
        <v>84351000190</v>
      </c>
      <c r="B38568" t="s">
        <v>57</v>
      </c>
    </row>
    <row r="38569" spans="1:2" x14ac:dyDescent="0.25">
      <c r="A38569">
        <v>84351000200</v>
      </c>
      <c r="B38569" t="s">
        <v>11860</v>
      </c>
    </row>
    <row r="38570" spans="1:2" x14ac:dyDescent="0.25">
      <c r="A38570">
        <v>84351000300</v>
      </c>
      <c r="B38570" t="s">
        <v>11861</v>
      </c>
    </row>
    <row r="38571" spans="1:2" x14ac:dyDescent="0.25">
      <c r="A38571">
        <v>84351000400</v>
      </c>
      <c r="B38571" t="s">
        <v>11862</v>
      </c>
    </row>
    <row r="38572" spans="1:2" x14ac:dyDescent="0.25">
      <c r="A38572">
        <v>84351000500</v>
      </c>
      <c r="B38572" t="s">
        <v>11863</v>
      </c>
    </row>
    <row r="38573" spans="1:2" x14ac:dyDescent="0.25">
      <c r="A38573">
        <v>84351000600</v>
      </c>
      <c r="B38573" t="s">
        <v>11864</v>
      </c>
    </row>
    <row r="38574" spans="1:2" x14ac:dyDescent="0.25">
      <c r="A38574">
        <v>84351000900</v>
      </c>
      <c r="B38574" t="s">
        <v>10</v>
      </c>
    </row>
    <row r="38575" spans="1:2" x14ac:dyDescent="0.25">
      <c r="A38575">
        <v>84359000000</v>
      </c>
      <c r="B38575" t="e">
        <f>-partes</f>
        <v>#NAME?</v>
      </c>
    </row>
    <row r="38576" spans="1:2" x14ac:dyDescent="0.25">
      <c r="A38576">
        <v>8436</v>
      </c>
      <c r="B38576" t="s">
        <v>11865</v>
      </c>
    </row>
    <row r="38577" spans="1:2" x14ac:dyDescent="0.25">
      <c r="A38577">
        <v>84361000000</v>
      </c>
      <c r="B38577" t="e">
        <f>-maquinas y aparatos para preparar Alimentos o piensos para animales</f>
        <v>#NAME?</v>
      </c>
    </row>
    <row r="38578" spans="1:2" x14ac:dyDescent="0.25">
      <c r="A38578">
        <v>84362</v>
      </c>
      <c r="B38578" t="s">
        <v>11866</v>
      </c>
    </row>
    <row r="38579" spans="1:2" x14ac:dyDescent="0.25">
      <c r="A38579">
        <v>84362100000</v>
      </c>
      <c r="B38579" t="e">
        <f>--incubadoras y criadoras</f>
        <v>#NAME?</v>
      </c>
    </row>
    <row r="38580" spans="1:2" x14ac:dyDescent="0.25">
      <c r="A38580">
        <v>84362900</v>
      </c>
      <c r="B38580" t="e">
        <f>- - Los demas</f>
        <v>#NAME?</v>
      </c>
    </row>
    <row r="38581" spans="1:2" x14ac:dyDescent="0.25">
      <c r="A38581">
        <v>84362900100</v>
      </c>
      <c r="B38581" t="s">
        <v>11867</v>
      </c>
    </row>
    <row r="38582" spans="1:2" x14ac:dyDescent="0.25">
      <c r="A38582">
        <v>84362900200</v>
      </c>
      <c r="B38582" t="s">
        <v>11868</v>
      </c>
    </row>
    <row r="38583" spans="1:2" x14ac:dyDescent="0.25">
      <c r="A38583">
        <v>84362900900</v>
      </c>
      <c r="B38583" t="s">
        <v>57</v>
      </c>
    </row>
    <row r="38584" spans="1:2" x14ac:dyDescent="0.25">
      <c r="A38584">
        <v>84368000</v>
      </c>
      <c r="B38584" t="e">
        <f>- las demas maquinas y aparatos</f>
        <v>#NAME?</v>
      </c>
    </row>
    <row r="38585" spans="1:2" x14ac:dyDescent="0.25">
      <c r="A38585">
        <v>84368000100</v>
      </c>
      <c r="B38585" t="s">
        <v>11869</v>
      </c>
    </row>
    <row r="38586" spans="1:2" x14ac:dyDescent="0.25">
      <c r="A38586">
        <v>84368000200</v>
      </c>
      <c r="B38586" t="s">
        <v>11870</v>
      </c>
    </row>
    <row r="38587" spans="1:2" x14ac:dyDescent="0.25">
      <c r="A38587">
        <v>84368000300</v>
      </c>
      <c r="B38587" t="s">
        <v>11871</v>
      </c>
    </row>
    <row r="38588" spans="1:2" x14ac:dyDescent="0.25">
      <c r="A38588">
        <v>84368000400</v>
      </c>
      <c r="B38588" t="s">
        <v>11872</v>
      </c>
    </row>
    <row r="38589" spans="1:2" x14ac:dyDescent="0.25">
      <c r="A38589">
        <v>843680009</v>
      </c>
      <c r="B38589" t="s">
        <v>10</v>
      </c>
    </row>
    <row r="38590" spans="1:2" x14ac:dyDescent="0.25">
      <c r="A38590">
        <v>8436800091</v>
      </c>
      <c r="B38590" t="s">
        <v>11759</v>
      </c>
    </row>
    <row r="38591" spans="1:2" x14ac:dyDescent="0.25">
      <c r="A38591">
        <v>84368000912</v>
      </c>
      <c r="B38591" t="s">
        <v>11873</v>
      </c>
    </row>
    <row r="38592" spans="1:2" x14ac:dyDescent="0.25">
      <c r="A38592">
        <v>84368000913</v>
      </c>
      <c r="B38592" t="s">
        <v>11874</v>
      </c>
    </row>
    <row r="38593" spans="1:2" x14ac:dyDescent="0.25">
      <c r="A38593">
        <v>84368000918</v>
      </c>
      <c r="B38593" t="s">
        <v>11875</v>
      </c>
    </row>
    <row r="38594" spans="1:2" x14ac:dyDescent="0.25">
      <c r="A38594">
        <v>84368000919</v>
      </c>
      <c r="B38594" t="s">
        <v>57</v>
      </c>
    </row>
    <row r="38595" spans="1:2" x14ac:dyDescent="0.25">
      <c r="A38595">
        <v>8436800099</v>
      </c>
      <c r="B38595" t="s">
        <v>10</v>
      </c>
    </row>
    <row r="38596" spans="1:2" x14ac:dyDescent="0.25">
      <c r="A38596">
        <v>84368000991</v>
      </c>
      <c r="B38596" t="s">
        <v>11876</v>
      </c>
    </row>
    <row r="38597" spans="1:2" x14ac:dyDescent="0.25">
      <c r="A38597">
        <v>84368000999</v>
      </c>
      <c r="B38597" t="s">
        <v>10</v>
      </c>
    </row>
    <row r="38598" spans="1:2" x14ac:dyDescent="0.25">
      <c r="A38598">
        <v>84369</v>
      </c>
      <c r="B38598" t="s">
        <v>11167</v>
      </c>
    </row>
    <row r="38599" spans="1:2" x14ac:dyDescent="0.25">
      <c r="A38599">
        <v>84369100000</v>
      </c>
      <c r="B38599" t="e">
        <f>--de maquinas o aparatos para la avicultura</f>
        <v>#NAME?</v>
      </c>
    </row>
    <row r="38600" spans="1:2" x14ac:dyDescent="0.25">
      <c r="A38600">
        <v>84369900</v>
      </c>
      <c r="B38600" t="s">
        <v>57</v>
      </c>
    </row>
    <row r="38601" spans="1:2" x14ac:dyDescent="0.25">
      <c r="A38601">
        <v>84369900100</v>
      </c>
      <c r="B38601" t="s">
        <v>11304</v>
      </c>
    </row>
    <row r="38602" spans="1:2" x14ac:dyDescent="0.25">
      <c r="A38602">
        <v>84369900900</v>
      </c>
      <c r="B38602" t="s">
        <v>10</v>
      </c>
    </row>
    <row r="38603" spans="1:2" x14ac:dyDescent="0.25">
      <c r="A38603">
        <v>8437</v>
      </c>
      <c r="B38603" t="s">
        <v>11877</v>
      </c>
    </row>
    <row r="38604" spans="1:2" x14ac:dyDescent="0.25">
      <c r="A38604">
        <v>84371000</v>
      </c>
      <c r="B38604" t="e">
        <f>- maquinas para limpieza. clasificacion o cribado de semillas. Granos u hortalizas de vaina Secas</f>
        <v>#NAME?</v>
      </c>
    </row>
    <row r="38605" spans="1:2" x14ac:dyDescent="0.25">
      <c r="A38605">
        <v>84371000100</v>
      </c>
      <c r="B38605" t="s">
        <v>11878</v>
      </c>
    </row>
    <row r="38606" spans="1:2" x14ac:dyDescent="0.25">
      <c r="A38606">
        <v>84371000200</v>
      </c>
      <c r="B38606" t="s">
        <v>11879</v>
      </c>
    </row>
    <row r="38607" spans="1:2" x14ac:dyDescent="0.25">
      <c r="A38607">
        <v>84371000300</v>
      </c>
      <c r="B38607" t="s">
        <v>11880</v>
      </c>
    </row>
    <row r="38608" spans="1:2" x14ac:dyDescent="0.25">
      <c r="A38608">
        <v>84371000900</v>
      </c>
      <c r="B38608" t="s">
        <v>57</v>
      </c>
    </row>
    <row r="38609" spans="1:2" x14ac:dyDescent="0.25">
      <c r="A38609">
        <v>843780</v>
      </c>
      <c r="B38609" t="e">
        <f>- las demas maquinas y aparatos</f>
        <v>#NAME?</v>
      </c>
    </row>
    <row r="38610" spans="1:2" x14ac:dyDescent="0.25">
      <c r="A38610">
        <v>84378010</v>
      </c>
      <c r="B38610" t="s">
        <v>11881</v>
      </c>
    </row>
    <row r="38611" spans="1:2" x14ac:dyDescent="0.25">
      <c r="A38611">
        <v>84378010100</v>
      </c>
      <c r="B38611" t="s">
        <v>11882</v>
      </c>
    </row>
    <row r="38612" spans="1:2" x14ac:dyDescent="0.25">
      <c r="A38612">
        <v>84378010200</v>
      </c>
      <c r="B38612" t="s">
        <v>11883</v>
      </c>
    </row>
    <row r="38613" spans="1:2" x14ac:dyDescent="0.25">
      <c r="A38613">
        <v>84378010900</v>
      </c>
      <c r="B38613" t="s">
        <v>10</v>
      </c>
    </row>
    <row r="38614" spans="1:2" x14ac:dyDescent="0.25">
      <c r="A38614">
        <v>84378090</v>
      </c>
      <c r="B38614" t="s">
        <v>10</v>
      </c>
    </row>
    <row r="38615" spans="1:2" x14ac:dyDescent="0.25">
      <c r="A38615">
        <v>843780901</v>
      </c>
      <c r="B38615" t="s">
        <v>11884</v>
      </c>
    </row>
    <row r="38616" spans="1:2" x14ac:dyDescent="0.25">
      <c r="A38616">
        <v>84378090110</v>
      </c>
      <c r="B38616" t="s">
        <v>11885</v>
      </c>
    </row>
    <row r="38617" spans="1:2" x14ac:dyDescent="0.25">
      <c r="A38617">
        <v>84378090120</v>
      </c>
      <c r="B38617" t="s">
        <v>11886</v>
      </c>
    </row>
    <row r="38618" spans="1:2" x14ac:dyDescent="0.25">
      <c r="A38618">
        <v>84378090130</v>
      </c>
      <c r="B38618" t="s">
        <v>11887</v>
      </c>
    </row>
    <row r="38619" spans="1:2" x14ac:dyDescent="0.25">
      <c r="A38619">
        <v>84378090140</v>
      </c>
      <c r="B38619" t="s">
        <v>11888</v>
      </c>
    </row>
    <row r="38620" spans="1:2" x14ac:dyDescent="0.25">
      <c r="A38620">
        <v>84378090150</v>
      </c>
      <c r="B38620" t="s">
        <v>11889</v>
      </c>
    </row>
    <row r="38621" spans="1:2" x14ac:dyDescent="0.25">
      <c r="A38621">
        <v>84378090190</v>
      </c>
      <c r="B38621" t="s">
        <v>10</v>
      </c>
    </row>
    <row r="38622" spans="1:2" x14ac:dyDescent="0.25">
      <c r="A38622">
        <v>843780909</v>
      </c>
      <c r="B38622" t="s">
        <v>10</v>
      </c>
    </row>
    <row r="38623" spans="1:2" x14ac:dyDescent="0.25">
      <c r="A38623">
        <v>84378090910</v>
      </c>
      <c r="B38623" t="s">
        <v>11890</v>
      </c>
    </row>
    <row r="38624" spans="1:2" x14ac:dyDescent="0.25">
      <c r="A38624">
        <v>84378090990</v>
      </c>
      <c r="B38624" t="s">
        <v>10</v>
      </c>
    </row>
    <row r="38625" spans="1:2" x14ac:dyDescent="0.25">
      <c r="A38625">
        <v>84379000000</v>
      </c>
      <c r="B38625" t="e">
        <f>-partes</f>
        <v>#NAME?</v>
      </c>
    </row>
    <row r="38626" spans="1:2" x14ac:dyDescent="0.25">
      <c r="A38626">
        <v>8438</v>
      </c>
      <c r="B38626" t="s">
        <v>11891</v>
      </c>
    </row>
    <row r="38627" spans="1:2" x14ac:dyDescent="0.25">
      <c r="A38627">
        <v>84381000</v>
      </c>
      <c r="B38627" t="e">
        <f>- maquinas y aparatos para panaderia. pasteleria. galleteria o la fabricacion de Pastas alimenticias</f>
        <v>#NAME?</v>
      </c>
    </row>
    <row r="38628" spans="1:2" x14ac:dyDescent="0.25">
      <c r="A38628">
        <v>843810001</v>
      </c>
      <c r="B38628" t="s">
        <v>11892</v>
      </c>
    </row>
    <row r="38629" spans="1:2" x14ac:dyDescent="0.25">
      <c r="A38629">
        <v>84381000110</v>
      </c>
      <c r="B38629" t="s">
        <v>11893</v>
      </c>
    </row>
    <row r="38630" spans="1:2" x14ac:dyDescent="0.25">
      <c r="A38630">
        <v>8438100012</v>
      </c>
      <c r="B38630" t="s">
        <v>11894</v>
      </c>
    </row>
    <row r="38631" spans="1:2" x14ac:dyDescent="0.25">
      <c r="A38631">
        <v>84381000121</v>
      </c>
      <c r="B38631" t="s">
        <v>11895</v>
      </c>
    </row>
    <row r="38632" spans="1:2" x14ac:dyDescent="0.25">
      <c r="A38632">
        <v>84381000129</v>
      </c>
      <c r="B38632" t="s">
        <v>57</v>
      </c>
    </row>
    <row r="38633" spans="1:2" x14ac:dyDescent="0.25">
      <c r="A38633">
        <v>84381000130</v>
      </c>
      <c r="B38633" t="s">
        <v>11896</v>
      </c>
    </row>
    <row r="38634" spans="1:2" x14ac:dyDescent="0.25">
      <c r="A38634">
        <v>8438100014</v>
      </c>
      <c r="B38634" t="s">
        <v>11897</v>
      </c>
    </row>
    <row r="38635" spans="1:2" x14ac:dyDescent="0.25">
      <c r="A38635">
        <v>84381000141</v>
      </c>
      <c r="B38635" t="s">
        <v>11898</v>
      </c>
    </row>
    <row r="38636" spans="1:2" x14ac:dyDescent="0.25">
      <c r="A38636">
        <v>84381000149</v>
      </c>
      <c r="B38636" t="s">
        <v>57</v>
      </c>
    </row>
    <row r="38637" spans="1:2" x14ac:dyDescent="0.25">
      <c r="A38637">
        <v>84381000190</v>
      </c>
      <c r="B38637" t="s">
        <v>57</v>
      </c>
    </row>
    <row r="38638" spans="1:2" x14ac:dyDescent="0.25">
      <c r="A38638">
        <v>843810002</v>
      </c>
      <c r="B38638" t="s">
        <v>11899</v>
      </c>
    </row>
    <row r="38639" spans="1:2" x14ac:dyDescent="0.25">
      <c r="A38639">
        <v>84381000210</v>
      </c>
      <c r="B38639" t="s">
        <v>11900</v>
      </c>
    </row>
    <row r="38640" spans="1:2" x14ac:dyDescent="0.25">
      <c r="A38640">
        <v>84381000220</v>
      </c>
      <c r="B38640" t="s">
        <v>11901</v>
      </c>
    </row>
    <row r="38641" spans="1:2" x14ac:dyDescent="0.25">
      <c r="A38641">
        <v>84381000230</v>
      </c>
      <c r="B38641" t="s">
        <v>11854</v>
      </c>
    </row>
    <row r="38642" spans="1:2" x14ac:dyDescent="0.25">
      <c r="A38642">
        <v>84381000240</v>
      </c>
      <c r="B38642" t="s">
        <v>11902</v>
      </c>
    </row>
    <row r="38643" spans="1:2" x14ac:dyDescent="0.25">
      <c r="A38643">
        <v>84381000250</v>
      </c>
      <c r="B38643" t="s">
        <v>11903</v>
      </c>
    </row>
    <row r="38644" spans="1:2" x14ac:dyDescent="0.25">
      <c r="A38644">
        <v>84381000290</v>
      </c>
      <c r="B38644" t="s">
        <v>10</v>
      </c>
    </row>
    <row r="38645" spans="1:2" x14ac:dyDescent="0.25">
      <c r="A38645">
        <v>843820</v>
      </c>
      <c r="B38645" t="e">
        <f>- maquinas y aparatos para confiteria. elaboracion de Cacao o la fabricacion de chocolate</f>
        <v>#NAME?</v>
      </c>
    </row>
    <row r="38646" spans="1:2" x14ac:dyDescent="0.25">
      <c r="A38646">
        <v>8438201</v>
      </c>
      <c r="B38646" t="s">
        <v>11904</v>
      </c>
    </row>
    <row r="38647" spans="1:2" x14ac:dyDescent="0.25">
      <c r="A38647">
        <v>84382011000</v>
      </c>
      <c r="B38647" t="s">
        <v>11905</v>
      </c>
    </row>
    <row r="38648" spans="1:2" x14ac:dyDescent="0.25">
      <c r="A38648">
        <v>84382019</v>
      </c>
      <c r="B38648" t="s">
        <v>10</v>
      </c>
    </row>
    <row r="38649" spans="1:2" x14ac:dyDescent="0.25">
      <c r="A38649">
        <v>84382019100</v>
      </c>
      <c r="B38649" t="s">
        <v>11900</v>
      </c>
    </row>
    <row r="38650" spans="1:2" x14ac:dyDescent="0.25">
      <c r="A38650">
        <v>84382019200</v>
      </c>
      <c r="B38650" t="s">
        <v>11893</v>
      </c>
    </row>
    <row r="38651" spans="1:2" x14ac:dyDescent="0.25">
      <c r="A38651">
        <v>84382019300</v>
      </c>
      <c r="B38651" t="s">
        <v>11906</v>
      </c>
    </row>
    <row r="38652" spans="1:2" x14ac:dyDescent="0.25">
      <c r="A38652">
        <v>84382019400</v>
      </c>
      <c r="B38652" t="s">
        <v>11907</v>
      </c>
    </row>
    <row r="38653" spans="1:2" x14ac:dyDescent="0.25">
      <c r="A38653">
        <v>84382019500</v>
      </c>
      <c r="B38653" t="s">
        <v>11908</v>
      </c>
    </row>
    <row r="38654" spans="1:2" x14ac:dyDescent="0.25">
      <c r="A38654">
        <v>84382019600</v>
      </c>
      <c r="B38654" t="s">
        <v>11909</v>
      </c>
    </row>
    <row r="38655" spans="1:2" x14ac:dyDescent="0.25">
      <c r="A38655">
        <v>84382019900</v>
      </c>
      <c r="B38655" t="s">
        <v>57</v>
      </c>
    </row>
    <row r="38656" spans="1:2" x14ac:dyDescent="0.25">
      <c r="A38656">
        <v>84382090</v>
      </c>
      <c r="B38656" t="s">
        <v>10</v>
      </c>
    </row>
    <row r="38657" spans="1:2" x14ac:dyDescent="0.25">
      <c r="A38657">
        <v>843820901</v>
      </c>
      <c r="B38657" t="s">
        <v>11910</v>
      </c>
    </row>
    <row r="38658" spans="1:2" x14ac:dyDescent="0.25">
      <c r="A38658">
        <v>84382090110</v>
      </c>
      <c r="B38658" t="s">
        <v>11911</v>
      </c>
    </row>
    <row r="38659" spans="1:2" x14ac:dyDescent="0.25">
      <c r="A38659">
        <v>84382090120</v>
      </c>
      <c r="B38659" t="s">
        <v>11912</v>
      </c>
    </row>
    <row r="38660" spans="1:2" x14ac:dyDescent="0.25">
      <c r="A38660">
        <v>84382090130</v>
      </c>
      <c r="B38660" t="s">
        <v>11913</v>
      </c>
    </row>
    <row r="38661" spans="1:2" x14ac:dyDescent="0.25">
      <c r="A38661">
        <v>84382090140</v>
      </c>
      <c r="B38661" t="s">
        <v>11914</v>
      </c>
    </row>
    <row r="38662" spans="1:2" x14ac:dyDescent="0.25">
      <c r="A38662">
        <v>84382090150</v>
      </c>
      <c r="B38662" t="s">
        <v>11915</v>
      </c>
    </row>
    <row r="38663" spans="1:2" x14ac:dyDescent="0.25">
      <c r="A38663">
        <v>84382090160</v>
      </c>
      <c r="B38663" t="s">
        <v>11916</v>
      </c>
    </row>
    <row r="38664" spans="1:2" x14ac:dyDescent="0.25">
      <c r="A38664">
        <v>84382090190</v>
      </c>
      <c r="B38664" t="s">
        <v>57</v>
      </c>
    </row>
    <row r="38665" spans="1:2" x14ac:dyDescent="0.25">
      <c r="A38665">
        <v>843820902</v>
      </c>
      <c r="B38665" t="s">
        <v>11917</v>
      </c>
    </row>
    <row r="38666" spans="1:2" x14ac:dyDescent="0.25">
      <c r="A38666">
        <v>84382090210</v>
      </c>
      <c r="B38666" t="s">
        <v>11918</v>
      </c>
    </row>
    <row r="38667" spans="1:2" x14ac:dyDescent="0.25">
      <c r="A38667">
        <v>84382090220</v>
      </c>
      <c r="B38667" t="s">
        <v>11919</v>
      </c>
    </row>
    <row r="38668" spans="1:2" x14ac:dyDescent="0.25">
      <c r="A38668">
        <v>84382090230</v>
      </c>
      <c r="B38668" t="s">
        <v>11920</v>
      </c>
    </row>
    <row r="38669" spans="1:2" x14ac:dyDescent="0.25">
      <c r="A38669">
        <v>84382090240</v>
      </c>
      <c r="B38669" t="s">
        <v>11921</v>
      </c>
    </row>
    <row r="38670" spans="1:2" x14ac:dyDescent="0.25">
      <c r="A38670">
        <v>84382090250</v>
      </c>
      <c r="B38670" t="s">
        <v>11922</v>
      </c>
    </row>
    <row r="38671" spans="1:2" x14ac:dyDescent="0.25">
      <c r="A38671">
        <v>84382090290</v>
      </c>
      <c r="B38671" t="s">
        <v>10</v>
      </c>
    </row>
    <row r="38672" spans="1:2" x14ac:dyDescent="0.25">
      <c r="A38672">
        <v>84383000000</v>
      </c>
      <c r="B38672" t="e">
        <f>-maquinas y aparatos para la industria azucarera</f>
        <v>#NAME?</v>
      </c>
    </row>
    <row r="38673" spans="1:2" x14ac:dyDescent="0.25">
      <c r="A38673">
        <v>84384000000</v>
      </c>
      <c r="B38673" t="e">
        <f>-maquinas y aparatos para la industria cervecera</f>
        <v>#NAME?</v>
      </c>
    </row>
    <row r="38674" spans="1:2" x14ac:dyDescent="0.25">
      <c r="A38674">
        <v>84385000</v>
      </c>
      <c r="B38674" t="e">
        <f>- maquinas y aparatos para la preparacion de Carne</f>
        <v>#NAME?</v>
      </c>
    </row>
    <row r="38675" spans="1:2" x14ac:dyDescent="0.25">
      <c r="A38675">
        <v>84385000100</v>
      </c>
      <c r="B38675" t="s">
        <v>11923</v>
      </c>
    </row>
    <row r="38676" spans="1:2" x14ac:dyDescent="0.25">
      <c r="A38676">
        <v>84385000200</v>
      </c>
      <c r="B38676" t="s">
        <v>11924</v>
      </c>
    </row>
    <row r="38677" spans="1:2" x14ac:dyDescent="0.25">
      <c r="A38677">
        <v>84385000300</v>
      </c>
      <c r="B38677" t="s">
        <v>11925</v>
      </c>
    </row>
    <row r="38678" spans="1:2" x14ac:dyDescent="0.25">
      <c r="A38678">
        <v>84385000900</v>
      </c>
      <c r="B38678" t="s">
        <v>57</v>
      </c>
    </row>
    <row r="38679" spans="1:2" x14ac:dyDescent="0.25">
      <c r="A38679">
        <v>84386000</v>
      </c>
      <c r="B38679" t="e">
        <f>-maquinas y aparatos para la preparacion de frutos u hortalizas</f>
        <v>#NAME?</v>
      </c>
    </row>
    <row r="38680" spans="1:2" x14ac:dyDescent="0.25">
      <c r="A38680">
        <v>84386000100</v>
      </c>
      <c r="B38680" t="s">
        <v>11926</v>
      </c>
    </row>
    <row r="38681" spans="1:2" x14ac:dyDescent="0.25">
      <c r="A38681">
        <v>84386000900</v>
      </c>
      <c r="B38681" t="s">
        <v>10</v>
      </c>
    </row>
    <row r="38682" spans="1:2" x14ac:dyDescent="0.25">
      <c r="A38682">
        <v>843880</v>
      </c>
      <c r="B38682" t="e">
        <f>- las demas maquinas y aparatos</f>
        <v>#NAME?</v>
      </c>
    </row>
    <row r="38683" spans="1:2" x14ac:dyDescent="0.25">
      <c r="A38683">
        <v>84388010000</v>
      </c>
      <c r="B38683" t="s">
        <v>11927</v>
      </c>
    </row>
    <row r="38684" spans="1:2" x14ac:dyDescent="0.25">
      <c r="A38684">
        <v>84388020000</v>
      </c>
      <c r="B38684" t="s">
        <v>11928</v>
      </c>
    </row>
    <row r="38685" spans="1:2" x14ac:dyDescent="0.25">
      <c r="A38685">
        <v>84388090000</v>
      </c>
      <c r="B38685" t="s">
        <v>10</v>
      </c>
    </row>
    <row r="38686" spans="1:2" x14ac:dyDescent="0.25">
      <c r="A38686">
        <v>84389000000</v>
      </c>
      <c r="B38686" t="e">
        <f>-partes</f>
        <v>#NAME?</v>
      </c>
    </row>
    <row r="38687" spans="1:2" x14ac:dyDescent="0.25">
      <c r="A38687">
        <v>8439</v>
      </c>
      <c r="B38687" t="s">
        <v>11929</v>
      </c>
    </row>
    <row r="38688" spans="1:2" x14ac:dyDescent="0.25">
      <c r="A38688">
        <v>843910</v>
      </c>
      <c r="B38688" t="e">
        <f>- maquinas y aparatos para la fabricacion de pasta de materias fibrosas celulosicas</f>
        <v>#NAME?</v>
      </c>
    </row>
    <row r="38689" spans="1:2" x14ac:dyDescent="0.25">
      <c r="A38689">
        <v>84391010</v>
      </c>
      <c r="B38689" t="s">
        <v>11930</v>
      </c>
    </row>
    <row r="38690" spans="1:2" x14ac:dyDescent="0.25">
      <c r="A38690">
        <v>84391010100</v>
      </c>
      <c r="B38690" t="s">
        <v>11931</v>
      </c>
    </row>
    <row r="38691" spans="1:2" x14ac:dyDescent="0.25">
      <c r="A38691">
        <v>84391010200</v>
      </c>
      <c r="B38691" t="s">
        <v>11932</v>
      </c>
    </row>
    <row r="38692" spans="1:2" x14ac:dyDescent="0.25">
      <c r="A38692">
        <v>84391010300</v>
      </c>
      <c r="B38692" t="s">
        <v>11933</v>
      </c>
    </row>
    <row r="38693" spans="1:2" x14ac:dyDescent="0.25">
      <c r="A38693">
        <v>84391010900</v>
      </c>
      <c r="B38693" t="s">
        <v>10</v>
      </c>
    </row>
    <row r="38694" spans="1:2" x14ac:dyDescent="0.25">
      <c r="A38694">
        <v>84391020000</v>
      </c>
      <c r="B38694" t="s">
        <v>11934</v>
      </c>
    </row>
    <row r="38695" spans="1:2" x14ac:dyDescent="0.25">
      <c r="A38695">
        <v>84391030000</v>
      </c>
      <c r="B38695" t="s">
        <v>11935</v>
      </c>
    </row>
    <row r="38696" spans="1:2" x14ac:dyDescent="0.25">
      <c r="A38696">
        <v>84391090000</v>
      </c>
      <c r="B38696" t="s">
        <v>10</v>
      </c>
    </row>
    <row r="38697" spans="1:2" x14ac:dyDescent="0.25">
      <c r="A38697">
        <v>84392000</v>
      </c>
      <c r="B38697" t="e">
        <f>- maquinas y aparatos para la fabricacion de papel o carton</f>
        <v>#NAME?</v>
      </c>
    </row>
    <row r="38698" spans="1:2" x14ac:dyDescent="0.25">
      <c r="A38698">
        <v>84392000100</v>
      </c>
      <c r="B38698" t="s">
        <v>11936</v>
      </c>
    </row>
    <row r="38699" spans="1:2" x14ac:dyDescent="0.25">
      <c r="A38699">
        <v>84392000200</v>
      </c>
      <c r="B38699" t="s">
        <v>11937</v>
      </c>
    </row>
    <row r="38700" spans="1:2" x14ac:dyDescent="0.25">
      <c r="A38700">
        <v>84392000300</v>
      </c>
      <c r="B38700" t="s">
        <v>11938</v>
      </c>
    </row>
    <row r="38701" spans="1:2" x14ac:dyDescent="0.25">
      <c r="A38701">
        <v>84392000400</v>
      </c>
      <c r="B38701" t="s">
        <v>11939</v>
      </c>
    </row>
    <row r="38702" spans="1:2" x14ac:dyDescent="0.25">
      <c r="A38702">
        <v>84392000500</v>
      </c>
      <c r="B38702" t="s">
        <v>11940</v>
      </c>
    </row>
    <row r="38703" spans="1:2" x14ac:dyDescent="0.25">
      <c r="A38703">
        <v>84392000600</v>
      </c>
      <c r="B38703" t="s">
        <v>11941</v>
      </c>
    </row>
    <row r="38704" spans="1:2" x14ac:dyDescent="0.25">
      <c r="A38704">
        <v>84392000700</v>
      </c>
      <c r="B38704" t="s">
        <v>11942</v>
      </c>
    </row>
    <row r="38705" spans="1:2" x14ac:dyDescent="0.25">
      <c r="A38705">
        <v>84392000800</v>
      </c>
      <c r="B38705" t="s">
        <v>11943</v>
      </c>
    </row>
    <row r="38706" spans="1:2" x14ac:dyDescent="0.25">
      <c r="A38706">
        <v>84392000900</v>
      </c>
      <c r="B38706" t="s">
        <v>10</v>
      </c>
    </row>
    <row r="38707" spans="1:2" x14ac:dyDescent="0.25">
      <c r="A38707">
        <v>843930</v>
      </c>
      <c r="B38707" t="e">
        <f>- maquinas y aparatos para el acabado de papel o carton</f>
        <v>#NAME?</v>
      </c>
    </row>
    <row r="38708" spans="1:2" x14ac:dyDescent="0.25">
      <c r="A38708">
        <v>84393010000</v>
      </c>
      <c r="B38708" t="s">
        <v>11944</v>
      </c>
    </row>
    <row r="38709" spans="1:2" x14ac:dyDescent="0.25">
      <c r="A38709">
        <v>84393020000</v>
      </c>
      <c r="B38709" t="s">
        <v>11945</v>
      </c>
    </row>
    <row r="38710" spans="1:2" x14ac:dyDescent="0.25">
      <c r="A38710">
        <v>84393030000</v>
      </c>
      <c r="B38710" t="s">
        <v>11946</v>
      </c>
    </row>
    <row r="38711" spans="1:2" x14ac:dyDescent="0.25">
      <c r="A38711">
        <v>84393090</v>
      </c>
      <c r="B38711" t="s">
        <v>10</v>
      </c>
    </row>
    <row r="38712" spans="1:2" x14ac:dyDescent="0.25">
      <c r="A38712">
        <v>84393090100</v>
      </c>
      <c r="B38712" t="s">
        <v>11947</v>
      </c>
    </row>
    <row r="38713" spans="1:2" x14ac:dyDescent="0.25">
      <c r="A38713">
        <v>84393090200</v>
      </c>
      <c r="B38713" t="s">
        <v>11948</v>
      </c>
    </row>
    <row r="38714" spans="1:2" x14ac:dyDescent="0.25">
      <c r="A38714">
        <v>84393090300</v>
      </c>
      <c r="B38714" t="s">
        <v>11949</v>
      </c>
    </row>
    <row r="38715" spans="1:2" x14ac:dyDescent="0.25">
      <c r="A38715">
        <v>84393090400</v>
      </c>
      <c r="B38715" t="s">
        <v>11950</v>
      </c>
    </row>
    <row r="38716" spans="1:2" x14ac:dyDescent="0.25">
      <c r="A38716">
        <v>84393090900</v>
      </c>
      <c r="B38716" t="s">
        <v>10</v>
      </c>
    </row>
    <row r="38717" spans="1:2" x14ac:dyDescent="0.25">
      <c r="A38717">
        <v>84399</v>
      </c>
      <c r="B38717" t="s">
        <v>11167</v>
      </c>
    </row>
    <row r="38718" spans="1:2" x14ac:dyDescent="0.25">
      <c r="A38718">
        <v>84399100000</v>
      </c>
      <c r="B38718" t="e">
        <f>--de maquinas o aparatos para la fabricacion de pasta de materias fibrosas celulosicas</f>
        <v>#NAME?</v>
      </c>
    </row>
    <row r="38719" spans="1:2" x14ac:dyDescent="0.25">
      <c r="A38719">
        <v>843999</v>
      </c>
      <c r="B38719" t="e">
        <f>- - las demas</f>
        <v>#NAME?</v>
      </c>
    </row>
    <row r="38720" spans="1:2" x14ac:dyDescent="0.25">
      <c r="A38720">
        <v>84399910000</v>
      </c>
      <c r="B38720" t="s">
        <v>11951</v>
      </c>
    </row>
    <row r="38721" spans="1:2" x14ac:dyDescent="0.25">
      <c r="A38721">
        <v>84399990</v>
      </c>
      <c r="B38721" t="s">
        <v>57</v>
      </c>
    </row>
    <row r="38722" spans="1:2" x14ac:dyDescent="0.25">
      <c r="A38722">
        <v>84399990100</v>
      </c>
      <c r="B38722" t="s">
        <v>11952</v>
      </c>
    </row>
    <row r="38723" spans="1:2" x14ac:dyDescent="0.25">
      <c r="A38723">
        <v>84399990900</v>
      </c>
      <c r="B38723" t="s">
        <v>57</v>
      </c>
    </row>
    <row r="38724" spans="1:2" x14ac:dyDescent="0.25">
      <c r="A38724">
        <v>8440</v>
      </c>
      <c r="B38724" t="s">
        <v>11953</v>
      </c>
    </row>
    <row r="38725" spans="1:2" x14ac:dyDescent="0.25">
      <c r="A38725">
        <v>844010</v>
      </c>
      <c r="B38725" t="e">
        <f>- maquinas y aparatos</f>
        <v>#NAME?</v>
      </c>
    </row>
    <row r="38726" spans="1:2" x14ac:dyDescent="0.25">
      <c r="A38726">
        <v>8440101</v>
      </c>
      <c r="B38726" t="s">
        <v>11954</v>
      </c>
    </row>
    <row r="38727" spans="1:2" x14ac:dyDescent="0.25">
      <c r="A38727">
        <v>84401011000</v>
      </c>
      <c r="B38727" t="s">
        <v>11955</v>
      </c>
    </row>
    <row r="38728" spans="1:2" x14ac:dyDescent="0.25">
      <c r="A38728">
        <v>84401019000</v>
      </c>
      <c r="B38728" t="s">
        <v>10</v>
      </c>
    </row>
    <row r="38729" spans="1:2" x14ac:dyDescent="0.25">
      <c r="A38729">
        <v>84401020000</v>
      </c>
      <c r="B38729" t="s">
        <v>11956</v>
      </c>
    </row>
    <row r="38730" spans="1:2" x14ac:dyDescent="0.25">
      <c r="A38730">
        <v>84401090</v>
      </c>
      <c r="B38730" t="s">
        <v>10</v>
      </c>
    </row>
    <row r="38731" spans="1:2" x14ac:dyDescent="0.25">
      <c r="A38731">
        <v>84401090100</v>
      </c>
      <c r="B38731" t="s">
        <v>11957</v>
      </c>
    </row>
    <row r="38732" spans="1:2" x14ac:dyDescent="0.25">
      <c r="A38732">
        <v>84401090200</v>
      </c>
      <c r="B38732" t="s">
        <v>11958</v>
      </c>
    </row>
    <row r="38733" spans="1:2" x14ac:dyDescent="0.25">
      <c r="A38733">
        <v>84401090300</v>
      </c>
      <c r="B38733" t="s">
        <v>11854</v>
      </c>
    </row>
    <row r="38734" spans="1:2" x14ac:dyDescent="0.25">
      <c r="A38734">
        <v>84401090400</v>
      </c>
      <c r="B38734" t="s">
        <v>11959</v>
      </c>
    </row>
    <row r="38735" spans="1:2" x14ac:dyDescent="0.25">
      <c r="A38735">
        <v>84401090500</v>
      </c>
      <c r="B38735" t="s">
        <v>11947</v>
      </c>
    </row>
    <row r="38736" spans="1:2" x14ac:dyDescent="0.25">
      <c r="A38736">
        <v>84401090600</v>
      </c>
      <c r="B38736" t="s">
        <v>11960</v>
      </c>
    </row>
    <row r="38737" spans="1:2" x14ac:dyDescent="0.25">
      <c r="A38737">
        <v>84401090700</v>
      </c>
      <c r="B38737" t="s">
        <v>11961</v>
      </c>
    </row>
    <row r="38738" spans="1:2" x14ac:dyDescent="0.25">
      <c r="A38738">
        <v>844010909</v>
      </c>
      <c r="B38738" t="s">
        <v>10</v>
      </c>
    </row>
    <row r="38739" spans="1:2" x14ac:dyDescent="0.25">
      <c r="A38739">
        <v>84401090910</v>
      </c>
      <c r="B38739" t="s">
        <v>11962</v>
      </c>
    </row>
    <row r="38740" spans="1:2" x14ac:dyDescent="0.25">
      <c r="A38740">
        <v>84401090990</v>
      </c>
      <c r="B38740" t="s">
        <v>10</v>
      </c>
    </row>
    <row r="38741" spans="1:2" x14ac:dyDescent="0.25">
      <c r="A38741">
        <v>84409000000</v>
      </c>
      <c r="B38741" t="e">
        <f>-partes</f>
        <v>#NAME?</v>
      </c>
    </row>
    <row r="38742" spans="1:2" x14ac:dyDescent="0.25">
      <c r="A38742">
        <v>8441</v>
      </c>
      <c r="B38742" t="s">
        <v>11963</v>
      </c>
    </row>
    <row r="38743" spans="1:2" x14ac:dyDescent="0.25">
      <c r="A38743">
        <v>844110</v>
      </c>
      <c r="B38743" t="e">
        <f>- Cortadoras</f>
        <v>#NAME?</v>
      </c>
    </row>
    <row r="38744" spans="1:2" x14ac:dyDescent="0.25">
      <c r="A38744">
        <v>84411010000</v>
      </c>
      <c r="B38744" t="s">
        <v>11964</v>
      </c>
    </row>
    <row r="38745" spans="1:2" x14ac:dyDescent="0.25">
      <c r="A38745">
        <v>84411090</v>
      </c>
      <c r="B38745" t="s">
        <v>57</v>
      </c>
    </row>
    <row r="38746" spans="1:2" x14ac:dyDescent="0.25">
      <c r="A38746">
        <v>84411090100</v>
      </c>
      <c r="B38746" t="s">
        <v>11965</v>
      </c>
    </row>
    <row r="38747" spans="1:2" x14ac:dyDescent="0.25">
      <c r="A38747">
        <v>84411090200</v>
      </c>
      <c r="B38747" t="s">
        <v>11966</v>
      </c>
    </row>
    <row r="38748" spans="1:2" x14ac:dyDescent="0.25">
      <c r="A38748">
        <v>84411090300</v>
      </c>
      <c r="B38748" t="s">
        <v>11967</v>
      </c>
    </row>
    <row r="38749" spans="1:2" x14ac:dyDescent="0.25">
      <c r="A38749">
        <v>84411090900</v>
      </c>
      <c r="B38749" t="s">
        <v>57</v>
      </c>
    </row>
    <row r="38750" spans="1:2" x14ac:dyDescent="0.25">
      <c r="A38750">
        <v>84412000000</v>
      </c>
      <c r="B38750" t="s">
        <v>11968</v>
      </c>
    </row>
    <row r="38751" spans="1:2" x14ac:dyDescent="0.25">
      <c r="A38751">
        <v>844130</v>
      </c>
      <c r="B38751" t="e">
        <f>- maquinas para la fabricacion de Cajas. tubos. tambores o Continentes similares. excepto por moldeado</f>
        <v>#NAME?</v>
      </c>
    </row>
    <row r="38752" spans="1:2" x14ac:dyDescent="0.25">
      <c r="A38752">
        <v>84413010000</v>
      </c>
      <c r="B38752" t="s">
        <v>11969</v>
      </c>
    </row>
    <row r="38753" spans="1:2" x14ac:dyDescent="0.25">
      <c r="A38753">
        <v>84413090000</v>
      </c>
      <c r="B38753" t="s">
        <v>57</v>
      </c>
    </row>
    <row r="38754" spans="1:2" x14ac:dyDescent="0.25">
      <c r="A38754">
        <v>84414000000</v>
      </c>
      <c r="B38754" t="e">
        <f>-maquinas para moldear Articulos de pasta de papel. de papel o carton</f>
        <v>#NAME?</v>
      </c>
    </row>
    <row r="38755" spans="1:2" x14ac:dyDescent="0.25">
      <c r="A38755">
        <v>84418000</v>
      </c>
      <c r="B38755" t="e">
        <f>- las demas maquinas y aparatos</f>
        <v>#NAME?</v>
      </c>
    </row>
    <row r="38756" spans="1:2" x14ac:dyDescent="0.25">
      <c r="A38756">
        <v>84418000100</v>
      </c>
      <c r="B38756" t="s">
        <v>11970</v>
      </c>
    </row>
    <row r="38757" spans="1:2" x14ac:dyDescent="0.25">
      <c r="A38757">
        <v>84418000200</v>
      </c>
      <c r="B38757" t="s">
        <v>11971</v>
      </c>
    </row>
    <row r="38758" spans="1:2" x14ac:dyDescent="0.25">
      <c r="A38758">
        <v>84418000300</v>
      </c>
      <c r="B38758" t="s">
        <v>11972</v>
      </c>
    </row>
    <row r="38759" spans="1:2" x14ac:dyDescent="0.25">
      <c r="A38759">
        <v>84418000900</v>
      </c>
      <c r="B38759" t="s">
        <v>10</v>
      </c>
    </row>
    <row r="38760" spans="1:2" x14ac:dyDescent="0.25">
      <c r="A38760">
        <v>84419000000</v>
      </c>
      <c r="B38760" t="e">
        <f>-partes</f>
        <v>#NAME?</v>
      </c>
    </row>
    <row r="38761" spans="1:2" x14ac:dyDescent="0.25">
      <c r="A38761">
        <v>8442</v>
      </c>
      <c r="B38761" t="s">
        <v>11973</v>
      </c>
    </row>
    <row r="38762" spans="1:2" x14ac:dyDescent="0.25">
      <c r="A38762">
        <v>844230</v>
      </c>
      <c r="B38762" t="e">
        <f>- maquinas. aparatos y Material</f>
        <v>#NAME?</v>
      </c>
    </row>
    <row r="38763" spans="1:2" x14ac:dyDescent="0.25">
      <c r="A38763">
        <v>84423010000</v>
      </c>
      <c r="B38763" t="s">
        <v>11974</v>
      </c>
    </row>
    <row r="38764" spans="1:2" x14ac:dyDescent="0.25">
      <c r="A38764">
        <v>84423020000</v>
      </c>
      <c r="B38764" t="s">
        <v>11975</v>
      </c>
    </row>
    <row r="38765" spans="1:2" x14ac:dyDescent="0.25">
      <c r="A38765">
        <v>84423090</v>
      </c>
      <c r="B38765" t="s">
        <v>10</v>
      </c>
    </row>
    <row r="38766" spans="1:2" x14ac:dyDescent="0.25">
      <c r="A38766">
        <v>84423090100</v>
      </c>
      <c r="B38766" t="s">
        <v>11976</v>
      </c>
    </row>
    <row r="38767" spans="1:2" x14ac:dyDescent="0.25">
      <c r="A38767">
        <v>84423090900</v>
      </c>
      <c r="B38767" t="s">
        <v>10</v>
      </c>
    </row>
    <row r="38768" spans="1:2" x14ac:dyDescent="0.25">
      <c r="A38768">
        <v>844240</v>
      </c>
      <c r="B38768" t="e">
        <f>- partes de estas maquinas. aparatos o Material</f>
        <v>#NAME?</v>
      </c>
    </row>
    <row r="38769" spans="1:2" x14ac:dyDescent="0.25">
      <c r="A38769">
        <v>84424010000</v>
      </c>
      <c r="B38769" t="s">
        <v>11977</v>
      </c>
    </row>
    <row r="38770" spans="1:2" x14ac:dyDescent="0.25">
      <c r="A38770">
        <v>84424020000</v>
      </c>
      <c r="B38770" t="s">
        <v>11978</v>
      </c>
    </row>
    <row r="38771" spans="1:2" x14ac:dyDescent="0.25">
      <c r="A38771">
        <v>84424090000</v>
      </c>
      <c r="B38771" t="s">
        <v>57</v>
      </c>
    </row>
    <row r="38772" spans="1:2" x14ac:dyDescent="0.25">
      <c r="A38772">
        <v>84425000</v>
      </c>
      <c r="B38772" t="e">
        <f>- Clises. planchas. cilindros y demas elementos impresores, piedras litograficas. planchas. placas y cilindros. preparados para la impresion (por ejemplo: aplanados. graneados. pulidos)</f>
        <v>#NAME?</v>
      </c>
    </row>
    <row r="38773" spans="1:2" x14ac:dyDescent="0.25">
      <c r="A38773">
        <v>844250001</v>
      </c>
      <c r="B38773" t="s">
        <v>11979</v>
      </c>
    </row>
    <row r="38774" spans="1:2" x14ac:dyDescent="0.25">
      <c r="A38774">
        <v>84425000110</v>
      </c>
      <c r="B38774" t="s">
        <v>11980</v>
      </c>
    </row>
    <row r="38775" spans="1:2" x14ac:dyDescent="0.25">
      <c r="A38775">
        <v>84425000120</v>
      </c>
      <c r="B38775" t="s">
        <v>11981</v>
      </c>
    </row>
    <row r="38776" spans="1:2" x14ac:dyDescent="0.25">
      <c r="A38776">
        <v>84425000190</v>
      </c>
      <c r="B38776" t="s">
        <v>10</v>
      </c>
    </row>
    <row r="38777" spans="1:2" x14ac:dyDescent="0.25">
      <c r="A38777">
        <v>844250002</v>
      </c>
      <c r="B38777" t="s">
        <v>11982</v>
      </c>
    </row>
    <row r="38778" spans="1:2" x14ac:dyDescent="0.25">
      <c r="A38778">
        <v>84425000210</v>
      </c>
      <c r="B38778" t="s">
        <v>11983</v>
      </c>
    </row>
    <row r="38779" spans="1:2" x14ac:dyDescent="0.25">
      <c r="A38779">
        <v>84425000290</v>
      </c>
      <c r="B38779" t="s">
        <v>10</v>
      </c>
    </row>
    <row r="38780" spans="1:2" x14ac:dyDescent="0.25">
      <c r="A38780">
        <v>844250003</v>
      </c>
      <c r="B38780" t="s">
        <v>9372</v>
      </c>
    </row>
    <row r="38781" spans="1:2" x14ac:dyDescent="0.25">
      <c r="A38781">
        <v>84425000310</v>
      </c>
      <c r="B38781" t="s">
        <v>11984</v>
      </c>
    </row>
    <row r="38782" spans="1:2" x14ac:dyDescent="0.25">
      <c r="A38782">
        <v>84425000390</v>
      </c>
      <c r="B38782" t="s">
        <v>10</v>
      </c>
    </row>
    <row r="38783" spans="1:2" x14ac:dyDescent="0.25">
      <c r="A38783">
        <v>84425000900</v>
      </c>
      <c r="B38783" t="s">
        <v>10</v>
      </c>
    </row>
    <row r="38784" spans="1:2" x14ac:dyDescent="0.25">
      <c r="A38784">
        <v>8443</v>
      </c>
      <c r="B38784" t="s">
        <v>11985</v>
      </c>
    </row>
    <row r="38785" spans="1:2" x14ac:dyDescent="0.25">
      <c r="A38785">
        <v>84431</v>
      </c>
      <c r="B38785" t="s">
        <v>11986</v>
      </c>
    </row>
    <row r="38786" spans="1:2" x14ac:dyDescent="0.25">
      <c r="A38786">
        <v>844311</v>
      </c>
      <c r="B38786" t="e">
        <f>- - maquinas y aparatos para imprimir. offset. alimentados Con bobinas</f>
        <v>#NAME?</v>
      </c>
    </row>
    <row r="38787" spans="1:2" x14ac:dyDescent="0.25">
      <c r="A38787">
        <v>84431110000</v>
      </c>
      <c r="B38787" t="s">
        <v>11987</v>
      </c>
    </row>
    <row r="38788" spans="1:2" x14ac:dyDescent="0.25">
      <c r="A38788">
        <v>84431190</v>
      </c>
      <c r="B38788" t="s">
        <v>57</v>
      </c>
    </row>
    <row r="38789" spans="1:2" x14ac:dyDescent="0.25">
      <c r="A38789">
        <v>844311901</v>
      </c>
      <c r="B38789" t="s">
        <v>11988</v>
      </c>
    </row>
    <row r="38790" spans="1:2" x14ac:dyDescent="0.25">
      <c r="A38790">
        <v>84431190110</v>
      </c>
      <c r="B38790" t="s">
        <v>11989</v>
      </c>
    </row>
    <row r="38791" spans="1:2" x14ac:dyDescent="0.25">
      <c r="A38791">
        <v>84431190190</v>
      </c>
      <c r="B38791" t="s">
        <v>57</v>
      </c>
    </row>
    <row r="38792" spans="1:2" x14ac:dyDescent="0.25">
      <c r="A38792">
        <v>84431190900</v>
      </c>
      <c r="B38792" t="s">
        <v>10</v>
      </c>
    </row>
    <row r="38793" spans="1:2" x14ac:dyDescent="0.25">
      <c r="A38793">
        <v>84431200000</v>
      </c>
      <c r="B38793" t="s">
        <v>11990</v>
      </c>
    </row>
    <row r="38794" spans="1:2" x14ac:dyDescent="0.25">
      <c r="A38794">
        <v>844313</v>
      </c>
      <c r="B38794" t="e">
        <f>- - las demas maquinas y aparatos para imprimir. offset</f>
        <v>#NAME?</v>
      </c>
    </row>
    <row r="38795" spans="1:2" x14ac:dyDescent="0.25">
      <c r="A38795">
        <v>84431310000</v>
      </c>
      <c r="B38795" t="s">
        <v>11991</v>
      </c>
    </row>
    <row r="38796" spans="1:2" x14ac:dyDescent="0.25">
      <c r="A38796">
        <v>8443132</v>
      </c>
      <c r="B38796" t="s">
        <v>11992</v>
      </c>
    </row>
    <row r="38797" spans="1:2" x14ac:dyDescent="0.25">
      <c r="A38797">
        <v>84431321000</v>
      </c>
      <c r="B38797" t="s">
        <v>11993</v>
      </c>
    </row>
    <row r="38798" spans="1:2" x14ac:dyDescent="0.25">
      <c r="A38798">
        <v>84431329000</v>
      </c>
      <c r="B38798" t="s">
        <v>10</v>
      </c>
    </row>
    <row r="38799" spans="1:2" x14ac:dyDescent="0.25">
      <c r="A38799">
        <v>84431390</v>
      </c>
      <c r="B38799" t="s">
        <v>10</v>
      </c>
    </row>
    <row r="38800" spans="1:2" x14ac:dyDescent="0.25">
      <c r="A38800">
        <v>84431390100</v>
      </c>
      <c r="B38800" t="s">
        <v>11994</v>
      </c>
    </row>
    <row r="38801" spans="1:2" x14ac:dyDescent="0.25">
      <c r="A38801">
        <v>84431390800</v>
      </c>
      <c r="B38801" t="s">
        <v>11995</v>
      </c>
    </row>
    <row r="38802" spans="1:2" x14ac:dyDescent="0.25">
      <c r="A38802">
        <v>84431390900</v>
      </c>
      <c r="B38802" t="s">
        <v>10</v>
      </c>
    </row>
    <row r="38803" spans="1:2" x14ac:dyDescent="0.25">
      <c r="A38803">
        <v>84431400000</v>
      </c>
      <c r="B38803" t="e">
        <f>--maquinas y aparatos para imprimir. tipograficos. alimentados Con Bobinas. excepto las maquinas y aparatos flexograficos</f>
        <v>#NAME?</v>
      </c>
    </row>
    <row r="38804" spans="1:2" x14ac:dyDescent="0.25">
      <c r="A38804">
        <v>84431500000</v>
      </c>
      <c r="B38804" t="e">
        <f>--maquinas y aparatos para imprimir. tipograficos. distintos de Los alimentados Con Bobinas. excepto las maquinas y aparatos flexograficos</f>
        <v>#NAME?</v>
      </c>
    </row>
    <row r="38805" spans="1:2" x14ac:dyDescent="0.25">
      <c r="A38805">
        <v>84431600</v>
      </c>
      <c r="B38805" t="e">
        <f>- - maquinas y aparatos para imprimir. flexograficos</f>
        <v>#NAME?</v>
      </c>
    </row>
    <row r="38806" spans="1:2" x14ac:dyDescent="0.25">
      <c r="A38806">
        <v>84431600100</v>
      </c>
      <c r="B38806" t="s">
        <v>11996</v>
      </c>
    </row>
    <row r="38807" spans="1:2" x14ac:dyDescent="0.25">
      <c r="A38807">
        <v>84431600900</v>
      </c>
      <c r="B38807" t="s">
        <v>57</v>
      </c>
    </row>
    <row r="38808" spans="1:2" x14ac:dyDescent="0.25">
      <c r="A38808">
        <v>844317</v>
      </c>
      <c r="B38808" t="e">
        <f>- - maquinas y aparatos para imprimir. heliograficos (huecograbado)</f>
        <v>#NAME?</v>
      </c>
    </row>
    <row r="38809" spans="1:2" x14ac:dyDescent="0.25">
      <c r="A38809">
        <v>84431710000</v>
      </c>
      <c r="B38809" t="s">
        <v>11997</v>
      </c>
    </row>
    <row r="38810" spans="1:2" x14ac:dyDescent="0.25">
      <c r="A38810">
        <v>84431790000</v>
      </c>
      <c r="B38810" t="s">
        <v>10</v>
      </c>
    </row>
    <row r="38811" spans="1:2" x14ac:dyDescent="0.25">
      <c r="A38811">
        <v>844319</v>
      </c>
      <c r="B38811" t="e">
        <f>- - Los demas</f>
        <v>#NAME?</v>
      </c>
    </row>
    <row r="38812" spans="1:2" x14ac:dyDescent="0.25">
      <c r="A38812">
        <v>84431910000</v>
      </c>
      <c r="B38812" t="s">
        <v>11998</v>
      </c>
    </row>
    <row r="38813" spans="1:2" x14ac:dyDescent="0.25">
      <c r="A38813">
        <v>84431990000</v>
      </c>
      <c r="B38813" t="s">
        <v>10</v>
      </c>
    </row>
    <row r="38814" spans="1:2" x14ac:dyDescent="0.25">
      <c r="A38814">
        <v>84433</v>
      </c>
      <c r="B38814" t="s">
        <v>11999</v>
      </c>
    </row>
    <row r="38815" spans="1:2" x14ac:dyDescent="0.25">
      <c r="A38815">
        <v>844331</v>
      </c>
      <c r="B38815" t="e">
        <f>- - maquinas que efectuan dos o mas de las siguientes funciones: impresion. copia o fax. Aptas para ser conectadas a una maquina automatica para tratamiento o procesamiento de datos o a una Red</f>
        <v>#NAME?</v>
      </c>
    </row>
    <row r="38816" spans="1:2" x14ac:dyDescent="0.25">
      <c r="A38816">
        <v>8443311</v>
      </c>
      <c r="B38816" t="s">
        <v>12000</v>
      </c>
    </row>
    <row r="38817" spans="1:2" x14ac:dyDescent="0.25">
      <c r="A38817">
        <v>84433111000</v>
      </c>
      <c r="B38817" t="s">
        <v>12001</v>
      </c>
    </row>
    <row r="38818" spans="1:2" x14ac:dyDescent="0.25">
      <c r="A38818">
        <v>84433112000</v>
      </c>
      <c r="B38818" t="s">
        <v>12002</v>
      </c>
    </row>
    <row r="38819" spans="1:2" x14ac:dyDescent="0.25">
      <c r="A38819">
        <v>84433113000</v>
      </c>
      <c r="B38819" t="s">
        <v>12003</v>
      </c>
    </row>
    <row r="38820" spans="1:2" x14ac:dyDescent="0.25">
      <c r="A38820">
        <v>84433114000</v>
      </c>
      <c r="B38820" t="s">
        <v>12004</v>
      </c>
    </row>
    <row r="38821" spans="1:2" x14ac:dyDescent="0.25">
      <c r="A38821">
        <v>84433115000</v>
      </c>
      <c r="B38821" t="s">
        <v>12005</v>
      </c>
    </row>
    <row r="38822" spans="1:2" x14ac:dyDescent="0.25">
      <c r="A38822">
        <v>84433116000</v>
      </c>
      <c r="B38822" t="s">
        <v>12006</v>
      </c>
    </row>
    <row r="38823" spans="1:2" x14ac:dyDescent="0.25">
      <c r="A38823">
        <v>84433119000</v>
      </c>
      <c r="B38823" t="s">
        <v>57</v>
      </c>
    </row>
    <row r="38824" spans="1:2" x14ac:dyDescent="0.25">
      <c r="A38824">
        <v>8443319</v>
      </c>
      <c r="B38824" t="s">
        <v>57</v>
      </c>
    </row>
    <row r="38825" spans="1:2" x14ac:dyDescent="0.25">
      <c r="A38825">
        <v>84433191000</v>
      </c>
      <c r="B38825" t="s">
        <v>12007</v>
      </c>
    </row>
    <row r="38826" spans="1:2" x14ac:dyDescent="0.25">
      <c r="A38826">
        <v>84433199000</v>
      </c>
      <c r="B38826" t="s">
        <v>57</v>
      </c>
    </row>
    <row r="38827" spans="1:2" x14ac:dyDescent="0.25">
      <c r="A38827">
        <v>844332</v>
      </c>
      <c r="B38827" t="e">
        <f>- - las demas. Aptas para ser conectadas a una maquina automatica para tratamiento o procesamiento de datos o a una Red</f>
        <v>#NAME?</v>
      </c>
    </row>
    <row r="38828" spans="1:2" x14ac:dyDescent="0.25">
      <c r="A38828">
        <v>8443322</v>
      </c>
      <c r="B38828" t="s">
        <v>12008</v>
      </c>
    </row>
    <row r="38829" spans="1:2" x14ac:dyDescent="0.25">
      <c r="A38829">
        <v>84433221000</v>
      </c>
      <c r="B38829" t="s">
        <v>12009</v>
      </c>
    </row>
    <row r="38830" spans="1:2" x14ac:dyDescent="0.25">
      <c r="A38830">
        <v>84433222000</v>
      </c>
      <c r="B38830" t="s">
        <v>12010</v>
      </c>
    </row>
    <row r="38831" spans="1:2" x14ac:dyDescent="0.25">
      <c r="A38831">
        <v>84433223000</v>
      </c>
      <c r="B38831" t="s">
        <v>12011</v>
      </c>
    </row>
    <row r="38832" spans="1:2" x14ac:dyDescent="0.25">
      <c r="A38832">
        <v>84433229000</v>
      </c>
      <c r="B38832" t="s">
        <v>57</v>
      </c>
    </row>
    <row r="38833" spans="1:2" x14ac:dyDescent="0.25">
      <c r="A38833">
        <v>8443323</v>
      </c>
      <c r="B38833" t="s">
        <v>12012</v>
      </c>
    </row>
    <row r="38834" spans="1:2" x14ac:dyDescent="0.25">
      <c r="A38834">
        <v>84433231000</v>
      </c>
      <c r="B38834" t="s">
        <v>12001</v>
      </c>
    </row>
    <row r="38835" spans="1:2" x14ac:dyDescent="0.25">
      <c r="A38835">
        <v>84433232000</v>
      </c>
      <c r="B38835" t="s">
        <v>12013</v>
      </c>
    </row>
    <row r="38836" spans="1:2" x14ac:dyDescent="0.25">
      <c r="A38836">
        <v>84433233000</v>
      </c>
      <c r="B38836" t="s">
        <v>12003</v>
      </c>
    </row>
    <row r="38837" spans="1:2" x14ac:dyDescent="0.25">
      <c r="A38837">
        <v>84433234000</v>
      </c>
      <c r="B38837" t="s">
        <v>12004</v>
      </c>
    </row>
    <row r="38838" spans="1:2" x14ac:dyDescent="0.25">
      <c r="A38838">
        <v>84433235000</v>
      </c>
      <c r="B38838" t="s">
        <v>12014</v>
      </c>
    </row>
    <row r="38839" spans="1:2" x14ac:dyDescent="0.25">
      <c r="A38839">
        <v>84433236000</v>
      </c>
      <c r="B38839" t="s">
        <v>12015</v>
      </c>
    </row>
    <row r="38840" spans="1:2" x14ac:dyDescent="0.25">
      <c r="A38840">
        <v>84433237000</v>
      </c>
      <c r="B38840" t="s">
        <v>12016</v>
      </c>
    </row>
    <row r="38841" spans="1:2" x14ac:dyDescent="0.25">
      <c r="A38841">
        <v>84433238000</v>
      </c>
      <c r="B38841" t="s">
        <v>12006</v>
      </c>
    </row>
    <row r="38842" spans="1:2" x14ac:dyDescent="0.25">
      <c r="A38842">
        <v>84433239000</v>
      </c>
      <c r="B38842" t="s">
        <v>57</v>
      </c>
    </row>
    <row r="38843" spans="1:2" x14ac:dyDescent="0.25">
      <c r="A38843">
        <v>84433240000</v>
      </c>
      <c r="B38843" t="s">
        <v>12017</v>
      </c>
    </row>
    <row r="38844" spans="1:2" x14ac:dyDescent="0.25">
      <c r="A38844">
        <v>8443325</v>
      </c>
      <c r="B38844" t="s">
        <v>12018</v>
      </c>
    </row>
    <row r="38845" spans="1:2" x14ac:dyDescent="0.25">
      <c r="A38845">
        <v>84433251000</v>
      </c>
      <c r="B38845" t="s">
        <v>12019</v>
      </c>
    </row>
    <row r="38846" spans="1:2" x14ac:dyDescent="0.25">
      <c r="A38846">
        <v>84433252000</v>
      </c>
      <c r="B38846" t="s">
        <v>12020</v>
      </c>
    </row>
    <row r="38847" spans="1:2" x14ac:dyDescent="0.25">
      <c r="A38847">
        <v>84433259000</v>
      </c>
      <c r="B38847" t="s">
        <v>10</v>
      </c>
    </row>
    <row r="38848" spans="1:2" x14ac:dyDescent="0.25">
      <c r="A38848">
        <v>8443329</v>
      </c>
      <c r="B38848" t="s">
        <v>57</v>
      </c>
    </row>
    <row r="38849" spans="1:2" x14ac:dyDescent="0.25">
      <c r="A38849">
        <v>84433291000</v>
      </c>
      <c r="B38849" t="s">
        <v>12021</v>
      </c>
    </row>
    <row r="38850" spans="1:2" x14ac:dyDescent="0.25">
      <c r="A38850">
        <v>84433299000</v>
      </c>
      <c r="B38850" t="s">
        <v>57</v>
      </c>
    </row>
    <row r="38851" spans="1:2" x14ac:dyDescent="0.25">
      <c r="A38851">
        <v>844339</v>
      </c>
      <c r="B38851" t="e">
        <f>- - las demas</f>
        <v>#NAME?</v>
      </c>
    </row>
    <row r="38852" spans="1:2" x14ac:dyDescent="0.25">
      <c r="A38852">
        <v>84433910000</v>
      </c>
      <c r="B38852" t="s">
        <v>12022</v>
      </c>
    </row>
    <row r="38853" spans="1:2" x14ac:dyDescent="0.25">
      <c r="A38853">
        <v>8443392</v>
      </c>
      <c r="B38853" t="s">
        <v>12023</v>
      </c>
    </row>
    <row r="38854" spans="1:2" x14ac:dyDescent="0.25">
      <c r="A38854">
        <v>84433921000</v>
      </c>
      <c r="B38854" t="s">
        <v>12024</v>
      </c>
    </row>
    <row r="38855" spans="1:2" x14ac:dyDescent="0.25">
      <c r="A38855">
        <v>84433928000</v>
      </c>
      <c r="B38855" t="s">
        <v>12025</v>
      </c>
    </row>
    <row r="38856" spans="1:2" x14ac:dyDescent="0.25">
      <c r="A38856">
        <v>84433929000</v>
      </c>
      <c r="B38856" t="s">
        <v>57</v>
      </c>
    </row>
    <row r="38857" spans="1:2" x14ac:dyDescent="0.25">
      <c r="A38857">
        <v>84433930000</v>
      </c>
      <c r="B38857" t="s">
        <v>12026</v>
      </c>
    </row>
    <row r="38858" spans="1:2" x14ac:dyDescent="0.25">
      <c r="A38858">
        <v>84433990000</v>
      </c>
      <c r="B38858" t="s">
        <v>57</v>
      </c>
    </row>
    <row r="38859" spans="1:2" x14ac:dyDescent="0.25">
      <c r="A38859">
        <v>84439</v>
      </c>
      <c r="B38859" t="s">
        <v>12027</v>
      </c>
    </row>
    <row r="38860" spans="1:2" x14ac:dyDescent="0.25">
      <c r="A38860">
        <v>844391</v>
      </c>
      <c r="B38860" t="s">
        <v>12028</v>
      </c>
    </row>
    <row r="38861" spans="1:2" x14ac:dyDescent="0.25">
      <c r="A38861">
        <v>84439110000</v>
      </c>
      <c r="B38861" t="s">
        <v>12029</v>
      </c>
    </row>
    <row r="38862" spans="1:2" x14ac:dyDescent="0.25">
      <c r="A38862">
        <v>8443919</v>
      </c>
      <c r="B38862" t="s">
        <v>10</v>
      </c>
    </row>
    <row r="38863" spans="1:2" x14ac:dyDescent="0.25">
      <c r="A38863">
        <v>84439191000</v>
      </c>
      <c r="B38863" t="s">
        <v>11958</v>
      </c>
    </row>
    <row r="38864" spans="1:2" x14ac:dyDescent="0.25">
      <c r="A38864">
        <v>84439192000</v>
      </c>
      <c r="B38864" t="s">
        <v>12030</v>
      </c>
    </row>
    <row r="38865" spans="1:2" x14ac:dyDescent="0.25">
      <c r="A38865">
        <v>84439199000</v>
      </c>
      <c r="B38865" t="s">
        <v>10</v>
      </c>
    </row>
    <row r="38866" spans="1:2" x14ac:dyDescent="0.25">
      <c r="A38866">
        <v>844399</v>
      </c>
      <c r="B38866" t="e">
        <f>- - Los demas</f>
        <v>#NAME?</v>
      </c>
    </row>
    <row r="38867" spans="1:2" x14ac:dyDescent="0.25">
      <c r="A38867">
        <v>8443991</v>
      </c>
      <c r="B38867" t="s">
        <v>12031</v>
      </c>
    </row>
    <row r="38868" spans="1:2" x14ac:dyDescent="0.25">
      <c r="A38868">
        <v>84439911000</v>
      </c>
      <c r="B38868" t="s">
        <v>12032</v>
      </c>
    </row>
    <row r="38869" spans="1:2" x14ac:dyDescent="0.25">
      <c r="A38869">
        <v>84439912000</v>
      </c>
      <c r="B38869" t="s">
        <v>12033</v>
      </c>
    </row>
    <row r="38870" spans="1:2" x14ac:dyDescent="0.25">
      <c r="A38870">
        <v>84439919000</v>
      </c>
      <c r="B38870" t="s">
        <v>57</v>
      </c>
    </row>
    <row r="38871" spans="1:2" x14ac:dyDescent="0.25">
      <c r="A38871">
        <v>8443992</v>
      </c>
      <c r="B38871" t="s">
        <v>12034</v>
      </c>
    </row>
    <row r="38872" spans="1:2" x14ac:dyDescent="0.25">
      <c r="A38872">
        <v>84439921000</v>
      </c>
      <c r="B38872" t="s">
        <v>12032</v>
      </c>
    </row>
    <row r="38873" spans="1:2" x14ac:dyDescent="0.25">
      <c r="A38873">
        <v>84439922000</v>
      </c>
      <c r="B38873" t="s">
        <v>12033</v>
      </c>
    </row>
    <row r="38874" spans="1:2" x14ac:dyDescent="0.25">
      <c r="A38874">
        <v>84439923000</v>
      </c>
      <c r="B38874" t="s">
        <v>12035</v>
      </c>
    </row>
    <row r="38875" spans="1:2" x14ac:dyDescent="0.25">
      <c r="A38875">
        <v>84439929</v>
      </c>
      <c r="B38875" t="s">
        <v>10</v>
      </c>
    </row>
    <row r="38876" spans="1:2" x14ac:dyDescent="0.25">
      <c r="A38876">
        <v>84439929100</v>
      </c>
      <c r="B38876" t="s">
        <v>12036</v>
      </c>
    </row>
    <row r="38877" spans="1:2" x14ac:dyDescent="0.25">
      <c r="A38877">
        <v>84439929900</v>
      </c>
      <c r="B38877" t="s">
        <v>12037</v>
      </c>
    </row>
    <row r="38878" spans="1:2" x14ac:dyDescent="0.25">
      <c r="A38878">
        <v>8443993</v>
      </c>
      <c r="B38878" t="s">
        <v>12038</v>
      </c>
    </row>
    <row r="38879" spans="1:2" x14ac:dyDescent="0.25">
      <c r="A38879">
        <v>84439931000</v>
      </c>
      <c r="B38879" t="s">
        <v>12039</v>
      </c>
    </row>
    <row r="38880" spans="1:2" x14ac:dyDescent="0.25">
      <c r="A38880">
        <v>84439932000</v>
      </c>
      <c r="B38880" t="s">
        <v>12040</v>
      </c>
    </row>
    <row r="38881" spans="1:2" x14ac:dyDescent="0.25">
      <c r="A38881">
        <v>84439933000</v>
      </c>
      <c r="B38881" t="s">
        <v>12041</v>
      </c>
    </row>
    <row r="38882" spans="1:2" x14ac:dyDescent="0.25">
      <c r="A38882">
        <v>84439939000</v>
      </c>
      <c r="B38882" t="s">
        <v>10</v>
      </c>
    </row>
    <row r="38883" spans="1:2" x14ac:dyDescent="0.25">
      <c r="A38883">
        <v>8443994</v>
      </c>
      <c r="B38883" t="s">
        <v>12042</v>
      </c>
    </row>
    <row r="38884" spans="1:2" x14ac:dyDescent="0.25">
      <c r="A38884">
        <v>84439941000</v>
      </c>
      <c r="B38884" t="s">
        <v>12032</v>
      </c>
    </row>
    <row r="38885" spans="1:2" x14ac:dyDescent="0.25">
      <c r="A38885">
        <v>84439942000</v>
      </c>
      <c r="B38885" t="s">
        <v>12033</v>
      </c>
    </row>
    <row r="38886" spans="1:2" x14ac:dyDescent="0.25">
      <c r="A38886">
        <v>84439949000</v>
      </c>
      <c r="B38886" t="s">
        <v>10</v>
      </c>
    </row>
    <row r="38887" spans="1:2" x14ac:dyDescent="0.25">
      <c r="A38887">
        <v>84439950000</v>
      </c>
      <c r="B38887" t="s">
        <v>12043</v>
      </c>
    </row>
    <row r="38888" spans="1:2" x14ac:dyDescent="0.25">
      <c r="A38888">
        <v>84439960000</v>
      </c>
      <c r="B38888" t="s">
        <v>12044</v>
      </c>
    </row>
    <row r="38889" spans="1:2" x14ac:dyDescent="0.25">
      <c r="A38889">
        <v>84439970000</v>
      </c>
      <c r="B38889" t="s">
        <v>12045</v>
      </c>
    </row>
    <row r="38890" spans="1:2" x14ac:dyDescent="0.25">
      <c r="A38890">
        <v>84439980000</v>
      </c>
      <c r="B38890" t="s">
        <v>12046</v>
      </c>
    </row>
    <row r="38891" spans="1:2" x14ac:dyDescent="0.25">
      <c r="A38891">
        <v>84439990000</v>
      </c>
      <c r="B38891" t="s">
        <v>10</v>
      </c>
    </row>
    <row r="38892" spans="1:2" x14ac:dyDescent="0.25">
      <c r="A38892">
        <v>844400</v>
      </c>
      <c r="B38892" t="s">
        <v>12047</v>
      </c>
    </row>
    <row r="38893" spans="1:2" x14ac:dyDescent="0.25">
      <c r="A38893">
        <v>84440010000</v>
      </c>
      <c r="B38893" t="s">
        <v>12048</v>
      </c>
    </row>
    <row r="38894" spans="1:2" x14ac:dyDescent="0.25">
      <c r="A38894">
        <v>84440020000</v>
      </c>
      <c r="B38894" t="s">
        <v>12049</v>
      </c>
    </row>
    <row r="38895" spans="1:2" x14ac:dyDescent="0.25">
      <c r="A38895">
        <v>84440090000</v>
      </c>
      <c r="B38895" t="s">
        <v>57</v>
      </c>
    </row>
    <row r="38896" spans="1:2" x14ac:dyDescent="0.25">
      <c r="A38896">
        <v>8445</v>
      </c>
      <c r="B38896" t="s">
        <v>12050</v>
      </c>
    </row>
    <row r="38897" spans="1:2" x14ac:dyDescent="0.25">
      <c r="A38897">
        <v>84451</v>
      </c>
      <c r="B38897" t="s">
        <v>12051</v>
      </c>
    </row>
    <row r="38898" spans="1:2" x14ac:dyDescent="0.25">
      <c r="A38898">
        <v>844511</v>
      </c>
      <c r="B38898" t="e">
        <f>- - cardas</f>
        <v>#NAME?</v>
      </c>
    </row>
    <row r="38899" spans="1:2" x14ac:dyDescent="0.25">
      <c r="A38899">
        <v>84451110000</v>
      </c>
      <c r="B38899" t="s">
        <v>12052</v>
      </c>
    </row>
    <row r="38900" spans="1:2" x14ac:dyDescent="0.25">
      <c r="A38900">
        <v>84451120000</v>
      </c>
      <c r="B38900" t="s">
        <v>12053</v>
      </c>
    </row>
    <row r="38901" spans="1:2" x14ac:dyDescent="0.25">
      <c r="A38901">
        <v>84451190000</v>
      </c>
      <c r="B38901" t="s">
        <v>57</v>
      </c>
    </row>
    <row r="38902" spans="1:2" x14ac:dyDescent="0.25">
      <c r="A38902">
        <v>84451200000</v>
      </c>
      <c r="B38902" t="e">
        <f>--Peinadoras</f>
        <v>#NAME?</v>
      </c>
    </row>
    <row r="38903" spans="1:2" x14ac:dyDescent="0.25">
      <c r="A38903">
        <v>84451300000</v>
      </c>
      <c r="B38903" t="e">
        <f>--Mecheras</f>
        <v>#NAME?</v>
      </c>
    </row>
    <row r="38904" spans="1:2" x14ac:dyDescent="0.25">
      <c r="A38904">
        <v>844519</v>
      </c>
      <c r="B38904" t="e">
        <f>- - las demas</f>
        <v>#NAME?</v>
      </c>
    </row>
    <row r="38905" spans="1:2" x14ac:dyDescent="0.25">
      <c r="A38905">
        <v>84451910000</v>
      </c>
      <c r="B38905" t="s">
        <v>12054</v>
      </c>
    </row>
    <row r="38906" spans="1:2" x14ac:dyDescent="0.25">
      <c r="A38906">
        <v>8445192</v>
      </c>
      <c r="B38906" t="s">
        <v>12055</v>
      </c>
    </row>
    <row r="38907" spans="1:2" x14ac:dyDescent="0.25">
      <c r="A38907">
        <v>84451921000</v>
      </c>
      <c r="B38907" t="s">
        <v>12056</v>
      </c>
    </row>
    <row r="38908" spans="1:2" x14ac:dyDescent="0.25">
      <c r="A38908">
        <v>84451922000</v>
      </c>
      <c r="B38908" t="s">
        <v>12057</v>
      </c>
    </row>
    <row r="38909" spans="1:2" x14ac:dyDescent="0.25">
      <c r="A38909">
        <v>84451923000</v>
      </c>
      <c r="B38909" t="s">
        <v>12058</v>
      </c>
    </row>
    <row r="38910" spans="1:2" x14ac:dyDescent="0.25">
      <c r="A38910">
        <v>84451924000</v>
      </c>
      <c r="B38910" t="s">
        <v>12059</v>
      </c>
    </row>
    <row r="38911" spans="1:2" x14ac:dyDescent="0.25">
      <c r="A38911">
        <v>84451925000</v>
      </c>
      <c r="B38911" t="s">
        <v>12060</v>
      </c>
    </row>
    <row r="38912" spans="1:2" x14ac:dyDescent="0.25">
      <c r="A38912">
        <v>84451926000</v>
      </c>
      <c r="B38912" t="s">
        <v>12061</v>
      </c>
    </row>
    <row r="38913" spans="1:2" x14ac:dyDescent="0.25">
      <c r="A38913">
        <v>84451927000</v>
      </c>
      <c r="B38913" t="s">
        <v>12062</v>
      </c>
    </row>
    <row r="38914" spans="1:2" x14ac:dyDescent="0.25">
      <c r="A38914">
        <v>84451929000</v>
      </c>
      <c r="B38914" t="s">
        <v>57</v>
      </c>
    </row>
    <row r="38915" spans="1:2" x14ac:dyDescent="0.25">
      <c r="A38915">
        <v>84452000000</v>
      </c>
      <c r="B38915" t="e">
        <f>-maquinas para hilar materia textil</f>
        <v>#NAME?</v>
      </c>
    </row>
    <row r="38916" spans="1:2" x14ac:dyDescent="0.25">
      <c r="A38916">
        <v>844530</v>
      </c>
      <c r="B38916" t="e">
        <f>- maquinas para doblar o retorcer materia textil</f>
        <v>#NAME?</v>
      </c>
    </row>
    <row r="38917" spans="1:2" x14ac:dyDescent="0.25">
      <c r="A38917">
        <v>84453010000</v>
      </c>
      <c r="B38917" t="s">
        <v>12063</v>
      </c>
    </row>
    <row r="38918" spans="1:2" x14ac:dyDescent="0.25">
      <c r="A38918">
        <v>84453090000</v>
      </c>
      <c r="B38918" t="s">
        <v>57</v>
      </c>
    </row>
    <row r="38919" spans="1:2" x14ac:dyDescent="0.25">
      <c r="A38919">
        <v>844540</v>
      </c>
      <c r="B38919" t="e">
        <f>- maquinas para bobinar (incluidas las canilleras) o devanar materia textil</f>
        <v>#NAME?</v>
      </c>
    </row>
    <row r="38920" spans="1:2" x14ac:dyDescent="0.25">
      <c r="A38920">
        <v>8445401</v>
      </c>
      <c r="B38920" t="s">
        <v>12064</v>
      </c>
    </row>
    <row r="38921" spans="1:2" x14ac:dyDescent="0.25">
      <c r="A38921">
        <v>84454011000</v>
      </c>
      <c r="B38921" t="s">
        <v>12065</v>
      </c>
    </row>
    <row r="38922" spans="1:2" x14ac:dyDescent="0.25">
      <c r="A38922">
        <v>84454012000</v>
      </c>
      <c r="B38922" t="s">
        <v>12066</v>
      </c>
    </row>
    <row r="38923" spans="1:2" x14ac:dyDescent="0.25">
      <c r="A38923">
        <v>84454018000</v>
      </c>
      <c r="B38923" t="s">
        <v>12067</v>
      </c>
    </row>
    <row r="38924" spans="1:2" x14ac:dyDescent="0.25">
      <c r="A38924">
        <v>84454019000</v>
      </c>
      <c r="B38924" t="s">
        <v>57</v>
      </c>
    </row>
    <row r="38925" spans="1:2" x14ac:dyDescent="0.25">
      <c r="A38925">
        <v>8445402</v>
      </c>
      <c r="B38925" t="s">
        <v>12068</v>
      </c>
    </row>
    <row r="38926" spans="1:2" x14ac:dyDescent="0.25">
      <c r="A38926">
        <v>84454021000</v>
      </c>
      <c r="B38926" t="s">
        <v>12069</v>
      </c>
    </row>
    <row r="38927" spans="1:2" x14ac:dyDescent="0.25">
      <c r="A38927">
        <v>84454029000</v>
      </c>
      <c r="B38927" t="s">
        <v>57</v>
      </c>
    </row>
    <row r="38928" spans="1:2" x14ac:dyDescent="0.25">
      <c r="A38928">
        <v>8445403</v>
      </c>
      <c r="B38928" t="s">
        <v>12070</v>
      </c>
    </row>
    <row r="38929" spans="1:2" x14ac:dyDescent="0.25">
      <c r="A38929">
        <v>84454031000</v>
      </c>
      <c r="B38929" t="s">
        <v>12071</v>
      </c>
    </row>
    <row r="38930" spans="1:2" x14ac:dyDescent="0.25">
      <c r="A38930">
        <v>84454039000</v>
      </c>
      <c r="B38930" t="s">
        <v>57</v>
      </c>
    </row>
    <row r="38931" spans="1:2" x14ac:dyDescent="0.25">
      <c r="A38931">
        <v>84454040000</v>
      </c>
      <c r="B38931" t="s">
        <v>12072</v>
      </c>
    </row>
    <row r="38932" spans="1:2" x14ac:dyDescent="0.25">
      <c r="A38932">
        <v>84454090000</v>
      </c>
      <c r="B38932" t="s">
        <v>57</v>
      </c>
    </row>
    <row r="38933" spans="1:2" x14ac:dyDescent="0.25">
      <c r="A38933">
        <v>844590</v>
      </c>
      <c r="B38933" t="e">
        <f>- Los demas</f>
        <v>#NAME?</v>
      </c>
    </row>
    <row r="38934" spans="1:2" x14ac:dyDescent="0.25">
      <c r="A38934">
        <v>84459010000</v>
      </c>
      <c r="B38934" t="s">
        <v>12073</v>
      </c>
    </row>
    <row r="38935" spans="1:2" x14ac:dyDescent="0.25">
      <c r="A38935">
        <v>84459020000</v>
      </c>
      <c r="B38935" t="s">
        <v>12074</v>
      </c>
    </row>
    <row r="38936" spans="1:2" x14ac:dyDescent="0.25">
      <c r="A38936">
        <v>84459030000</v>
      </c>
      <c r="B38936" t="s">
        <v>12075</v>
      </c>
    </row>
    <row r="38937" spans="1:2" x14ac:dyDescent="0.25">
      <c r="A38937">
        <v>84459040000</v>
      </c>
      <c r="B38937" t="s">
        <v>12076</v>
      </c>
    </row>
    <row r="38938" spans="1:2" x14ac:dyDescent="0.25">
      <c r="A38938">
        <v>84459090000</v>
      </c>
      <c r="B38938" t="s">
        <v>57</v>
      </c>
    </row>
    <row r="38939" spans="1:2" x14ac:dyDescent="0.25">
      <c r="A38939">
        <v>8446</v>
      </c>
      <c r="B38939" t="s">
        <v>12077</v>
      </c>
    </row>
    <row r="38940" spans="1:2" x14ac:dyDescent="0.25">
      <c r="A38940">
        <v>844610</v>
      </c>
      <c r="B38940" t="s">
        <v>12078</v>
      </c>
    </row>
    <row r="38941" spans="1:2" x14ac:dyDescent="0.25">
      <c r="A38941">
        <v>84461010000</v>
      </c>
      <c r="B38941" t="s">
        <v>12079</v>
      </c>
    </row>
    <row r="38942" spans="1:2" x14ac:dyDescent="0.25">
      <c r="A38942">
        <v>84461090000</v>
      </c>
      <c r="B38942" t="s">
        <v>10</v>
      </c>
    </row>
    <row r="38943" spans="1:2" x14ac:dyDescent="0.25">
      <c r="A38943">
        <v>84462</v>
      </c>
      <c r="B38943" t="s">
        <v>12080</v>
      </c>
    </row>
    <row r="38944" spans="1:2" x14ac:dyDescent="0.25">
      <c r="A38944">
        <v>84462100000</v>
      </c>
      <c r="B38944" t="e">
        <f>--de motor</f>
        <v>#NAME?</v>
      </c>
    </row>
    <row r="38945" spans="1:2" x14ac:dyDescent="0.25">
      <c r="A38945">
        <v>84462900000</v>
      </c>
      <c r="B38945" t="e">
        <f>--Los demas</f>
        <v>#NAME?</v>
      </c>
    </row>
    <row r="38946" spans="1:2" x14ac:dyDescent="0.25">
      <c r="A38946">
        <v>844630</v>
      </c>
      <c r="B38946" t="s">
        <v>12081</v>
      </c>
    </row>
    <row r="38947" spans="1:2" x14ac:dyDescent="0.25">
      <c r="A38947">
        <v>84463010000</v>
      </c>
      <c r="B38947" t="s">
        <v>12082</v>
      </c>
    </row>
    <row r="38948" spans="1:2" x14ac:dyDescent="0.25">
      <c r="A38948">
        <v>84463020000</v>
      </c>
      <c r="B38948" t="s">
        <v>12083</v>
      </c>
    </row>
    <row r="38949" spans="1:2" x14ac:dyDescent="0.25">
      <c r="A38949">
        <v>84463030000</v>
      </c>
      <c r="B38949" t="s">
        <v>12084</v>
      </c>
    </row>
    <row r="38950" spans="1:2" x14ac:dyDescent="0.25">
      <c r="A38950">
        <v>84463040000</v>
      </c>
      <c r="B38950" t="s">
        <v>12085</v>
      </c>
    </row>
    <row r="38951" spans="1:2" x14ac:dyDescent="0.25">
      <c r="A38951">
        <v>84463090000</v>
      </c>
      <c r="B38951" t="s">
        <v>10</v>
      </c>
    </row>
    <row r="38952" spans="1:2" x14ac:dyDescent="0.25">
      <c r="A38952">
        <v>8447</v>
      </c>
      <c r="B38952" t="s">
        <v>12086</v>
      </c>
    </row>
    <row r="38953" spans="1:2" x14ac:dyDescent="0.25">
      <c r="A38953">
        <v>84471</v>
      </c>
      <c r="B38953" t="s">
        <v>12087</v>
      </c>
    </row>
    <row r="38954" spans="1:2" x14ac:dyDescent="0.25">
      <c r="A38954">
        <v>84471100000</v>
      </c>
      <c r="B38954" t="s">
        <v>12088</v>
      </c>
    </row>
    <row r="38955" spans="1:2" x14ac:dyDescent="0.25">
      <c r="A38955">
        <v>84471200000</v>
      </c>
      <c r="B38955" t="s">
        <v>12089</v>
      </c>
    </row>
    <row r="38956" spans="1:2" x14ac:dyDescent="0.25">
      <c r="A38956">
        <v>844720</v>
      </c>
      <c r="B38956" t="e">
        <f>- maquinas rectilineas de tricotar, maquinas de coser por cadeneta</f>
        <v>#NAME?</v>
      </c>
    </row>
    <row r="38957" spans="1:2" x14ac:dyDescent="0.25">
      <c r="A38957">
        <v>84472010000</v>
      </c>
      <c r="B38957" t="s">
        <v>12090</v>
      </c>
    </row>
    <row r="38958" spans="1:2" x14ac:dyDescent="0.25">
      <c r="A38958">
        <v>8447202</v>
      </c>
      <c r="B38958" t="s">
        <v>12091</v>
      </c>
    </row>
    <row r="38959" spans="1:2" x14ac:dyDescent="0.25">
      <c r="A38959">
        <v>84472021000</v>
      </c>
      <c r="B38959" t="s">
        <v>12092</v>
      </c>
    </row>
    <row r="38960" spans="1:2" x14ac:dyDescent="0.25">
      <c r="A38960">
        <v>84472029000</v>
      </c>
      <c r="B38960" t="s">
        <v>10</v>
      </c>
    </row>
    <row r="38961" spans="1:2" x14ac:dyDescent="0.25">
      <c r="A38961">
        <v>84472030000</v>
      </c>
      <c r="B38961" t="s">
        <v>12093</v>
      </c>
    </row>
    <row r="38962" spans="1:2" x14ac:dyDescent="0.25">
      <c r="A38962">
        <v>844790</v>
      </c>
      <c r="B38962" t="e">
        <f>- las demas</f>
        <v>#NAME?</v>
      </c>
    </row>
    <row r="38963" spans="1:2" x14ac:dyDescent="0.25">
      <c r="A38963">
        <v>84479010000</v>
      </c>
      <c r="B38963" t="s">
        <v>12094</v>
      </c>
    </row>
    <row r="38964" spans="1:2" x14ac:dyDescent="0.25">
      <c r="A38964">
        <v>84479020000</v>
      </c>
      <c r="B38964" t="s">
        <v>12095</v>
      </c>
    </row>
    <row r="38965" spans="1:2" x14ac:dyDescent="0.25">
      <c r="A38965">
        <v>84479090000</v>
      </c>
      <c r="B38965" t="s">
        <v>57</v>
      </c>
    </row>
    <row r="38966" spans="1:2" x14ac:dyDescent="0.25">
      <c r="A38966">
        <v>8448</v>
      </c>
      <c r="B38966" t="s">
        <v>12096</v>
      </c>
    </row>
    <row r="38967" spans="1:2" x14ac:dyDescent="0.25">
      <c r="A38967">
        <v>84481</v>
      </c>
      <c r="B38967" t="s">
        <v>12097</v>
      </c>
    </row>
    <row r="38968" spans="1:2" x14ac:dyDescent="0.25">
      <c r="A38968">
        <v>844811</v>
      </c>
      <c r="B38968" t="e">
        <f>- - Maquinitas para lizos y Mecanismos Jacquard, reductoras. perforadores y copiadoras de cartones, maquinas para unir cartones despues de perforados</f>
        <v>#NAME?</v>
      </c>
    </row>
    <row r="38969" spans="1:2" x14ac:dyDescent="0.25">
      <c r="A38969">
        <v>84481110000</v>
      </c>
      <c r="B38969" t="s">
        <v>12098</v>
      </c>
    </row>
    <row r="38970" spans="1:2" x14ac:dyDescent="0.25">
      <c r="A38970">
        <v>84481120000</v>
      </c>
      <c r="B38970" t="s">
        <v>12099</v>
      </c>
    </row>
    <row r="38971" spans="1:2" x14ac:dyDescent="0.25">
      <c r="A38971">
        <v>84481190000</v>
      </c>
      <c r="B38971" t="s">
        <v>10</v>
      </c>
    </row>
    <row r="38972" spans="1:2" x14ac:dyDescent="0.25">
      <c r="A38972">
        <v>84481900000</v>
      </c>
      <c r="B38972" t="e">
        <f>--Los demas</f>
        <v>#NAME?</v>
      </c>
    </row>
    <row r="38973" spans="1:2" x14ac:dyDescent="0.25">
      <c r="A38973">
        <v>844820</v>
      </c>
      <c r="B38973" t="s">
        <v>12100</v>
      </c>
    </row>
    <row r="38974" spans="1:2" x14ac:dyDescent="0.25">
      <c r="A38974">
        <v>84482010000</v>
      </c>
      <c r="B38974" t="s">
        <v>12101</v>
      </c>
    </row>
    <row r="38975" spans="1:2" x14ac:dyDescent="0.25">
      <c r="A38975">
        <v>84482020</v>
      </c>
      <c r="B38975" t="s">
        <v>12102</v>
      </c>
    </row>
    <row r="38976" spans="1:2" x14ac:dyDescent="0.25">
      <c r="A38976">
        <v>84482020100</v>
      </c>
      <c r="B38976" t="s">
        <v>12036</v>
      </c>
    </row>
    <row r="38977" spans="1:2" x14ac:dyDescent="0.25">
      <c r="A38977">
        <v>84482020900</v>
      </c>
      <c r="B38977" t="s">
        <v>12037</v>
      </c>
    </row>
    <row r="38978" spans="1:2" x14ac:dyDescent="0.25">
      <c r="A38978">
        <v>84482030</v>
      </c>
      <c r="B38978" t="s">
        <v>12103</v>
      </c>
    </row>
    <row r="38979" spans="1:2" x14ac:dyDescent="0.25">
      <c r="A38979">
        <v>84482030100</v>
      </c>
      <c r="B38979" t="s">
        <v>12036</v>
      </c>
    </row>
    <row r="38980" spans="1:2" x14ac:dyDescent="0.25">
      <c r="A38980">
        <v>84482030900</v>
      </c>
      <c r="B38980" t="s">
        <v>12037</v>
      </c>
    </row>
    <row r="38981" spans="1:2" x14ac:dyDescent="0.25">
      <c r="A38981">
        <v>84482090</v>
      </c>
      <c r="B38981" t="s">
        <v>57</v>
      </c>
    </row>
    <row r="38982" spans="1:2" x14ac:dyDescent="0.25">
      <c r="A38982">
        <v>84482090100</v>
      </c>
      <c r="B38982" t="s">
        <v>12036</v>
      </c>
    </row>
    <row r="38983" spans="1:2" x14ac:dyDescent="0.25">
      <c r="A38983">
        <v>84482090900</v>
      </c>
      <c r="B38983" t="s">
        <v>12037</v>
      </c>
    </row>
    <row r="38984" spans="1:2" x14ac:dyDescent="0.25">
      <c r="A38984">
        <v>84483</v>
      </c>
      <c r="B38984" t="s">
        <v>12104</v>
      </c>
    </row>
    <row r="38985" spans="1:2" x14ac:dyDescent="0.25">
      <c r="A38985">
        <v>84483100000</v>
      </c>
      <c r="B38985" t="e">
        <f>--Guarniciones de cardas</f>
        <v>#NAME?</v>
      </c>
    </row>
    <row r="38986" spans="1:2" x14ac:dyDescent="0.25">
      <c r="A38986">
        <v>844832</v>
      </c>
      <c r="B38986" t="e">
        <f>- - de maquinas para la preparacion de materia textil. excepto las Guarniciones de cardas</f>
        <v>#NAME?</v>
      </c>
    </row>
    <row r="38987" spans="1:2" x14ac:dyDescent="0.25">
      <c r="A38987">
        <v>8448321</v>
      </c>
      <c r="B38987" t="s">
        <v>12105</v>
      </c>
    </row>
    <row r="38988" spans="1:2" x14ac:dyDescent="0.25">
      <c r="A38988">
        <v>84483211000</v>
      </c>
      <c r="B38988" t="s">
        <v>12106</v>
      </c>
    </row>
    <row r="38989" spans="1:2" x14ac:dyDescent="0.25">
      <c r="A38989">
        <v>84483219</v>
      </c>
      <c r="B38989" t="s">
        <v>57</v>
      </c>
    </row>
    <row r="38990" spans="1:2" x14ac:dyDescent="0.25">
      <c r="A38990">
        <v>84483219100</v>
      </c>
      <c r="B38990" t="s">
        <v>12036</v>
      </c>
    </row>
    <row r="38991" spans="1:2" x14ac:dyDescent="0.25">
      <c r="A38991">
        <v>84483219900</v>
      </c>
      <c r="B38991" t="s">
        <v>12037</v>
      </c>
    </row>
    <row r="38992" spans="1:2" x14ac:dyDescent="0.25">
      <c r="A38992">
        <v>84483220</v>
      </c>
      <c r="B38992" t="s">
        <v>12107</v>
      </c>
    </row>
    <row r="38993" spans="1:2" x14ac:dyDescent="0.25">
      <c r="A38993">
        <v>84483220100</v>
      </c>
      <c r="B38993" t="s">
        <v>12036</v>
      </c>
    </row>
    <row r="38994" spans="1:2" x14ac:dyDescent="0.25">
      <c r="A38994">
        <v>84483220900</v>
      </c>
      <c r="B38994" t="s">
        <v>12037</v>
      </c>
    </row>
    <row r="38995" spans="1:2" x14ac:dyDescent="0.25">
      <c r="A38995">
        <v>84483230</v>
      </c>
      <c r="B38995" t="s">
        <v>12108</v>
      </c>
    </row>
    <row r="38996" spans="1:2" x14ac:dyDescent="0.25">
      <c r="A38996">
        <v>84483230100</v>
      </c>
      <c r="B38996" t="s">
        <v>12036</v>
      </c>
    </row>
    <row r="38997" spans="1:2" x14ac:dyDescent="0.25">
      <c r="A38997">
        <v>84483230900</v>
      </c>
      <c r="B38997" t="s">
        <v>12037</v>
      </c>
    </row>
    <row r="38998" spans="1:2" x14ac:dyDescent="0.25">
      <c r="A38998">
        <v>84483240</v>
      </c>
      <c r="B38998" t="s">
        <v>12109</v>
      </c>
    </row>
    <row r="38999" spans="1:2" x14ac:dyDescent="0.25">
      <c r="A38999">
        <v>84483240100</v>
      </c>
      <c r="B38999" t="s">
        <v>12036</v>
      </c>
    </row>
    <row r="39000" spans="1:2" x14ac:dyDescent="0.25">
      <c r="A39000">
        <v>84483240900</v>
      </c>
      <c r="B39000" t="s">
        <v>12037</v>
      </c>
    </row>
    <row r="39001" spans="1:2" x14ac:dyDescent="0.25">
      <c r="A39001">
        <v>84483250</v>
      </c>
      <c r="B39001" t="s">
        <v>12110</v>
      </c>
    </row>
    <row r="39002" spans="1:2" x14ac:dyDescent="0.25">
      <c r="A39002">
        <v>84483250100</v>
      </c>
      <c r="B39002" t="s">
        <v>12036</v>
      </c>
    </row>
    <row r="39003" spans="1:2" x14ac:dyDescent="0.25">
      <c r="A39003">
        <v>84483250900</v>
      </c>
      <c r="B39003" t="s">
        <v>12037</v>
      </c>
    </row>
    <row r="39004" spans="1:2" x14ac:dyDescent="0.25">
      <c r="A39004">
        <v>84483290</v>
      </c>
      <c r="B39004" t="s">
        <v>57</v>
      </c>
    </row>
    <row r="39005" spans="1:2" x14ac:dyDescent="0.25">
      <c r="A39005">
        <v>84483290100</v>
      </c>
      <c r="B39005" t="s">
        <v>12036</v>
      </c>
    </row>
    <row r="39006" spans="1:2" x14ac:dyDescent="0.25">
      <c r="A39006">
        <v>84483290900</v>
      </c>
      <c r="B39006" t="s">
        <v>12037</v>
      </c>
    </row>
    <row r="39007" spans="1:2" x14ac:dyDescent="0.25">
      <c r="A39007">
        <v>844833</v>
      </c>
      <c r="B39007" t="e">
        <f>- - Husos y sus aletas. anillos y cursores</f>
        <v>#NAME?</v>
      </c>
    </row>
    <row r="39008" spans="1:2" x14ac:dyDescent="0.25">
      <c r="A39008">
        <v>84483310000</v>
      </c>
      <c r="B39008" t="s">
        <v>12111</v>
      </c>
    </row>
    <row r="39009" spans="1:2" x14ac:dyDescent="0.25">
      <c r="A39009">
        <v>84483390000</v>
      </c>
      <c r="B39009" t="s">
        <v>10</v>
      </c>
    </row>
    <row r="39010" spans="1:2" x14ac:dyDescent="0.25">
      <c r="A39010">
        <v>844839</v>
      </c>
      <c r="B39010" t="e">
        <f>- - Los demas</f>
        <v>#NAME?</v>
      </c>
    </row>
    <row r="39011" spans="1:2" x14ac:dyDescent="0.25">
      <c r="A39011">
        <v>8448391</v>
      </c>
      <c r="B39011" t="s">
        <v>12112</v>
      </c>
    </row>
    <row r="39012" spans="1:2" x14ac:dyDescent="0.25">
      <c r="A39012">
        <v>84483911</v>
      </c>
      <c r="B39012" t="s">
        <v>12113</v>
      </c>
    </row>
    <row r="39013" spans="1:2" x14ac:dyDescent="0.25">
      <c r="A39013">
        <v>84483911100</v>
      </c>
      <c r="B39013" t="s">
        <v>12036</v>
      </c>
    </row>
    <row r="39014" spans="1:2" x14ac:dyDescent="0.25">
      <c r="A39014">
        <v>84483911900</v>
      </c>
      <c r="B39014" t="s">
        <v>12037</v>
      </c>
    </row>
    <row r="39015" spans="1:2" x14ac:dyDescent="0.25">
      <c r="A39015">
        <v>84483912</v>
      </c>
      <c r="B39015" t="s">
        <v>12114</v>
      </c>
    </row>
    <row r="39016" spans="1:2" x14ac:dyDescent="0.25">
      <c r="A39016">
        <v>84483912100</v>
      </c>
      <c r="B39016" t="s">
        <v>12036</v>
      </c>
    </row>
    <row r="39017" spans="1:2" x14ac:dyDescent="0.25">
      <c r="A39017">
        <v>84483912900</v>
      </c>
      <c r="B39017" t="s">
        <v>12037</v>
      </c>
    </row>
    <row r="39018" spans="1:2" x14ac:dyDescent="0.25">
      <c r="A39018">
        <v>84483917</v>
      </c>
      <c r="B39018" t="s">
        <v>12115</v>
      </c>
    </row>
    <row r="39019" spans="1:2" x14ac:dyDescent="0.25">
      <c r="A39019">
        <v>84483917100</v>
      </c>
      <c r="B39019" t="s">
        <v>12036</v>
      </c>
    </row>
    <row r="39020" spans="1:2" x14ac:dyDescent="0.25">
      <c r="A39020">
        <v>84483917900</v>
      </c>
      <c r="B39020" t="s">
        <v>12037</v>
      </c>
    </row>
    <row r="39021" spans="1:2" x14ac:dyDescent="0.25">
      <c r="A39021">
        <v>84483919</v>
      </c>
      <c r="B39021" t="s">
        <v>57</v>
      </c>
    </row>
    <row r="39022" spans="1:2" x14ac:dyDescent="0.25">
      <c r="A39022">
        <v>84483919100</v>
      </c>
      <c r="B39022" t="s">
        <v>12036</v>
      </c>
    </row>
    <row r="39023" spans="1:2" x14ac:dyDescent="0.25">
      <c r="A39023">
        <v>84483919900</v>
      </c>
      <c r="B39023" t="s">
        <v>12037</v>
      </c>
    </row>
    <row r="39024" spans="1:2" x14ac:dyDescent="0.25">
      <c r="A39024">
        <v>8448392</v>
      </c>
      <c r="B39024" t="s">
        <v>12116</v>
      </c>
    </row>
    <row r="39025" spans="1:2" x14ac:dyDescent="0.25">
      <c r="A39025">
        <v>84483921</v>
      </c>
      <c r="B39025" t="s">
        <v>12117</v>
      </c>
    </row>
    <row r="39026" spans="1:2" x14ac:dyDescent="0.25">
      <c r="A39026">
        <v>84483921100</v>
      </c>
      <c r="B39026" t="s">
        <v>12036</v>
      </c>
    </row>
    <row r="39027" spans="1:2" x14ac:dyDescent="0.25">
      <c r="A39027">
        <v>84483921900</v>
      </c>
      <c r="B39027" t="s">
        <v>12037</v>
      </c>
    </row>
    <row r="39028" spans="1:2" x14ac:dyDescent="0.25">
      <c r="A39028">
        <v>84483922</v>
      </c>
      <c r="B39028" t="s">
        <v>12118</v>
      </c>
    </row>
    <row r="39029" spans="1:2" x14ac:dyDescent="0.25">
      <c r="A39029">
        <v>84483922100</v>
      </c>
      <c r="B39029" t="s">
        <v>12036</v>
      </c>
    </row>
    <row r="39030" spans="1:2" x14ac:dyDescent="0.25">
      <c r="A39030">
        <v>84483922900</v>
      </c>
      <c r="B39030" t="s">
        <v>12037</v>
      </c>
    </row>
    <row r="39031" spans="1:2" x14ac:dyDescent="0.25">
      <c r="A39031">
        <v>84483923</v>
      </c>
      <c r="B39031" t="s">
        <v>12119</v>
      </c>
    </row>
    <row r="39032" spans="1:2" x14ac:dyDescent="0.25">
      <c r="A39032">
        <v>84483923100</v>
      </c>
      <c r="B39032" t="s">
        <v>12036</v>
      </c>
    </row>
    <row r="39033" spans="1:2" x14ac:dyDescent="0.25">
      <c r="A39033">
        <v>84483923900</v>
      </c>
      <c r="B39033" t="s">
        <v>12037</v>
      </c>
    </row>
    <row r="39034" spans="1:2" x14ac:dyDescent="0.25">
      <c r="A39034">
        <v>84483929</v>
      </c>
      <c r="B39034" t="s">
        <v>57</v>
      </c>
    </row>
    <row r="39035" spans="1:2" x14ac:dyDescent="0.25">
      <c r="A39035">
        <v>84483929100</v>
      </c>
      <c r="B39035" t="s">
        <v>12036</v>
      </c>
    </row>
    <row r="39036" spans="1:2" x14ac:dyDescent="0.25">
      <c r="A39036">
        <v>84483929900</v>
      </c>
      <c r="B39036" t="s">
        <v>12037</v>
      </c>
    </row>
    <row r="39037" spans="1:2" x14ac:dyDescent="0.25">
      <c r="A39037">
        <v>8448399</v>
      </c>
      <c r="B39037" t="s">
        <v>10</v>
      </c>
    </row>
    <row r="39038" spans="1:2" x14ac:dyDescent="0.25">
      <c r="A39038">
        <v>84483991</v>
      </c>
      <c r="B39038" t="s">
        <v>12120</v>
      </c>
    </row>
    <row r="39039" spans="1:2" x14ac:dyDescent="0.25">
      <c r="A39039">
        <v>84483991100</v>
      </c>
      <c r="B39039" t="s">
        <v>12036</v>
      </c>
    </row>
    <row r="39040" spans="1:2" x14ac:dyDescent="0.25">
      <c r="A39040">
        <v>84483991900</v>
      </c>
      <c r="B39040" t="s">
        <v>12037</v>
      </c>
    </row>
    <row r="39041" spans="1:2" x14ac:dyDescent="0.25">
      <c r="A39041">
        <v>84483992</v>
      </c>
      <c r="B39041" t="s">
        <v>12121</v>
      </c>
    </row>
    <row r="39042" spans="1:2" x14ac:dyDescent="0.25">
      <c r="A39042">
        <v>84483992100</v>
      </c>
      <c r="B39042" t="s">
        <v>12036</v>
      </c>
    </row>
    <row r="39043" spans="1:2" x14ac:dyDescent="0.25">
      <c r="A39043">
        <v>84483992900</v>
      </c>
      <c r="B39043" t="s">
        <v>12037</v>
      </c>
    </row>
    <row r="39044" spans="1:2" x14ac:dyDescent="0.25">
      <c r="A39044">
        <v>84483999</v>
      </c>
      <c r="B39044" t="s">
        <v>10</v>
      </c>
    </row>
    <row r="39045" spans="1:2" x14ac:dyDescent="0.25">
      <c r="A39045">
        <v>84483999100</v>
      </c>
      <c r="B39045" t="s">
        <v>12036</v>
      </c>
    </row>
    <row r="39046" spans="1:2" x14ac:dyDescent="0.25">
      <c r="A39046">
        <v>84483999900</v>
      </c>
      <c r="B39046" t="s">
        <v>12037</v>
      </c>
    </row>
    <row r="39047" spans="1:2" x14ac:dyDescent="0.25">
      <c r="A39047">
        <v>84484</v>
      </c>
      <c r="B39047" t="s">
        <v>12122</v>
      </c>
    </row>
    <row r="39048" spans="1:2" x14ac:dyDescent="0.25">
      <c r="A39048">
        <v>84484200000</v>
      </c>
      <c r="B39048" t="e">
        <f>--Peines. lizos y cuadros de lizos</f>
        <v>#NAME?</v>
      </c>
    </row>
    <row r="39049" spans="1:2" x14ac:dyDescent="0.25">
      <c r="A39049">
        <v>844849</v>
      </c>
      <c r="B39049" t="e">
        <f>- - Los demas</f>
        <v>#NAME?</v>
      </c>
    </row>
    <row r="39050" spans="1:2" x14ac:dyDescent="0.25">
      <c r="A39050">
        <v>84484910</v>
      </c>
      <c r="B39050" t="s">
        <v>12123</v>
      </c>
    </row>
    <row r="39051" spans="1:2" x14ac:dyDescent="0.25">
      <c r="A39051">
        <v>84484910100</v>
      </c>
      <c r="B39051" t="s">
        <v>12036</v>
      </c>
    </row>
    <row r="39052" spans="1:2" x14ac:dyDescent="0.25">
      <c r="A39052">
        <v>84484910900</v>
      </c>
      <c r="B39052" t="s">
        <v>12037</v>
      </c>
    </row>
    <row r="39053" spans="1:2" x14ac:dyDescent="0.25">
      <c r="A39053">
        <v>84484920</v>
      </c>
      <c r="B39053" t="s">
        <v>12124</v>
      </c>
    </row>
    <row r="39054" spans="1:2" x14ac:dyDescent="0.25">
      <c r="A39054">
        <v>84484920100</v>
      </c>
      <c r="B39054" t="s">
        <v>12036</v>
      </c>
    </row>
    <row r="39055" spans="1:2" x14ac:dyDescent="0.25">
      <c r="A39055">
        <v>84484920900</v>
      </c>
      <c r="B39055" t="s">
        <v>12037</v>
      </c>
    </row>
    <row r="39056" spans="1:2" x14ac:dyDescent="0.25">
      <c r="A39056">
        <v>84484990</v>
      </c>
      <c r="B39056" t="s">
        <v>10</v>
      </c>
    </row>
    <row r="39057" spans="1:2" x14ac:dyDescent="0.25">
      <c r="A39057">
        <v>84484990100</v>
      </c>
      <c r="B39057" t="s">
        <v>12036</v>
      </c>
    </row>
    <row r="39058" spans="1:2" x14ac:dyDescent="0.25">
      <c r="A39058">
        <v>84484990900</v>
      </c>
      <c r="B39058" t="s">
        <v>12037</v>
      </c>
    </row>
    <row r="39059" spans="1:2" x14ac:dyDescent="0.25">
      <c r="A39059">
        <v>84485</v>
      </c>
      <c r="B39059" t="s">
        <v>12125</v>
      </c>
    </row>
    <row r="39060" spans="1:2" x14ac:dyDescent="0.25">
      <c r="A39060">
        <v>844851</v>
      </c>
      <c r="B39060" t="e">
        <f>- - Platinas. agujas y demas Articulos que participen En la formacion de mallas</f>
        <v>#NAME?</v>
      </c>
    </row>
    <row r="39061" spans="1:2" x14ac:dyDescent="0.25">
      <c r="A39061">
        <v>84485110000</v>
      </c>
      <c r="B39061" t="s">
        <v>12126</v>
      </c>
    </row>
    <row r="39062" spans="1:2" x14ac:dyDescent="0.25">
      <c r="A39062">
        <v>84485190000</v>
      </c>
      <c r="B39062" t="s">
        <v>10</v>
      </c>
    </row>
    <row r="39063" spans="1:2" x14ac:dyDescent="0.25">
      <c r="A39063">
        <v>844859</v>
      </c>
      <c r="B39063" t="e">
        <f>- - Los demas</f>
        <v>#NAME?</v>
      </c>
    </row>
    <row r="39064" spans="1:2" x14ac:dyDescent="0.25">
      <c r="A39064">
        <v>84485910</v>
      </c>
      <c r="B39064" t="s">
        <v>12127</v>
      </c>
    </row>
    <row r="39065" spans="1:2" x14ac:dyDescent="0.25">
      <c r="A39065">
        <v>84485910100</v>
      </c>
      <c r="B39065" t="s">
        <v>12036</v>
      </c>
    </row>
    <row r="39066" spans="1:2" x14ac:dyDescent="0.25">
      <c r="A39066">
        <v>84485910900</v>
      </c>
      <c r="B39066" t="s">
        <v>12037</v>
      </c>
    </row>
    <row r="39067" spans="1:2" x14ac:dyDescent="0.25">
      <c r="A39067">
        <v>8448592</v>
      </c>
      <c r="B39067" t="s">
        <v>12128</v>
      </c>
    </row>
    <row r="39068" spans="1:2" x14ac:dyDescent="0.25">
      <c r="A39068">
        <v>84485921</v>
      </c>
      <c r="B39068" t="s">
        <v>10706</v>
      </c>
    </row>
    <row r="39069" spans="1:2" x14ac:dyDescent="0.25">
      <c r="A39069">
        <v>84485921100</v>
      </c>
      <c r="B39069" t="s">
        <v>12036</v>
      </c>
    </row>
    <row r="39070" spans="1:2" x14ac:dyDescent="0.25">
      <c r="A39070">
        <v>84485921900</v>
      </c>
      <c r="B39070" t="s">
        <v>12037</v>
      </c>
    </row>
    <row r="39071" spans="1:2" x14ac:dyDescent="0.25">
      <c r="A39071">
        <v>84485922</v>
      </c>
      <c r="B39071" t="s">
        <v>12129</v>
      </c>
    </row>
    <row r="39072" spans="1:2" x14ac:dyDescent="0.25">
      <c r="A39072">
        <v>84485922100</v>
      </c>
      <c r="B39072" t="s">
        <v>12036</v>
      </c>
    </row>
    <row r="39073" spans="1:2" x14ac:dyDescent="0.25">
      <c r="A39073">
        <v>84485922900</v>
      </c>
      <c r="B39073" t="s">
        <v>12037</v>
      </c>
    </row>
    <row r="39074" spans="1:2" x14ac:dyDescent="0.25">
      <c r="A39074">
        <v>84485929</v>
      </c>
      <c r="B39074" t="s">
        <v>57</v>
      </c>
    </row>
    <row r="39075" spans="1:2" x14ac:dyDescent="0.25">
      <c r="A39075">
        <v>84485929100</v>
      </c>
      <c r="B39075" t="s">
        <v>12036</v>
      </c>
    </row>
    <row r="39076" spans="1:2" x14ac:dyDescent="0.25">
      <c r="A39076">
        <v>84485929900</v>
      </c>
      <c r="B39076" t="s">
        <v>12037</v>
      </c>
    </row>
    <row r="39077" spans="1:2" x14ac:dyDescent="0.25">
      <c r="A39077">
        <v>84485930</v>
      </c>
      <c r="B39077" t="s">
        <v>12130</v>
      </c>
    </row>
    <row r="39078" spans="1:2" x14ac:dyDescent="0.25">
      <c r="A39078">
        <v>84485930100</v>
      </c>
      <c r="B39078" t="s">
        <v>12036</v>
      </c>
    </row>
    <row r="39079" spans="1:2" x14ac:dyDescent="0.25">
      <c r="A39079">
        <v>84485930900</v>
      </c>
      <c r="B39079" t="s">
        <v>12037</v>
      </c>
    </row>
    <row r="39080" spans="1:2" x14ac:dyDescent="0.25">
      <c r="A39080">
        <v>84485940</v>
      </c>
      <c r="B39080" t="s">
        <v>12131</v>
      </c>
    </row>
    <row r="39081" spans="1:2" x14ac:dyDescent="0.25">
      <c r="A39081">
        <v>84485940100</v>
      </c>
      <c r="B39081" t="s">
        <v>12036</v>
      </c>
    </row>
    <row r="39082" spans="1:2" x14ac:dyDescent="0.25">
      <c r="A39082">
        <v>84485940900</v>
      </c>
      <c r="B39082" t="s">
        <v>12037</v>
      </c>
    </row>
    <row r="39083" spans="1:2" x14ac:dyDescent="0.25">
      <c r="A39083">
        <v>84485990</v>
      </c>
      <c r="B39083" t="s">
        <v>10</v>
      </c>
    </row>
    <row r="39084" spans="1:2" x14ac:dyDescent="0.25">
      <c r="A39084">
        <v>84485990100</v>
      </c>
      <c r="B39084" t="s">
        <v>12036</v>
      </c>
    </row>
    <row r="39085" spans="1:2" x14ac:dyDescent="0.25">
      <c r="A39085">
        <v>84485990900</v>
      </c>
      <c r="B39085" t="s">
        <v>12037</v>
      </c>
    </row>
    <row r="39086" spans="1:2" x14ac:dyDescent="0.25">
      <c r="A39086">
        <v>844900</v>
      </c>
      <c r="B39086" t="s">
        <v>12132</v>
      </c>
    </row>
    <row r="39087" spans="1:2" x14ac:dyDescent="0.25">
      <c r="A39087">
        <v>84490010000</v>
      </c>
      <c r="B39087" t="s">
        <v>12133</v>
      </c>
    </row>
    <row r="39088" spans="1:2" x14ac:dyDescent="0.25">
      <c r="A39088">
        <v>84490020000</v>
      </c>
      <c r="B39088" t="s">
        <v>12134</v>
      </c>
    </row>
    <row r="39089" spans="1:2" x14ac:dyDescent="0.25">
      <c r="A39089">
        <v>84490080000</v>
      </c>
      <c r="B39089" t="s">
        <v>10</v>
      </c>
    </row>
    <row r="39090" spans="1:2" x14ac:dyDescent="0.25">
      <c r="A39090">
        <v>8449009</v>
      </c>
      <c r="B39090" t="s">
        <v>10194</v>
      </c>
    </row>
    <row r="39091" spans="1:2" x14ac:dyDescent="0.25">
      <c r="A39091">
        <v>84490091000</v>
      </c>
      <c r="B39091" t="s">
        <v>12135</v>
      </c>
    </row>
    <row r="39092" spans="1:2" x14ac:dyDescent="0.25">
      <c r="A39092">
        <v>84490099000</v>
      </c>
      <c r="B39092" t="s">
        <v>57</v>
      </c>
    </row>
    <row r="39093" spans="1:2" x14ac:dyDescent="0.25">
      <c r="A39093">
        <v>8450</v>
      </c>
      <c r="B39093" t="s">
        <v>12136</v>
      </c>
    </row>
    <row r="39094" spans="1:2" x14ac:dyDescent="0.25">
      <c r="A39094">
        <v>84501</v>
      </c>
      <c r="B39094" t="s">
        <v>12137</v>
      </c>
    </row>
    <row r="39095" spans="1:2" x14ac:dyDescent="0.25">
      <c r="A39095">
        <v>84501100</v>
      </c>
      <c r="B39095" t="e">
        <f>- - maquinas totalmente automaticas</f>
        <v>#NAME?</v>
      </c>
    </row>
    <row r="39096" spans="1:2" x14ac:dyDescent="0.25">
      <c r="A39096">
        <v>845011001</v>
      </c>
      <c r="B39096" t="s">
        <v>12138</v>
      </c>
    </row>
    <row r="39097" spans="1:2" x14ac:dyDescent="0.25">
      <c r="A39097">
        <v>8450110011</v>
      </c>
      <c r="B39097" t="s">
        <v>12139</v>
      </c>
    </row>
    <row r="39098" spans="1:2" x14ac:dyDescent="0.25">
      <c r="A39098">
        <v>84501100111</v>
      </c>
      <c r="B39098" t="s">
        <v>12140</v>
      </c>
    </row>
    <row r="39099" spans="1:2" x14ac:dyDescent="0.25">
      <c r="A39099">
        <v>84501100112</v>
      </c>
      <c r="B39099" t="s">
        <v>12141</v>
      </c>
    </row>
    <row r="39100" spans="1:2" x14ac:dyDescent="0.25">
      <c r="A39100">
        <v>84501100113</v>
      </c>
      <c r="B39100" t="s">
        <v>12142</v>
      </c>
    </row>
    <row r="39101" spans="1:2" x14ac:dyDescent="0.25">
      <c r="A39101">
        <v>84501100119</v>
      </c>
      <c r="B39101" t="s">
        <v>10</v>
      </c>
    </row>
    <row r="39102" spans="1:2" x14ac:dyDescent="0.25">
      <c r="A39102">
        <v>8450110012</v>
      </c>
      <c r="B39102" t="s">
        <v>12143</v>
      </c>
    </row>
    <row r="39103" spans="1:2" x14ac:dyDescent="0.25">
      <c r="A39103">
        <v>84501100121</v>
      </c>
      <c r="B39103" t="s">
        <v>12144</v>
      </c>
    </row>
    <row r="39104" spans="1:2" x14ac:dyDescent="0.25">
      <c r="A39104">
        <v>84501100129</v>
      </c>
      <c r="B39104" t="s">
        <v>10</v>
      </c>
    </row>
    <row r="39105" spans="1:2" x14ac:dyDescent="0.25">
      <c r="A39105">
        <v>845011002</v>
      </c>
      <c r="B39105" t="s">
        <v>12145</v>
      </c>
    </row>
    <row r="39106" spans="1:2" x14ac:dyDescent="0.25">
      <c r="A39106">
        <v>8450110021</v>
      </c>
      <c r="B39106" t="s">
        <v>12139</v>
      </c>
    </row>
    <row r="39107" spans="1:2" x14ac:dyDescent="0.25">
      <c r="A39107">
        <v>84501100211</v>
      </c>
      <c r="B39107" t="s">
        <v>12146</v>
      </c>
    </row>
    <row r="39108" spans="1:2" x14ac:dyDescent="0.25">
      <c r="A39108">
        <v>84501100212</v>
      </c>
      <c r="B39108" t="s">
        <v>12147</v>
      </c>
    </row>
    <row r="39109" spans="1:2" x14ac:dyDescent="0.25">
      <c r="A39109">
        <v>84501100213</v>
      </c>
      <c r="B39109" t="s">
        <v>12148</v>
      </c>
    </row>
    <row r="39110" spans="1:2" x14ac:dyDescent="0.25">
      <c r="A39110">
        <v>84501100219</v>
      </c>
      <c r="B39110" t="s">
        <v>10</v>
      </c>
    </row>
    <row r="39111" spans="1:2" x14ac:dyDescent="0.25">
      <c r="A39111">
        <v>8450110022</v>
      </c>
      <c r="B39111" t="s">
        <v>12143</v>
      </c>
    </row>
    <row r="39112" spans="1:2" x14ac:dyDescent="0.25">
      <c r="A39112">
        <v>84501100221</v>
      </c>
      <c r="B39112" t="s">
        <v>12144</v>
      </c>
    </row>
    <row r="39113" spans="1:2" x14ac:dyDescent="0.25">
      <c r="A39113">
        <v>84501100229</v>
      </c>
      <c r="B39113" t="s">
        <v>10</v>
      </c>
    </row>
    <row r="39114" spans="1:2" x14ac:dyDescent="0.25">
      <c r="A39114">
        <v>845011003</v>
      </c>
      <c r="B39114" t="s">
        <v>12149</v>
      </c>
    </row>
    <row r="39115" spans="1:2" x14ac:dyDescent="0.25">
      <c r="A39115">
        <v>84501100310</v>
      </c>
      <c r="B39115" t="s">
        <v>12144</v>
      </c>
    </row>
    <row r="39116" spans="1:2" x14ac:dyDescent="0.25">
      <c r="A39116">
        <v>84501100390</v>
      </c>
      <c r="B39116" t="s">
        <v>10</v>
      </c>
    </row>
    <row r="39117" spans="1:2" x14ac:dyDescent="0.25">
      <c r="A39117">
        <v>84501100400</v>
      </c>
      <c r="B39117" t="s">
        <v>12150</v>
      </c>
    </row>
    <row r="39118" spans="1:2" x14ac:dyDescent="0.25">
      <c r="A39118">
        <v>845011009</v>
      </c>
      <c r="B39118" t="s">
        <v>10</v>
      </c>
    </row>
    <row r="39119" spans="1:2" x14ac:dyDescent="0.25">
      <c r="A39119">
        <v>84501100910</v>
      </c>
      <c r="B39119" t="s">
        <v>12151</v>
      </c>
    </row>
    <row r="39120" spans="1:2" x14ac:dyDescent="0.25">
      <c r="A39120">
        <v>84501100990</v>
      </c>
      <c r="B39120" t="s">
        <v>10</v>
      </c>
    </row>
    <row r="39121" spans="1:2" x14ac:dyDescent="0.25">
      <c r="A39121">
        <v>84501200000</v>
      </c>
      <c r="B39121" t="e">
        <f>--las demas maquinas. Con secadora centrifuga incorporada</f>
        <v>#NAME?</v>
      </c>
    </row>
    <row r="39122" spans="1:2" x14ac:dyDescent="0.25">
      <c r="A39122">
        <v>84501900000</v>
      </c>
      <c r="B39122" t="e">
        <f>--las demas</f>
        <v>#NAME?</v>
      </c>
    </row>
    <row r="39123" spans="1:2" x14ac:dyDescent="0.25">
      <c r="A39123">
        <v>845020</v>
      </c>
      <c r="B39123" t="s">
        <v>12152</v>
      </c>
    </row>
    <row r="39124" spans="1:2" x14ac:dyDescent="0.25">
      <c r="A39124">
        <v>84502010000</v>
      </c>
      <c r="B39124" t="s">
        <v>12153</v>
      </c>
    </row>
    <row r="39125" spans="1:2" x14ac:dyDescent="0.25">
      <c r="A39125">
        <v>84502090</v>
      </c>
      <c r="B39125" t="s">
        <v>57</v>
      </c>
    </row>
    <row r="39126" spans="1:2" x14ac:dyDescent="0.25">
      <c r="A39126">
        <v>845020901</v>
      </c>
      <c r="B39126" t="s">
        <v>12154</v>
      </c>
    </row>
    <row r="39127" spans="1:2" x14ac:dyDescent="0.25">
      <c r="A39127">
        <v>8450209011</v>
      </c>
      <c r="B39127" t="s">
        <v>12155</v>
      </c>
    </row>
    <row r="39128" spans="1:2" x14ac:dyDescent="0.25">
      <c r="A39128">
        <v>84502090111</v>
      </c>
      <c r="B39128" t="s">
        <v>12139</v>
      </c>
    </row>
    <row r="39129" spans="1:2" x14ac:dyDescent="0.25">
      <c r="A39129">
        <v>84502090112</v>
      </c>
      <c r="B39129" t="s">
        <v>12143</v>
      </c>
    </row>
    <row r="39130" spans="1:2" x14ac:dyDescent="0.25">
      <c r="A39130">
        <v>8450209012</v>
      </c>
      <c r="B39130" t="s">
        <v>12156</v>
      </c>
    </row>
    <row r="39131" spans="1:2" x14ac:dyDescent="0.25">
      <c r="A39131">
        <v>84502090121</v>
      </c>
      <c r="B39131" t="s">
        <v>12139</v>
      </c>
    </row>
    <row r="39132" spans="1:2" x14ac:dyDescent="0.25">
      <c r="A39132">
        <v>84502090122</v>
      </c>
      <c r="B39132" t="s">
        <v>12143</v>
      </c>
    </row>
    <row r="39133" spans="1:2" x14ac:dyDescent="0.25">
      <c r="A39133">
        <v>84502090130</v>
      </c>
      <c r="B39133" t="s">
        <v>12157</v>
      </c>
    </row>
    <row r="39134" spans="1:2" x14ac:dyDescent="0.25">
      <c r="A39134">
        <v>84502090190</v>
      </c>
      <c r="B39134" t="s">
        <v>57</v>
      </c>
    </row>
    <row r="39135" spans="1:2" x14ac:dyDescent="0.25">
      <c r="A39135">
        <v>845020902</v>
      </c>
      <c r="B39135" t="s">
        <v>12158</v>
      </c>
    </row>
    <row r="39136" spans="1:2" x14ac:dyDescent="0.25">
      <c r="A39136">
        <v>84502090210</v>
      </c>
      <c r="B39136" t="s">
        <v>12155</v>
      </c>
    </row>
    <row r="39137" spans="1:2" x14ac:dyDescent="0.25">
      <c r="A39137">
        <v>84502090220</v>
      </c>
      <c r="B39137" t="s">
        <v>12156</v>
      </c>
    </row>
    <row r="39138" spans="1:2" x14ac:dyDescent="0.25">
      <c r="A39138">
        <v>84502090230</v>
      </c>
      <c r="B39138" t="s">
        <v>12157</v>
      </c>
    </row>
    <row r="39139" spans="1:2" x14ac:dyDescent="0.25">
      <c r="A39139">
        <v>84502090290</v>
      </c>
      <c r="B39139" t="s">
        <v>57</v>
      </c>
    </row>
    <row r="39140" spans="1:2" x14ac:dyDescent="0.25">
      <c r="A39140">
        <v>845020909</v>
      </c>
      <c r="B39140" t="s">
        <v>10</v>
      </c>
    </row>
    <row r="39141" spans="1:2" x14ac:dyDescent="0.25">
      <c r="A39141">
        <v>84502090910</v>
      </c>
      <c r="B39141" t="s">
        <v>12159</v>
      </c>
    </row>
    <row r="39142" spans="1:2" x14ac:dyDescent="0.25">
      <c r="A39142">
        <v>84502090990</v>
      </c>
      <c r="B39142" t="s">
        <v>57</v>
      </c>
    </row>
    <row r="39143" spans="1:2" x14ac:dyDescent="0.25">
      <c r="A39143">
        <v>845090</v>
      </c>
      <c r="B39143" t="e">
        <f>- partes</f>
        <v>#NAME?</v>
      </c>
    </row>
    <row r="39144" spans="1:2" x14ac:dyDescent="0.25">
      <c r="A39144">
        <v>84509010000</v>
      </c>
      <c r="B39144" t="s">
        <v>12160</v>
      </c>
    </row>
    <row r="39145" spans="1:2" x14ac:dyDescent="0.25">
      <c r="A39145">
        <v>84509090000</v>
      </c>
      <c r="B39145" t="s">
        <v>57</v>
      </c>
    </row>
    <row r="39146" spans="1:2" x14ac:dyDescent="0.25">
      <c r="A39146">
        <v>8451</v>
      </c>
      <c r="B39146" t="s">
        <v>12161</v>
      </c>
    </row>
    <row r="39147" spans="1:2" x14ac:dyDescent="0.25">
      <c r="A39147">
        <v>84511000000</v>
      </c>
      <c r="B39147" t="e">
        <f>-maquinas para la limpieza En seco</f>
        <v>#NAME?</v>
      </c>
    </row>
    <row r="39148" spans="1:2" x14ac:dyDescent="0.25">
      <c r="A39148">
        <v>84512</v>
      </c>
      <c r="B39148" t="s">
        <v>12162</v>
      </c>
    </row>
    <row r="39149" spans="1:2" x14ac:dyDescent="0.25">
      <c r="A39149">
        <v>84512100000</v>
      </c>
      <c r="B39149" t="s">
        <v>12163</v>
      </c>
    </row>
    <row r="39150" spans="1:2" x14ac:dyDescent="0.25">
      <c r="A39150">
        <v>845129</v>
      </c>
      <c r="B39150" t="e">
        <f>- - las demas</f>
        <v>#NAME?</v>
      </c>
    </row>
    <row r="39151" spans="1:2" x14ac:dyDescent="0.25">
      <c r="A39151">
        <v>84512910000</v>
      </c>
      <c r="B39151" t="s">
        <v>12164</v>
      </c>
    </row>
    <row r="39152" spans="1:2" x14ac:dyDescent="0.25">
      <c r="A39152">
        <v>84512990</v>
      </c>
      <c r="B39152" t="s">
        <v>57</v>
      </c>
    </row>
    <row r="39153" spans="1:2" x14ac:dyDescent="0.25">
      <c r="A39153">
        <v>84512990100</v>
      </c>
      <c r="B39153" t="s">
        <v>12165</v>
      </c>
    </row>
    <row r="39154" spans="1:2" x14ac:dyDescent="0.25">
      <c r="A39154">
        <v>84512990900</v>
      </c>
      <c r="B39154" t="s">
        <v>57</v>
      </c>
    </row>
    <row r="39155" spans="1:2" x14ac:dyDescent="0.25">
      <c r="A39155">
        <v>845130</v>
      </c>
      <c r="B39155" t="e">
        <f>- maquinas y prensas para planchar. incluidas las prensas de fijar</f>
        <v>#NAME?</v>
      </c>
    </row>
    <row r="39156" spans="1:2" x14ac:dyDescent="0.25">
      <c r="A39156">
        <v>84513010000</v>
      </c>
      <c r="B39156" t="s">
        <v>12166</v>
      </c>
    </row>
    <row r="39157" spans="1:2" x14ac:dyDescent="0.25">
      <c r="A39157">
        <v>8451309</v>
      </c>
      <c r="B39157" t="s">
        <v>57</v>
      </c>
    </row>
    <row r="39158" spans="1:2" x14ac:dyDescent="0.25">
      <c r="A39158">
        <v>84513091</v>
      </c>
      <c r="B39158" t="s">
        <v>12167</v>
      </c>
    </row>
    <row r="39159" spans="1:2" x14ac:dyDescent="0.25">
      <c r="A39159">
        <v>84513091100</v>
      </c>
      <c r="B39159" t="s">
        <v>12168</v>
      </c>
    </row>
    <row r="39160" spans="1:2" x14ac:dyDescent="0.25">
      <c r="A39160">
        <v>84513091900</v>
      </c>
      <c r="B39160" t="s">
        <v>57</v>
      </c>
    </row>
    <row r="39161" spans="1:2" x14ac:dyDescent="0.25">
      <c r="A39161">
        <v>84513099</v>
      </c>
      <c r="B39161" t="s">
        <v>57</v>
      </c>
    </row>
    <row r="39162" spans="1:2" x14ac:dyDescent="0.25">
      <c r="A39162">
        <v>845130991</v>
      </c>
      <c r="B39162" t="s">
        <v>12169</v>
      </c>
    </row>
    <row r="39163" spans="1:2" x14ac:dyDescent="0.25">
      <c r="A39163">
        <v>84513099110</v>
      </c>
      <c r="B39163" t="s">
        <v>12170</v>
      </c>
    </row>
    <row r="39164" spans="1:2" x14ac:dyDescent="0.25">
      <c r="A39164">
        <v>84513099190</v>
      </c>
      <c r="B39164" t="s">
        <v>57</v>
      </c>
    </row>
    <row r="39165" spans="1:2" x14ac:dyDescent="0.25">
      <c r="A39165">
        <v>84513099800</v>
      </c>
      <c r="B39165" t="s">
        <v>12171</v>
      </c>
    </row>
    <row r="39166" spans="1:2" x14ac:dyDescent="0.25">
      <c r="A39166">
        <v>84513099900</v>
      </c>
      <c r="B39166" t="s">
        <v>57</v>
      </c>
    </row>
    <row r="39167" spans="1:2" x14ac:dyDescent="0.25">
      <c r="A39167">
        <v>845140</v>
      </c>
      <c r="B39167" t="e">
        <f>- maquinas para lavar. blanquear o teñir</f>
        <v>#NAME?</v>
      </c>
    </row>
    <row r="39168" spans="1:2" x14ac:dyDescent="0.25">
      <c r="A39168">
        <v>84514010000</v>
      </c>
      <c r="B39168" t="s">
        <v>12172</v>
      </c>
    </row>
    <row r="39169" spans="1:2" x14ac:dyDescent="0.25">
      <c r="A39169">
        <v>8451402</v>
      </c>
      <c r="B39169" t="s">
        <v>12173</v>
      </c>
    </row>
    <row r="39170" spans="1:2" x14ac:dyDescent="0.25">
      <c r="A39170">
        <v>84514021000</v>
      </c>
      <c r="B39170" t="s">
        <v>12174</v>
      </c>
    </row>
    <row r="39171" spans="1:2" x14ac:dyDescent="0.25">
      <c r="A39171">
        <v>84514029</v>
      </c>
      <c r="B39171" t="s">
        <v>57</v>
      </c>
    </row>
    <row r="39172" spans="1:2" x14ac:dyDescent="0.25">
      <c r="A39172">
        <v>84514029100</v>
      </c>
      <c r="B39172" t="s">
        <v>12175</v>
      </c>
    </row>
    <row r="39173" spans="1:2" x14ac:dyDescent="0.25">
      <c r="A39173">
        <v>84514029200</v>
      </c>
      <c r="B39173" t="s">
        <v>12176</v>
      </c>
    </row>
    <row r="39174" spans="1:2" x14ac:dyDescent="0.25">
      <c r="A39174">
        <v>84514029900</v>
      </c>
      <c r="B39174" t="s">
        <v>57</v>
      </c>
    </row>
    <row r="39175" spans="1:2" x14ac:dyDescent="0.25">
      <c r="A39175">
        <v>84514090000</v>
      </c>
      <c r="B39175" t="s">
        <v>57</v>
      </c>
    </row>
    <row r="39176" spans="1:2" x14ac:dyDescent="0.25">
      <c r="A39176">
        <v>845150</v>
      </c>
      <c r="B39176" t="e">
        <f>- maquinas para enrollar. desenrollar. plegar. cortar o dentar Telas</f>
        <v>#NAME?</v>
      </c>
    </row>
    <row r="39177" spans="1:2" x14ac:dyDescent="0.25">
      <c r="A39177">
        <v>84515010000</v>
      </c>
      <c r="B39177" t="s">
        <v>12177</v>
      </c>
    </row>
    <row r="39178" spans="1:2" x14ac:dyDescent="0.25">
      <c r="A39178">
        <v>84515020000</v>
      </c>
      <c r="B39178" t="s">
        <v>12178</v>
      </c>
    </row>
    <row r="39179" spans="1:2" x14ac:dyDescent="0.25">
      <c r="A39179">
        <v>84515090000</v>
      </c>
      <c r="B39179" t="s">
        <v>57</v>
      </c>
    </row>
    <row r="39180" spans="1:2" x14ac:dyDescent="0.25">
      <c r="A39180">
        <v>84518000000</v>
      </c>
      <c r="B39180" t="e">
        <f>-las demas maquinas y aparatos</f>
        <v>#NAME?</v>
      </c>
    </row>
    <row r="39181" spans="1:2" x14ac:dyDescent="0.25">
      <c r="A39181">
        <v>845190</v>
      </c>
      <c r="B39181" t="e">
        <f>- partes</f>
        <v>#NAME?</v>
      </c>
    </row>
    <row r="39182" spans="1:2" x14ac:dyDescent="0.25">
      <c r="A39182">
        <v>84519010000</v>
      </c>
      <c r="B39182" t="s">
        <v>12179</v>
      </c>
    </row>
    <row r="39183" spans="1:2" x14ac:dyDescent="0.25">
      <c r="A39183">
        <v>84519090000</v>
      </c>
      <c r="B39183" t="s">
        <v>57</v>
      </c>
    </row>
    <row r="39184" spans="1:2" x14ac:dyDescent="0.25">
      <c r="A39184">
        <v>8452</v>
      </c>
      <c r="B39184" t="s">
        <v>12180</v>
      </c>
    </row>
    <row r="39185" spans="1:2" x14ac:dyDescent="0.25">
      <c r="A39185">
        <v>84521000</v>
      </c>
      <c r="B39185" t="e">
        <f>- maquinas de coser domesticas</f>
        <v>#NAME?</v>
      </c>
    </row>
    <row r="39186" spans="1:2" x14ac:dyDescent="0.25">
      <c r="A39186">
        <v>845210001</v>
      </c>
      <c r="B39186" t="s">
        <v>12181</v>
      </c>
    </row>
    <row r="39187" spans="1:2" x14ac:dyDescent="0.25">
      <c r="A39187">
        <v>84521000110</v>
      </c>
      <c r="B39187" t="s">
        <v>12182</v>
      </c>
    </row>
    <row r="39188" spans="1:2" x14ac:dyDescent="0.25">
      <c r="A39188">
        <v>8452100012</v>
      </c>
      <c r="B39188" t="s">
        <v>12183</v>
      </c>
    </row>
    <row r="39189" spans="1:2" x14ac:dyDescent="0.25">
      <c r="A39189">
        <v>84521000121</v>
      </c>
      <c r="B39189" t="s">
        <v>12184</v>
      </c>
    </row>
    <row r="39190" spans="1:2" x14ac:dyDescent="0.25">
      <c r="A39190">
        <v>84521000122</v>
      </c>
      <c r="B39190" t="s">
        <v>12185</v>
      </c>
    </row>
    <row r="39191" spans="1:2" x14ac:dyDescent="0.25">
      <c r="A39191">
        <v>84521000129</v>
      </c>
      <c r="B39191" t="s">
        <v>57</v>
      </c>
    </row>
    <row r="39192" spans="1:2" x14ac:dyDescent="0.25">
      <c r="A39192">
        <v>845210002</v>
      </c>
      <c r="B39192" t="s">
        <v>12186</v>
      </c>
    </row>
    <row r="39193" spans="1:2" x14ac:dyDescent="0.25">
      <c r="A39193">
        <v>8452100021</v>
      </c>
      <c r="B39193" t="s">
        <v>12183</v>
      </c>
    </row>
    <row r="39194" spans="1:2" x14ac:dyDescent="0.25">
      <c r="A39194">
        <v>84521000211</v>
      </c>
      <c r="B39194" t="s">
        <v>12184</v>
      </c>
    </row>
    <row r="39195" spans="1:2" x14ac:dyDescent="0.25">
      <c r="A39195">
        <v>84521000212</v>
      </c>
      <c r="B39195" t="s">
        <v>12185</v>
      </c>
    </row>
    <row r="39196" spans="1:2" x14ac:dyDescent="0.25">
      <c r="A39196">
        <v>84521000219</v>
      </c>
      <c r="B39196" t="s">
        <v>57</v>
      </c>
    </row>
    <row r="39197" spans="1:2" x14ac:dyDescent="0.25">
      <c r="A39197">
        <v>845210003</v>
      </c>
      <c r="B39197" t="s">
        <v>12187</v>
      </c>
    </row>
    <row r="39198" spans="1:2" x14ac:dyDescent="0.25">
      <c r="A39198">
        <v>84521000310</v>
      </c>
      <c r="B39198" t="s">
        <v>12184</v>
      </c>
    </row>
    <row r="39199" spans="1:2" x14ac:dyDescent="0.25">
      <c r="A39199">
        <v>84521000320</v>
      </c>
      <c r="B39199" t="s">
        <v>12185</v>
      </c>
    </row>
    <row r="39200" spans="1:2" x14ac:dyDescent="0.25">
      <c r="A39200">
        <v>84521000390</v>
      </c>
      <c r="B39200" t="s">
        <v>57</v>
      </c>
    </row>
    <row r="39201" spans="1:2" x14ac:dyDescent="0.25">
      <c r="A39201">
        <v>84521000900</v>
      </c>
      <c r="B39201" t="s">
        <v>57</v>
      </c>
    </row>
    <row r="39202" spans="1:2" x14ac:dyDescent="0.25">
      <c r="A39202">
        <v>84522</v>
      </c>
      <c r="B39202" t="s">
        <v>12188</v>
      </c>
    </row>
    <row r="39203" spans="1:2" x14ac:dyDescent="0.25">
      <c r="A39203">
        <v>845221</v>
      </c>
      <c r="B39203" t="e">
        <f>- - Unidades automaticas</f>
        <v>#NAME?</v>
      </c>
    </row>
    <row r="39204" spans="1:2" x14ac:dyDescent="0.25">
      <c r="A39204">
        <v>84522110000</v>
      </c>
      <c r="B39204" t="s">
        <v>12189</v>
      </c>
    </row>
    <row r="39205" spans="1:2" x14ac:dyDescent="0.25">
      <c r="A39205">
        <v>84522120000</v>
      </c>
      <c r="B39205" t="s">
        <v>12190</v>
      </c>
    </row>
    <row r="39206" spans="1:2" x14ac:dyDescent="0.25">
      <c r="A39206">
        <v>84522190000</v>
      </c>
      <c r="B39206" t="s">
        <v>57</v>
      </c>
    </row>
    <row r="39207" spans="1:2" x14ac:dyDescent="0.25">
      <c r="A39207">
        <v>845229</v>
      </c>
      <c r="B39207" t="e">
        <f>- - las demas</f>
        <v>#NAME?</v>
      </c>
    </row>
    <row r="39208" spans="1:2" x14ac:dyDescent="0.25">
      <c r="A39208">
        <v>84522910000</v>
      </c>
      <c r="B39208" t="s">
        <v>12189</v>
      </c>
    </row>
    <row r="39209" spans="1:2" x14ac:dyDescent="0.25">
      <c r="A39209">
        <v>8452292</v>
      </c>
      <c r="B39209" t="s">
        <v>12190</v>
      </c>
    </row>
    <row r="39210" spans="1:2" x14ac:dyDescent="0.25">
      <c r="A39210">
        <v>84522921000</v>
      </c>
      <c r="B39210" t="s">
        <v>12191</v>
      </c>
    </row>
    <row r="39211" spans="1:2" x14ac:dyDescent="0.25">
      <c r="A39211">
        <v>84522922000</v>
      </c>
      <c r="B39211" t="s">
        <v>12192</v>
      </c>
    </row>
    <row r="39212" spans="1:2" x14ac:dyDescent="0.25">
      <c r="A39212">
        <v>84522923000</v>
      </c>
      <c r="B39212" t="s">
        <v>12193</v>
      </c>
    </row>
    <row r="39213" spans="1:2" x14ac:dyDescent="0.25">
      <c r="A39213">
        <v>84522924000</v>
      </c>
      <c r="B39213" t="s">
        <v>12194</v>
      </c>
    </row>
    <row r="39214" spans="1:2" x14ac:dyDescent="0.25">
      <c r="A39214">
        <v>84522925000</v>
      </c>
      <c r="B39214" t="s">
        <v>12195</v>
      </c>
    </row>
    <row r="39215" spans="1:2" x14ac:dyDescent="0.25">
      <c r="A39215">
        <v>84522929000</v>
      </c>
      <c r="B39215" t="s">
        <v>57</v>
      </c>
    </row>
    <row r="39216" spans="1:2" x14ac:dyDescent="0.25">
      <c r="A39216">
        <v>84522990000</v>
      </c>
      <c r="B39216" t="s">
        <v>57</v>
      </c>
    </row>
    <row r="39217" spans="1:2" x14ac:dyDescent="0.25">
      <c r="A39217">
        <v>84523000000</v>
      </c>
      <c r="B39217" t="e">
        <f>-agujas para maquinas de coser</f>
        <v>#NAME?</v>
      </c>
    </row>
    <row r="39218" spans="1:2" x14ac:dyDescent="0.25">
      <c r="A39218">
        <v>845290</v>
      </c>
      <c r="B39218" t="e">
        <f>- muebles. basamentos ytapas o cubiertas para maquinas de coser. y sus partes, las demas partes para maquinas de coser</f>
        <v>#NAME?</v>
      </c>
    </row>
    <row r="39219" spans="1:2" x14ac:dyDescent="0.25">
      <c r="A39219">
        <v>84529020</v>
      </c>
      <c r="B39219" t="s">
        <v>12196</v>
      </c>
    </row>
    <row r="39220" spans="1:2" x14ac:dyDescent="0.25">
      <c r="A39220">
        <v>84529020100</v>
      </c>
      <c r="B39220" t="s">
        <v>12197</v>
      </c>
    </row>
    <row r="39221" spans="1:2" x14ac:dyDescent="0.25">
      <c r="A39221">
        <v>84529020900</v>
      </c>
      <c r="B39221" t="s">
        <v>12037</v>
      </c>
    </row>
    <row r="39222" spans="1:2" x14ac:dyDescent="0.25">
      <c r="A39222">
        <v>8452908</v>
      </c>
      <c r="B39222" t="s">
        <v>12198</v>
      </c>
    </row>
    <row r="39223" spans="1:2" x14ac:dyDescent="0.25">
      <c r="A39223">
        <v>84529081000</v>
      </c>
      <c r="B39223" t="s">
        <v>12199</v>
      </c>
    </row>
    <row r="39224" spans="1:2" x14ac:dyDescent="0.25">
      <c r="A39224">
        <v>84529089000</v>
      </c>
      <c r="B39224" t="s">
        <v>57</v>
      </c>
    </row>
    <row r="39225" spans="1:2" x14ac:dyDescent="0.25">
      <c r="A39225">
        <v>8452909</v>
      </c>
      <c r="B39225" t="s">
        <v>57</v>
      </c>
    </row>
    <row r="39226" spans="1:2" x14ac:dyDescent="0.25">
      <c r="A39226">
        <v>84529091000</v>
      </c>
      <c r="B39226" t="s">
        <v>12200</v>
      </c>
    </row>
    <row r="39227" spans="1:2" x14ac:dyDescent="0.25">
      <c r="A39227">
        <v>84529092000</v>
      </c>
      <c r="B39227" t="s">
        <v>12201</v>
      </c>
    </row>
    <row r="39228" spans="1:2" x14ac:dyDescent="0.25">
      <c r="A39228">
        <v>84529093000</v>
      </c>
      <c r="B39228" t="s">
        <v>12202</v>
      </c>
    </row>
    <row r="39229" spans="1:2" x14ac:dyDescent="0.25">
      <c r="A39229">
        <v>84529094000</v>
      </c>
      <c r="B39229" t="s">
        <v>12203</v>
      </c>
    </row>
    <row r="39230" spans="1:2" x14ac:dyDescent="0.25">
      <c r="A39230">
        <v>84529099000</v>
      </c>
      <c r="B39230" t="s">
        <v>57</v>
      </c>
    </row>
    <row r="39231" spans="1:2" x14ac:dyDescent="0.25">
      <c r="A39231">
        <v>8453</v>
      </c>
      <c r="B39231" t="s">
        <v>12204</v>
      </c>
    </row>
    <row r="39232" spans="1:2" x14ac:dyDescent="0.25">
      <c r="A39232">
        <v>845310</v>
      </c>
      <c r="B39232" t="e">
        <f>- maquinas y aparatos para la preparacion. curtido o trabajo de cuero o piel</f>
        <v>#NAME?</v>
      </c>
    </row>
    <row r="39233" spans="1:2" x14ac:dyDescent="0.25">
      <c r="A39233">
        <v>84531010000</v>
      </c>
      <c r="B39233" t="s">
        <v>12205</v>
      </c>
    </row>
    <row r="39234" spans="1:2" x14ac:dyDescent="0.25">
      <c r="A39234">
        <v>84531090</v>
      </c>
      <c r="B39234" t="s">
        <v>10</v>
      </c>
    </row>
    <row r="39235" spans="1:2" x14ac:dyDescent="0.25">
      <c r="A39235">
        <v>84531090100</v>
      </c>
      <c r="B39235" t="s">
        <v>12206</v>
      </c>
    </row>
    <row r="39236" spans="1:2" x14ac:dyDescent="0.25">
      <c r="A39236">
        <v>84531090200</v>
      </c>
      <c r="B39236" t="s">
        <v>12207</v>
      </c>
    </row>
    <row r="39237" spans="1:2" x14ac:dyDescent="0.25">
      <c r="A39237">
        <v>84531090300</v>
      </c>
      <c r="B39237" t="s">
        <v>12208</v>
      </c>
    </row>
    <row r="39238" spans="1:2" x14ac:dyDescent="0.25">
      <c r="A39238">
        <v>84531090400</v>
      </c>
      <c r="B39238" t="s">
        <v>12209</v>
      </c>
    </row>
    <row r="39239" spans="1:2" x14ac:dyDescent="0.25">
      <c r="A39239">
        <v>84531090500</v>
      </c>
      <c r="B39239" t="s">
        <v>12210</v>
      </c>
    </row>
    <row r="39240" spans="1:2" x14ac:dyDescent="0.25">
      <c r="A39240">
        <v>84531090600</v>
      </c>
      <c r="B39240" t="s">
        <v>12211</v>
      </c>
    </row>
    <row r="39241" spans="1:2" x14ac:dyDescent="0.25">
      <c r="A39241">
        <v>84531090700</v>
      </c>
      <c r="B39241" t="s">
        <v>12212</v>
      </c>
    </row>
    <row r="39242" spans="1:2" x14ac:dyDescent="0.25">
      <c r="A39242">
        <v>84531090800</v>
      </c>
      <c r="B39242" t="s">
        <v>12213</v>
      </c>
    </row>
    <row r="39243" spans="1:2" x14ac:dyDescent="0.25">
      <c r="A39243">
        <v>845310909</v>
      </c>
      <c r="B39243" t="s">
        <v>10</v>
      </c>
    </row>
    <row r="39244" spans="1:2" x14ac:dyDescent="0.25">
      <c r="A39244">
        <v>84531090910</v>
      </c>
      <c r="B39244" t="s">
        <v>12214</v>
      </c>
    </row>
    <row r="39245" spans="1:2" x14ac:dyDescent="0.25">
      <c r="A39245">
        <v>84531090990</v>
      </c>
      <c r="B39245" t="s">
        <v>10</v>
      </c>
    </row>
    <row r="39246" spans="1:2" x14ac:dyDescent="0.25">
      <c r="A39246">
        <v>84532000000</v>
      </c>
      <c r="B39246" t="e">
        <f>-maquinas y aparatos para la fabricacion o reparacion de calzado</f>
        <v>#NAME?</v>
      </c>
    </row>
    <row r="39247" spans="1:2" x14ac:dyDescent="0.25">
      <c r="A39247">
        <v>84538000000</v>
      </c>
      <c r="B39247" t="e">
        <f>-las demas maquinas y aparatos</f>
        <v>#NAME?</v>
      </c>
    </row>
    <row r="39248" spans="1:2" x14ac:dyDescent="0.25">
      <c r="A39248">
        <v>84539000000</v>
      </c>
      <c r="B39248" t="e">
        <f>-partes</f>
        <v>#NAME?</v>
      </c>
    </row>
    <row r="39249" spans="1:2" x14ac:dyDescent="0.25">
      <c r="A39249">
        <v>8454</v>
      </c>
      <c r="B39249" t="s">
        <v>12215</v>
      </c>
    </row>
    <row r="39250" spans="1:2" x14ac:dyDescent="0.25">
      <c r="A39250">
        <v>84541000000</v>
      </c>
      <c r="B39250" t="e">
        <f>-Convertidores</f>
        <v>#NAME?</v>
      </c>
    </row>
    <row r="39251" spans="1:2" x14ac:dyDescent="0.25">
      <c r="A39251">
        <v>845420</v>
      </c>
      <c r="B39251" t="e">
        <f>- Lingoteras y cucharas de colada</f>
        <v>#NAME?</v>
      </c>
    </row>
    <row r="39252" spans="1:2" x14ac:dyDescent="0.25">
      <c r="A39252">
        <v>84542010</v>
      </c>
      <c r="B39252" t="s">
        <v>12216</v>
      </c>
    </row>
    <row r="39253" spans="1:2" x14ac:dyDescent="0.25">
      <c r="A39253">
        <v>84542010100</v>
      </c>
      <c r="B39253" t="s">
        <v>12217</v>
      </c>
    </row>
    <row r="39254" spans="1:2" x14ac:dyDescent="0.25">
      <c r="A39254">
        <v>84542010900</v>
      </c>
      <c r="B39254" t="s">
        <v>57</v>
      </c>
    </row>
    <row r="39255" spans="1:2" x14ac:dyDescent="0.25">
      <c r="A39255">
        <v>84542090000</v>
      </c>
      <c r="B39255" t="s">
        <v>57</v>
      </c>
    </row>
    <row r="39256" spans="1:2" x14ac:dyDescent="0.25">
      <c r="A39256">
        <v>845430</v>
      </c>
      <c r="B39256" t="e">
        <f>- maquinas de colar (moldear)</f>
        <v>#NAME?</v>
      </c>
    </row>
    <row r="39257" spans="1:2" x14ac:dyDescent="0.25">
      <c r="A39257">
        <v>84543010000</v>
      </c>
      <c r="B39257" t="s">
        <v>12218</v>
      </c>
    </row>
    <row r="39258" spans="1:2" x14ac:dyDescent="0.25">
      <c r="A39258">
        <v>84543020000</v>
      </c>
      <c r="B39258" t="s">
        <v>12219</v>
      </c>
    </row>
    <row r="39259" spans="1:2" x14ac:dyDescent="0.25">
      <c r="A39259">
        <v>84543090000</v>
      </c>
      <c r="B39259" t="s">
        <v>57</v>
      </c>
    </row>
    <row r="39260" spans="1:2" x14ac:dyDescent="0.25">
      <c r="A39260">
        <v>845490</v>
      </c>
      <c r="B39260" t="e">
        <f>- partes</f>
        <v>#NAME?</v>
      </c>
    </row>
    <row r="39261" spans="1:2" x14ac:dyDescent="0.25">
      <c r="A39261">
        <v>84549010000</v>
      </c>
      <c r="B39261" t="s">
        <v>12220</v>
      </c>
    </row>
    <row r="39262" spans="1:2" x14ac:dyDescent="0.25">
      <c r="A39262">
        <v>84549090000</v>
      </c>
      <c r="B39262" t="s">
        <v>57</v>
      </c>
    </row>
    <row r="39263" spans="1:2" x14ac:dyDescent="0.25">
      <c r="A39263">
        <v>8455</v>
      </c>
      <c r="B39263" t="s">
        <v>12221</v>
      </c>
    </row>
    <row r="39264" spans="1:2" x14ac:dyDescent="0.25">
      <c r="A39264">
        <v>84551000000</v>
      </c>
      <c r="B39264" t="e">
        <f>-laminadores de Tubos</f>
        <v>#NAME?</v>
      </c>
    </row>
    <row r="39265" spans="1:2" x14ac:dyDescent="0.25">
      <c r="A39265">
        <v>84552</v>
      </c>
      <c r="B39265" t="s">
        <v>12222</v>
      </c>
    </row>
    <row r="39266" spans="1:2" x14ac:dyDescent="0.25">
      <c r="A39266">
        <v>845521</v>
      </c>
      <c r="B39266" t="e">
        <f>- - para laminar En caliente o combinados para laminar En caliente y En frio</f>
        <v>#NAME?</v>
      </c>
    </row>
    <row r="39267" spans="1:2" x14ac:dyDescent="0.25">
      <c r="A39267">
        <v>84552110000</v>
      </c>
      <c r="B39267" t="s">
        <v>12223</v>
      </c>
    </row>
    <row r="39268" spans="1:2" x14ac:dyDescent="0.25">
      <c r="A39268">
        <v>84552190000</v>
      </c>
      <c r="B39268" t="s">
        <v>10</v>
      </c>
    </row>
    <row r="39269" spans="1:2" x14ac:dyDescent="0.25">
      <c r="A39269">
        <v>845522</v>
      </c>
      <c r="B39269" t="e">
        <f>- - para laminar En frio</f>
        <v>#NAME?</v>
      </c>
    </row>
    <row r="39270" spans="1:2" x14ac:dyDescent="0.25">
      <c r="A39270">
        <v>84552210000</v>
      </c>
      <c r="B39270" t="s">
        <v>12223</v>
      </c>
    </row>
    <row r="39271" spans="1:2" x14ac:dyDescent="0.25">
      <c r="A39271">
        <v>84552290000</v>
      </c>
      <c r="B39271" t="s">
        <v>10</v>
      </c>
    </row>
    <row r="39272" spans="1:2" x14ac:dyDescent="0.25">
      <c r="A39272">
        <v>845530</v>
      </c>
      <c r="B39272" t="e">
        <f>- cilindros de laminadores</f>
        <v>#NAME?</v>
      </c>
    </row>
    <row r="39273" spans="1:2" x14ac:dyDescent="0.25">
      <c r="A39273">
        <v>84553010000</v>
      </c>
      <c r="B39273" t="s">
        <v>12224</v>
      </c>
    </row>
    <row r="39274" spans="1:2" x14ac:dyDescent="0.25">
      <c r="A39274">
        <v>84553020000</v>
      </c>
      <c r="B39274" t="s">
        <v>12225</v>
      </c>
    </row>
    <row r="39275" spans="1:2" x14ac:dyDescent="0.25">
      <c r="A39275">
        <v>84553090000</v>
      </c>
      <c r="B39275" t="s">
        <v>10</v>
      </c>
    </row>
    <row r="39276" spans="1:2" x14ac:dyDescent="0.25">
      <c r="A39276">
        <v>84559000000</v>
      </c>
      <c r="B39276" t="e">
        <f>-las demas partes</f>
        <v>#NAME?</v>
      </c>
    </row>
    <row r="39277" spans="1:2" x14ac:dyDescent="0.25">
      <c r="A39277">
        <v>8456</v>
      </c>
      <c r="B39277" t="s">
        <v>12226</v>
      </c>
    </row>
    <row r="39278" spans="1:2" x14ac:dyDescent="0.25">
      <c r="A39278">
        <v>84561</v>
      </c>
      <c r="B39278" t="s">
        <v>12227</v>
      </c>
    </row>
    <row r="39279" spans="1:2" x14ac:dyDescent="0.25">
      <c r="A39279">
        <v>845611</v>
      </c>
      <c r="B39279" t="e">
        <f>- - que operen mediante laser</f>
        <v>#NAME?</v>
      </c>
    </row>
    <row r="39280" spans="1:2" x14ac:dyDescent="0.25">
      <c r="A39280">
        <v>8456111</v>
      </c>
      <c r="B39280" t="s">
        <v>12228</v>
      </c>
    </row>
    <row r="39281" spans="1:2" x14ac:dyDescent="0.25">
      <c r="A39281">
        <v>84561111000</v>
      </c>
      <c r="B39281" t="s">
        <v>12229</v>
      </c>
    </row>
    <row r="39282" spans="1:2" x14ac:dyDescent="0.25">
      <c r="A39282">
        <v>84561119000</v>
      </c>
      <c r="B39282" t="s">
        <v>57</v>
      </c>
    </row>
    <row r="39283" spans="1:2" x14ac:dyDescent="0.25">
      <c r="A39283">
        <v>84561190000</v>
      </c>
      <c r="B39283" t="s">
        <v>57</v>
      </c>
    </row>
    <row r="39284" spans="1:2" x14ac:dyDescent="0.25">
      <c r="A39284">
        <v>845612</v>
      </c>
      <c r="B39284" t="e">
        <f>- - que operen mediante otros haces de luz o de fotones</f>
        <v>#NAME?</v>
      </c>
    </row>
    <row r="39285" spans="1:2" x14ac:dyDescent="0.25">
      <c r="A39285">
        <v>8456121</v>
      </c>
      <c r="B39285" t="s">
        <v>12228</v>
      </c>
    </row>
    <row r="39286" spans="1:2" x14ac:dyDescent="0.25">
      <c r="A39286">
        <v>84561211000</v>
      </c>
      <c r="B39286" t="s">
        <v>12230</v>
      </c>
    </row>
    <row r="39287" spans="1:2" x14ac:dyDescent="0.25">
      <c r="A39287">
        <v>84561219000</v>
      </c>
      <c r="B39287" t="s">
        <v>10</v>
      </c>
    </row>
    <row r="39288" spans="1:2" x14ac:dyDescent="0.25">
      <c r="A39288">
        <v>84561290000</v>
      </c>
      <c r="B39288" t="s">
        <v>10</v>
      </c>
    </row>
    <row r="39289" spans="1:2" x14ac:dyDescent="0.25">
      <c r="A39289">
        <v>845620</v>
      </c>
      <c r="B39289" t="e">
        <f>- que operen por ultrasonido</f>
        <v>#NAME?</v>
      </c>
    </row>
    <row r="39290" spans="1:2" x14ac:dyDescent="0.25">
      <c r="A39290">
        <v>84562010000</v>
      </c>
      <c r="B39290" t="s">
        <v>12228</v>
      </c>
    </row>
    <row r="39291" spans="1:2" x14ac:dyDescent="0.25">
      <c r="A39291">
        <v>84562090000</v>
      </c>
      <c r="B39291" t="s">
        <v>57</v>
      </c>
    </row>
    <row r="39292" spans="1:2" x14ac:dyDescent="0.25">
      <c r="A39292">
        <v>845630</v>
      </c>
      <c r="B39292" t="e">
        <f>- que operen por electroerosion</f>
        <v>#NAME?</v>
      </c>
    </row>
    <row r="39293" spans="1:2" x14ac:dyDescent="0.25">
      <c r="A39293">
        <v>8456301</v>
      </c>
      <c r="B39293" t="s">
        <v>12228</v>
      </c>
    </row>
    <row r="39294" spans="1:2" x14ac:dyDescent="0.25">
      <c r="A39294">
        <v>84563011000</v>
      </c>
      <c r="B39294" t="s">
        <v>12231</v>
      </c>
    </row>
    <row r="39295" spans="1:2" x14ac:dyDescent="0.25">
      <c r="A39295">
        <v>84563019</v>
      </c>
      <c r="B39295" t="s">
        <v>10</v>
      </c>
    </row>
    <row r="39296" spans="1:2" x14ac:dyDescent="0.25">
      <c r="A39296">
        <v>84563019100</v>
      </c>
      <c r="B39296" t="s">
        <v>12232</v>
      </c>
    </row>
    <row r="39297" spans="1:2" x14ac:dyDescent="0.25">
      <c r="A39297">
        <v>84563019200</v>
      </c>
      <c r="B39297" t="s">
        <v>12233</v>
      </c>
    </row>
    <row r="39298" spans="1:2" x14ac:dyDescent="0.25">
      <c r="A39298">
        <v>84563019900</v>
      </c>
      <c r="B39298" t="s">
        <v>57</v>
      </c>
    </row>
    <row r="39299" spans="1:2" x14ac:dyDescent="0.25">
      <c r="A39299">
        <v>84563090000</v>
      </c>
      <c r="B39299" t="s">
        <v>57</v>
      </c>
    </row>
    <row r="39300" spans="1:2" x14ac:dyDescent="0.25">
      <c r="A39300">
        <v>84564000000</v>
      </c>
      <c r="B39300" t="e">
        <f>-que operen mediante chorro de plasma</f>
        <v>#NAME?</v>
      </c>
    </row>
    <row r="39301" spans="1:2" x14ac:dyDescent="0.25">
      <c r="A39301">
        <v>84565000000</v>
      </c>
      <c r="B39301" t="e">
        <f>-maquinas para cortar por chorro de agua</f>
        <v>#NAME?</v>
      </c>
    </row>
    <row r="39302" spans="1:2" x14ac:dyDescent="0.25">
      <c r="A39302">
        <v>84569000000</v>
      </c>
      <c r="B39302" t="e">
        <f>-las demas</f>
        <v>#NAME?</v>
      </c>
    </row>
    <row r="39303" spans="1:2" x14ac:dyDescent="0.25">
      <c r="A39303">
        <v>8457</v>
      </c>
      <c r="B39303" t="s">
        <v>12234</v>
      </c>
    </row>
    <row r="39304" spans="1:2" x14ac:dyDescent="0.25">
      <c r="A39304">
        <v>84571000000</v>
      </c>
      <c r="B39304" t="e">
        <f>-Centros de mecanizado</f>
        <v>#NAME?</v>
      </c>
    </row>
    <row r="39305" spans="1:2" x14ac:dyDescent="0.25">
      <c r="A39305">
        <v>845720</v>
      </c>
      <c r="B39305" t="e">
        <f>- maquinas de puesto fijo</f>
        <v>#NAME?</v>
      </c>
    </row>
    <row r="39306" spans="1:2" x14ac:dyDescent="0.25">
      <c r="A39306">
        <v>84572010000</v>
      </c>
      <c r="B39306" t="s">
        <v>12228</v>
      </c>
    </row>
    <row r="39307" spans="1:2" x14ac:dyDescent="0.25">
      <c r="A39307">
        <v>84572090000</v>
      </c>
      <c r="B39307" t="s">
        <v>57</v>
      </c>
    </row>
    <row r="39308" spans="1:2" x14ac:dyDescent="0.25">
      <c r="A39308">
        <v>845730</v>
      </c>
      <c r="B39308" t="e">
        <f>- maquinas de puestos multiples</f>
        <v>#NAME?</v>
      </c>
    </row>
    <row r="39309" spans="1:2" x14ac:dyDescent="0.25">
      <c r="A39309">
        <v>84573010000</v>
      </c>
      <c r="B39309" t="s">
        <v>12228</v>
      </c>
    </row>
    <row r="39310" spans="1:2" x14ac:dyDescent="0.25">
      <c r="A39310">
        <v>84573090000</v>
      </c>
      <c r="B39310" t="s">
        <v>57</v>
      </c>
    </row>
    <row r="39311" spans="1:2" x14ac:dyDescent="0.25">
      <c r="A39311">
        <v>8458</v>
      </c>
      <c r="B39311" t="s">
        <v>12235</v>
      </c>
    </row>
    <row r="39312" spans="1:2" x14ac:dyDescent="0.25">
      <c r="A39312">
        <v>84581</v>
      </c>
      <c r="B39312" t="s">
        <v>12236</v>
      </c>
    </row>
    <row r="39313" spans="1:2" x14ac:dyDescent="0.25">
      <c r="A39313">
        <v>845811</v>
      </c>
      <c r="B39313" t="e">
        <f>- - de control numerico</f>
        <v>#NAME?</v>
      </c>
    </row>
    <row r="39314" spans="1:2" x14ac:dyDescent="0.25">
      <c r="A39314">
        <v>84581110000</v>
      </c>
      <c r="B39314" t="s">
        <v>12237</v>
      </c>
    </row>
    <row r="39315" spans="1:2" x14ac:dyDescent="0.25">
      <c r="A39315">
        <v>8458119</v>
      </c>
      <c r="B39315" t="s">
        <v>10</v>
      </c>
    </row>
    <row r="39316" spans="1:2" x14ac:dyDescent="0.25">
      <c r="A39316">
        <v>84581191000</v>
      </c>
      <c r="B39316" t="s">
        <v>12238</v>
      </c>
    </row>
    <row r="39317" spans="1:2" x14ac:dyDescent="0.25">
      <c r="A39317">
        <v>84581199000</v>
      </c>
      <c r="B39317" t="s">
        <v>10</v>
      </c>
    </row>
    <row r="39318" spans="1:2" x14ac:dyDescent="0.25">
      <c r="A39318">
        <v>845819</v>
      </c>
      <c r="B39318" t="e">
        <f>- - Los demas</f>
        <v>#NAME?</v>
      </c>
    </row>
    <row r="39319" spans="1:2" x14ac:dyDescent="0.25">
      <c r="A39319">
        <v>84581910000</v>
      </c>
      <c r="B39319" t="s">
        <v>12237</v>
      </c>
    </row>
    <row r="39320" spans="1:2" x14ac:dyDescent="0.25">
      <c r="A39320">
        <v>84581990000</v>
      </c>
      <c r="B39320" t="s">
        <v>10</v>
      </c>
    </row>
    <row r="39321" spans="1:2" x14ac:dyDescent="0.25">
      <c r="A39321">
        <v>84589</v>
      </c>
      <c r="B39321" t="s">
        <v>12239</v>
      </c>
    </row>
    <row r="39322" spans="1:2" x14ac:dyDescent="0.25">
      <c r="A39322">
        <v>84589100000</v>
      </c>
      <c r="B39322" t="e">
        <f>--de control numerico</f>
        <v>#NAME?</v>
      </c>
    </row>
    <row r="39323" spans="1:2" x14ac:dyDescent="0.25">
      <c r="A39323">
        <v>84589900000</v>
      </c>
      <c r="B39323" t="e">
        <f>--Los demas</f>
        <v>#NAME?</v>
      </c>
    </row>
    <row r="39324" spans="1:2" x14ac:dyDescent="0.25">
      <c r="A39324">
        <v>8459</v>
      </c>
      <c r="B39324" t="s">
        <v>12240</v>
      </c>
    </row>
    <row r="39325" spans="1:2" x14ac:dyDescent="0.25">
      <c r="A39325">
        <v>84591000000</v>
      </c>
      <c r="B39325" t="e">
        <f>-Unidades de mecanizado de correderas</f>
        <v>#NAME?</v>
      </c>
    </row>
    <row r="39326" spans="1:2" x14ac:dyDescent="0.25">
      <c r="A39326">
        <v>84592</v>
      </c>
      <c r="B39326" t="s">
        <v>12241</v>
      </c>
    </row>
    <row r="39327" spans="1:2" x14ac:dyDescent="0.25">
      <c r="A39327">
        <v>845921</v>
      </c>
      <c r="B39327" t="e">
        <f>- - de control numerico</f>
        <v>#NAME?</v>
      </c>
    </row>
    <row r="39328" spans="1:2" x14ac:dyDescent="0.25">
      <c r="A39328">
        <v>84592110000</v>
      </c>
      <c r="B39328" t="s">
        <v>7244</v>
      </c>
    </row>
    <row r="39329" spans="1:2" x14ac:dyDescent="0.25">
      <c r="A39329">
        <v>8459219</v>
      </c>
      <c r="B39329" t="s">
        <v>57</v>
      </c>
    </row>
    <row r="39330" spans="1:2" x14ac:dyDescent="0.25">
      <c r="A39330">
        <v>84592191000</v>
      </c>
      <c r="B39330" t="s">
        <v>12242</v>
      </c>
    </row>
    <row r="39331" spans="1:2" x14ac:dyDescent="0.25">
      <c r="A39331">
        <v>84592199000</v>
      </c>
      <c r="B39331" t="s">
        <v>57</v>
      </c>
    </row>
    <row r="39332" spans="1:2" x14ac:dyDescent="0.25">
      <c r="A39332">
        <v>84592900</v>
      </c>
      <c r="B39332" t="e">
        <f>- - las demas</f>
        <v>#NAME?</v>
      </c>
    </row>
    <row r="39333" spans="1:2" x14ac:dyDescent="0.25">
      <c r="A39333">
        <v>84592900100</v>
      </c>
      <c r="B39333" t="s">
        <v>12243</v>
      </c>
    </row>
    <row r="39334" spans="1:2" x14ac:dyDescent="0.25">
      <c r="A39334">
        <v>84592900200</v>
      </c>
      <c r="B39334" t="s">
        <v>12244</v>
      </c>
    </row>
    <row r="39335" spans="1:2" x14ac:dyDescent="0.25">
      <c r="A39335">
        <v>84592900900</v>
      </c>
      <c r="B39335" t="s">
        <v>10</v>
      </c>
    </row>
    <row r="39336" spans="1:2" x14ac:dyDescent="0.25">
      <c r="A39336">
        <v>84593</v>
      </c>
      <c r="B39336" t="s">
        <v>12245</v>
      </c>
    </row>
    <row r="39337" spans="1:2" x14ac:dyDescent="0.25">
      <c r="A39337">
        <v>84593100000</v>
      </c>
      <c r="B39337" t="e">
        <f>--de control numerico</f>
        <v>#NAME?</v>
      </c>
    </row>
    <row r="39338" spans="1:2" x14ac:dyDescent="0.25">
      <c r="A39338">
        <v>84593900000</v>
      </c>
      <c r="B39338" t="e">
        <f>--las demas</f>
        <v>#NAME?</v>
      </c>
    </row>
    <row r="39339" spans="1:2" x14ac:dyDescent="0.25">
      <c r="A39339">
        <v>84594</v>
      </c>
      <c r="B39339" t="s">
        <v>12246</v>
      </c>
    </row>
    <row r="39340" spans="1:2" x14ac:dyDescent="0.25">
      <c r="A39340">
        <v>84594100000</v>
      </c>
      <c r="B39340" t="e">
        <f>--de control numerico</f>
        <v>#NAME?</v>
      </c>
    </row>
    <row r="39341" spans="1:2" x14ac:dyDescent="0.25">
      <c r="A39341">
        <v>84594900000</v>
      </c>
      <c r="B39341" t="e">
        <f>--Los demas</f>
        <v>#NAME?</v>
      </c>
    </row>
    <row r="39342" spans="1:2" x14ac:dyDescent="0.25">
      <c r="A39342">
        <v>84595</v>
      </c>
      <c r="B39342" t="s">
        <v>12247</v>
      </c>
    </row>
    <row r="39343" spans="1:2" x14ac:dyDescent="0.25">
      <c r="A39343">
        <v>84595100000</v>
      </c>
      <c r="B39343" t="e">
        <f>--de control numerico</f>
        <v>#NAME?</v>
      </c>
    </row>
    <row r="39344" spans="1:2" x14ac:dyDescent="0.25">
      <c r="A39344">
        <v>84595900000</v>
      </c>
      <c r="B39344" t="e">
        <f>--las demas</f>
        <v>#NAME?</v>
      </c>
    </row>
    <row r="39345" spans="1:2" x14ac:dyDescent="0.25">
      <c r="A39345">
        <v>84596</v>
      </c>
      <c r="B39345" t="s">
        <v>12248</v>
      </c>
    </row>
    <row r="39346" spans="1:2" x14ac:dyDescent="0.25">
      <c r="A39346">
        <v>84596100000</v>
      </c>
      <c r="B39346" t="e">
        <f>--de control numerico</f>
        <v>#NAME?</v>
      </c>
    </row>
    <row r="39347" spans="1:2" x14ac:dyDescent="0.25">
      <c r="A39347">
        <v>84596900</v>
      </c>
      <c r="B39347" t="e">
        <f>- - las demas</f>
        <v>#NAME?</v>
      </c>
    </row>
    <row r="39348" spans="1:2" x14ac:dyDescent="0.25">
      <c r="A39348">
        <v>84596900100</v>
      </c>
      <c r="B39348" t="s">
        <v>12249</v>
      </c>
    </row>
    <row r="39349" spans="1:2" x14ac:dyDescent="0.25">
      <c r="A39349">
        <v>84596900200</v>
      </c>
      <c r="B39349" t="s">
        <v>12250</v>
      </c>
    </row>
    <row r="39350" spans="1:2" x14ac:dyDescent="0.25">
      <c r="A39350">
        <v>84596900300</v>
      </c>
      <c r="B39350" t="s">
        <v>12251</v>
      </c>
    </row>
    <row r="39351" spans="1:2" x14ac:dyDescent="0.25">
      <c r="A39351">
        <v>84596900900</v>
      </c>
      <c r="B39351" t="s">
        <v>10</v>
      </c>
    </row>
    <row r="39352" spans="1:2" x14ac:dyDescent="0.25">
      <c r="A39352">
        <v>84597000000</v>
      </c>
      <c r="B39352" t="e">
        <f>-las demas maquinas de roscar (incluso aterrajar)</f>
        <v>#NAME?</v>
      </c>
    </row>
    <row r="39353" spans="1:2" x14ac:dyDescent="0.25">
      <c r="A39353">
        <v>8460</v>
      </c>
      <c r="B39353" t="s">
        <v>12252</v>
      </c>
    </row>
    <row r="39354" spans="1:2" x14ac:dyDescent="0.25">
      <c r="A39354">
        <v>84601</v>
      </c>
      <c r="B39354" t="s">
        <v>12253</v>
      </c>
    </row>
    <row r="39355" spans="1:2" x14ac:dyDescent="0.25">
      <c r="A39355">
        <v>84601200000</v>
      </c>
      <c r="B39355" t="e">
        <f>--de control numerico</f>
        <v>#NAME?</v>
      </c>
    </row>
    <row r="39356" spans="1:2" x14ac:dyDescent="0.25">
      <c r="A39356">
        <v>84601900000</v>
      </c>
      <c r="B39356" t="e">
        <f>--las demas</f>
        <v>#NAME?</v>
      </c>
    </row>
    <row r="39357" spans="1:2" x14ac:dyDescent="0.25">
      <c r="A39357">
        <v>84602</v>
      </c>
      <c r="B39357" t="s">
        <v>12254</v>
      </c>
    </row>
    <row r="39358" spans="1:2" x14ac:dyDescent="0.25">
      <c r="A39358">
        <v>84602200000</v>
      </c>
      <c r="B39358" t="e">
        <f>--maquinas de rectificar sin centro. de control numerico</f>
        <v>#NAME?</v>
      </c>
    </row>
    <row r="39359" spans="1:2" x14ac:dyDescent="0.25">
      <c r="A39359">
        <v>84602300000</v>
      </c>
      <c r="B39359" t="e">
        <f>--las demas maquinas de rectificar superficies cilindricas. de control numerico</f>
        <v>#NAME?</v>
      </c>
    </row>
    <row r="39360" spans="1:2" x14ac:dyDescent="0.25">
      <c r="A39360">
        <v>84602400000</v>
      </c>
      <c r="B39360" t="e">
        <f>--las demas. de control numerico</f>
        <v>#NAME?</v>
      </c>
    </row>
    <row r="39361" spans="1:2" x14ac:dyDescent="0.25">
      <c r="A39361">
        <v>84602900000</v>
      </c>
      <c r="B39361" t="e">
        <f>--las demas</f>
        <v>#NAME?</v>
      </c>
    </row>
    <row r="39362" spans="1:2" x14ac:dyDescent="0.25">
      <c r="A39362">
        <v>84603</v>
      </c>
      <c r="B39362" t="s">
        <v>12255</v>
      </c>
    </row>
    <row r="39363" spans="1:2" x14ac:dyDescent="0.25">
      <c r="A39363">
        <v>84603100000</v>
      </c>
      <c r="B39363" t="e">
        <f>--de control numerico</f>
        <v>#NAME?</v>
      </c>
    </row>
    <row r="39364" spans="1:2" x14ac:dyDescent="0.25">
      <c r="A39364">
        <v>84603900000</v>
      </c>
      <c r="B39364" t="e">
        <f>--las demas</f>
        <v>#NAME?</v>
      </c>
    </row>
    <row r="39365" spans="1:2" x14ac:dyDescent="0.25">
      <c r="A39365">
        <v>846040</v>
      </c>
      <c r="B39365" t="e">
        <f>- maquinas de lapear (bruñir)</f>
        <v>#NAME?</v>
      </c>
    </row>
    <row r="39366" spans="1:2" x14ac:dyDescent="0.25">
      <c r="A39366">
        <v>8460401</v>
      </c>
      <c r="B39366" t="s">
        <v>12228</v>
      </c>
    </row>
    <row r="39367" spans="1:2" x14ac:dyDescent="0.25">
      <c r="A39367">
        <v>84604011000</v>
      </c>
      <c r="B39367" t="s">
        <v>12256</v>
      </c>
    </row>
    <row r="39368" spans="1:2" x14ac:dyDescent="0.25">
      <c r="A39368">
        <v>84604019000</v>
      </c>
      <c r="B39368" t="s">
        <v>57</v>
      </c>
    </row>
    <row r="39369" spans="1:2" x14ac:dyDescent="0.25">
      <c r="A39369">
        <v>8460409</v>
      </c>
      <c r="B39369" t="s">
        <v>57</v>
      </c>
    </row>
    <row r="39370" spans="1:2" x14ac:dyDescent="0.25">
      <c r="A39370">
        <v>84604091000</v>
      </c>
      <c r="B39370" t="s">
        <v>12256</v>
      </c>
    </row>
    <row r="39371" spans="1:2" x14ac:dyDescent="0.25">
      <c r="A39371">
        <v>84604099000</v>
      </c>
      <c r="B39371" t="s">
        <v>57</v>
      </c>
    </row>
    <row r="39372" spans="1:2" x14ac:dyDescent="0.25">
      <c r="A39372">
        <v>846090</v>
      </c>
      <c r="B39372" t="e">
        <f>- las demas</f>
        <v>#NAME?</v>
      </c>
    </row>
    <row r="39373" spans="1:2" x14ac:dyDescent="0.25">
      <c r="A39373">
        <v>8460901</v>
      </c>
      <c r="B39373" t="s">
        <v>12228</v>
      </c>
    </row>
    <row r="39374" spans="1:2" x14ac:dyDescent="0.25">
      <c r="A39374">
        <v>84609011000</v>
      </c>
      <c r="B39374" t="s">
        <v>12257</v>
      </c>
    </row>
    <row r="39375" spans="1:2" x14ac:dyDescent="0.25">
      <c r="A39375">
        <v>84609012000</v>
      </c>
      <c r="B39375" t="s">
        <v>12258</v>
      </c>
    </row>
    <row r="39376" spans="1:2" x14ac:dyDescent="0.25">
      <c r="A39376">
        <v>84609019000</v>
      </c>
      <c r="B39376" t="s">
        <v>57</v>
      </c>
    </row>
    <row r="39377" spans="1:2" x14ac:dyDescent="0.25">
      <c r="A39377">
        <v>84609090</v>
      </c>
      <c r="B39377" t="s">
        <v>57</v>
      </c>
    </row>
    <row r="39378" spans="1:2" x14ac:dyDescent="0.25">
      <c r="A39378">
        <v>84609090100</v>
      </c>
      <c r="B39378" t="s">
        <v>12259</v>
      </c>
    </row>
    <row r="39379" spans="1:2" x14ac:dyDescent="0.25">
      <c r="A39379">
        <v>84609090200</v>
      </c>
      <c r="B39379" t="s">
        <v>12260</v>
      </c>
    </row>
    <row r="39380" spans="1:2" x14ac:dyDescent="0.25">
      <c r="A39380">
        <v>84609090900</v>
      </c>
      <c r="B39380" t="s">
        <v>57</v>
      </c>
    </row>
    <row r="39381" spans="1:2" x14ac:dyDescent="0.25">
      <c r="A39381">
        <v>8461</v>
      </c>
      <c r="B39381" t="s">
        <v>12261</v>
      </c>
    </row>
    <row r="39382" spans="1:2" x14ac:dyDescent="0.25">
      <c r="A39382">
        <v>846120</v>
      </c>
      <c r="B39382" t="e">
        <f>- maquinas de limar o mortajar</f>
        <v>#NAME?</v>
      </c>
    </row>
    <row r="39383" spans="1:2" x14ac:dyDescent="0.25">
      <c r="A39383">
        <v>84612010000</v>
      </c>
      <c r="B39383" t="s">
        <v>12262</v>
      </c>
    </row>
    <row r="39384" spans="1:2" x14ac:dyDescent="0.25">
      <c r="A39384">
        <v>84612090000</v>
      </c>
      <c r="B39384" t="s">
        <v>57</v>
      </c>
    </row>
    <row r="39385" spans="1:2" x14ac:dyDescent="0.25">
      <c r="A39385">
        <v>846130</v>
      </c>
      <c r="B39385" t="e">
        <f>- maquinas de brochar</f>
        <v>#NAME?</v>
      </c>
    </row>
    <row r="39386" spans="1:2" x14ac:dyDescent="0.25">
      <c r="A39386">
        <v>84613010000</v>
      </c>
      <c r="B39386" t="s">
        <v>12228</v>
      </c>
    </row>
    <row r="39387" spans="1:2" x14ac:dyDescent="0.25">
      <c r="A39387">
        <v>84613090000</v>
      </c>
      <c r="B39387" t="s">
        <v>57</v>
      </c>
    </row>
    <row r="39388" spans="1:2" x14ac:dyDescent="0.25">
      <c r="A39388">
        <v>846140</v>
      </c>
      <c r="B39388" t="e">
        <f>- maquinas de tallar o acabar engranajes</f>
        <v>#NAME?</v>
      </c>
    </row>
    <row r="39389" spans="1:2" x14ac:dyDescent="0.25">
      <c r="A39389">
        <v>84614010000</v>
      </c>
      <c r="B39389" t="s">
        <v>12228</v>
      </c>
    </row>
    <row r="39390" spans="1:2" x14ac:dyDescent="0.25">
      <c r="A39390">
        <v>8461409</v>
      </c>
      <c r="B39390" t="s">
        <v>57</v>
      </c>
    </row>
    <row r="39391" spans="1:2" x14ac:dyDescent="0.25">
      <c r="A39391">
        <v>84614091000</v>
      </c>
      <c r="B39391" t="s">
        <v>12263</v>
      </c>
    </row>
    <row r="39392" spans="1:2" x14ac:dyDescent="0.25">
      <c r="A39392">
        <v>84614099000</v>
      </c>
      <c r="B39392" t="s">
        <v>57</v>
      </c>
    </row>
    <row r="39393" spans="1:2" x14ac:dyDescent="0.25">
      <c r="A39393">
        <v>846150</v>
      </c>
      <c r="B39393" t="e">
        <f>- maquinas de aserrar o trocear</f>
        <v>#NAME?</v>
      </c>
    </row>
    <row r="39394" spans="1:2" x14ac:dyDescent="0.25">
      <c r="A39394">
        <v>84615010000</v>
      </c>
      <c r="B39394" t="s">
        <v>12264</v>
      </c>
    </row>
    <row r="39395" spans="1:2" x14ac:dyDescent="0.25">
      <c r="A39395">
        <v>84615020000</v>
      </c>
      <c r="B39395" t="s">
        <v>8825</v>
      </c>
    </row>
    <row r="39396" spans="1:2" x14ac:dyDescent="0.25">
      <c r="A39396">
        <v>84615090000</v>
      </c>
      <c r="B39396" t="s">
        <v>57</v>
      </c>
    </row>
    <row r="39397" spans="1:2" x14ac:dyDescent="0.25">
      <c r="A39397">
        <v>846190</v>
      </c>
      <c r="B39397" t="e">
        <f>- las demas</f>
        <v>#NAME?</v>
      </c>
    </row>
    <row r="39398" spans="1:2" x14ac:dyDescent="0.25">
      <c r="A39398">
        <v>84619010000</v>
      </c>
      <c r="B39398" t="s">
        <v>12228</v>
      </c>
    </row>
    <row r="39399" spans="1:2" x14ac:dyDescent="0.25">
      <c r="A39399">
        <v>84619090000</v>
      </c>
      <c r="B39399" t="s">
        <v>57</v>
      </c>
    </row>
    <row r="39400" spans="1:2" x14ac:dyDescent="0.25">
      <c r="A39400">
        <v>8462</v>
      </c>
      <c r="B39400" t="s">
        <v>12265</v>
      </c>
    </row>
    <row r="39401" spans="1:2" x14ac:dyDescent="0.25">
      <c r="A39401">
        <v>846210</v>
      </c>
      <c r="B39401" t="e">
        <f>- maquinas (incluidas las prensas) de forjar o estampar. Martillos pilon y otras maquinas de martillar</f>
        <v>#NAME?</v>
      </c>
    </row>
    <row r="39402" spans="1:2" x14ac:dyDescent="0.25">
      <c r="A39402">
        <v>8462101</v>
      </c>
      <c r="B39402" t="s">
        <v>12228</v>
      </c>
    </row>
    <row r="39403" spans="1:2" x14ac:dyDescent="0.25">
      <c r="A39403">
        <v>84621011000</v>
      </c>
      <c r="B39403" t="s">
        <v>12266</v>
      </c>
    </row>
    <row r="39404" spans="1:2" x14ac:dyDescent="0.25">
      <c r="A39404">
        <v>84621019000</v>
      </c>
      <c r="B39404" t="s">
        <v>57</v>
      </c>
    </row>
    <row r="39405" spans="1:2" x14ac:dyDescent="0.25">
      <c r="A39405">
        <v>84621090</v>
      </c>
      <c r="B39405" t="s">
        <v>57</v>
      </c>
    </row>
    <row r="39406" spans="1:2" x14ac:dyDescent="0.25">
      <c r="A39406">
        <v>84621090100</v>
      </c>
      <c r="B39406" t="s">
        <v>12267</v>
      </c>
    </row>
    <row r="39407" spans="1:2" x14ac:dyDescent="0.25">
      <c r="A39407">
        <v>84621090200</v>
      </c>
      <c r="B39407" t="s">
        <v>12268</v>
      </c>
    </row>
    <row r="39408" spans="1:2" x14ac:dyDescent="0.25">
      <c r="A39408">
        <v>84621090300</v>
      </c>
      <c r="B39408" t="s">
        <v>12269</v>
      </c>
    </row>
    <row r="39409" spans="1:2" x14ac:dyDescent="0.25">
      <c r="A39409">
        <v>84621090400</v>
      </c>
      <c r="B39409" t="s">
        <v>12270</v>
      </c>
    </row>
    <row r="39410" spans="1:2" x14ac:dyDescent="0.25">
      <c r="A39410">
        <v>84621090900</v>
      </c>
      <c r="B39410" t="s">
        <v>57</v>
      </c>
    </row>
    <row r="39411" spans="1:2" x14ac:dyDescent="0.25">
      <c r="A39411">
        <v>84622</v>
      </c>
      <c r="B39411" t="s">
        <v>12271</v>
      </c>
    </row>
    <row r="39412" spans="1:2" x14ac:dyDescent="0.25">
      <c r="A39412">
        <v>84622100</v>
      </c>
      <c r="B39412" t="e">
        <f>- - de control numerico</f>
        <v>#NAME?</v>
      </c>
    </row>
    <row r="39413" spans="1:2" x14ac:dyDescent="0.25">
      <c r="A39413">
        <v>84622100100</v>
      </c>
      <c r="B39413" t="s">
        <v>11903</v>
      </c>
    </row>
    <row r="39414" spans="1:2" x14ac:dyDescent="0.25">
      <c r="A39414">
        <v>846221002</v>
      </c>
      <c r="B39414" t="s">
        <v>12272</v>
      </c>
    </row>
    <row r="39415" spans="1:2" x14ac:dyDescent="0.25">
      <c r="A39415">
        <v>84622100210</v>
      </c>
      <c r="B39415" t="s">
        <v>524</v>
      </c>
    </row>
    <row r="39416" spans="1:2" x14ac:dyDescent="0.25">
      <c r="A39416">
        <v>84622100220</v>
      </c>
      <c r="B39416" t="s">
        <v>10425</v>
      </c>
    </row>
    <row r="39417" spans="1:2" x14ac:dyDescent="0.25">
      <c r="A39417">
        <v>84622100230</v>
      </c>
      <c r="B39417" t="s">
        <v>10206</v>
      </c>
    </row>
    <row r="39418" spans="1:2" x14ac:dyDescent="0.25">
      <c r="A39418">
        <v>84622100290</v>
      </c>
      <c r="B39418" t="s">
        <v>57</v>
      </c>
    </row>
    <row r="39419" spans="1:2" x14ac:dyDescent="0.25">
      <c r="A39419">
        <v>846221003</v>
      </c>
      <c r="B39419" t="s">
        <v>12273</v>
      </c>
    </row>
    <row r="39420" spans="1:2" x14ac:dyDescent="0.25">
      <c r="A39420">
        <v>84622100310</v>
      </c>
      <c r="B39420" t="s">
        <v>11854</v>
      </c>
    </row>
    <row r="39421" spans="1:2" x14ac:dyDescent="0.25">
      <c r="A39421">
        <v>84622100320</v>
      </c>
      <c r="B39421" t="s">
        <v>12274</v>
      </c>
    </row>
    <row r="39422" spans="1:2" x14ac:dyDescent="0.25">
      <c r="A39422">
        <v>84622100390</v>
      </c>
      <c r="B39422" t="s">
        <v>57</v>
      </c>
    </row>
    <row r="39423" spans="1:2" x14ac:dyDescent="0.25">
      <c r="A39423">
        <v>846221004</v>
      </c>
      <c r="B39423" t="s">
        <v>12275</v>
      </c>
    </row>
    <row r="39424" spans="1:2" x14ac:dyDescent="0.25">
      <c r="A39424">
        <v>84622100410</v>
      </c>
      <c r="B39424" t="s">
        <v>12276</v>
      </c>
    </row>
    <row r="39425" spans="1:2" x14ac:dyDescent="0.25">
      <c r="A39425">
        <v>84622100420</v>
      </c>
      <c r="B39425" t="s">
        <v>10425</v>
      </c>
    </row>
    <row r="39426" spans="1:2" x14ac:dyDescent="0.25">
      <c r="A39426">
        <v>84622100430</v>
      </c>
      <c r="B39426" t="s">
        <v>10206</v>
      </c>
    </row>
    <row r="39427" spans="1:2" x14ac:dyDescent="0.25">
      <c r="A39427">
        <v>84622100490</v>
      </c>
      <c r="B39427" t="s">
        <v>57</v>
      </c>
    </row>
    <row r="39428" spans="1:2" x14ac:dyDescent="0.25">
      <c r="A39428">
        <v>84622900</v>
      </c>
      <c r="B39428" t="e">
        <f>- - las demas</f>
        <v>#NAME?</v>
      </c>
    </row>
    <row r="39429" spans="1:2" x14ac:dyDescent="0.25">
      <c r="A39429">
        <v>84622900100</v>
      </c>
      <c r="B39429" t="s">
        <v>11903</v>
      </c>
    </row>
    <row r="39430" spans="1:2" x14ac:dyDescent="0.25">
      <c r="A39430">
        <v>846229002</v>
      </c>
      <c r="B39430" t="s">
        <v>12272</v>
      </c>
    </row>
    <row r="39431" spans="1:2" x14ac:dyDescent="0.25">
      <c r="A39431">
        <v>84622900210</v>
      </c>
      <c r="B39431" t="s">
        <v>524</v>
      </c>
    </row>
    <row r="39432" spans="1:2" x14ac:dyDescent="0.25">
      <c r="A39432">
        <v>84622900220</v>
      </c>
      <c r="B39432" t="s">
        <v>10425</v>
      </c>
    </row>
    <row r="39433" spans="1:2" x14ac:dyDescent="0.25">
      <c r="A39433">
        <v>84622900230</v>
      </c>
      <c r="B39433" t="s">
        <v>10206</v>
      </c>
    </row>
    <row r="39434" spans="1:2" x14ac:dyDescent="0.25">
      <c r="A39434">
        <v>84622900290</v>
      </c>
      <c r="B39434" t="s">
        <v>57</v>
      </c>
    </row>
    <row r="39435" spans="1:2" x14ac:dyDescent="0.25">
      <c r="A39435">
        <v>846229003</v>
      </c>
      <c r="B39435" t="s">
        <v>12273</v>
      </c>
    </row>
    <row r="39436" spans="1:2" x14ac:dyDescent="0.25">
      <c r="A39436">
        <v>84622900310</v>
      </c>
      <c r="B39436" t="s">
        <v>11854</v>
      </c>
    </row>
    <row r="39437" spans="1:2" x14ac:dyDescent="0.25">
      <c r="A39437">
        <v>84622900390</v>
      </c>
      <c r="B39437" t="s">
        <v>57</v>
      </c>
    </row>
    <row r="39438" spans="1:2" x14ac:dyDescent="0.25">
      <c r="A39438">
        <v>846229004</v>
      </c>
      <c r="B39438" t="s">
        <v>12275</v>
      </c>
    </row>
    <row r="39439" spans="1:2" x14ac:dyDescent="0.25">
      <c r="A39439">
        <v>84622900410</v>
      </c>
      <c r="B39439" t="s">
        <v>12276</v>
      </c>
    </row>
    <row r="39440" spans="1:2" x14ac:dyDescent="0.25">
      <c r="A39440">
        <v>84622900420</v>
      </c>
      <c r="B39440" t="s">
        <v>10425</v>
      </c>
    </row>
    <row r="39441" spans="1:2" x14ac:dyDescent="0.25">
      <c r="A39441">
        <v>84622900430</v>
      </c>
      <c r="B39441" t="s">
        <v>10206</v>
      </c>
    </row>
    <row r="39442" spans="1:2" x14ac:dyDescent="0.25">
      <c r="A39442">
        <v>84622900490</v>
      </c>
      <c r="B39442" t="s">
        <v>57</v>
      </c>
    </row>
    <row r="39443" spans="1:2" x14ac:dyDescent="0.25">
      <c r="A39443">
        <v>84623</v>
      </c>
      <c r="B39443" t="s">
        <v>12277</v>
      </c>
    </row>
    <row r="39444" spans="1:2" x14ac:dyDescent="0.25">
      <c r="A39444">
        <v>84623100000</v>
      </c>
      <c r="B39444" t="e">
        <f>--de control numerico</f>
        <v>#NAME?</v>
      </c>
    </row>
    <row r="39445" spans="1:2" x14ac:dyDescent="0.25">
      <c r="A39445">
        <v>846239</v>
      </c>
      <c r="B39445" t="e">
        <f>- - las demas</f>
        <v>#NAME?</v>
      </c>
    </row>
    <row r="39446" spans="1:2" x14ac:dyDescent="0.25">
      <c r="A39446">
        <v>84623910000</v>
      </c>
      <c r="B39446" t="s">
        <v>12278</v>
      </c>
    </row>
    <row r="39447" spans="1:2" x14ac:dyDescent="0.25">
      <c r="A39447">
        <v>84623990000</v>
      </c>
      <c r="B39447" t="s">
        <v>57</v>
      </c>
    </row>
    <row r="39448" spans="1:2" x14ac:dyDescent="0.25">
      <c r="A39448">
        <v>84624</v>
      </c>
      <c r="B39448" t="s">
        <v>12279</v>
      </c>
    </row>
    <row r="39449" spans="1:2" x14ac:dyDescent="0.25">
      <c r="A39449">
        <v>84624100000</v>
      </c>
      <c r="B39449" t="e">
        <f>--de control numerico</f>
        <v>#NAME?</v>
      </c>
    </row>
    <row r="39450" spans="1:2" x14ac:dyDescent="0.25">
      <c r="A39450">
        <v>84624900</v>
      </c>
      <c r="B39450" t="e">
        <f>- - las demas</f>
        <v>#NAME?</v>
      </c>
    </row>
    <row r="39451" spans="1:2" x14ac:dyDescent="0.25">
      <c r="A39451">
        <v>84624900100</v>
      </c>
      <c r="B39451" t="s">
        <v>12280</v>
      </c>
    </row>
    <row r="39452" spans="1:2" x14ac:dyDescent="0.25">
      <c r="A39452">
        <v>84624900200</v>
      </c>
      <c r="B39452" t="s">
        <v>12281</v>
      </c>
    </row>
    <row r="39453" spans="1:2" x14ac:dyDescent="0.25">
      <c r="A39453">
        <v>84624900900</v>
      </c>
      <c r="B39453" t="s">
        <v>57</v>
      </c>
    </row>
    <row r="39454" spans="1:2" x14ac:dyDescent="0.25">
      <c r="A39454">
        <v>84629</v>
      </c>
      <c r="B39454" t="s">
        <v>567</v>
      </c>
    </row>
    <row r="39455" spans="1:2" x14ac:dyDescent="0.25">
      <c r="A39455">
        <v>846291</v>
      </c>
      <c r="B39455" t="e">
        <f>- - prensas hidraulicas</f>
        <v>#NAME?</v>
      </c>
    </row>
    <row r="39456" spans="1:2" x14ac:dyDescent="0.25">
      <c r="A39456">
        <v>8462911</v>
      </c>
      <c r="B39456" t="s">
        <v>12282</v>
      </c>
    </row>
    <row r="39457" spans="1:2" x14ac:dyDescent="0.25">
      <c r="A39457">
        <v>84629111000</v>
      </c>
      <c r="B39457" t="s">
        <v>12283</v>
      </c>
    </row>
    <row r="39458" spans="1:2" x14ac:dyDescent="0.25">
      <c r="A39458">
        <v>84629119000</v>
      </c>
      <c r="B39458" t="s">
        <v>57</v>
      </c>
    </row>
    <row r="39459" spans="1:2" x14ac:dyDescent="0.25">
      <c r="A39459">
        <v>8462919</v>
      </c>
      <c r="B39459" t="s">
        <v>57</v>
      </c>
    </row>
    <row r="39460" spans="1:2" x14ac:dyDescent="0.25">
      <c r="A39460">
        <v>84629191000</v>
      </c>
      <c r="B39460" t="s">
        <v>12283</v>
      </c>
    </row>
    <row r="39461" spans="1:2" x14ac:dyDescent="0.25">
      <c r="A39461">
        <v>84629199000</v>
      </c>
      <c r="B39461" t="s">
        <v>57</v>
      </c>
    </row>
    <row r="39462" spans="1:2" x14ac:dyDescent="0.25">
      <c r="A39462">
        <v>846299</v>
      </c>
      <c r="B39462" t="e">
        <f>- - las demas</f>
        <v>#NAME?</v>
      </c>
    </row>
    <row r="39463" spans="1:2" x14ac:dyDescent="0.25">
      <c r="A39463">
        <v>84629910000</v>
      </c>
      <c r="B39463" t="s">
        <v>12284</v>
      </c>
    </row>
    <row r="39464" spans="1:2" x14ac:dyDescent="0.25">
      <c r="A39464">
        <v>84629920000</v>
      </c>
      <c r="B39464" t="s">
        <v>12285</v>
      </c>
    </row>
    <row r="39465" spans="1:2" x14ac:dyDescent="0.25">
      <c r="A39465">
        <v>84629990000</v>
      </c>
      <c r="B39465" t="s">
        <v>57</v>
      </c>
    </row>
    <row r="39466" spans="1:2" x14ac:dyDescent="0.25">
      <c r="A39466">
        <v>8463</v>
      </c>
      <c r="B39466" t="s">
        <v>12286</v>
      </c>
    </row>
    <row r="39467" spans="1:2" x14ac:dyDescent="0.25">
      <c r="A39467">
        <v>846310</v>
      </c>
      <c r="B39467" t="e">
        <f>- Bancos de estirar barras. tubos. perfiles. alambres o similares</f>
        <v>#NAME?</v>
      </c>
    </row>
    <row r="39468" spans="1:2" x14ac:dyDescent="0.25">
      <c r="A39468">
        <v>84631010000</v>
      </c>
      <c r="B39468" t="s">
        <v>12287</v>
      </c>
    </row>
    <row r="39469" spans="1:2" x14ac:dyDescent="0.25">
      <c r="A39469">
        <v>84631090000</v>
      </c>
      <c r="B39469" t="s">
        <v>10</v>
      </c>
    </row>
    <row r="39470" spans="1:2" x14ac:dyDescent="0.25">
      <c r="A39470">
        <v>846320</v>
      </c>
      <c r="B39470" t="e">
        <f>- maquinas laminadoras de hacer roscas</f>
        <v>#NAME?</v>
      </c>
    </row>
    <row r="39471" spans="1:2" x14ac:dyDescent="0.25">
      <c r="A39471">
        <v>84632010000</v>
      </c>
      <c r="B39471" t="s">
        <v>12228</v>
      </c>
    </row>
    <row r="39472" spans="1:2" x14ac:dyDescent="0.25">
      <c r="A39472">
        <v>8463209</v>
      </c>
      <c r="B39472" t="s">
        <v>57</v>
      </c>
    </row>
    <row r="39473" spans="1:2" x14ac:dyDescent="0.25">
      <c r="A39473">
        <v>84632091000</v>
      </c>
      <c r="B39473" t="s">
        <v>12288</v>
      </c>
    </row>
    <row r="39474" spans="1:2" x14ac:dyDescent="0.25">
      <c r="A39474">
        <v>84632099000</v>
      </c>
      <c r="B39474" t="s">
        <v>57</v>
      </c>
    </row>
    <row r="39475" spans="1:2" x14ac:dyDescent="0.25">
      <c r="A39475">
        <v>84633000000</v>
      </c>
      <c r="B39475" t="e">
        <f>-maquinas de trabajar alambre</f>
        <v>#NAME?</v>
      </c>
    </row>
    <row r="39476" spans="1:2" x14ac:dyDescent="0.25">
      <c r="A39476">
        <v>846390</v>
      </c>
      <c r="B39476" t="e">
        <f>- las demas</f>
        <v>#NAME?</v>
      </c>
    </row>
    <row r="39477" spans="1:2" x14ac:dyDescent="0.25">
      <c r="A39477">
        <v>84639010000</v>
      </c>
      <c r="B39477" t="s">
        <v>12228</v>
      </c>
    </row>
    <row r="39478" spans="1:2" x14ac:dyDescent="0.25">
      <c r="A39478">
        <v>84639090000</v>
      </c>
      <c r="B39478" t="s">
        <v>57</v>
      </c>
    </row>
    <row r="39479" spans="1:2" x14ac:dyDescent="0.25">
      <c r="A39479">
        <v>8464</v>
      </c>
      <c r="B39479" t="s">
        <v>12289</v>
      </c>
    </row>
    <row r="39480" spans="1:2" x14ac:dyDescent="0.25">
      <c r="A39480">
        <v>84641000000</v>
      </c>
      <c r="B39480" t="e">
        <f>-maquinas de aserrar</f>
        <v>#NAME?</v>
      </c>
    </row>
    <row r="39481" spans="1:2" x14ac:dyDescent="0.25">
      <c r="A39481">
        <v>846420</v>
      </c>
      <c r="B39481" t="e">
        <f>- maquinas de amolar o pulir</f>
        <v>#NAME?</v>
      </c>
    </row>
    <row r="39482" spans="1:2" x14ac:dyDescent="0.25">
      <c r="A39482">
        <v>84642010000</v>
      </c>
      <c r="B39482" t="s">
        <v>12290</v>
      </c>
    </row>
    <row r="39483" spans="1:2" x14ac:dyDescent="0.25">
      <c r="A39483">
        <v>8464202</v>
      </c>
      <c r="B39483" t="s">
        <v>12291</v>
      </c>
    </row>
    <row r="39484" spans="1:2" x14ac:dyDescent="0.25">
      <c r="A39484">
        <v>84642021000</v>
      </c>
      <c r="B39484" t="s">
        <v>12292</v>
      </c>
    </row>
    <row r="39485" spans="1:2" x14ac:dyDescent="0.25">
      <c r="A39485">
        <v>84642029000</v>
      </c>
      <c r="B39485" t="s">
        <v>57</v>
      </c>
    </row>
    <row r="39486" spans="1:2" x14ac:dyDescent="0.25">
      <c r="A39486">
        <v>84642090000</v>
      </c>
      <c r="B39486" t="s">
        <v>57</v>
      </c>
    </row>
    <row r="39487" spans="1:2" x14ac:dyDescent="0.25">
      <c r="A39487">
        <v>846490</v>
      </c>
      <c r="B39487" t="e">
        <f>- las demas</f>
        <v>#NAME?</v>
      </c>
    </row>
    <row r="39488" spans="1:2" x14ac:dyDescent="0.25">
      <c r="A39488">
        <v>8464901</v>
      </c>
      <c r="B39488" t="s">
        <v>12290</v>
      </c>
    </row>
    <row r="39489" spans="1:2" x14ac:dyDescent="0.25">
      <c r="A39489">
        <v>84649011000</v>
      </c>
      <c r="B39489" t="s">
        <v>12293</v>
      </c>
    </row>
    <row r="39490" spans="1:2" x14ac:dyDescent="0.25">
      <c r="A39490">
        <v>84649019000</v>
      </c>
      <c r="B39490" t="s">
        <v>57</v>
      </c>
    </row>
    <row r="39491" spans="1:2" x14ac:dyDescent="0.25">
      <c r="A39491">
        <v>84649090000</v>
      </c>
      <c r="B39491" t="s">
        <v>57</v>
      </c>
    </row>
    <row r="39492" spans="1:2" x14ac:dyDescent="0.25">
      <c r="A39492">
        <v>8465</v>
      </c>
      <c r="B39492" t="s">
        <v>12294</v>
      </c>
    </row>
    <row r="39493" spans="1:2" x14ac:dyDescent="0.25">
      <c r="A39493">
        <v>84651000000</v>
      </c>
      <c r="B39493" t="e">
        <f>-maquinas que efectuen distintas operaciones de mecanizado sin cambio de util entre dichas operaciones</f>
        <v>#NAME?</v>
      </c>
    </row>
    <row r="39494" spans="1:2" x14ac:dyDescent="0.25">
      <c r="A39494">
        <v>84652000000</v>
      </c>
      <c r="B39494" t="e">
        <f>-Centros de mecanizado</f>
        <v>#NAME?</v>
      </c>
    </row>
    <row r="39495" spans="1:2" x14ac:dyDescent="0.25">
      <c r="A39495">
        <v>84659</v>
      </c>
      <c r="B39495" t="s">
        <v>567</v>
      </c>
    </row>
    <row r="39496" spans="1:2" x14ac:dyDescent="0.25">
      <c r="A39496">
        <v>846591</v>
      </c>
      <c r="B39496" t="e">
        <f>- - maquinas de aserrar</f>
        <v>#NAME?</v>
      </c>
    </row>
    <row r="39497" spans="1:2" x14ac:dyDescent="0.25">
      <c r="A39497">
        <v>84659110</v>
      </c>
      <c r="B39497" t="s">
        <v>12264</v>
      </c>
    </row>
    <row r="39498" spans="1:2" x14ac:dyDescent="0.25">
      <c r="A39498">
        <v>84659110100</v>
      </c>
      <c r="B39498" t="s">
        <v>12295</v>
      </c>
    </row>
    <row r="39499" spans="1:2" x14ac:dyDescent="0.25">
      <c r="A39499">
        <v>84659110900</v>
      </c>
      <c r="B39499" t="s">
        <v>10</v>
      </c>
    </row>
    <row r="39500" spans="1:2" x14ac:dyDescent="0.25">
      <c r="A39500">
        <v>84659120</v>
      </c>
      <c r="B39500" t="s">
        <v>8825</v>
      </c>
    </row>
    <row r="39501" spans="1:2" x14ac:dyDescent="0.25">
      <c r="A39501">
        <v>84659120100</v>
      </c>
      <c r="B39501" t="s">
        <v>12295</v>
      </c>
    </row>
    <row r="39502" spans="1:2" x14ac:dyDescent="0.25">
      <c r="A39502">
        <v>84659120900</v>
      </c>
      <c r="B39502" t="s">
        <v>10</v>
      </c>
    </row>
    <row r="39503" spans="1:2" x14ac:dyDescent="0.25">
      <c r="A39503">
        <v>84659190000</v>
      </c>
      <c r="B39503" t="s">
        <v>57</v>
      </c>
    </row>
    <row r="39504" spans="1:2" x14ac:dyDescent="0.25">
      <c r="A39504">
        <v>846592</v>
      </c>
      <c r="B39504" t="e">
        <f>- - maquinas de cepillar, maquinas de fresar o moldurar</f>
        <v>#NAME?</v>
      </c>
    </row>
    <row r="39505" spans="1:2" x14ac:dyDescent="0.25">
      <c r="A39505">
        <v>8465921</v>
      </c>
      <c r="B39505" t="s">
        <v>12228</v>
      </c>
    </row>
    <row r="39506" spans="1:2" x14ac:dyDescent="0.25">
      <c r="A39506">
        <v>84659211000</v>
      </c>
      <c r="B39506" t="s">
        <v>12296</v>
      </c>
    </row>
    <row r="39507" spans="1:2" x14ac:dyDescent="0.25">
      <c r="A39507">
        <v>84659219000</v>
      </c>
      <c r="B39507" t="s">
        <v>57</v>
      </c>
    </row>
    <row r="39508" spans="1:2" x14ac:dyDescent="0.25">
      <c r="A39508">
        <v>84659290</v>
      </c>
      <c r="B39508" t="s">
        <v>57</v>
      </c>
    </row>
    <row r="39509" spans="1:2" x14ac:dyDescent="0.25">
      <c r="A39509">
        <v>84659290100</v>
      </c>
      <c r="B39509" t="s">
        <v>12297</v>
      </c>
    </row>
    <row r="39510" spans="1:2" x14ac:dyDescent="0.25">
      <c r="A39510">
        <v>84659290200</v>
      </c>
      <c r="B39510" t="s">
        <v>12298</v>
      </c>
    </row>
    <row r="39511" spans="1:2" x14ac:dyDescent="0.25">
      <c r="A39511">
        <v>84659290300</v>
      </c>
      <c r="B39511" t="s">
        <v>12296</v>
      </c>
    </row>
    <row r="39512" spans="1:2" x14ac:dyDescent="0.25">
      <c r="A39512">
        <v>84659290900</v>
      </c>
      <c r="B39512" t="s">
        <v>57</v>
      </c>
    </row>
    <row r="39513" spans="1:2" x14ac:dyDescent="0.25">
      <c r="A39513">
        <v>846593</v>
      </c>
      <c r="B39513" t="e">
        <f>- - maquinas de amolar. lijar o pulir</f>
        <v>#NAME?</v>
      </c>
    </row>
    <row r="39514" spans="1:2" x14ac:dyDescent="0.25">
      <c r="A39514">
        <v>84659310000</v>
      </c>
      <c r="B39514" t="s">
        <v>12299</v>
      </c>
    </row>
    <row r="39515" spans="1:2" x14ac:dyDescent="0.25">
      <c r="A39515">
        <v>84659390000</v>
      </c>
      <c r="B39515" t="s">
        <v>57</v>
      </c>
    </row>
    <row r="39516" spans="1:2" x14ac:dyDescent="0.25">
      <c r="A39516">
        <v>84659400000</v>
      </c>
      <c r="B39516" t="e">
        <f>--maquinas de curvar o ensamblar</f>
        <v>#NAME?</v>
      </c>
    </row>
    <row r="39517" spans="1:2" x14ac:dyDescent="0.25">
      <c r="A39517">
        <v>846595</v>
      </c>
      <c r="B39517" t="e">
        <f>- - maquinas de taladrar o mortajar</f>
        <v>#NAME?</v>
      </c>
    </row>
    <row r="39518" spans="1:2" x14ac:dyDescent="0.25">
      <c r="A39518">
        <v>8465951</v>
      </c>
      <c r="B39518" t="s">
        <v>12228</v>
      </c>
    </row>
    <row r="39519" spans="1:2" x14ac:dyDescent="0.25">
      <c r="A39519">
        <v>84659511000</v>
      </c>
      <c r="B39519" t="s">
        <v>12300</v>
      </c>
    </row>
    <row r="39520" spans="1:2" x14ac:dyDescent="0.25">
      <c r="A39520">
        <v>84659512000</v>
      </c>
      <c r="B39520" t="s">
        <v>12262</v>
      </c>
    </row>
    <row r="39521" spans="1:2" x14ac:dyDescent="0.25">
      <c r="A39521">
        <v>8465959</v>
      </c>
      <c r="B39521" t="s">
        <v>57</v>
      </c>
    </row>
    <row r="39522" spans="1:2" x14ac:dyDescent="0.25">
      <c r="A39522">
        <v>84659591000</v>
      </c>
      <c r="B39522" t="s">
        <v>12300</v>
      </c>
    </row>
    <row r="39523" spans="1:2" x14ac:dyDescent="0.25">
      <c r="A39523">
        <v>84659592000</v>
      </c>
      <c r="B39523" t="s">
        <v>12262</v>
      </c>
    </row>
    <row r="39524" spans="1:2" x14ac:dyDescent="0.25">
      <c r="A39524">
        <v>84659600000</v>
      </c>
      <c r="B39524" t="e">
        <f>--maquinas de hendir. rebanar o desenrollar</f>
        <v>#NAME?</v>
      </c>
    </row>
    <row r="39525" spans="1:2" x14ac:dyDescent="0.25">
      <c r="A39525">
        <v>84659900</v>
      </c>
      <c r="B39525" t="e">
        <f>- - las demas</f>
        <v>#NAME?</v>
      </c>
    </row>
    <row r="39526" spans="1:2" x14ac:dyDescent="0.25">
      <c r="A39526">
        <v>846599001</v>
      </c>
      <c r="B39526" t="s">
        <v>10889</v>
      </c>
    </row>
    <row r="39527" spans="1:2" x14ac:dyDescent="0.25">
      <c r="A39527">
        <v>84659900110</v>
      </c>
      <c r="B39527" t="s">
        <v>12301</v>
      </c>
    </row>
    <row r="39528" spans="1:2" x14ac:dyDescent="0.25">
      <c r="A39528">
        <v>84659900120</v>
      </c>
      <c r="B39528" t="s">
        <v>12302</v>
      </c>
    </row>
    <row r="39529" spans="1:2" x14ac:dyDescent="0.25">
      <c r="A39529">
        <v>84659900130</v>
      </c>
      <c r="B39529" t="s">
        <v>12303</v>
      </c>
    </row>
    <row r="39530" spans="1:2" x14ac:dyDescent="0.25">
      <c r="A39530">
        <v>84659900190</v>
      </c>
      <c r="B39530" t="s">
        <v>10</v>
      </c>
    </row>
    <row r="39531" spans="1:2" x14ac:dyDescent="0.25">
      <c r="A39531">
        <v>84659900200</v>
      </c>
      <c r="B39531" t="s">
        <v>12304</v>
      </c>
    </row>
    <row r="39532" spans="1:2" x14ac:dyDescent="0.25">
      <c r="A39532">
        <v>84659900900</v>
      </c>
      <c r="B39532" t="s">
        <v>57</v>
      </c>
    </row>
    <row r="39533" spans="1:2" x14ac:dyDescent="0.25">
      <c r="A39533">
        <v>8466</v>
      </c>
      <c r="B39533" t="s">
        <v>12305</v>
      </c>
    </row>
    <row r="39534" spans="1:2" x14ac:dyDescent="0.25">
      <c r="A39534">
        <v>84661000</v>
      </c>
      <c r="B39534" t="e">
        <f>- Portautiles y Dispositivos de roscar de apertura automatica</f>
        <v>#NAME?</v>
      </c>
    </row>
    <row r="39535" spans="1:2" x14ac:dyDescent="0.25">
      <c r="A39535">
        <v>84661000100</v>
      </c>
      <c r="B39535" t="s">
        <v>12306</v>
      </c>
    </row>
    <row r="39536" spans="1:2" x14ac:dyDescent="0.25">
      <c r="A39536">
        <v>84661000900</v>
      </c>
      <c r="B39536" t="s">
        <v>57</v>
      </c>
    </row>
    <row r="39537" spans="1:2" x14ac:dyDescent="0.25">
      <c r="A39537">
        <v>846620</v>
      </c>
      <c r="B39537" t="e">
        <f>- Portapiezas</f>
        <v>#NAME?</v>
      </c>
    </row>
    <row r="39538" spans="1:2" x14ac:dyDescent="0.25">
      <c r="A39538">
        <v>84662010000</v>
      </c>
      <c r="B39538" t="s">
        <v>12307</v>
      </c>
    </row>
    <row r="39539" spans="1:2" x14ac:dyDescent="0.25">
      <c r="A39539">
        <v>84662090000</v>
      </c>
      <c r="B39539" t="s">
        <v>10</v>
      </c>
    </row>
    <row r="39540" spans="1:2" x14ac:dyDescent="0.25">
      <c r="A39540">
        <v>84663000000</v>
      </c>
      <c r="B39540" t="e">
        <f>-Divisores y demas Dispositivos especiales para ser montados En las maquinas</f>
        <v>#NAME?</v>
      </c>
    </row>
    <row r="39541" spans="1:2" x14ac:dyDescent="0.25">
      <c r="A39541">
        <v>84669</v>
      </c>
      <c r="B39541" t="s">
        <v>28</v>
      </c>
    </row>
    <row r="39542" spans="1:2" x14ac:dyDescent="0.25">
      <c r="A39542">
        <v>84669100</v>
      </c>
      <c r="B39542" t="s">
        <v>12308</v>
      </c>
    </row>
    <row r="39543" spans="1:2" x14ac:dyDescent="0.25">
      <c r="A39543">
        <v>84669100100</v>
      </c>
      <c r="B39543" t="s">
        <v>12036</v>
      </c>
    </row>
    <row r="39544" spans="1:2" x14ac:dyDescent="0.25">
      <c r="A39544">
        <v>84669100900</v>
      </c>
      <c r="B39544" t="s">
        <v>12037</v>
      </c>
    </row>
    <row r="39545" spans="1:2" x14ac:dyDescent="0.25">
      <c r="A39545">
        <v>84669200</v>
      </c>
      <c r="B39545" t="s">
        <v>12309</v>
      </c>
    </row>
    <row r="39546" spans="1:2" x14ac:dyDescent="0.25">
      <c r="A39546">
        <v>84669200100</v>
      </c>
      <c r="B39546" t="s">
        <v>12036</v>
      </c>
    </row>
    <row r="39547" spans="1:2" x14ac:dyDescent="0.25">
      <c r="A39547">
        <v>84669200900</v>
      </c>
      <c r="B39547" t="s">
        <v>12037</v>
      </c>
    </row>
    <row r="39548" spans="1:2" x14ac:dyDescent="0.25">
      <c r="A39548">
        <v>846693</v>
      </c>
      <c r="B39548" t="s">
        <v>12310</v>
      </c>
    </row>
    <row r="39549" spans="1:2" x14ac:dyDescent="0.25">
      <c r="A39549">
        <v>8466931</v>
      </c>
      <c r="B39549" t="s">
        <v>12311</v>
      </c>
    </row>
    <row r="39550" spans="1:2" x14ac:dyDescent="0.25">
      <c r="A39550">
        <v>84669311</v>
      </c>
      <c r="B39550" t="s">
        <v>12312</v>
      </c>
    </row>
    <row r="39551" spans="1:2" x14ac:dyDescent="0.25">
      <c r="A39551">
        <v>84669311100</v>
      </c>
      <c r="B39551" t="s">
        <v>12036</v>
      </c>
    </row>
    <row r="39552" spans="1:2" x14ac:dyDescent="0.25">
      <c r="A39552">
        <v>84669311900</v>
      </c>
      <c r="B39552" t="s">
        <v>12037</v>
      </c>
    </row>
    <row r="39553" spans="1:2" x14ac:dyDescent="0.25">
      <c r="A39553">
        <v>84669319</v>
      </c>
      <c r="B39553" t="s">
        <v>57</v>
      </c>
    </row>
    <row r="39554" spans="1:2" x14ac:dyDescent="0.25">
      <c r="A39554">
        <v>84669319100</v>
      </c>
      <c r="B39554" t="s">
        <v>12313</v>
      </c>
    </row>
    <row r="39555" spans="1:2" x14ac:dyDescent="0.25">
      <c r="A39555">
        <v>84669319900</v>
      </c>
      <c r="B39555" t="s">
        <v>12037</v>
      </c>
    </row>
    <row r="39556" spans="1:2" x14ac:dyDescent="0.25">
      <c r="A39556">
        <v>84669320</v>
      </c>
      <c r="B39556" t="s">
        <v>12314</v>
      </c>
    </row>
    <row r="39557" spans="1:2" x14ac:dyDescent="0.25">
      <c r="A39557">
        <v>84669320100</v>
      </c>
      <c r="B39557" t="s">
        <v>12036</v>
      </c>
    </row>
    <row r="39558" spans="1:2" x14ac:dyDescent="0.25">
      <c r="A39558">
        <v>84669320900</v>
      </c>
      <c r="B39558" t="s">
        <v>12037</v>
      </c>
    </row>
    <row r="39559" spans="1:2" x14ac:dyDescent="0.25">
      <c r="A39559">
        <v>84669330</v>
      </c>
      <c r="B39559" t="s">
        <v>12315</v>
      </c>
    </row>
    <row r="39560" spans="1:2" x14ac:dyDescent="0.25">
      <c r="A39560">
        <v>84669330100</v>
      </c>
      <c r="B39560" t="s">
        <v>12036</v>
      </c>
    </row>
    <row r="39561" spans="1:2" x14ac:dyDescent="0.25">
      <c r="A39561">
        <v>84669330900</v>
      </c>
      <c r="B39561" t="s">
        <v>12037</v>
      </c>
    </row>
    <row r="39562" spans="1:2" x14ac:dyDescent="0.25">
      <c r="A39562">
        <v>84669340</v>
      </c>
      <c r="B39562" t="s">
        <v>12316</v>
      </c>
    </row>
    <row r="39563" spans="1:2" x14ac:dyDescent="0.25">
      <c r="A39563">
        <v>84669340100</v>
      </c>
      <c r="B39563" t="s">
        <v>12036</v>
      </c>
    </row>
    <row r="39564" spans="1:2" x14ac:dyDescent="0.25">
      <c r="A39564">
        <v>84669340900</v>
      </c>
      <c r="B39564" t="s">
        <v>12037</v>
      </c>
    </row>
    <row r="39565" spans="1:2" x14ac:dyDescent="0.25">
      <c r="A39565">
        <v>84669350</v>
      </c>
      <c r="B39565" t="s">
        <v>12317</v>
      </c>
    </row>
    <row r="39566" spans="1:2" x14ac:dyDescent="0.25">
      <c r="A39566">
        <v>84669350100</v>
      </c>
      <c r="B39566" t="s">
        <v>12036</v>
      </c>
    </row>
    <row r="39567" spans="1:2" x14ac:dyDescent="0.25">
      <c r="A39567">
        <v>84669350900</v>
      </c>
      <c r="B39567" t="s">
        <v>12037</v>
      </c>
    </row>
    <row r="39568" spans="1:2" x14ac:dyDescent="0.25">
      <c r="A39568">
        <v>84669360</v>
      </c>
      <c r="B39568" t="s">
        <v>12318</v>
      </c>
    </row>
    <row r="39569" spans="1:2" x14ac:dyDescent="0.25">
      <c r="A39569">
        <v>84669360100</v>
      </c>
      <c r="B39569" t="s">
        <v>12036</v>
      </c>
    </row>
    <row r="39570" spans="1:2" x14ac:dyDescent="0.25">
      <c r="A39570">
        <v>84669360900</v>
      </c>
      <c r="B39570" t="s">
        <v>12037</v>
      </c>
    </row>
    <row r="39571" spans="1:2" x14ac:dyDescent="0.25">
      <c r="A39571">
        <v>846694</v>
      </c>
      <c r="B39571" t="s">
        <v>12319</v>
      </c>
    </row>
    <row r="39572" spans="1:2" x14ac:dyDescent="0.25">
      <c r="A39572">
        <v>84669410</v>
      </c>
      <c r="B39572" t="s">
        <v>12320</v>
      </c>
    </row>
    <row r="39573" spans="1:2" x14ac:dyDescent="0.25">
      <c r="A39573">
        <v>84669410100</v>
      </c>
      <c r="B39573" t="s">
        <v>12036</v>
      </c>
    </row>
    <row r="39574" spans="1:2" x14ac:dyDescent="0.25">
      <c r="A39574">
        <v>84669410900</v>
      </c>
      <c r="B39574" t="s">
        <v>12037</v>
      </c>
    </row>
    <row r="39575" spans="1:2" x14ac:dyDescent="0.25">
      <c r="A39575">
        <v>84669420</v>
      </c>
      <c r="B39575" t="s">
        <v>12321</v>
      </c>
    </row>
    <row r="39576" spans="1:2" x14ac:dyDescent="0.25">
      <c r="A39576">
        <v>84669420100</v>
      </c>
      <c r="B39576" t="s">
        <v>12036</v>
      </c>
    </row>
    <row r="39577" spans="1:2" x14ac:dyDescent="0.25">
      <c r="A39577">
        <v>84669420900</v>
      </c>
      <c r="B39577" t="s">
        <v>12037</v>
      </c>
    </row>
    <row r="39578" spans="1:2" x14ac:dyDescent="0.25">
      <c r="A39578">
        <v>84669430</v>
      </c>
      <c r="B39578" t="s">
        <v>12322</v>
      </c>
    </row>
    <row r="39579" spans="1:2" x14ac:dyDescent="0.25">
      <c r="A39579">
        <v>84669430100</v>
      </c>
      <c r="B39579" t="s">
        <v>12036</v>
      </c>
    </row>
    <row r="39580" spans="1:2" x14ac:dyDescent="0.25">
      <c r="A39580">
        <v>84669430900</v>
      </c>
      <c r="B39580" t="s">
        <v>12037</v>
      </c>
    </row>
    <row r="39581" spans="1:2" x14ac:dyDescent="0.25">
      <c r="A39581">
        <v>84669490</v>
      </c>
      <c r="B39581" t="s">
        <v>57</v>
      </c>
    </row>
    <row r="39582" spans="1:2" x14ac:dyDescent="0.25">
      <c r="A39582">
        <v>84669490100</v>
      </c>
      <c r="B39582" t="s">
        <v>12036</v>
      </c>
    </row>
    <row r="39583" spans="1:2" x14ac:dyDescent="0.25">
      <c r="A39583">
        <v>84669490900</v>
      </c>
      <c r="B39583" t="s">
        <v>12037</v>
      </c>
    </row>
    <row r="39584" spans="1:2" x14ac:dyDescent="0.25">
      <c r="A39584">
        <v>8467</v>
      </c>
      <c r="B39584" t="s">
        <v>12323</v>
      </c>
    </row>
    <row r="39585" spans="1:2" x14ac:dyDescent="0.25">
      <c r="A39585">
        <v>84671</v>
      </c>
      <c r="B39585" t="s">
        <v>12324</v>
      </c>
    </row>
    <row r="39586" spans="1:2" x14ac:dyDescent="0.25">
      <c r="A39586">
        <v>846711</v>
      </c>
      <c r="B39586" t="e">
        <f>- - rotativas (incluso de percusion)</f>
        <v>#NAME?</v>
      </c>
    </row>
    <row r="39587" spans="1:2" x14ac:dyDescent="0.25">
      <c r="A39587">
        <v>84671110000</v>
      </c>
      <c r="B39587" t="s">
        <v>11960</v>
      </c>
    </row>
    <row r="39588" spans="1:2" x14ac:dyDescent="0.25">
      <c r="A39588">
        <v>84671190</v>
      </c>
      <c r="B39588" t="s">
        <v>57</v>
      </c>
    </row>
    <row r="39589" spans="1:2" x14ac:dyDescent="0.25">
      <c r="A39589">
        <v>84671190100</v>
      </c>
      <c r="B39589" t="s">
        <v>12325</v>
      </c>
    </row>
    <row r="39590" spans="1:2" x14ac:dyDescent="0.25">
      <c r="A39590">
        <v>84671190200</v>
      </c>
      <c r="B39590" t="s">
        <v>12326</v>
      </c>
    </row>
    <row r="39591" spans="1:2" x14ac:dyDescent="0.25">
      <c r="A39591">
        <v>84671190300</v>
      </c>
      <c r="B39591" t="s">
        <v>12299</v>
      </c>
    </row>
    <row r="39592" spans="1:2" x14ac:dyDescent="0.25">
      <c r="A39592">
        <v>84671190400</v>
      </c>
      <c r="B39592" t="s">
        <v>12327</v>
      </c>
    </row>
    <row r="39593" spans="1:2" x14ac:dyDescent="0.25">
      <c r="A39593">
        <v>84671190500</v>
      </c>
      <c r="B39593" t="s">
        <v>12328</v>
      </c>
    </row>
    <row r="39594" spans="1:2" x14ac:dyDescent="0.25">
      <c r="A39594">
        <v>84671190900</v>
      </c>
      <c r="B39594" t="s">
        <v>57</v>
      </c>
    </row>
    <row r="39595" spans="1:2" x14ac:dyDescent="0.25">
      <c r="A39595">
        <v>84671900</v>
      </c>
      <c r="B39595" t="e">
        <f>- - las demas</f>
        <v>#NAME?</v>
      </c>
    </row>
    <row r="39596" spans="1:2" x14ac:dyDescent="0.25">
      <c r="A39596">
        <v>84671900100</v>
      </c>
      <c r="B39596" t="s">
        <v>12329</v>
      </c>
    </row>
    <row r="39597" spans="1:2" x14ac:dyDescent="0.25">
      <c r="A39597">
        <v>846719002</v>
      </c>
      <c r="B39597" t="s">
        <v>10763</v>
      </c>
    </row>
    <row r="39598" spans="1:2" x14ac:dyDescent="0.25">
      <c r="A39598">
        <v>84671900210</v>
      </c>
      <c r="B39598" t="s">
        <v>12330</v>
      </c>
    </row>
    <row r="39599" spans="1:2" x14ac:dyDescent="0.25">
      <c r="A39599">
        <v>84671900220</v>
      </c>
      <c r="B39599" t="s">
        <v>12331</v>
      </c>
    </row>
    <row r="39600" spans="1:2" x14ac:dyDescent="0.25">
      <c r="A39600">
        <v>84671900230</v>
      </c>
      <c r="B39600" t="s">
        <v>12332</v>
      </c>
    </row>
    <row r="39601" spans="1:2" x14ac:dyDescent="0.25">
      <c r="A39601">
        <v>84671900240</v>
      </c>
      <c r="B39601" t="s">
        <v>12333</v>
      </c>
    </row>
    <row r="39602" spans="1:2" x14ac:dyDescent="0.25">
      <c r="A39602">
        <v>84671900250</v>
      </c>
      <c r="B39602" t="s">
        <v>12334</v>
      </c>
    </row>
    <row r="39603" spans="1:2" x14ac:dyDescent="0.25">
      <c r="A39603">
        <v>84671900290</v>
      </c>
      <c r="B39603" t="s">
        <v>57</v>
      </c>
    </row>
    <row r="39604" spans="1:2" x14ac:dyDescent="0.25">
      <c r="A39604">
        <v>84671900300</v>
      </c>
      <c r="B39604" t="s">
        <v>12260</v>
      </c>
    </row>
    <row r="39605" spans="1:2" x14ac:dyDescent="0.25">
      <c r="A39605">
        <v>84671900900</v>
      </c>
      <c r="B39605" t="s">
        <v>57</v>
      </c>
    </row>
    <row r="39606" spans="1:2" x14ac:dyDescent="0.25">
      <c r="A39606">
        <v>84672</v>
      </c>
      <c r="B39606" t="s">
        <v>12335</v>
      </c>
    </row>
    <row r="39607" spans="1:2" x14ac:dyDescent="0.25">
      <c r="A39607">
        <v>84672100000</v>
      </c>
      <c r="B39607" t="e">
        <f>--Taladros de toda clase. incluidas las perforadoras rotativas</f>
        <v>#NAME?</v>
      </c>
    </row>
    <row r="39608" spans="1:2" x14ac:dyDescent="0.25">
      <c r="A39608">
        <v>84672200000</v>
      </c>
      <c r="B39608" t="e">
        <f>--Sierras. incluidas las tronzadoras</f>
        <v>#NAME?</v>
      </c>
    </row>
    <row r="39609" spans="1:2" x14ac:dyDescent="0.25">
      <c r="A39609">
        <v>846729</v>
      </c>
      <c r="B39609" t="e">
        <f>- - las demas</f>
        <v>#NAME?</v>
      </c>
    </row>
    <row r="39610" spans="1:2" x14ac:dyDescent="0.25">
      <c r="A39610">
        <v>84672910000</v>
      </c>
      <c r="B39610" t="s">
        <v>12336</v>
      </c>
    </row>
    <row r="39611" spans="1:2" x14ac:dyDescent="0.25">
      <c r="A39611">
        <v>8467299</v>
      </c>
      <c r="B39611" t="s">
        <v>57</v>
      </c>
    </row>
    <row r="39612" spans="1:2" x14ac:dyDescent="0.25">
      <c r="A39612">
        <v>84672991000</v>
      </c>
      <c r="B39612" t="s">
        <v>12337</v>
      </c>
    </row>
    <row r="39613" spans="1:2" x14ac:dyDescent="0.25">
      <c r="A39613">
        <v>84672992000</v>
      </c>
      <c r="B39613" t="s">
        <v>12338</v>
      </c>
    </row>
    <row r="39614" spans="1:2" x14ac:dyDescent="0.25">
      <c r="A39614">
        <v>84672993000</v>
      </c>
      <c r="B39614" t="s">
        <v>10763</v>
      </c>
    </row>
    <row r="39615" spans="1:2" x14ac:dyDescent="0.25">
      <c r="A39615">
        <v>84672999</v>
      </c>
      <c r="B39615" t="s">
        <v>57</v>
      </c>
    </row>
    <row r="39616" spans="1:2" x14ac:dyDescent="0.25">
      <c r="A39616">
        <v>84672999100</v>
      </c>
      <c r="B39616" t="s">
        <v>12339</v>
      </c>
    </row>
    <row r="39617" spans="1:2" x14ac:dyDescent="0.25">
      <c r="A39617">
        <v>84672999200</v>
      </c>
      <c r="B39617" t="s">
        <v>12340</v>
      </c>
    </row>
    <row r="39618" spans="1:2" x14ac:dyDescent="0.25">
      <c r="A39618">
        <v>84672999300</v>
      </c>
      <c r="B39618" t="s">
        <v>12259</v>
      </c>
    </row>
    <row r="39619" spans="1:2" x14ac:dyDescent="0.25">
      <c r="A39619">
        <v>84672999400</v>
      </c>
      <c r="B39619" t="s">
        <v>12260</v>
      </c>
    </row>
    <row r="39620" spans="1:2" x14ac:dyDescent="0.25">
      <c r="A39620">
        <v>84672999500</v>
      </c>
      <c r="B39620" t="s">
        <v>12341</v>
      </c>
    </row>
    <row r="39621" spans="1:2" x14ac:dyDescent="0.25">
      <c r="A39621">
        <v>846729999</v>
      </c>
      <c r="B39621" t="s">
        <v>57</v>
      </c>
    </row>
    <row r="39622" spans="1:2" x14ac:dyDescent="0.25">
      <c r="A39622">
        <v>84672999910</v>
      </c>
      <c r="B39622" t="s">
        <v>12342</v>
      </c>
    </row>
    <row r="39623" spans="1:2" x14ac:dyDescent="0.25">
      <c r="A39623">
        <v>84672999920</v>
      </c>
      <c r="B39623" t="s">
        <v>12343</v>
      </c>
    </row>
    <row r="39624" spans="1:2" x14ac:dyDescent="0.25">
      <c r="A39624">
        <v>84672999990</v>
      </c>
      <c r="B39624" t="s">
        <v>57</v>
      </c>
    </row>
    <row r="39625" spans="1:2" x14ac:dyDescent="0.25">
      <c r="A39625">
        <v>84678</v>
      </c>
      <c r="B39625" t="s">
        <v>12344</v>
      </c>
    </row>
    <row r="39626" spans="1:2" x14ac:dyDescent="0.25">
      <c r="A39626">
        <v>84678100000</v>
      </c>
      <c r="B39626" t="e">
        <f>--Sierras o tronzadoras. de cadena</f>
        <v>#NAME?</v>
      </c>
    </row>
    <row r="39627" spans="1:2" x14ac:dyDescent="0.25">
      <c r="A39627">
        <v>84678900</v>
      </c>
      <c r="B39627" t="e">
        <f>- - las demas</f>
        <v>#NAME?</v>
      </c>
    </row>
    <row r="39628" spans="1:2" x14ac:dyDescent="0.25">
      <c r="A39628">
        <v>84678900100</v>
      </c>
      <c r="B39628" t="s">
        <v>12345</v>
      </c>
    </row>
    <row r="39629" spans="1:2" x14ac:dyDescent="0.25">
      <c r="A39629">
        <v>84678900200</v>
      </c>
      <c r="B39629" t="s">
        <v>12346</v>
      </c>
    </row>
    <row r="39630" spans="1:2" x14ac:dyDescent="0.25">
      <c r="A39630">
        <v>84678900900</v>
      </c>
      <c r="B39630" t="s">
        <v>57</v>
      </c>
    </row>
    <row r="39631" spans="1:2" x14ac:dyDescent="0.25">
      <c r="A39631">
        <v>84679</v>
      </c>
      <c r="B39631" t="s">
        <v>11167</v>
      </c>
    </row>
    <row r="39632" spans="1:2" x14ac:dyDescent="0.25">
      <c r="A39632">
        <v>84679100</v>
      </c>
      <c r="B39632" t="e">
        <f>- - de Sierras o tronzadoras. de cadena</f>
        <v>#NAME?</v>
      </c>
    </row>
    <row r="39633" spans="1:2" x14ac:dyDescent="0.25">
      <c r="A39633">
        <v>846791001</v>
      </c>
      <c r="B39633" t="s">
        <v>12347</v>
      </c>
    </row>
    <row r="39634" spans="1:2" x14ac:dyDescent="0.25">
      <c r="A39634">
        <v>84679100110</v>
      </c>
      <c r="B39634" t="s">
        <v>12348</v>
      </c>
    </row>
    <row r="39635" spans="1:2" x14ac:dyDescent="0.25">
      <c r="A39635">
        <v>84679100190</v>
      </c>
      <c r="B39635" t="s">
        <v>57</v>
      </c>
    </row>
    <row r="39636" spans="1:2" x14ac:dyDescent="0.25">
      <c r="A39636">
        <v>84679100900</v>
      </c>
      <c r="B39636" t="s">
        <v>57</v>
      </c>
    </row>
    <row r="39637" spans="1:2" x14ac:dyDescent="0.25">
      <c r="A39637">
        <v>84679200000</v>
      </c>
      <c r="B39637" t="e">
        <f>--de herramientas neumaticas</f>
        <v>#NAME?</v>
      </c>
    </row>
    <row r="39638" spans="1:2" x14ac:dyDescent="0.25">
      <c r="A39638">
        <v>84679900000</v>
      </c>
      <c r="B39638" t="e">
        <f>--las demas</f>
        <v>#NAME?</v>
      </c>
    </row>
    <row r="39639" spans="1:2" x14ac:dyDescent="0.25">
      <c r="A39639">
        <v>8468</v>
      </c>
      <c r="B39639" t="s">
        <v>12349</v>
      </c>
    </row>
    <row r="39640" spans="1:2" x14ac:dyDescent="0.25">
      <c r="A39640">
        <v>84681000000</v>
      </c>
      <c r="B39640" t="e">
        <f>-Sopletes manuales</f>
        <v>#NAME?</v>
      </c>
    </row>
    <row r="39641" spans="1:2" x14ac:dyDescent="0.25">
      <c r="A39641">
        <v>84682000000</v>
      </c>
      <c r="B39641" t="e">
        <f>-las demas maquinas y aparatos de Gas</f>
        <v>#NAME?</v>
      </c>
    </row>
    <row r="39642" spans="1:2" x14ac:dyDescent="0.25">
      <c r="A39642">
        <v>846880</v>
      </c>
      <c r="B39642" t="e">
        <f>- las demas maquinas y aparatos</f>
        <v>#NAME?</v>
      </c>
    </row>
    <row r="39643" spans="1:2" x14ac:dyDescent="0.25">
      <c r="A39643">
        <v>84688010000</v>
      </c>
      <c r="B39643" t="s">
        <v>12350</v>
      </c>
    </row>
    <row r="39644" spans="1:2" x14ac:dyDescent="0.25">
      <c r="A39644">
        <v>84688090000</v>
      </c>
      <c r="B39644" t="s">
        <v>57</v>
      </c>
    </row>
    <row r="39645" spans="1:2" x14ac:dyDescent="0.25">
      <c r="A39645">
        <v>846890</v>
      </c>
      <c r="B39645" t="e">
        <f>- partes</f>
        <v>#NAME?</v>
      </c>
    </row>
    <row r="39646" spans="1:2" x14ac:dyDescent="0.25">
      <c r="A39646">
        <v>84689010000</v>
      </c>
      <c r="B39646" t="s">
        <v>12351</v>
      </c>
    </row>
    <row r="39647" spans="1:2" x14ac:dyDescent="0.25">
      <c r="A39647">
        <v>84689020000</v>
      </c>
      <c r="B39647" t="s">
        <v>12352</v>
      </c>
    </row>
    <row r="39648" spans="1:2" x14ac:dyDescent="0.25">
      <c r="A39648">
        <v>84689090000</v>
      </c>
      <c r="B39648" t="s">
        <v>57</v>
      </c>
    </row>
    <row r="39649" spans="1:2" x14ac:dyDescent="0.25">
      <c r="A39649">
        <v>8470</v>
      </c>
      <c r="B39649" t="s">
        <v>12353</v>
      </c>
    </row>
    <row r="39650" spans="1:2" x14ac:dyDescent="0.25">
      <c r="A39650">
        <v>84701000</v>
      </c>
      <c r="B39650" t="e">
        <f>- Calculadoras electronicas que puedan funcionar sin fuente de energia electrica exterior y maquinas de bolsillo registradoras. reproductoras y visualizadoras de datos. Con funcion de calculo</f>
        <v>#NAME?</v>
      </c>
    </row>
    <row r="39651" spans="1:2" x14ac:dyDescent="0.25">
      <c r="A39651">
        <v>847010001</v>
      </c>
      <c r="B39651" t="s">
        <v>12354</v>
      </c>
    </row>
    <row r="39652" spans="1:2" x14ac:dyDescent="0.25">
      <c r="A39652">
        <v>8470100011</v>
      </c>
      <c r="B39652" t="s">
        <v>12355</v>
      </c>
    </row>
    <row r="39653" spans="1:2" x14ac:dyDescent="0.25">
      <c r="A39653">
        <v>84701000111</v>
      </c>
      <c r="B39653" t="s">
        <v>12356</v>
      </c>
    </row>
    <row r="39654" spans="1:2" x14ac:dyDescent="0.25">
      <c r="A39654">
        <v>84701000112</v>
      </c>
      <c r="B39654" t="s">
        <v>12357</v>
      </c>
    </row>
    <row r="39655" spans="1:2" x14ac:dyDescent="0.25">
      <c r="A39655">
        <v>84701000119</v>
      </c>
      <c r="B39655" t="s">
        <v>57</v>
      </c>
    </row>
    <row r="39656" spans="1:2" x14ac:dyDescent="0.25">
      <c r="A39656">
        <v>84701000120</v>
      </c>
      <c r="B39656" t="s">
        <v>12358</v>
      </c>
    </row>
    <row r="39657" spans="1:2" x14ac:dyDescent="0.25">
      <c r="A39657">
        <v>84701000130</v>
      </c>
      <c r="B39657" t="s">
        <v>12359</v>
      </c>
    </row>
    <row r="39658" spans="1:2" x14ac:dyDescent="0.25">
      <c r="A39658">
        <v>8470100019</v>
      </c>
      <c r="B39658" t="s">
        <v>57</v>
      </c>
    </row>
    <row r="39659" spans="1:2" x14ac:dyDescent="0.25">
      <c r="A39659">
        <v>84701000191</v>
      </c>
      <c r="B39659" t="s">
        <v>12360</v>
      </c>
    </row>
    <row r="39660" spans="1:2" x14ac:dyDescent="0.25">
      <c r="A39660">
        <v>84701000199</v>
      </c>
      <c r="B39660" t="s">
        <v>57</v>
      </c>
    </row>
    <row r="39661" spans="1:2" x14ac:dyDescent="0.25">
      <c r="A39661">
        <v>847010002</v>
      </c>
      <c r="B39661" t="s">
        <v>12361</v>
      </c>
    </row>
    <row r="39662" spans="1:2" x14ac:dyDescent="0.25">
      <c r="A39662">
        <v>84701000210</v>
      </c>
      <c r="B39662" t="s">
        <v>12362</v>
      </c>
    </row>
    <row r="39663" spans="1:2" x14ac:dyDescent="0.25">
      <c r="A39663">
        <v>8470100029</v>
      </c>
      <c r="B39663" t="s">
        <v>57</v>
      </c>
    </row>
    <row r="39664" spans="1:2" x14ac:dyDescent="0.25">
      <c r="A39664">
        <v>84701000291</v>
      </c>
      <c r="B39664" t="s">
        <v>12356</v>
      </c>
    </row>
    <row r="39665" spans="1:2" x14ac:dyDescent="0.25">
      <c r="A39665">
        <v>84701000299</v>
      </c>
      <c r="B39665" t="s">
        <v>57</v>
      </c>
    </row>
    <row r="39666" spans="1:2" x14ac:dyDescent="0.25">
      <c r="A39666">
        <v>84702</v>
      </c>
      <c r="B39666" t="s">
        <v>12363</v>
      </c>
    </row>
    <row r="39667" spans="1:2" x14ac:dyDescent="0.25">
      <c r="A39667">
        <v>84702100000</v>
      </c>
      <c r="B39667" t="e">
        <f>--Con dispositivo de impresion incorporado</f>
        <v>#NAME?</v>
      </c>
    </row>
    <row r="39668" spans="1:2" x14ac:dyDescent="0.25">
      <c r="A39668">
        <v>84702900000</v>
      </c>
      <c r="B39668" t="e">
        <f>--las demas</f>
        <v>#NAME?</v>
      </c>
    </row>
    <row r="39669" spans="1:2" x14ac:dyDescent="0.25">
      <c r="A39669">
        <v>84703000000</v>
      </c>
      <c r="B39669" t="e">
        <f>-las demas maquinas de calcular</f>
        <v>#NAME?</v>
      </c>
    </row>
    <row r="39670" spans="1:2" x14ac:dyDescent="0.25">
      <c r="A39670">
        <v>847050</v>
      </c>
      <c r="B39670" t="e">
        <f>- Cajas registradoras</f>
        <v>#NAME?</v>
      </c>
    </row>
    <row r="39671" spans="1:2" x14ac:dyDescent="0.25">
      <c r="A39671">
        <v>8470501</v>
      </c>
      <c r="B39671" t="s">
        <v>11562</v>
      </c>
    </row>
    <row r="39672" spans="1:2" x14ac:dyDescent="0.25">
      <c r="A39672">
        <v>84705011000</v>
      </c>
      <c r="B39672" t="s">
        <v>12356</v>
      </c>
    </row>
    <row r="39673" spans="1:2" x14ac:dyDescent="0.25">
      <c r="A39673">
        <v>84705019</v>
      </c>
      <c r="B39673" t="s">
        <v>57</v>
      </c>
    </row>
    <row r="39674" spans="1:2" x14ac:dyDescent="0.25">
      <c r="A39674">
        <v>84705019100</v>
      </c>
      <c r="B39674" t="s">
        <v>12364</v>
      </c>
    </row>
    <row r="39675" spans="1:2" x14ac:dyDescent="0.25">
      <c r="A39675">
        <v>84705019900</v>
      </c>
      <c r="B39675" t="s">
        <v>57</v>
      </c>
    </row>
    <row r="39676" spans="1:2" x14ac:dyDescent="0.25">
      <c r="A39676">
        <v>84705090000</v>
      </c>
      <c r="B39676" t="s">
        <v>57</v>
      </c>
    </row>
    <row r="39677" spans="1:2" x14ac:dyDescent="0.25">
      <c r="A39677">
        <v>847090</v>
      </c>
      <c r="B39677" t="e">
        <f>- las demas</f>
        <v>#NAME?</v>
      </c>
    </row>
    <row r="39678" spans="1:2" x14ac:dyDescent="0.25">
      <c r="A39678">
        <v>84709010000</v>
      </c>
      <c r="B39678" t="s">
        <v>12365</v>
      </c>
    </row>
    <row r="39679" spans="1:2" x14ac:dyDescent="0.25">
      <c r="A39679">
        <v>84709090</v>
      </c>
      <c r="B39679" t="s">
        <v>57</v>
      </c>
    </row>
    <row r="39680" spans="1:2" x14ac:dyDescent="0.25">
      <c r="A39680">
        <v>84709090100</v>
      </c>
      <c r="B39680" t="s">
        <v>12366</v>
      </c>
    </row>
    <row r="39681" spans="1:2" x14ac:dyDescent="0.25">
      <c r="A39681">
        <v>84709090900</v>
      </c>
      <c r="B39681" t="s">
        <v>57</v>
      </c>
    </row>
    <row r="39682" spans="1:2" x14ac:dyDescent="0.25">
      <c r="A39682">
        <v>8471</v>
      </c>
      <c r="B39682" t="s">
        <v>12367</v>
      </c>
    </row>
    <row r="39683" spans="1:2" x14ac:dyDescent="0.25">
      <c r="A39683">
        <v>847130</v>
      </c>
      <c r="B39683" t="s">
        <v>12368</v>
      </c>
    </row>
    <row r="39684" spans="1:2" x14ac:dyDescent="0.25">
      <c r="A39684">
        <v>8471301</v>
      </c>
      <c r="B39684" t="s">
        <v>12369</v>
      </c>
    </row>
    <row r="39685" spans="1:2" x14ac:dyDescent="0.25">
      <c r="A39685">
        <v>84713011000</v>
      </c>
      <c r="B39685" t="s">
        <v>12370</v>
      </c>
    </row>
    <row r="39686" spans="1:2" x14ac:dyDescent="0.25">
      <c r="A39686">
        <v>84713012</v>
      </c>
      <c r="B39686" t="s">
        <v>12371</v>
      </c>
    </row>
    <row r="39687" spans="1:2" x14ac:dyDescent="0.25">
      <c r="A39687">
        <v>847130121</v>
      </c>
      <c r="B39687" t="s">
        <v>12372</v>
      </c>
    </row>
    <row r="39688" spans="1:2" x14ac:dyDescent="0.25">
      <c r="A39688">
        <v>84713012110</v>
      </c>
      <c r="B39688" t="s">
        <v>12373</v>
      </c>
    </row>
    <row r="39689" spans="1:2" x14ac:dyDescent="0.25">
      <c r="A39689">
        <v>84713012190</v>
      </c>
      <c r="B39689" t="s">
        <v>6724</v>
      </c>
    </row>
    <row r="39690" spans="1:2" x14ac:dyDescent="0.25">
      <c r="A39690">
        <v>847130129</v>
      </c>
      <c r="B39690" t="s">
        <v>57</v>
      </c>
    </row>
    <row r="39691" spans="1:2" x14ac:dyDescent="0.25">
      <c r="A39691">
        <v>8471301291</v>
      </c>
      <c r="B39691" t="s">
        <v>12374</v>
      </c>
    </row>
    <row r="39692" spans="1:2" x14ac:dyDescent="0.25">
      <c r="A39692">
        <v>84713012911</v>
      </c>
      <c r="B39692" t="s">
        <v>12375</v>
      </c>
    </row>
    <row r="39693" spans="1:2" x14ac:dyDescent="0.25">
      <c r="A39693">
        <v>84713012919</v>
      </c>
      <c r="B39693" t="s">
        <v>10</v>
      </c>
    </row>
    <row r="39694" spans="1:2" x14ac:dyDescent="0.25">
      <c r="A39694">
        <v>8471301299</v>
      </c>
      <c r="B39694" t="s">
        <v>57</v>
      </c>
    </row>
    <row r="39695" spans="1:2" x14ac:dyDescent="0.25">
      <c r="A39695">
        <v>84713012991</v>
      </c>
      <c r="B39695" t="s">
        <v>12375</v>
      </c>
    </row>
    <row r="39696" spans="1:2" x14ac:dyDescent="0.25">
      <c r="A39696">
        <v>84713012999</v>
      </c>
      <c r="B39696" t="s">
        <v>10</v>
      </c>
    </row>
    <row r="39697" spans="1:2" x14ac:dyDescent="0.25">
      <c r="A39697">
        <v>84713019</v>
      </c>
      <c r="B39697" t="s">
        <v>57</v>
      </c>
    </row>
    <row r="39698" spans="1:2" x14ac:dyDescent="0.25">
      <c r="A39698">
        <v>847130191</v>
      </c>
      <c r="B39698" t="s">
        <v>12374</v>
      </c>
    </row>
    <row r="39699" spans="1:2" x14ac:dyDescent="0.25">
      <c r="A39699">
        <v>84713019110</v>
      </c>
      <c r="B39699" t="s">
        <v>12375</v>
      </c>
    </row>
    <row r="39700" spans="1:2" x14ac:dyDescent="0.25">
      <c r="A39700">
        <v>84713019190</v>
      </c>
      <c r="B39700" t="s">
        <v>10</v>
      </c>
    </row>
    <row r="39701" spans="1:2" x14ac:dyDescent="0.25">
      <c r="A39701">
        <v>847130199</v>
      </c>
      <c r="B39701" t="s">
        <v>57</v>
      </c>
    </row>
    <row r="39702" spans="1:2" x14ac:dyDescent="0.25">
      <c r="A39702">
        <v>84713019910</v>
      </c>
      <c r="B39702" t="s">
        <v>12375</v>
      </c>
    </row>
    <row r="39703" spans="1:2" x14ac:dyDescent="0.25">
      <c r="A39703">
        <v>84713019990</v>
      </c>
      <c r="B39703" t="s">
        <v>10</v>
      </c>
    </row>
    <row r="39704" spans="1:2" x14ac:dyDescent="0.25">
      <c r="A39704">
        <v>84713090</v>
      </c>
      <c r="B39704" t="s">
        <v>57</v>
      </c>
    </row>
    <row r="39705" spans="1:2" x14ac:dyDescent="0.25">
      <c r="A39705">
        <v>84713090100</v>
      </c>
      <c r="B39705" t="s">
        <v>12375</v>
      </c>
    </row>
    <row r="39706" spans="1:2" x14ac:dyDescent="0.25">
      <c r="A39706">
        <v>84713090900</v>
      </c>
      <c r="B39706" t="s">
        <v>10</v>
      </c>
    </row>
    <row r="39707" spans="1:2" x14ac:dyDescent="0.25">
      <c r="A39707">
        <v>84714</v>
      </c>
      <c r="B39707" t="s">
        <v>12376</v>
      </c>
    </row>
    <row r="39708" spans="1:2" x14ac:dyDescent="0.25">
      <c r="A39708">
        <v>847141</v>
      </c>
      <c r="B39708" t="e">
        <f>- - que incluyan En la misma envoltura. al menos. una unidad central de proceso y. aunque esten combinadas. una unidad de entrada y una de salida</f>
        <v>#NAME?</v>
      </c>
    </row>
    <row r="39709" spans="1:2" x14ac:dyDescent="0.25">
      <c r="A39709">
        <v>84714110000</v>
      </c>
      <c r="B39709" t="s">
        <v>12377</v>
      </c>
    </row>
    <row r="39710" spans="1:2" x14ac:dyDescent="0.25">
      <c r="A39710">
        <v>84714190</v>
      </c>
      <c r="B39710" t="s">
        <v>57</v>
      </c>
    </row>
    <row r="39711" spans="1:2" x14ac:dyDescent="0.25">
      <c r="A39711">
        <v>84714190100</v>
      </c>
      <c r="B39711" t="s">
        <v>11304</v>
      </c>
    </row>
    <row r="39712" spans="1:2" x14ac:dyDescent="0.25">
      <c r="A39712">
        <v>84714190900</v>
      </c>
      <c r="B39712" t="s">
        <v>10</v>
      </c>
    </row>
    <row r="39713" spans="1:2" x14ac:dyDescent="0.25">
      <c r="A39713">
        <v>84714900</v>
      </c>
      <c r="B39713" t="e">
        <f>--las demas presentadas En forma de sistemas</f>
        <v>#NAME?</v>
      </c>
    </row>
    <row r="39714" spans="1:2" x14ac:dyDescent="0.25">
      <c r="A39714">
        <v>84714900100</v>
      </c>
      <c r="B39714" t="s">
        <v>12378</v>
      </c>
    </row>
    <row r="39715" spans="1:2" x14ac:dyDescent="0.25">
      <c r="A39715">
        <v>84714900200</v>
      </c>
      <c r="B39715" t="s">
        <v>12379</v>
      </c>
    </row>
    <row r="39716" spans="1:2" x14ac:dyDescent="0.25">
      <c r="A39716">
        <v>84714900900</v>
      </c>
      <c r="B39716" t="s">
        <v>57</v>
      </c>
    </row>
    <row r="39717" spans="1:2" x14ac:dyDescent="0.25">
      <c r="A39717">
        <v>847150</v>
      </c>
      <c r="B39717" t="s">
        <v>12380</v>
      </c>
    </row>
    <row r="39718" spans="1:2" x14ac:dyDescent="0.25">
      <c r="A39718">
        <v>84715010</v>
      </c>
      <c r="B39718" t="s">
        <v>12381</v>
      </c>
    </row>
    <row r="39719" spans="1:2" x14ac:dyDescent="0.25">
      <c r="A39719">
        <v>847150101</v>
      </c>
      <c r="B39719" t="s">
        <v>12382</v>
      </c>
    </row>
    <row r="39720" spans="1:2" x14ac:dyDescent="0.25">
      <c r="A39720">
        <v>84715010110</v>
      </c>
      <c r="B39720" t="s">
        <v>12383</v>
      </c>
    </row>
    <row r="39721" spans="1:2" x14ac:dyDescent="0.25">
      <c r="A39721">
        <v>84715010190</v>
      </c>
      <c r="B39721" t="s">
        <v>57</v>
      </c>
    </row>
    <row r="39722" spans="1:2" x14ac:dyDescent="0.25">
      <c r="A39722">
        <v>84715010200</v>
      </c>
      <c r="B39722" t="s">
        <v>12384</v>
      </c>
    </row>
    <row r="39723" spans="1:2" x14ac:dyDescent="0.25">
      <c r="A39723">
        <v>84715010900</v>
      </c>
      <c r="B39723" t="s">
        <v>57</v>
      </c>
    </row>
    <row r="39724" spans="1:2" x14ac:dyDescent="0.25">
      <c r="A39724">
        <v>84715020000</v>
      </c>
      <c r="B39724" t="s">
        <v>12385</v>
      </c>
    </row>
    <row r="39725" spans="1:2" x14ac:dyDescent="0.25">
      <c r="A39725">
        <v>84715030000</v>
      </c>
      <c r="B39725" t="s">
        <v>12386</v>
      </c>
    </row>
    <row r="39726" spans="1:2" x14ac:dyDescent="0.25">
      <c r="A39726">
        <v>84715040000</v>
      </c>
      <c r="B39726" t="s">
        <v>12387</v>
      </c>
    </row>
    <row r="39727" spans="1:2" x14ac:dyDescent="0.25">
      <c r="A39727">
        <v>84715090000</v>
      </c>
      <c r="B39727" t="s">
        <v>57</v>
      </c>
    </row>
    <row r="39728" spans="1:2" x14ac:dyDescent="0.25">
      <c r="A39728">
        <v>847160</v>
      </c>
      <c r="B39728" t="e">
        <f>- Unidades de entrada o salida. aunque incluyan Unidades de memoria En la misma envoltura</f>
        <v>#NAME?</v>
      </c>
    </row>
    <row r="39729" spans="1:2" x14ac:dyDescent="0.25">
      <c r="A39729">
        <v>8471605</v>
      </c>
      <c r="B39729" t="s">
        <v>12388</v>
      </c>
    </row>
    <row r="39730" spans="1:2" x14ac:dyDescent="0.25">
      <c r="A39730">
        <v>84716052000</v>
      </c>
      <c r="B39730" t="s">
        <v>12389</v>
      </c>
    </row>
    <row r="39731" spans="1:2" x14ac:dyDescent="0.25">
      <c r="A39731">
        <v>84716053000</v>
      </c>
      <c r="B39731" t="s">
        <v>12390</v>
      </c>
    </row>
    <row r="39732" spans="1:2" x14ac:dyDescent="0.25">
      <c r="A39732">
        <v>84716054000</v>
      </c>
      <c r="B39732" t="s">
        <v>12391</v>
      </c>
    </row>
    <row r="39733" spans="1:2" x14ac:dyDescent="0.25">
      <c r="A39733">
        <v>84716059000</v>
      </c>
      <c r="B39733" t="s">
        <v>57</v>
      </c>
    </row>
    <row r="39734" spans="1:2" x14ac:dyDescent="0.25">
      <c r="A39734">
        <v>8471606</v>
      </c>
      <c r="B39734" t="s">
        <v>12392</v>
      </c>
    </row>
    <row r="39735" spans="1:2" x14ac:dyDescent="0.25">
      <c r="A39735">
        <v>84716061000</v>
      </c>
      <c r="B39735" t="s">
        <v>12393</v>
      </c>
    </row>
    <row r="39736" spans="1:2" x14ac:dyDescent="0.25">
      <c r="A39736">
        <v>84716062000</v>
      </c>
      <c r="B39736" t="s">
        <v>12394</v>
      </c>
    </row>
    <row r="39737" spans="1:2" x14ac:dyDescent="0.25">
      <c r="A39737">
        <v>84716080000</v>
      </c>
      <c r="B39737" t="s">
        <v>12395</v>
      </c>
    </row>
    <row r="39738" spans="1:2" x14ac:dyDescent="0.25">
      <c r="A39738">
        <v>84716090000</v>
      </c>
      <c r="B39738" t="s">
        <v>57</v>
      </c>
    </row>
    <row r="39739" spans="1:2" x14ac:dyDescent="0.25">
      <c r="A39739">
        <v>847170</v>
      </c>
      <c r="B39739" t="e">
        <f>- Unidades de memoria</f>
        <v>#NAME?</v>
      </c>
    </row>
    <row r="39740" spans="1:2" x14ac:dyDescent="0.25">
      <c r="A39740">
        <v>8471701</v>
      </c>
      <c r="B39740" t="s">
        <v>12396</v>
      </c>
    </row>
    <row r="39741" spans="1:2" x14ac:dyDescent="0.25">
      <c r="A39741">
        <v>84717011000</v>
      </c>
      <c r="B39741" t="s">
        <v>12397</v>
      </c>
    </row>
    <row r="39742" spans="1:2" x14ac:dyDescent="0.25">
      <c r="A39742">
        <v>84717012</v>
      </c>
      <c r="B39742" t="s">
        <v>12398</v>
      </c>
    </row>
    <row r="39743" spans="1:2" x14ac:dyDescent="0.25">
      <c r="A39743">
        <v>84717012100</v>
      </c>
      <c r="B39743" t="s">
        <v>12399</v>
      </c>
    </row>
    <row r="39744" spans="1:2" x14ac:dyDescent="0.25">
      <c r="A39744">
        <v>84717012900</v>
      </c>
      <c r="B39744" t="s">
        <v>57</v>
      </c>
    </row>
    <row r="39745" spans="1:2" x14ac:dyDescent="0.25">
      <c r="A39745">
        <v>84717019</v>
      </c>
      <c r="B39745" t="s">
        <v>57</v>
      </c>
    </row>
    <row r="39746" spans="1:2" x14ac:dyDescent="0.25">
      <c r="A39746">
        <v>84717019100</v>
      </c>
      <c r="B39746" t="s">
        <v>12399</v>
      </c>
    </row>
    <row r="39747" spans="1:2" x14ac:dyDescent="0.25">
      <c r="A39747">
        <v>84717019900</v>
      </c>
      <c r="B39747" t="s">
        <v>57</v>
      </c>
    </row>
    <row r="39748" spans="1:2" x14ac:dyDescent="0.25">
      <c r="A39748">
        <v>8471702</v>
      </c>
      <c r="B39748" t="s">
        <v>12400</v>
      </c>
    </row>
    <row r="39749" spans="1:2" x14ac:dyDescent="0.25">
      <c r="A39749">
        <v>84717021000</v>
      </c>
      <c r="B39749" t="s">
        <v>12401</v>
      </c>
    </row>
    <row r="39750" spans="1:2" x14ac:dyDescent="0.25">
      <c r="A39750">
        <v>84717029000</v>
      </c>
      <c r="B39750" t="s">
        <v>57</v>
      </c>
    </row>
    <row r="39751" spans="1:2" x14ac:dyDescent="0.25">
      <c r="A39751">
        <v>8471703</v>
      </c>
      <c r="B39751" t="s">
        <v>12402</v>
      </c>
    </row>
    <row r="39752" spans="1:2" x14ac:dyDescent="0.25">
      <c r="A39752">
        <v>84717032000</v>
      </c>
      <c r="B39752" t="s">
        <v>12403</v>
      </c>
    </row>
    <row r="39753" spans="1:2" x14ac:dyDescent="0.25">
      <c r="A39753">
        <v>84717033000</v>
      </c>
      <c r="B39753" t="s">
        <v>12404</v>
      </c>
    </row>
    <row r="39754" spans="1:2" x14ac:dyDescent="0.25">
      <c r="A39754">
        <v>84717039000</v>
      </c>
      <c r="B39754" t="s">
        <v>57</v>
      </c>
    </row>
    <row r="39755" spans="1:2" x14ac:dyDescent="0.25">
      <c r="A39755">
        <v>84717090</v>
      </c>
      <c r="B39755" t="s">
        <v>10</v>
      </c>
    </row>
    <row r="39756" spans="1:2" x14ac:dyDescent="0.25">
      <c r="A39756">
        <v>84717090100</v>
      </c>
      <c r="B39756" t="s">
        <v>12405</v>
      </c>
    </row>
    <row r="39757" spans="1:2" x14ac:dyDescent="0.25">
      <c r="A39757">
        <v>84717090900</v>
      </c>
      <c r="B39757" t="s">
        <v>57</v>
      </c>
    </row>
    <row r="39758" spans="1:2" x14ac:dyDescent="0.25">
      <c r="A39758">
        <v>84718000000</v>
      </c>
      <c r="B39758" t="e">
        <f>-las demas Unidades de maquinas automaticas para tratamiento o procesamiento de datos</f>
        <v>#NAME?</v>
      </c>
    </row>
    <row r="39759" spans="1:2" x14ac:dyDescent="0.25">
      <c r="A39759">
        <v>847190</v>
      </c>
      <c r="B39759" t="e">
        <f>- Los demas</f>
        <v>#NAME?</v>
      </c>
    </row>
    <row r="39760" spans="1:2" x14ac:dyDescent="0.25">
      <c r="A39760">
        <v>8471901</v>
      </c>
      <c r="B39760" t="s">
        <v>12406</v>
      </c>
    </row>
    <row r="39761" spans="1:2" x14ac:dyDescent="0.25">
      <c r="A39761">
        <v>84719011000</v>
      </c>
      <c r="B39761" t="s">
        <v>12407</v>
      </c>
    </row>
    <row r="39762" spans="1:2" x14ac:dyDescent="0.25">
      <c r="A39762">
        <v>84719012000</v>
      </c>
      <c r="B39762" t="s">
        <v>12408</v>
      </c>
    </row>
    <row r="39763" spans="1:2" x14ac:dyDescent="0.25">
      <c r="A39763">
        <v>84719013000</v>
      </c>
      <c r="B39763" t="s">
        <v>12409</v>
      </c>
    </row>
    <row r="39764" spans="1:2" x14ac:dyDescent="0.25">
      <c r="A39764">
        <v>84719014000</v>
      </c>
      <c r="B39764" t="s">
        <v>12410</v>
      </c>
    </row>
    <row r="39765" spans="1:2" x14ac:dyDescent="0.25">
      <c r="A39765">
        <v>84719019000</v>
      </c>
      <c r="B39765" t="s">
        <v>10</v>
      </c>
    </row>
    <row r="39766" spans="1:2" x14ac:dyDescent="0.25">
      <c r="A39766">
        <v>84719090000</v>
      </c>
      <c r="B39766" t="s">
        <v>10</v>
      </c>
    </row>
    <row r="39767" spans="1:2" x14ac:dyDescent="0.25">
      <c r="A39767">
        <v>8472</v>
      </c>
      <c r="B39767" t="s">
        <v>12411</v>
      </c>
    </row>
    <row r="39768" spans="1:2" x14ac:dyDescent="0.25">
      <c r="A39768">
        <v>84721000000</v>
      </c>
      <c r="B39768" t="e">
        <f>-Copiadoras. incluidos Los mimeografos</f>
        <v>#NAME?</v>
      </c>
    </row>
    <row r="39769" spans="1:2" x14ac:dyDescent="0.25">
      <c r="A39769">
        <v>847230</v>
      </c>
      <c r="B39769" t="e">
        <f>- maquinas de clasificar. plegar. meter En Sobres o colocar En fajas. correspondencia. maquinas de abrir. cerrar o precintar correspondencia y maquinas de colocar u obliterar sellos (estampillas)</f>
        <v>#NAME?</v>
      </c>
    </row>
    <row r="39770" spans="1:2" x14ac:dyDescent="0.25">
      <c r="A39770">
        <v>84723010000</v>
      </c>
      <c r="B39770" t="s">
        <v>12412</v>
      </c>
    </row>
    <row r="39771" spans="1:2" x14ac:dyDescent="0.25">
      <c r="A39771">
        <v>84723020000</v>
      </c>
      <c r="B39771" t="s">
        <v>12413</v>
      </c>
    </row>
    <row r="39772" spans="1:2" x14ac:dyDescent="0.25">
      <c r="A39772">
        <v>84723030000</v>
      </c>
      <c r="B39772" t="s">
        <v>12414</v>
      </c>
    </row>
    <row r="39773" spans="1:2" x14ac:dyDescent="0.25">
      <c r="A39773">
        <v>84723090000</v>
      </c>
      <c r="B39773" t="s">
        <v>57</v>
      </c>
    </row>
    <row r="39774" spans="1:2" x14ac:dyDescent="0.25">
      <c r="A39774">
        <v>847290</v>
      </c>
      <c r="B39774" t="e">
        <f>- Los demas</f>
        <v>#NAME?</v>
      </c>
    </row>
    <row r="39775" spans="1:2" x14ac:dyDescent="0.25">
      <c r="A39775">
        <v>84729010000</v>
      </c>
      <c r="B39775" t="s">
        <v>12415</v>
      </c>
    </row>
    <row r="39776" spans="1:2" x14ac:dyDescent="0.25">
      <c r="A39776">
        <v>8472902</v>
      </c>
      <c r="B39776" t="s">
        <v>12416</v>
      </c>
    </row>
    <row r="39777" spans="1:2" x14ac:dyDescent="0.25">
      <c r="A39777">
        <v>84729021000</v>
      </c>
      <c r="B39777" t="s">
        <v>12417</v>
      </c>
    </row>
    <row r="39778" spans="1:2" x14ac:dyDescent="0.25">
      <c r="A39778">
        <v>84729029000</v>
      </c>
      <c r="B39778" t="s">
        <v>57</v>
      </c>
    </row>
    <row r="39779" spans="1:2" x14ac:dyDescent="0.25">
      <c r="A39779">
        <v>84729030000</v>
      </c>
      <c r="B39779" t="s">
        <v>12418</v>
      </c>
    </row>
    <row r="39780" spans="1:2" x14ac:dyDescent="0.25">
      <c r="A39780">
        <v>84729040</v>
      </c>
      <c r="B39780" t="s">
        <v>12419</v>
      </c>
    </row>
    <row r="39781" spans="1:2" x14ac:dyDescent="0.25">
      <c r="A39781">
        <v>84729040100</v>
      </c>
      <c r="B39781" t="s">
        <v>10963</v>
      </c>
    </row>
    <row r="39782" spans="1:2" x14ac:dyDescent="0.25">
      <c r="A39782">
        <v>84729040200</v>
      </c>
      <c r="B39782" t="s">
        <v>12420</v>
      </c>
    </row>
    <row r="39783" spans="1:2" x14ac:dyDescent="0.25">
      <c r="A39783">
        <v>84729040300</v>
      </c>
      <c r="B39783" t="s">
        <v>12421</v>
      </c>
    </row>
    <row r="39784" spans="1:2" x14ac:dyDescent="0.25">
      <c r="A39784">
        <v>84729040900</v>
      </c>
      <c r="B39784" t="s">
        <v>10</v>
      </c>
    </row>
    <row r="39785" spans="1:2" x14ac:dyDescent="0.25">
      <c r="A39785">
        <v>8472905</v>
      </c>
      <c r="B39785" t="s">
        <v>12422</v>
      </c>
    </row>
    <row r="39786" spans="1:2" x14ac:dyDescent="0.25">
      <c r="A39786">
        <v>84729051000</v>
      </c>
      <c r="B39786" t="s">
        <v>12423</v>
      </c>
    </row>
    <row r="39787" spans="1:2" x14ac:dyDescent="0.25">
      <c r="A39787">
        <v>84729059000</v>
      </c>
      <c r="B39787" t="s">
        <v>57</v>
      </c>
    </row>
    <row r="39788" spans="1:2" x14ac:dyDescent="0.25">
      <c r="A39788">
        <v>8472909</v>
      </c>
      <c r="B39788" t="s">
        <v>10</v>
      </c>
    </row>
    <row r="39789" spans="1:2" x14ac:dyDescent="0.25">
      <c r="A39789">
        <v>84729091000</v>
      </c>
      <c r="B39789" t="s">
        <v>12424</v>
      </c>
    </row>
    <row r="39790" spans="1:2" x14ac:dyDescent="0.25">
      <c r="A39790">
        <v>84729099</v>
      </c>
      <c r="B39790" t="s">
        <v>10</v>
      </c>
    </row>
    <row r="39791" spans="1:2" x14ac:dyDescent="0.25">
      <c r="A39791">
        <v>84729099100</v>
      </c>
      <c r="B39791" t="s">
        <v>12425</v>
      </c>
    </row>
    <row r="39792" spans="1:2" x14ac:dyDescent="0.25">
      <c r="A39792">
        <v>84729099900</v>
      </c>
      <c r="B39792" t="s">
        <v>10</v>
      </c>
    </row>
    <row r="39793" spans="1:2" x14ac:dyDescent="0.25">
      <c r="A39793">
        <v>8473</v>
      </c>
      <c r="B39793" t="s">
        <v>12426</v>
      </c>
    </row>
    <row r="39794" spans="1:2" x14ac:dyDescent="0.25">
      <c r="A39794">
        <v>84732</v>
      </c>
      <c r="B39794" t="s">
        <v>12427</v>
      </c>
    </row>
    <row r="39795" spans="1:2" x14ac:dyDescent="0.25">
      <c r="A39795">
        <v>84732100</v>
      </c>
      <c r="B39795" t="s">
        <v>12428</v>
      </c>
    </row>
    <row r="39796" spans="1:2" x14ac:dyDescent="0.25">
      <c r="A39796">
        <v>84732100100</v>
      </c>
      <c r="B39796" t="s">
        <v>12036</v>
      </c>
    </row>
    <row r="39797" spans="1:2" x14ac:dyDescent="0.25">
      <c r="A39797">
        <v>84732100900</v>
      </c>
      <c r="B39797" t="s">
        <v>12037</v>
      </c>
    </row>
    <row r="39798" spans="1:2" x14ac:dyDescent="0.25">
      <c r="A39798">
        <v>847329</v>
      </c>
      <c r="B39798" t="e">
        <f>- - Los demas</f>
        <v>#NAME?</v>
      </c>
    </row>
    <row r="39799" spans="1:2" x14ac:dyDescent="0.25">
      <c r="A39799">
        <v>84732910000</v>
      </c>
      <c r="B39799" t="s">
        <v>12429</v>
      </c>
    </row>
    <row r="39800" spans="1:2" x14ac:dyDescent="0.25">
      <c r="A39800">
        <v>84732920</v>
      </c>
      <c r="B39800" t="s">
        <v>12430</v>
      </c>
    </row>
    <row r="39801" spans="1:2" x14ac:dyDescent="0.25">
      <c r="A39801">
        <v>84732920100</v>
      </c>
      <c r="B39801" t="s">
        <v>12036</v>
      </c>
    </row>
    <row r="39802" spans="1:2" x14ac:dyDescent="0.25">
      <c r="A39802">
        <v>84732920900</v>
      </c>
      <c r="B39802" t="s">
        <v>12037</v>
      </c>
    </row>
    <row r="39803" spans="1:2" x14ac:dyDescent="0.25">
      <c r="A39803">
        <v>84732990</v>
      </c>
      <c r="B39803" t="s">
        <v>10</v>
      </c>
    </row>
    <row r="39804" spans="1:2" x14ac:dyDescent="0.25">
      <c r="A39804">
        <v>84732990100</v>
      </c>
      <c r="B39804" t="s">
        <v>12036</v>
      </c>
    </row>
    <row r="39805" spans="1:2" x14ac:dyDescent="0.25">
      <c r="A39805">
        <v>84732990900</v>
      </c>
      <c r="B39805" t="s">
        <v>12037</v>
      </c>
    </row>
    <row r="39806" spans="1:2" x14ac:dyDescent="0.25">
      <c r="A39806">
        <v>847330</v>
      </c>
      <c r="B39806" t="s">
        <v>12431</v>
      </c>
    </row>
    <row r="39807" spans="1:2" x14ac:dyDescent="0.25">
      <c r="A39807">
        <v>8473301</v>
      </c>
      <c r="B39807" t="s">
        <v>12432</v>
      </c>
    </row>
    <row r="39808" spans="1:2" x14ac:dyDescent="0.25">
      <c r="A39808">
        <v>84733011000</v>
      </c>
      <c r="B39808" t="s">
        <v>12433</v>
      </c>
    </row>
    <row r="39809" spans="1:2" x14ac:dyDescent="0.25">
      <c r="A39809">
        <v>84733019000</v>
      </c>
      <c r="B39809" t="s">
        <v>10</v>
      </c>
    </row>
    <row r="39810" spans="1:2" x14ac:dyDescent="0.25">
      <c r="A39810">
        <v>8473303</v>
      </c>
      <c r="B39810" t="s">
        <v>12434</v>
      </c>
    </row>
    <row r="39811" spans="1:2" x14ac:dyDescent="0.25">
      <c r="A39811">
        <v>84733031000</v>
      </c>
      <c r="B39811" t="s">
        <v>12435</v>
      </c>
    </row>
    <row r="39812" spans="1:2" x14ac:dyDescent="0.25">
      <c r="A39812">
        <v>84733032000</v>
      </c>
      <c r="B39812" t="s">
        <v>12436</v>
      </c>
    </row>
    <row r="39813" spans="1:2" x14ac:dyDescent="0.25">
      <c r="A39813">
        <v>84733033000</v>
      </c>
      <c r="B39813" t="s">
        <v>12437</v>
      </c>
    </row>
    <row r="39814" spans="1:2" x14ac:dyDescent="0.25">
      <c r="A39814">
        <v>84733034000</v>
      </c>
      <c r="B39814" t="s">
        <v>12438</v>
      </c>
    </row>
    <row r="39815" spans="1:2" x14ac:dyDescent="0.25">
      <c r="A39815">
        <v>84733039</v>
      </c>
      <c r="B39815" t="s">
        <v>10</v>
      </c>
    </row>
    <row r="39816" spans="1:2" x14ac:dyDescent="0.25">
      <c r="A39816">
        <v>84733039100</v>
      </c>
      <c r="B39816" t="s">
        <v>12036</v>
      </c>
    </row>
    <row r="39817" spans="1:2" x14ac:dyDescent="0.25">
      <c r="A39817">
        <v>84733039900</v>
      </c>
      <c r="B39817" t="s">
        <v>12037</v>
      </c>
    </row>
    <row r="39818" spans="1:2" x14ac:dyDescent="0.25">
      <c r="A39818">
        <v>8473304</v>
      </c>
      <c r="B39818" t="s">
        <v>12439</v>
      </c>
    </row>
    <row r="39819" spans="1:2" x14ac:dyDescent="0.25">
      <c r="A39819">
        <v>84733041000</v>
      </c>
      <c r="B39819" t="s">
        <v>12440</v>
      </c>
    </row>
    <row r="39820" spans="1:2" x14ac:dyDescent="0.25">
      <c r="A39820">
        <v>84733042000</v>
      </c>
      <c r="B39820" t="s">
        <v>12441</v>
      </c>
    </row>
    <row r="39821" spans="1:2" x14ac:dyDescent="0.25">
      <c r="A39821">
        <v>84733043000</v>
      </c>
      <c r="B39821" t="s">
        <v>12442</v>
      </c>
    </row>
    <row r="39822" spans="1:2" x14ac:dyDescent="0.25">
      <c r="A39822">
        <v>84733049</v>
      </c>
      <c r="B39822" t="s">
        <v>10</v>
      </c>
    </row>
    <row r="39823" spans="1:2" x14ac:dyDescent="0.25">
      <c r="A39823">
        <v>84733049100</v>
      </c>
      <c r="B39823" t="s">
        <v>12036</v>
      </c>
    </row>
    <row r="39824" spans="1:2" x14ac:dyDescent="0.25">
      <c r="A39824">
        <v>847330499</v>
      </c>
      <c r="B39824" t="s">
        <v>12037</v>
      </c>
    </row>
    <row r="39825" spans="1:2" x14ac:dyDescent="0.25">
      <c r="A39825">
        <v>84733049910</v>
      </c>
      <c r="B39825" t="s">
        <v>11304</v>
      </c>
    </row>
    <row r="39826" spans="1:2" x14ac:dyDescent="0.25">
      <c r="A39826">
        <v>84733049990</v>
      </c>
      <c r="B39826" t="s">
        <v>10</v>
      </c>
    </row>
    <row r="39827" spans="1:2" x14ac:dyDescent="0.25">
      <c r="A39827">
        <v>8473309</v>
      </c>
      <c r="B39827" t="s">
        <v>10</v>
      </c>
    </row>
    <row r="39828" spans="1:2" x14ac:dyDescent="0.25">
      <c r="A39828">
        <v>84733092000</v>
      </c>
      <c r="B39828" t="s">
        <v>12443</v>
      </c>
    </row>
    <row r="39829" spans="1:2" x14ac:dyDescent="0.25">
      <c r="A39829">
        <v>84733099</v>
      </c>
      <c r="B39829" t="s">
        <v>10</v>
      </c>
    </row>
    <row r="39830" spans="1:2" x14ac:dyDescent="0.25">
      <c r="A39830">
        <v>84733099100</v>
      </c>
      <c r="B39830" t="s">
        <v>12036</v>
      </c>
    </row>
    <row r="39831" spans="1:2" x14ac:dyDescent="0.25">
      <c r="A39831">
        <v>847330999</v>
      </c>
      <c r="B39831" t="s">
        <v>12037</v>
      </c>
    </row>
    <row r="39832" spans="1:2" x14ac:dyDescent="0.25">
      <c r="A39832">
        <v>84733099910</v>
      </c>
      <c r="B39832" t="s">
        <v>12444</v>
      </c>
    </row>
    <row r="39833" spans="1:2" x14ac:dyDescent="0.25">
      <c r="A39833">
        <v>84733099990</v>
      </c>
      <c r="B39833" t="s">
        <v>57</v>
      </c>
    </row>
    <row r="39834" spans="1:2" x14ac:dyDescent="0.25">
      <c r="A39834">
        <v>847340</v>
      </c>
      <c r="B39834" t="s">
        <v>12445</v>
      </c>
    </row>
    <row r="39835" spans="1:2" x14ac:dyDescent="0.25">
      <c r="A39835">
        <v>84734010000</v>
      </c>
      <c r="B39835" t="s">
        <v>12439</v>
      </c>
    </row>
    <row r="39836" spans="1:2" x14ac:dyDescent="0.25">
      <c r="A39836">
        <v>84734070</v>
      </c>
      <c r="B39836" t="s">
        <v>12446</v>
      </c>
    </row>
    <row r="39837" spans="1:2" x14ac:dyDescent="0.25">
      <c r="A39837">
        <v>84734070100</v>
      </c>
      <c r="B39837" t="s">
        <v>12036</v>
      </c>
    </row>
    <row r="39838" spans="1:2" x14ac:dyDescent="0.25">
      <c r="A39838">
        <v>84734070900</v>
      </c>
      <c r="B39838" t="s">
        <v>12037</v>
      </c>
    </row>
    <row r="39839" spans="1:2" x14ac:dyDescent="0.25">
      <c r="A39839">
        <v>84734090</v>
      </c>
      <c r="B39839" t="s">
        <v>10</v>
      </c>
    </row>
    <row r="39840" spans="1:2" x14ac:dyDescent="0.25">
      <c r="A39840">
        <v>84734090100</v>
      </c>
      <c r="B39840" t="s">
        <v>12036</v>
      </c>
    </row>
    <row r="39841" spans="1:2" x14ac:dyDescent="0.25">
      <c r="A39841">
        <v>84734090900</v>
      </c>
      <c r="B39841" t="s">
        <v>12037</v>
      </c>
    </row>
    <row r="39842" spans="1:2" x14ac:dyDescent="0.25">
      <c r="A39842">
        <v>847350</v>
      </c>
      <c r="B39842" t="s">
        <v>12447</v>
      </c>
    </row>
    <row r="39843" spans="1:2" x14ac:dyDescent="0.25">
      <c r="A39843">
        <v>84735010000</v>
      </c>
      <c r="B39843" t="s">
        <v>12439</v>
      </c>
    </row>
    <row r="39844" spans="1:2" x14ac:dyDescent="0.25">
      <c r="A39844">
        <v>84735040000</v>
      </c>
      <c r="B39844" t="s">
        <v>12437</v>
      </c>
    </row>
    <row r="39845" spans="1:2" x14ac:dyDescent="0.25">
      <c r="A39845">
        <v>84735050000</v>
      </c>
      <c r="B39845" t="s">
        <v>12441</v>
      </c>
    </row>
    <row r="39846" spans="1:2" x14ac:dyDescent="0.25">
      <c r="A39846">
        <v>84735090</v>
      </c>
      <c r="B39846" t="s">
        <v>10</v>
      </c>
    </row>
    <row r="39847" spans="1:2" x14ac:dyDescent="0.25">
      <c r="A39847">
        <v>84735090100</v>
      </c>
      <c r="B39847" t="s">
        <v>12036</v>
      </c>
    </row>
    <row r="39848" spans="1:2" x14ac:dyDescent="0.25">
      <c r="A39848">
        <v>84735090900</v>
      </c>
      <c r="B39848" t="s">
        <v>12037</v>
      </c>
    </row>
    <row r="39849" spans="1:2" x14ac:dyDescent="0.25">
      <c r="A39849">
        <v>8474</v>
      </c>
      <c r="B39849" t="s">
        <v>12448</v>
      </c>
    </row>
    <row r="39850" spans="1:2" x14ac:dyDescent="0.25">
      <c r="A39850">
        <v>84741000</v>
      </c>
      <c r="B39850" t="e">
        <f>-maquinas y aparatos de clasificar. cribar. separar o lavar</f>
        <v>#NAME?</v>
      </c>
    </row>
    <row r="39851" spans="1:2" x14ac:dyDescent="0.25">
      <c r="A39851">
        <v>84741000100</v>
      </c>
      <c r="B39851" t="s">
        <v>12449</v>
      </c>
    </row>
    <row r="39852" spans="1:2" x14ac:dyDescent="0.25">
      <c r="A39852">
        <v>84741000900</v>
      </c>
      <c r="B39852" t="s">
        <v>10</v>
      </c>
    </row>
    <row r="39853" spans="1:2" x14ac:dyDescent="0.25">
      <c r="A39853">
        <v>847420</v>
      </c>
      <c r="B39853" t="e">
        <f>- maquinas y aparatos de quebrantar. triturar o pulverizar</f>
        <v>#NAME?</v>
      </c>
    </row>
    <row r="39854" spans="1:2" x14ac:dyDescent="0.25">
      <c r="A39854">
        <v>84742010</v>
      </c>
      <c r="B39854" t="s">
        <v>12450</v>
      </c>
    </row>
    <row r="39855" spans="1:2" x14ac:dyDescent="0.25">
      <c r="A39855">
        <v>84742010100</v>
      </c>
      <c r="B39855" t="s">
        <v>11933</v>
      </c>
    </row>
    <row r="39856" spans="1:2" x14ac:dyDescent="0.25">
      <c r="A39856">
        <v>84742010900</v>
      </c>
      <c r="B39856" t="s">
        <v>10</v>
      </c>
    </row>
    <row r="39857" spans="1:2" x14ac:dyDescent="0.25">
      <c r="A39857">
        <v>84742090</v>
      </c>
      <c r="B39857" t="s">
        <v>10</v>
      </c>
    </row>
    <row r="39858" spans="1:2" x14ac:dyDescent="0.25">
      <c r="A39858">
        <v>847420901</v>
      </c>
      <c r="B39858" t="s">
        <v>12451</v>
      </c>
    </row>
    <row r="39859" spans="1:2" x14ac:dyDescent="0.25">
      <c r="A39859">
        <v>84742090110</v>
      </c>
      <c r="B39859" t="s">
        <v>12452</v>
      </c>
    </row>
    <row r="39860" spans="1:2" x14ac:dyDescent="0.25">
      <c r="A39860">
        <v>84742090120</v>
      </c>
      <c r="B39860" t="s">
        <v>12453</v>
      </c>
    </row>
    <row r="39861" spans="1:2" x14ac:dyDescent="0.25">
      <c r="A39861">
        <v>84742090130</v>
      </c>
      <c r="B39861" t="s">
        <v>12454</v>
      </c>
    </row>
    <row r="39862" spans="1:2" x14ac:dyDescent="0.25">
      <c r="A39862">
        <v>84742090140</v>
      </c>
      <c r="B39862" t="s">
        <v>12455</v>
      </c>
    </row>
    <row r="39863" spans="1:2" x14ac:dyDescent="0.25">
      <c r="A39863">
        <v>84742090190</v>
      </c>
      <c r="B39863" t="s">
        <v>10</v>
      </c>
    </row>
    <row r="39864" spans="1:2" x14ac:dyDescent="0.25">
      <c r="A39864">
        <v>84742090200</v>
      </c>
      <c r="B39864" t="s">
        <v>12456</v>
      </c>
    </row>
    <row r="39865" spans="1:2" x14ac:dyDescent="0.25">
      <c r="A39865">
        <v>847420903</v>
      </c>
      <c r="B39865" t="s">
        <v>12457</v>
      </c>
    </row>
    <row r="39866" spans="1:2" x14ac:dyDescent="0.25">
      <c r="A39866">
        <v>84742090310</v>
      </c>
      <c r="B39866" t="s">
        <v>12458</v>
      </c>
    </row>
    <row r="39867" spans="1:2" x14ac:dyDescent="0.25">
      <c r="A39867">
        <v>84742090320</v>
      </c>
      <c r="B39867" t="s">
        <v>11620</v>
      </c>
    </row>
    <row r="39868" spans="1:2" x14ac:dyDescent="0.25">
      <c r="A39868">
        <v>84742090330</v>
      </c>
      <c r="B39868" t="s">
        <v>12459</v>
      </c>
    </row>
    <row r="39869" spans="1:2" x14ac:dyDescent="0.25">
      <c r="A39869">
        <v>84742090390</v>
      </c>
      <c r="B39869" t="s">
        <v>10</v>
      </c>
    </row>
    <row r="39870" spans="1:2" x14ac:dyDescent="0.25">
      <c r="A39870">
        <v>84742090900</v>
      </c>
      <c r="B39870" t="s">
        <v>10</v>
      </c>
    </row>
    <row r="39871" spans="1:2" x14ac:dyDescent="0.25">
      <c r="A39871">
        <v>84743</v>
      </c>
      <c r="B39871" t="s">
        <v>12460</v>
      </c>
    </row>
    <row r="39872" spans="1:2" x14ac:dyDescent="0.25">
      <c r="A39872">
        <v>84743100000</v>
      </c>
      <c r="B39872" t="e">
        <f>--Hormigoneras y aparatos de amasar mortero</f>
        <v>#NAME?</v>
      </c>
    </row>
    <row r="39873" spans="1:2" x14ac:dyDescent="0.25">
      <c r="A39873">
        <v>84743200</v>
      </c>
      <c r="B39873" t="e">
        <f>--maquinas de mezclar materia mineral Con asfalto</f>
        <v>#NAME?</v>
      </c>
    </row>
    <row r="39874" spans="1:2" x14ac:dyDescent="0.25">
      <c r="A39874">
        <v>84743200100</v>
      </c>
      <c r="B39874" t="s">
        <v>12461</v>
      </c>
    </row>
    <row r="39875" spans="1:2" x14ac:dyDescent="0.25">
      <c r="A39875">
        <v>84743200900</v>
      </c>
      <c r="B39875" t="s">
        <v>57</v>
      </c>
    </row>
    <row r="39876" spans="1:2" x14ac:dyDescent="0.25">
      <c r="A39876">
        <v>84743900</v>
      </c>
      <c r="B39876" t="e">
        <f>- - Los demas</f>
        <v>#NAME?</v>
      </c>
    </row>
    <row r="39877" spans="1:2" x14ac:dyDescent="0.25">
      <c r="A39877">
        <v>84743900100</v>
      </c>
      <c r="B39877" t="s">
        <v>12462</v>
      </c>
    </row>
    <row r="39878" spans="1:2" x14ac:dyDescent="0.25">
      <c r="A39878">
        <v>84743900200</v>
      </c>
      <c r="B39878" t="s">
        <v>12463</v>
      </c>
    </row>
    <row r="39879" spans="1:2" x14ac:dyDescent="0.25">
      <c r="A39879">
        <v>84743900300</v>
      </c>
      <c r="B39879" t="s">
        <v>12464</v>
      </c>
    </row>
    <row r="39880" spans="1:2" x14ac:dyDescent="0.25">
      <c r="A39880">
        <v>84743900400</v>
      </c>
      <c r="B39880" t="s">
        <v>12465</v>
      </c>
    </row>
    <row r="39881" spans="1:2" x14ac:dyDescent="0.25">
      <c r="A39881">
        <v>84743900900</v>
      </c>
      <c r="B39881" t="s">
        <v>10</v>
      </c>
    </row>
    <row r="39882" spans="1:2" x14ac:dyDescent="0.25">
      <c r="A39882">
        <v>847480</v>
      </c>
      <c r="B39882" t="e">
        <f>- las demas maquinas y aparatos</f>
        <v>#NAME?</v>
      </c>
    </row>
    <row r="39883" spans="1:2" x14ac:dyDescent="0.25">
      <c r="A39883">
        <v>84748010000</v>
      </c>
      <c r="B39883" t="s">
        <v>12466</v>
      </c>
    </row>
    <row r="39884" spans="1:2" x14ac:dyDescent="0.25">
      <c r="A39884">
        <v>84748090</v>
      </c>
      <c r="B39884" t="s">
        <v>10</v>
      </c>
    </row>
    <row r="39885" spans="1:2" x14ac:dyDescent="0.25">
      <c r="A39885">
        <v>84748090100</v>
      </c>
      <c r="B39885" t="s">
        <v>12467</v>
      </c>
    </row>
    <row r="39886" spans="1:2" x14ac:dyDescent="0.25">
      <c r="A39886">
        <v>84748090200</v>
      </c>
      <c r="B39886" t="s">
        <v>12468</v>
      </c>
    </row>
    <row r="39887" spans="1:2" x14ac:dyDescent="0.25">
      <c r="A39887">
        <v>84748090300</v>
      </c>
      <c r="B39887" t="s">
        <v>11921</v>
      </c>
    </row>
    <row r="39888" spans="1:2" x14ac:dyDescent="0.25">
      <c r="A39888">
        <v>84748090900</v>
      </c>
      <c r="B39888" t="s">
        <v>10</v>
      </c>
    </row>
    <row r="39889" spans="1:2" x14ac:dyDescent="0.25">
      <c r="A39889">
        <v>84749000</v>
      </c>
      <c r="B39889" t="e">
        <f>- partes</f>
        <v>#NAME?</v>
      </c>
    </row>
    <row r="39890" spans="1:2" x14ac:dyDescent="0.25">
      <c r="A39890">
        <v>84749000100</v>
      </c>
      <c r="B39890" t="s">
        <v>12469</v>
      </c>
    </row>
    <row r="39891" spans="1:2" x14ac:dyDescent="0.25">
      <c r="A39891">
        <v>84749000200</v>
      </c>
      <c r="B39891" t="s">
        <v>12470</v>
      </c>
    </row>
    <row r="39892" spans="1:2" x14ac:dyDescent="0.25">
      <c r="A39892">
        <v>84749000300</v>
      </c>
      <c r="B39892" t="s">
        <v>12471</v>
      </c>
    </row>
    <row r="39893" spans="1:2" x14ac:dyDescent="0.25">
      <c r="A39893">
        <v>84749000400</v>
      </c>
      <c r="B39893" t="s">
        <v>12472</v>
      </c>
    </row>
    <row r="39894" spans="1:2" x14ac:dyDescent="0.25">
      <c r="A39894">
        <v>84749000500</v>
      </c>
      <c r="B39894" t="s">
        <v>12473</v>
      </c>
    </row>
    <row r="39895" spans="1:2" x14ac:dyDescent="0.25">
      <c r="A39895">
        <v>84749000900</v>
      </c>
      <c r="B39895" t="s">
        <v>57</v>
      </c>
    </row>
    <row r="39896" spans="1:2" x14ac:dyDescent="0.25">
      <c r="A39896">
        <v>8475</v>
      </c>
      <c r="B39896" t="s">
        <v>12474</v>
      </c>
    </row>
    <row r="39897" spans="1:2" x14ac:dyDescent="0.25">
      <c r="A39897">
        <v>84751000000</v>
      </c>
      <c r="B39897" t="e">
        <f>-maquinas de montar lamparas. Tubos o valvulas electricos o electronicos o Lamparas de destello. que tengan envoltura de vidrio</f>
        <v>#NAME?</v>
      </c>
    </row>
    <row r="39898" spans="1:2" x14ac:dyDescent="0.25">
      <c r="A39898">
        <v>84752</v>
      </c>
      <c r="B39898" t="s">
        <v>12475</v>
      </c>
    </row>
    <row r="39899" spans="1:2" x14ac:dyDescent="0.25">
      <c r="A39899">
        <v>84752100000</v>
      </c>
      <c r="B39899" t="e">
        <f>--maquinas para fabricar fibras opticas y sus esbozos</f>
        <v>#NAME?</v>
      </c>
    </row>
    <row r="39900" spans="1:2" x14ac:dyDescent="0.25">
      <c r="A39900">
        <v>847529</v>
      </c>
      <c r="B39900" t="e">
        <f>- - las demas</f>
        <v>#NAME?</v>
      </c>
    </row>
    <row r="39901" spans="1:2" x14ac:dyDescent="0.25">
      <c r="A39901">
        <v>84752910000</v>
      </c>
      <c r="B39901" t="s">
        <v>12476</v>
      </c>
    </row>
    <row r="39902" spans="1:2" x14ac:dyDescent="0.25">
      <c r="A39902">
        <v>84752990000</v>
      </c>
      <c r="B39902" t="s">
        <v>57</v>
      </c>
    </row>
    <row r="39903" spans="1:2" x14ac:dyDescent="0.25">
      <c r="A39903">
        <v>84759000000</v>
      </c>
      <c r="B39903" t="e">
        <f>-partes</f>
        <v>#NAME?</v>
      </c>
    </row>
    <row r="39904" spans="1:2" x14ac:dyDescent="0.25">
      <c r="A39904">
        <v>8476</v>
      </c>
      <c r="B39904" t="s">
        <v>12477</v>
      </c>
    </row>
    <row r="39905" spans="1:2" x14ac:dyDescent="0.25">
      <c r="A39905">
        <v>84762</v>
      </c>
      <c r="B39905" t="s">
        <v>12478</v>
      </c>
    </row>
    <row r="39906" spans="1:2" x14ac:dyDescent="0.25">
      <c r="A39906">
        <v>84762100000</v>
      </c>
      <c r="B39906" t="e">
        <f>--Con dispositivo de calentamiento o refrigeracion. incorporado</f>
        <v>#NAME?</v>
      </c>
    </row>
    <row r="39907" spans="1:2" x14ac:dyDescent="0.25">
      <c r="A39907">
        <v>84762900000</v>
      </c>
      <c r="B39907" t="e">
        <f>--las demas</f>
        <v>#NAME?</v>
      </c>
    </row>
    <row r="39908" spans="1:2" x14ac:dyDescent="0.25">
      <c r="A39908">
        <v>84768</v>
      </c>
      <c r="B39908" t="s">
        <v>567</v>
      </c>
    </row>
    <row r="39909" spans="1:2" x14ac:dyDescent="0.25">
      <c r="A39909">
        <v>84768100000</v>
      </c>
      <c r="B39909" t="e">
        <f>--Con dispositivo de calentamiento o refrigeracion. incorporado</f>
        <v>#NAME?</v>
      </c>
    </row>
    <row r="39910" spans="1:2" x14ac:dyDescent="0.25">
      <c r="A39910">
        <v>847689</v>
      </c>
      <c r="B39910" t="e">
        <f>- - las demas</f>
        <v>#NAME?</v>
      </c>
    </row>
    <row r="39911" spans="1:2" x14ac:dyDescent="0.25">
      <c r="A39911">
        <v>84768910000</v>
      </c>
      <c r="B39911" t="s">
        <v>12479</v>
      </c>
    </row>
    <row r="39912" spans="1:2" x14ac:dyDescent="0.25">
      <c r="A39912">
        <v>84768990000</v>
      </c>
      <c r="B39912" t="s">
        <v>57</v>
      </c>
    </row>
    <row r="39913" spans="1:2" x14ac:dyDescent="0.25">
      <c r="A39913">
        <v>84769000000</v>
      </c>
      <c r="B39913" t="e">
        <f>-partes</f>
        <v>#NAME?</v>
      </c>
    </row>
    <row r="39914" spans="1:2" x14ac:dyDescent="0.25">
      <c r="A39914">
        <v>8477</v>
      </c>
      <c r="B39914" t="s">
        <v>12480</v>
      </c>
    </row>
    <row r="39915" spans="1:2" x14ac:dyDescent="0.25">
      <c r="A39915">
        <v>847710</v>
      </c>
      <c r="B39915" t="e">
        <f>- maquinas de moldear por inyeccion</f>
        <v>#NAME?</v>
      </c>
    </row>
    <row r="39916" spans="1:2" x14ac:dyDescent="0.25">
      <c r="A39916">
        <v>8477101</v>
      </c>
      <c r="B39916" t="s">
        <v>12481</v>
      </c>
    </row>
    <row r="39917" spans="1:2" x14ac:dyDescent="0.25">
      <c r="A39917">
        <v>84771011</v>
      </c>
      <c r="B39917" t="s">
        <v>12482</v>
      </c>
    </row>
    <row r="39918" spans="1:2" x14ac:dyDescent="0.25">
      <c r="A39918">
        <v>84771011100</v>
      </c>
      <c r="B39918" t="s">
        <v>12483</v>
      </c>
    </row>
    <row r="39919" spans="1:2" x14ac:dyDescent="0.25">
      <c r="A39919">
        <v>84771011200</v>
      </c>
      <c r="B39919" t="s">
        <v>12484</v>
      </c>
    </row>
    <row r="39920" spans="1:2" x14ac:dyDescent="0.25">
      <c r="A39920">
        <v>84771011300</v>
      </c>
      <c r="B39920" t="s">
        <v>12485</v>
      </c>
    </row>
    <row r="39921" spans="1:2" x14ac:dyDescent="0.25">
      <c r="A39921">
        <v>84771011400</v>
      </c>
      <c r="B39921" t="s">
        <v>12486</v>
      </c>
    </row>
    <row r="39922" spans="1:2" x14ac:dyDescent="0.25">
      <c r="A39922">
        <v>84771011500</v>
      </c>
      <c r="B39922" t="s">
        <v>12487</v>
      </c>
    </row>
    <row r="39923" spans="1:2" x14ac:dyDescent="0.25">
      <c r="A39923">
        <v>84771011600</v>
      </c>
      <c r="B39923" t="s">
        <v>12488</v>
      </c>
    </row>
    <row r="39924" spans="1:2" x14ac:dyDescent="0.25">
      <c r="A39924">
        <v>84771011900</v>
      </c>
      <c r="B39924" t="s">
        <v>57</v>
      </c>
    </row>
    <row r="39925" spans="1:2" x14ac:dyDescent="0.25">
      <c r="A39925">
        <v>84771019000</v>
      </c>
      <c r="B39925" t="s">
        <v>57</v>
      </c>
    </row>
    <row r="39926" spans="1:2" x14ac:dyDescent="0.25">
      <c r="A39926">
        <v>8477102</v>
      </c>
      <c r="B39926" t="s">
        <v>12489</v>
      </c>
    </row>
    <row r="39927" spans="1:2" x14ac:dyDescent="0.25">
      <c r="A39927">
        <v>84771021000</v>
      </c>
      <c r="B39927" t="s">
        <v>12482</v>
      </c>
    </row>
    <row r="39928" spans="1:2" x14ac:dyDescent="0.25">
      <c r="A39928">
        <v>84771029000</v>
      </c>
      <c r="B39928" t="s">
        <v>57</v>
      </c>
    </row>
    <row r="39929" spans="1:2" x14ac:dyDescent="0.25">
      <c r="A39929">
        <v>8477109</v>
      </c>
      <c r="B39929" t="s">
        <v>57</v>
      </c>
    </row>
    <row r="39930" spans="1:2" x14ac:dyDescent="0.25">
      <c r="A39930">
        <v>84771091000</v>
      </c>
      <c r="B39930" t="s">
        <v>12228</v>
      </c>
    </row>
    <row r="39931" spans="1:2" x14ac:dyDescent="0.25">
      <c r="A39931">
        <v>84771099000</v>
      </c>
      <c r="B39931" t="s">
        <v>57</v>
      </c>
    </row>
    <row r="39932" spans="1:2" x14ac:dyDescent="0.25">
      <c r="A39932">
        <v>847720</v>
      </c>
      <c r="B39932" t="e">
        <f>- Extrusoras</f>
        <v>#NAME?</v>
      </c>
    </row>
    <row r="39933" spans="1:2" x14ac:dyDescent="0.25">
      <c r="A39933">
        <v>84772010</v>
      </c>
      <c r="B39933" t="s">
        <v>12490</v>
      </c>
    </row>
    <row r="39934" spans="1:2" x14ac:dyDescent="0.25">
      <c r="A39934">
        <v>84772010100</v>
      </c>
      <c r="B39934" t="s">
        <v>12491</v>
      </c>
    </row>
    <row r="39935" spans="1:2" x14ac:dyDescent="0.25">
      <c r="A39935">
        <v>84772010900</v>
      </c>
      <c r="B39935" t="s">
        <v>57</v>
      </c>
    </row>
    <row r="39936" spans="1:2" x14ac:dyDescent="0.25">
      <c r="A39936">
        <v>84772090</v>
      </c>
      <c r="B39936" t="s">
        <v>57</v>
      </c>
    </row>
    <row r="39937" spans="1:2" x14ac:dyDescent="0.25">
      <c r="A39937">
        <v>84772090100</v>
      </c>
      <c r="B39937" t="s">
        <v>12492</v>
      </c>
    </row>
    <row r="39938" spans="1:2" x14ac:dyDescent="0.25">
      <c r="A39938">
        <v>84772090200</v>
      </c>
      <c r="B39938" t="s">
        <v>12493</v>
      </c>
    </row>
    <row r="39939" spans="1:2" x14ac:dyDescent="0.25">
      <c r="A39939">
        <v>84772090300</v>
      </c>
      <c r="B39939" t="s">
        <v>12494</v>
      </c>
    </row>
    <row r="39940" spans="1:2" x14ac:dyDescent="0.25">
      <c r="A39940">
        <v>84772090900</v>
      </c>
      <c r="B39940" t="s">
        <v>57</v>
      </c>
    </row>
    <row r="39941" spans="1:2" x14ac:dyDescent="0.25">
      <c r="A39941">
        <v>847730</v>
      </c>
      <c r="B39941" t="e">
        <f>- maquinas de moldear por soplado</f>
        <v>#NAME?</v>
      </c>
    </row>
    <row r="39942" spans="1:2" x14ac:dyDescent="0.25">
      <c r="A39942">
        <v>84773010000</v>
      </c>
      <c r="B39942" t="s">
        <v>12495</v>
      </c>
    </row>
    <row r="39943" spans="1:2" x14ac:dyDescent="0.25">
      <c r="A39943">
        <v>84773090000</v>
      </c>
      <c r="B39943" t="s">
        <v>57</v>
      </c>
    </row>
    <row r="39944" spans="1:2" x14ac:dyDescent="0.25">
      <c r="A39944">
        <v>847740</v>
      </c>
      <c r="B39944" t="e">
        <f>- maquinas de moldear En vacio y demas maquinas para termoformado</f>
        <v>#NAME?</v>
      </c>
    </row>
    <row r="39945" spans="1:2" x14ac:dyDescent="0.25">
      <c r="A39945">
        <v>84774010000</v>
      </c>
      <c r="B39945" t="s">
        <v>12496</v>
      </c>
    </row>
    <row r="39946" spans="1:2" x14ac:dyDescent="0.25">
      <c r="A39946">
        <v>84774090</v>
      </c>
      <c r="B39946" t="s">
        <v>57</v>
      </c>
    </row>
    <row r="39947" spans="1:2" x14ac:dyDescent="0.25">
      <c r="A39947">
        <v>84774090100</v>
      </c>
      <c r="B39947" t="s">
        <v>12497</v>
      </c>
    </row>
    <row r="39948" spans="1:2" x14ac:dyDescent="0.25">
      <c r="A39948">
        <v>84774090900</v>
      </c>
      <c r="B39948" t="s">
        <v>57</v>
      </c>
    </row>
    <row r="39949" spans="1:2" x14ac:dyDescent="0.25">
      <c r="A39949">
        <v>84775</v>
      </c>
      <c r="B39949" t="s">
        <v>12498</v>
      </c>
    </row>
    <row r="39950" spans="1:2" x14ac:dyDescent="0.25">
      <c r="A39950">
        <v>84775100</v>
      </c>
      <c r="B39950" t="e">
        <f>- - de moldear o recauchutar Neumaticos (llantas neumaticas) o moldear o formar camaras para Neumaticos</f>
        <v>#NAME?</v>
      </c>
    </row>
    <row r="39951" spans="1:2" x14ac:dyDescent="0.25">
      <c r="A39951">
        <v>847751001</v>
      </c>
      <c r="B39951" t="s">
        <v>12499</v>
      </c>
    </row>
    <row r="39952" spans="1:2" x14ac:dyDescent="0.25">
      <c r="A39952">
        <v>84775100110</v>
      </c>
      <c r="B39952" t="s">
        <v>12500</v>
      </c>
    </row>
    <row r="39953" spans="1:2" x14ac:dyDescent="0.25">
      <c r="A39953">
        <v>84775100190</v>
      </c>
      <c r="B39953" t="s">
        <v>10</v>
      </c>
    </row>
    <row r="39954" spans="1:2" x14ac:dyDescent="0.25">
      <c r="A39954">
        <v>84775100900</v>
      </c>
      <c r="B39954" t="s">
        <v>57</v>
      </c>
    </row>
    <row r="39955" spans="1:2" x14ac:dyDescent="0.25">
      <c r="A39955">
        <v>847759</v>
      </c>
      <c r="B39955" t="e">
        <f>- - Los demas</f>
        <v>#NAME?</v>
      </c>
    </row>
    <row r="39956" spans="1:2" x14ac:dyDescent="0.25">
      <c r="A39956">
        <v>8477591</v>
      </c>
      <c r="B39956" t="s">
        <v>11854</v>
      </c>
    </row>
    <row r="39957" spans="1:2" x14ac:dyDescent="0.25">
      <c r="A39957">
        <v>84775911000</v>
      </c>
      <c r="B39957" t="s">
        <v>12501</v>
      </c>
    </row>
    <row r="39958" spans="1:2" x14ac:dyDescent="0.25">
      <c r="A39958">
        <v>84775919000</v>
      </c>
      <c r="B39958" t="s">
        <v>57</v>
      </c>
    </row>
    <row r="39959" spans="1:2" x14ac:dyDescent="0.25">
      <c r="A39959">
        <v>84775990</v>
      </c>
      <c r="B39959" t="s">
        <v>10</v>
      </c>
    </row>
    <row r="39960" spans="1:2" x14ac:dyDescent="0.25">
      <c r="A39960">
        <v>84775990100</v>
      </c>
      <c r="B39960" t="s">
        <v>12502</v>
      </c>
    </row>
    <row r="39961" spans="1:2" x14ac:dyDescent="0.25">
      <c r="A39961">
        <v>84775990200</v>
      </c>
      <c r="B39961" t="s">
        <v>12503</v>
      </c>
    </row>
    <row r="39962" spans="1:2" x14ac:dyDescent="0.25">
      <c r="A39962">
        <v>84775990900</v>
      </c>
      <c r="B39962" t="s">
        <v>57</v>
      </c>
    </row>
    <row r="39963" spans="1:2" x14ac:dyDescent="0.25">
      <c r="A39963">
        <v>847780</v>
      </c>
      <c r="B39963" t="e">
        <f>- las demas maquinas y aparatos</f>
        <v>#NAME?</v>
      </c>
    </row>
    <row r="39964" spans="1:2" x14ac:dyDescent="0.25">
      <c r="A39964">
        <v>84778010000</v>
      </c>
      <c r="B39964" t="s">
        <v>12504</v>
      </c>
    </row>
    <row r="39965" spans="1:2" x14ac:dyDescent="0.25">
      <c r="A39965">
        <v>84778090</v>
      </c>
      <c r="B39965" t="s">
        <v>57</v>
      </c>
    </row>
    <row r="39966" spans="1:2" x14ac:dyDescent="0.25">
      <c r="A39966">
        <v>84778090100</v>
      </c>
      <c r="B39966" t="s">
        <v>12505</v>
      </c>
    </row>
    <row r="39967" spans="1:2" x14ac:dyDescent="0.25">
      <c r="A39967">
        <v>84778090200</v>
      </c>
      <c r="B39967" t="s">
        <v>12506</v>
      </c>
    </row>
    <row r="39968" spans="1:2" x14ac:dyDescent="0.25">
      <c r="A39968">
        <v>84778090300</v>
      </c>
      <c r="B39968" t="s">
        <v>12507</v>
      </c>
    </row>
    <row r="39969" spans="1:2" x14ac:dyDescent="0.25">
      <c r="A39969">
        <v>84778090400</v>
      </c>
      <c r="B39969" t="s">
        <v>12508</v>
      </c>
    </row>
    <row r="39970" spans="1:2" x14ac:dyDescent="0.25">
      <c r="A39970">
        <v>84778090900</v>
      </c>
      <c r="B39970" t="s">
        <v>57</v>
      </c>
    </row>
    <row r="39971" spans="1:2" x14ac:dyDescent="0.25">
      <c r="A39971">
        <v>84779000000</v>
      </c>
      <c r="B39971" t="e">
        <f>-partes</f>
        <v>#NAME?</v>
      </c>
    </row>
    <row r="39972" spans="1:2" x14ac:dyDescent="0.25">
      <c r="A39972">
        <v>8478</v>
      </c>
      <c r="B39972" t="s">
        <v>12509</v>
      </c>
    </row>
    <row r="39973" spans="1:2" x14ac:dyDescent="0.25">
      <c r="A39973">
        <v>847810</v>
      </c>
      <c r="B39973" t="e">
        <f>- maquinas y aparatos</f>
        <v>#NAME?</v>
      </c>
    </row>
    <row r="39974" spans="1:2" x14ac:dyDescent="0.25">
      <c r="A39974">
        <v>84781010000</v>
      </c>
      <c r="B39974" t="s">
        <v>12510</v>
      </c>
    </row>
    <row r="39975" spans="1:2" x14ac:dyDescent="0.25">
      <c r="A39975">
        <v>84781090000</v>
      </c>
      <c r="B39975" t="s">
        <v>10</v>
      </c>
    </row>
    <row r="39976" spans="1:2" x14ac:dyDescent="0.25">
      <c r="A39976">
        <v>84789000000</v>
      </c>
      <c r="B39976" t="e">
        <f>-partes</f>
        <v>#NAME?</v>
      </c>
    </row>
    <row r="39977" spans="1:2" x14ac:dyDescent="0.25">
      <c r="A39977">
        <v>8479</v>
      </c>
      <c r="B39977" t="s">
        <v>12511</v>
      </c>
    </row>
    <row r="39978" spans="1:2" x14ac:dyDescent="0.25">
      <c r="A39978">
        <v>847910</v>
      </c>
      <c r="B39978" t="e">
        <f>- maquinas y aparatos para obras publicas. la construccion o trabajos analogos</f>
        <v>#NAME?</v>
      </c>
    </row>
    <row r="39979" spans="1:2" x14ac:dyDescent="0.25">
      <c r="A39979">
        <v>84791010</v>
      </c>
      <c r="B39979" t="s">
        <v>12512</v>
      </c>
    </row>
    <row r="39980" spans="1:2" x14ac:dyDescent="0.25">
      <c r="A39980">
        <v>84791010100</v>
      </c>
      <c r="B39980" t="s">
        <v>12513</v>
      </c>
    </row>
    <row r="39981" spans="1:2" x14ac:dyDescent="0.25">
      <c r="A39981">
        <v>84791010900</v>
      </c>
      <c r="B39981" t="s">
        <v>10</v>
      </c>
    </row>
    <row r="39982" spans="1:2" x14ac:dyDescent="0.25">
      <c r="A39982">
        <v>84791090</v>
      </c>
      <c r="B39982" t="s">
        <v>10</v>
      </c>
    </row>
    <row r="39983" spans="1:2" x14ac:dyDescent="0.25">
      <c r="A39983">
        <v>847910901</v>
      </c>
      <c r="B39983" t="s">
        <v>11626</v>
      </c>
    </row>
    <row r="39984" spans="1:2" x14ac:dyDescent="0.25">
      <c r="A39984">
        <v>84791090110</v>
      </c>
      <c r="B39984" t="s">
        <v>12514</v>
      </c>
    </row>
    <row r="39985" spans="1:2" x14ac:dyDescent="0.25">
      <c r="A39985">
        <v>84791090120</v>
      </c>
      <c r="B39985" t="s">
        <v>12515</v>
      </c>
    </row>
    <row r="39986" spans="1:2" x14ac:dyDescent="0.25">
      <c r="A39986">
        <v>84791090190</v>
      </c>
      <c r="B39986" t="s">
        <v>10</v>
      </c>
    </row>
    <row r="39987" spans="1:2" x14ac:dyDescent="0.25">
      <c r="A39987">
        <v>847910909</v>
      </c>
      <c r="B39987" t="s">
        <v>10</v>
      </c>
    </row>
    <row r="39988" spans="1:2" x14ac:dyDescent="0.25">
      <c r="A39988">
        <v>84791090910</v>
      </c>
      <c r="B39988" t="s">
        <v>12515</v>
      </c>
    </row>
    <row r="39989" spans="1:2" x14ac:dyDescent="0.25">
      <c r="A39989">
        <v>84791090990</v>
      </c>
      <c r="B39989" t="s">
        <v>10</v>
      </c>
    </row>
    <row r="39990" spans="1:2" x14ac:dyDescent="0.25">
      <c r="A39990">
        <v>84792000</v>
      </c>
      <c r="B39990" t="e">
        <f>- maquinas y aparatos para extraccion o preparacion de grasas o Aceites vegetales fijos o animales</f>
        <v>#NAME?</v>
      </c>
    </row>
    <row r="39991" spans="1:2" x14ac:dyDescent="0.25">
      <c r="A39991">
        <v>84792000100</v>
      </c>
      <c r="B39991" t="s">
        <v>12516</v>
      </c>
    </row>
    <row r="39992" spans="1:2" x14ac:dyDescent="0.25">
      <c r="A39992">
        <v>84792000200</v>
      </c>
      <c r="B39992" t="s">
        <v>12517</v>
      </c>
    </row>
    <row r="39993" spans="1:2" x14ac:dyDescent="0.25">
      <c r="A39993">
        <v>84792000300</v>
      </c>
      <c r="B39993" t="s">
        <v>12518</v>
      </c>
    </row>
    <row r="39994" spans="1:2" x14ac:dyDescent="0.25">
      <c r="A39994">
        <v>84792000400</v>
      </c>
      <c r="B39994" t="s">
        <v>12519</v>
      </c>
    </row>
    <row r="39995" spans="1:2" x14ac:dyDescent="0.25">
      <c r="A39995">
        <v>84792000500</v>
      </c>
      <c r="B39995" t="s">
        <v>12520</v>
      </c>
    </row>
    <row r="39996" spans="1:2" x14ac:dyDescent="0.25">
      <c r="A39996">
        <v>84792000600</v>
      </c>
      <c r="B39996" t="s">
        <v>12521</v>
      </c>
    </row>
    <row r="39997" spans="1:2" x14ac:dyDescent="0.25">
      <c r="A39997">
        <v>84792000700</v>
      </c>
      <c r="B39997" t="s">
        <v>12451</v>
      </c>
    </row>
    <row r="39998" spans="1:2" x14ac:dyDescent="0.25">
      <c r="A39998">
        <v>84792000900</v>
      </c>
      <c r="B39998" t="s">
        <v>10</v>
      </c>
    </row>
    <row r="39999" spans="1:2" x14ac:dyDescent="0.25">
      <c r="A39999">
        <v>84793000000</v>
      </c>
      <c r="B39999" t="e">
        <f>-prensas para fabricar Tableros de particulas. fibra de madera u otras materias leñosas y demas maquinas y aparatos para el tratamiento de la madera o el Corcho</f>
        <v>#NAME?</v>
      </c>
    </row>
    <row r="40000" spans="1:2" x14ac:dyDescent="0.25">
      <c r="A40000">
        <v>84794000</v>
      </c>
      <c r="B40000" t="e">
        <f>- maquinas de cordeleria o cableria</f>
        <v>#NAME?</v>
      </c>
    </row>
    <row r="40001" spans="1:2" x14ac:dyDescent="0.25">
      <c r="A40001">
        <v>84794000100</v>
      </c>
      <c r="B40001" t="s">
        <v>12522</v>
      </c>
    </row>
    <row r="40002" spans="1:2" x14ac:dyDescent="0.25">
      <c r="A40002">
        <v>84794000200</v>
      </c>
      <c r="B40002" t="s">
        <v>12523</v>
      </c>
    </row>
    <row r="40003" spans="1:2" x14ac:dyDescent="0.25">
      <c r="A40003">
        <v>84794000300</v>
      </c>
      <c r="B40003" t="s">
        <v>12524</v>
      </c>
    </row>
    <row r="40004" spans="1:2" x14ac:dyDescent="0.25">
      <c r="A40004">
        <v>84794000900</v>
      </c>
      <c r="B40004" t="s">
        <v>57</v>
      </c>
    </row>
    <row r="40005" spans="1:2" x14ac:dyDescent="0.25">
      <c r="A40005">
        <v>84795000000</v>
      </c>
      <c r="B40005" t="e">
        <f>-Robotes industriales. no expresados ni comprendidos En otra parte</f>
        <v>#NAME?</v>
      </c>
    </row>
    <row r="40006" spans="1:2" x14ac:dyDescent="0.25">
      <c r="A40006">
        <v>84796000000</v>
      </c>
      <c r="B40006" t="e">
        <f>-aparatos de evaporacion para refrigerar el aire</f>
        <v>#NAME?</v>
      </c>
    </row>
    <row r="40007" spans="1:2" x14ac:dyDescent="0.25">
      <c r="A40007">
        <v>84797</v>
      </c>
      <c r="B40007" t="s">
        <v>12525</v>
      </c>
    </row>
    <row r="40008" spans="1:2" x14ac:dyDescent="0.25">
      <c r="A40008">
        <v>84797100000</v>
      </c>
      <c r="B40008" t="e">
        <f>--de Los tipos utilizados En Los aeropuertos</f>
        <v>#NAME?</v>
      </c>
    </row>
    <row r="40009" spans="1:2" x14ac:dyDescent="0.25">
      <c r="A40009">
        <v>84797900000</v>
      </c>
      <c r="B40009" t="e">
        <f>--las demas</f>
        <v>#NAME?</v>
      </c>
    </row>
    <row r="40010" spans="1:2" x14ac:dyDescent="0.25">
      <c r="A40010">
        <v>84798</v>
      </c>
      <c r="B40010" t="s">
        <v>11675</v>
      </c>
    </row>
    <row r="40011" spans="1:2" x14ac:dyDescent="0.25">
      <c r="A40011">
        <v>847981</v>
      </c>
      <c r="B40011" t="e">
        <f>- - para el tratamiento del metal. incluidas las bobinadoras de hilos electricos</f>
        <v>#NAME?</v>
      </c>
    </row>
    <row r="40012" spans="1:2" x14ac:dyDescent="0.25">
      <c r="A40012">
        <v>84798110000</v>
      </c>
      <c r="B40012" t="s">
        <v>12526</v>
      </c>
    </row>
    <row r="40013" spans="1:2" x14ac:dyDescent="0.25">
      <c r="A40013">
        <v>84798190000</v>
      </c>
      <c r="B40013" t="s">
        <v>57</v>
      </c>
    </row>
    <row r="40014" spans="1:2" x14ac:dyDescent="0.25">
      <c r="A40014">
        <v>847982</v>
      </c>
      <c r="B40014" t="e">
        <f>- - para mezclar. amasar o sobar. quebrantar. triturar. pulverizar. cribar. tamizar. homogeneizar. emulsionar o agitar</f>
        <v>#NAME?</v>
      </c>
    </row>
    <row r="40015" spans="1:2" x14ac:dyDescent="0.25">
      <c r="A40015">
        <v>84798210</v>
      </c>
      <c r="B40015" t="s">
        <v>12527</v>
      </c>
    </row>
    <row r="40016" spans="1:2" x14ac:dyDescent="0.25">
      <c r="A40016">
        <v>84798210100</v>
      </c>
      <c r="B40016" t="s">
        <v>12528</v>
      </c>
    </row>
    <row r="40017" spans="1:2" x14ac:dyDescent="0.25">
      <c r="A40017">
        <v>84798210900</v>
      </c>
      <c r="B40017" t="s">
        <v>10</v>
      </c>
    </row>
    <row r="40018" spans="1:2" x14ac:dyDescent="0.25">
      <c r="A40018">
        <v>84798290000</v>
      </c>
      <c r="B40018" t="s">
        <v>10</v>
      </c>
    </row>
    <row r="40019" spans="1:2" x14ac:dyDescent="0.25">
      <c r="A40019">
        <v>847989</v>
      </c>
      <c r="B40019" t="e">
        <f>- - Los demas</f>
        <v>#NAME?</v>
      </c>
    </row>
    <row r="40020" spans="1:2" x14ac:dyDescent="0.25">
      <c r="A40020">
        <v>8479891</v>
      </c>
      <c r="B40020" t="s">
        <v>12529</v>
      </c>
    </row>
    <row r="40021" spans="1:2" x14ac:dyDescent="0.25">
      <c r="A40021">
        <v>84798911000</v>
      </c>
      <c r="B40021" t="s">
        <v>11854</v>
      </c>
    </row>
    <row r="40022" spans="1:2" x14ac:dyDescent="0.25">
      <c r="A40022">
        <v>84798912000</v>
      </c>
      <c r="B40022" t="s">
        <v>12530</v>
      </c>
    </row>
    <row r="40023" spans="1:2" x14ac:dyDescent="0.25">
      <c r="A40023">
        <v>8479892</v>
      </c>
      <c r="B40023" t="s">
        <v>12531</v>
      </c>
    </row>
    <row r="40024" spans="1:2" x14ac:dyDescent="0.25">
      <c r="A40024">
        <v>84798921000</v>
      </c>
      <c r="B40024" t="s">
        <v>12532</v>
      </c>
    </row>
    <row r="40025" spans="1:2" x14ac:dyDescent="0.25">
      <c r="A40025">
        <v>84798922000</v>
      </c>
      <c r="B40025" t="s">
        <v>12533</v>
      </c>
    </row>
    <row r="40026" spans="1:2" x14ac:dyDescent="0.25">
      <c r="A40026">
        <v>8479893</v>
      </c>
      <c r="B40026" t="s">
        <v>12534</v>
      </c>
    </row>
    <row r="40027" spans="1:2" x14ac:dyDescent="0.25">
      <c r="A40027">
        <v>84798931000</v>
      </c>
      <c r="B40027" t="s">
        <v>12535</v>
      </c>
    </row>
    <row r="40028" spans="1:2" x14ac:dyDescent="0.25">
      <c r="A40028">
        <v>84798932000</v>
      </c>
      <c r="B40028" t="s">
        <v>12536</v>
      </c>
    </row>
    <row r="40029" spans="1:2" x14ac:dyDescent="0.25">
      <c r="A40029">
        <v>84798940000</v>
      </c>
      <c r="B40029" t="s">
        <v>12537</v>
      </c>
    </row>
    <row r="40030" spans="1:2" x14ac:dyDescent="0.25">
      <c r="A40030">
        <v>8479899</v>
      </c>
      <c r="B40030" t="s">
        <v>10</v>
      </c>
    </row>
    <row r="40031" spans="1:2" x14ac:dyDescent="0.25">
      <c r="A40031">
        <v>84798991000</v>
      </c>
      <c r="B40031" t="s">
        <v>12538</v>
      </c>
    </row>
    <row r="40032" spans="1:2" x14ac:dyDescent="0.25">
      <c r="A40032">
        <v>84798992000</v>
      </c>
      <c r="B40032" t="s">
        <v>12539</v>
      </c>
    </row>
    <row r="40033" spans="1:2" x14ac:dyDescent="0.25">
      <c r="A40033">
        <v>84798999</v>
      </c>
      <c r="B40033" t="s">
        <v>10</v>
      </c>
    </row>
    <row r="40034" spans="1:2" x14ac:dyDescent="0.25">
      <c r="A40034">
        <v>84798999100</v>
      </c>
      <c r="B40034" t="s">
        <v>12540</v>
      </c>
    </row>
    <row r="40035" spans="1:2" x14ac:dyDescent="0.25">
      <c r="A40035">
        <v>84798999200</v>
      </c>
      <c r="B40035" t="s">
        <v>12541</v>
      </c>
    </row>
    <row r="40036" spans="1:2" x14ac:dyDescent="0.25">
      <c r="A40036">
        <v>847989993</v>
      </c>
      <c r="B40036" t="s">
        <v>12542</v>
      </c>
    </row>
    <row r="40037" spans="1:2" x14ac:dyDescent="0.25">
      <c r="A40037">
        <v>84798999310</v>
      </c>
      <c r="B40037" t="s">
        <v>12543</v>
      </c>
    </row>
    <row r="40038" spans="1:2" x14ac:dyDescent="0.25">
      <c r="A40038">
        <v>84798999320</v>
      </c>
      <c r="B40038" t="s">
        <v>12544</v>
      </c>
    </row>
    <row r="40039" spans="1:2" x14ac:dyDescent="0.25">
      <c r="A40039">
        <v>84798999400</v>
      </c>
      <c r="B40039" t="s">
        <v>12545</v>
      </c>
    </row>
    <row r="40040" spans="1:2" x14ac:dyDescent="0.25">
      <c r="A40040">
        <v>84798999500</v>
      </c>
      <c r="B40040" t="s">
        <v>12546</v>
      </c>
    </row>
    <row r="40041" spans="1:2" x14ac:dyDescent="0.25">
      <c r="A40041">
        <v>84798999900</v>
      </c>
      <c r="B40041" t="s">
        <v>10</v>
      </c>
    </row>
    <row r="40042" spans="1:2" x14ac:dyDescent="0.25">
      <c r="A40042">
        <v>847990</v>
      </c>
      <c r="B40042" t="e">
        <f>- partes</f>
        <v>#NAME?</v>
      </c>
    </row>
    <row r="40043" spans="1:2" x14ac:dyDescent="0.25">
      <c r="A40043">
        <v>84799010000</v>
      </c>
      <c r="B40043" t="s">
        <v>12547</v>
      </c>
    </row>
    <row r="40044" spans="1:2" x14ac:dyDescent="0.25">
      <c r="A40044">
        <v>84799090</v>
      </c>
      <c r="B40044" t="s">
        <v>57</v>
      </c>
    </row>
    <row r="40045" spans="1:2" x14ac:dyDescent="0.25">
      <c r="A40045">
        <v>84799090100</v>
      </c>
      <c r="B40045" t="s">
        <v>12548</v>
      </c>
    </row>
    <row r="40046" spans="1:2" x14ac:dyDescent="0.25">
      <c r="A40046">
        <v>84799090900</v>
      </c>
      <c r="B40046" t="s">
        <v>57</v>
      </c>
    </row>
    <row r="40047" spans="1:2" x14ac:dyDescent="0.25">
      <c r="A40047">
        <v>8480</v>
      </c>
      <c r="B40047" t="s">
        <v>12549</v>
      </c>
    </row>
    <row r="40048" spans="1:2" x14ac:dyDescent="0.25">
      <c r="A40048">
        <v>84801000000</v>
      </c>
      <c r="B40048" t="e">
        <f>-Cajas de fundicion</f>
        <v>#NAME?</v>
      </c>
    </row>
    <row r="40049" spans="1:2" x14ac:dyDescent="0.25">
      <c r="A40049">
        <v>84802000000</v>
      </c>
      <c r="B40049" t="e">
        <f>-placas de fondo para moldes</f>
        <v>#NAME?</v>
      </c>
    </row>
    <row r="40050" spans="1:2" x14ac:dyDescent="0.25">
      <c r="A40050">
        <v>84803000000</v>
      </c>
      <c r="B40050" t="e">
        <f>-Modelos para moldes</f>
        <v>#NAME?</v>
      </c>
    </row>
    <row r="40051" spans="1:2" x14ac:dyDescent="0.25">
      <c r="A40051">
        <v>84804</v>
      </c>
      <c r="B40051" t="s">
        <v>12550</v>
      </c>
    </row>
    <row r="40052" spans="1:2" x14ac:dyDescent="0.25">
      <c r="A40052">
        <v>84804100000</v>
      </c>
      <c r="B40052" t="e">
        <f>--para el moldeo por inyeccion o compresion</f>
        <v>#NAME?</v>
      </c>
    </row>
    <row r="40053" spans="1:2" x14ac:dyDescent="0.25">
      <c r="A40053">
        <v>848049</v>
      </c>
      <c r="B40053" t="e">
        <f>- - Los demas</f>
        <v>#NAME?</v>
      </c>
    </row>
    <row r="40054" spans="1:2" x14ac:dyDescent="0.25">
      <c r="A40054">
        <v>84804910000</v>
      </c>
      <c r="B40054" t="s">
        <v>12551</v>
      </c>
    </row>
    <row r="40055" spans="1:2" x14ac:dyDescent="0.25">
      <c r="A40055">
        <v>84804990000</v>
      </c>
      <c r="B40055" t="s">
        <v>10</v>
      </c>
    </row>
    <row r="40056" spans="1:2" x14ac:dyDescent="0.25">
      <c r="A40056">
        <v>84805000000</v>
      </c>
      <c r="B40056" t="e">
        <f>-moldes para vidrio</f>
        <v>#NAME?</v>
      </c>
    </row>
    <row r="40057" spans="1:2" x14ac:dyDescent="0.25">
      <c r="A40057">
        <v>84806000000</v>
      </c>
      <c r="B40057" t="e">
        <f>-moldes para materia mineral</f>
        <v>#NAME?</v>
      </c>
    </row>
    <row r="40058" spans="1:2" x14ac:dyDescent="0.25">
      <c r="A40058">
        <v>84807</v>
      </c>
      <c r="B40058" t="s">
        <v>12552</v>
      </c>
    </row>
    <row r="40059" spans="1:2" x14ac:dyDescent="0.25">
      <c r="A40059">
        <v>84807100000</v>
      </c>
      <c r="B40059" t="e">
        <f>--para moldeo por inyeccion o compresion</f>
        <v>#NAME?</v>
      </c>
    </row>
    <row r="40060" spans="1:2" x14ac:dyDescent="0.25">
      <c r="A40060">
        <v>848079</v>
      </c>
      <c r="B40060" t="e">
        <f>- - Los demas</f>
        <v>#NAME?</v>
      </c>
    </row>
    <row r="40061" spans="1:2" x14ac:dyDescent="0.25">
      <c r="A40061">
        <v>84807910</v>
      </c>
      <c r="B40061" t="s">
        <v>12553</v>
      </c>
    </row>
    <row r="40062" spans="1:2" x14ac:dyDescent="0.25">
      <c r="A40062">
        <v>84807910100</v>
      </c>
      <c r="B40062" t="s">
        <v>12554</v>
      </c>
    </row>
    <row r="40063" spans="1:2" x14ac:dyDescent="0.25">
      <c r="A40063">
        <v>84807910200</v>
      </c>
      <c r="B40063" t="s">
        <v>7474</v>
      </c>
    </row>
    <row r="40064" spans="1:2" x14ac:dyDescent="0.25">
      <c r="A40064">
        <v>84807910300</v>
      </c>
      <c r="B40064" t="s">
        <v>9487</v>
      </c>
    </row>
    <row r="40065" spans="1:2" x14ac:dyDescent="0.25">
      <c r="A40065">
        <v>84807910900</v>
      </c>
      <c r="B40065" t="s">
        <v>10</v>
      </c>
    </row>
    <row r="40066" spans="1:2" x14ac:dyDescent="0.25">
      <c r="A40066">
        <v>84807990000</v>
      </c>
      <c r="B40066" t="s">
        <v>10</v>
      </c>
    </row>
    <row r="40067" spans="1:2" x14ac:dyDescent="0.25">
      <c r="A40067">
        <v>8481</v>
      </c>
      <c r="B40067" t="s">
        <v>12555</v>
      </c>
    </row>
    <row r="40068" spans="1:2" x14ac:dyDescent="0.25">
      <c r="A40068">
        <v>84811000</v>
      </c>
      <c r="B40068" t="e">
        <f>- valvulas reductoras de presion</f>
        <v>#NAME?</v>
      </c>
    </row>
    <row r="40069" spans="1:2" x14ac:dyDescent="0.25">
      <c r="A40069">
        <v>84811000100</v>
      </c>
      <c r="B40069" t="s">
        <v>12556</v>
      </c>
    </row>
    <row r="40070" spans="1:2" x14ac:dyDescent="0.25">
      <c r="A40070">
        <v>848110009</v>
      </c>
      <c r="B40070" t="s">
        <v>57</v>
      </c>
    </row>
    <row r="40071" spans="1:2" x14ac:dyDescent="0.25">
      <c r="A40071">
        <v>84811000910</v>
      </c>
      <c r="B40071" t="s">
        <v>11304</v>
      </c>
    </row>
    <row r="40072" spans="1:2" x14ac:dyDescent="0.25">
      <c r="A40072">
        <v>84811000990</v>
      </c>
      <c r="B40072" t="s">
        <v>10</v>
      </c>
    </row>
    <row r="40073" spans="1:2" x14ac:dyDescent="0.25">
      <c r="A40073">
        <v>848120</v>
      </c>
      <c r="B40073" t="e">
        <f>- valvulas para transmisiones oleohidraulicas o neumaticas</f>
        <v>#NAME?</v>
      </c>
    </row>
    <row r="40074" spans="1:2" x14ac:dyDescent="0.25">
      <c r="A40074">
        <v>8481201</v>
      </c>
      <c r="B40074" t="s">
        <v>12557</v>
      </c>
    </row>
    <row r="40075" spans="1:2" x14ac:dyDescent="0.25">
      <c r="A40075">
        <v>84812011000</v>
      </c>
      <c r="B40075" t="s">
        <v>12558</v>
      </c>
    </row>
    <row r="40076" spans="1:2" x14ac:dyDescent="0.25">
      <c r="A40076">
        <v>84812019000</v>
      </c>
      <c r="B40076" t="s">
        <v>57</v>
      </c>
    </row>
    <row r="40077" spans="1:2" x14ac:dyDescent="0.25">
      <c r="A40077">
        <v>84812090</v>
      </c>
      <c r="B40077" t="s">
        <v>57</v>
      </c>
    </row>
    <row r="40078" spans="1:2" x14ac:dyDescent="0.25">
      <c r="A40078">
        <v>84812090100</v>
      </c>
      <c r="B40078" t="s">
        <v>12559</v>
      </c>
    </row>
    <row r="40079" spans="1:2" x14ac:dyDescent="0.25">
      <c r="A40079">
        <v>84812090200</v>
      </c>
      <c r="B40079" t="s">
        <v>12560</v>
      </c>
    </row>
    <row r="40080" spans="1:2" x14ac:dyDescent="0.25">
      <c r="A40080">
        <v>84812090300</v>
      </c>
      <c r="B40080" t="s">
        <v>12561</v>
      </c>
    </row>
    <row r="40081" spans="1:2" x14ac:dyDescent="0.25">
      <c r="A40081">
        <v>84812090400</v>
      </c>
      <c r="B40081" t="s">
        <v>12562</v>
      </c>
    </row>
    <row r="40082" spans="1:2" x14ac:dyDescent="0.25">
      <c r="A40082">
        <v>84812090500</v>
      </c>
      <c r="B40082" t="s">
        <v>12563</v>
      </c>
    </row>
    <row r="40083" spans="1:2" x14ac:dyDescent="0.25">
      <c r="A40083">
        <v>848120909</v>
      </c>
      <c r="B40083" t="s">
        <v>57</v>
      </c>
    </row>
    <row r="40084" spans="1:2" x14ac:dyDescent="0.25">
      <c r="A40084">
        <v>84812090910</v>
      </c>
      <c r="B40084" t="s">
        <v>11304</v>
      </c>
    </row>
    <row r="40085" spans="1:2" x14ac:dyDescent="0.25">
      <c r="A40085">
        <v>84812090990</v>
      </c>
      <c r="B40085" t="s">
        <v>10</v>
      </c>
    </row>
    <row r="40086" spans="1:2" x14ac:dyDescent="0.25">
      <c r="A40086">
        <v>84813000</v>
      </c>
      <c r="B40086" t="e">
        <f>- valvulas de retencion</f>
        <v>#NAME?</v>
      </c>
    </row>
    <row r="40087" spans="1:2" x14ac:dyDescent="0.25">
      <c r="A40087">
        <v>84813000100</v>
      </c>
      <c r="B40087" t="s">
        <v>12564</v>
      </c>
    </row>
    <row r="40088" spans="1:2" x14ac:dyDescent="0.25">
      <c r="A40088">
        <v>84813000200</v>
      </c>
      <c r="B40088" t="s">
        <v>12565</v>
      </c>
    </row>
    <row r="40089" spans="1:2" x14ac:dyDescent="0.25">
      <c r="A40089">
        <v>84813000900</v>
      </c>
      <c r="B40089" t="s">
        <v>57</v>
      </c>
    </row>
    <row r="40090" spans="1:2" x14ac:dyDescent="0.25">
      <c r="A40090">
        <v>84814000</v>
      </c>
      <c r="B40090" t="e">
        <f>- valvulas de alivio o seguridad</f>
        <v>#NAME?</v>
      </c>
    </row>
    <row r="40091" spans="1:2" x14ac:dyDescent="0.25">
      <c r="A40091">
        <v>84814000100</v>
      </c>
      <c r="B40091" t="s">
        <v>12566</v>
      </c>
    </row>
    <row r="40092" spans="1:2" x14ac:dyDescent="0.25">
      <c r="A40092">
        <v>84814000200</v>
      </c>
      <c r="B40092" t="s">
        <v>12564</v>
      </c>
    </row>
    <row r="40093" spans="1:2" x14ac:dyDescent="0.25">
      <c r="A40093">
        <v>84814000900</v>
      </c>
      <c r="B40093" t="s">
        <v>57</v>
      </c>
    </row>
    <row r="40094" spans="1:2" x14ac:dyDescent="0.25">
      <c r="A40094">
        <v>848180</v>
      </c>
      <c r="B40094" t="e">
        <f>- Los demas Articulos de griferia y organos similares</f>
        <v>#NAME?</v>
      </c>
    </row>
    <row r="40095" spans="1:2" x14ac:dyDescent="0.25">
      <c r="A40095">
        <v>8481801</v>
      </c>
      <c r="B40095" t="s">
        <v>12567</v>
      </c>
    </row>
    <row r="40096" spans="1:2" x14ac:dyDescent="0.25">
      <c r="A40096">
        <v>84818011000</v>
      </c>
      <c r="B40096" t="s">
        <v>12568</v>
      </c>
    </row>
    <row r="40097" spans="1:2" x14ac:dyDescent="0.25">
      <c r="A40097">
        <v>84818019</v>
      </c>
      <c r="B40097" t="s">
        <v>10</v>
      </c>
    </row>
    <row r="40098" spans="1:2" x14ac:dyDescent="0.25">
      <c r="A40098">
        <v>848180191</v>
      </c>
      <c r="B40098" t="s">
        <v>12569</v>
      </c>
    </row>
    <row r="40099" spans="1:2" x14ac:dyDescent="0.25">
      <c r="A40099">
        <v>8481801911</v>
      </c>
      <c r="B40099" t="s">
        <v>12570</v>
      </c>
    </row>
    <row r="40100" spans="1:2" x14ac:dyDescent="0.25">
      <c r="A40100">
        <v>84818019111</v>
      </c>
      <c r="B40100" t="s">
        <v>12571</v>
      </c>
    </row>
    <row r="40101" spans="1:2" x14ac:dyDescent="0.25">
      <c r="A40101">
        <v>84818019119</v>
      </c>
      <c r="B40101" t="s">
        <v>10</v>
      </c>
    </row>
    <row r="40102" spans="1:2" x14ac:dyDescent="0.25">
      <c r="A40102">
        <v>8481801912</v>
      </c>
      <c r="B40102" t="s">
        <v>12572</v>
      </c>
    </row>
    <row r="40103" spans="1:2" x14ac:dyDescent="0.25">
      <c r="A40103">
        <v>84818019121</v>
      </c>
      <c r="B40103" t="s">
        <v>12573</v>
      </c>
    </row>
    <row r="40104" spans="1:2" x14ac:dyDescent="0.25">
      <c r="A40104">
        <v>84818019129</v>
      </c>
      <c r="B40104" t="s">
        <v>10</v>
      </c>
    </row>
    <row r="40105" spans="1:2" x14ac:dyDescent="0.25">
      <c r="A40105">
        <v>8481801913</v>
      </c>
      <c r="B40105" t="s">
        <v>12574</v>
      </c>
    </row>
    <row r="40106" spans="1:2" x14ac:dyDescent="0.25">
      <c r="A40106">
        <v>84818019131</v>
      </c>
      <c r="B40106" t="s">
        <v>12575</v>
      </c>
    </row>
    <row r="40107" spans="1:2" x14ac:dyDescent="0.25">
      <c r="A40107">
        <v>84818019139</v>
      </c>
      <c r="B40107" t="s">
        <v>10</v>
      </c>
    </row>
    <row r="40108" spans="1:2" x14ac:dyDescent="0.25">
      <c r="A40108">
        <v>8481801914</v>
      </c>
      <c r="B40108" t="s">
        <v>12576</v>
      </c>
    </row>
    <row r="40109" spans="1:2" x14ac:dyDescent="0.25">
      <c r="A40109">
        <v>84818019141</v>
      </c>
      <c r="B40109" t="s">
        <v>12577</v>
      </c>
    </row>
    <row r="40110" spans="1:2" x14ac:dyDescent="0.25">
      <c r="A40110">
        <v>84818019149</v>
      </c>
      <c r="B40110" t="s">
        <v>10</v>
      </c>
    </row>
    <row r="40111" spans="1:2" x14ac:dyDescent="0.25">
      <c r="A40111">
        <v>8481801915</v>
      </c>
      <c r="B40111" t="s">
        <v>12578</v>
      </c>
    </row>
    <row r="40112" spans="1:2" x14ac:dyDescent="0.25">
      <c r="A40112">
        <v>84818019151</v>
      </c>
      <c r="B40112" t="s">
        <v>12579</v>
      </c>
    </row>
    <row r="40113" spans="1:2" x14ac:dyDescent="0.25">
      <c r="A40113">
        <v>84818019159</v>
      </c>
      <c r="B40113" t="s">
        <v>10</v>
      </c>
    </row>
    <row r="40114" spans="1:2" x14ac:dyDescent="0.25">
      <c r="A40114">
        <v>8481801916</v>
      </c>
      <c r="B40114" t="s">
        <v>12580</v>
      </c>
    </row>
    <row r="40115" spans="1:2" x14ac:dyDescent="0.25">
      <c r="A40115">
        <v>84818019161</v>
      </c>
      <c r="B40115" t="s">
        <v>12581</v>
      </c>
    </row>
    <row r="40116" spans="1:2" x14ac:dyDescent="0.25">
      <c r="A40116">
        <v>84818019169</v>
      </c>
      <c r="B40116" t="s">
        <v>10</v>
      </c>
    </row>
    <row r="40117" spans="1:2" x14ac:dyDescent="0.25">
      <c r="A40117">
        <v>84818019190</v>
      </c>
      <c r="B40117" t="s">
        <v>10</v>
      </c>
    </row>
    <row r="40118" spans="1:2" x14ac:dyDescent="0.25">
      <c r="A40118">
        <v>848180192</v>
      </c>
      <c r="B40118" t="s">
        <v>12582</v>
      </c>
    </row>
    <row r="40119" spans="1:2" x14ac:dyDescent="0.25">
      <c r="A40119">
        <v>8481801921</v>
      </c>
      <c r="B40119" t="s">
        <v>12583</v>
      </c>
    </row>
    <row r="40120" spans="1:2" x14ac:dyDescent="0.25">
      <c r="A40120">
        <v>84818019211</v>
      </c>
      <c r="B40120" t="s">
        <v>12584</v>
      </c>
    </row>
    <row r="40121" spans="1:2" x14ac:dyDescent="0.25">
      <c r="A40121">
        <v>84818019219</v>
      </c>
      <c r="B40121" t="s">
        <v>10</v>
      </c>
    </row>
    <row r="40122" spans="1:2" x14ac:dyDescent="0.25">
      <c r="A40122">
        <v>8481801922</v>
      </c>
      <c r="B40122" t="s">
        <v>12585</v>
      </c>
    </row>
    <row r="40123" spans="1:2" x14ac:dyDescent="0.25">
      <c r="A40123">
        <v>84818019221</v>
      </c>
      <c r="B40123" t="s">
        <v>12586</v>
      </c>
    </row>
    <row r="40124" spans="1:2" x14ac:dyDescent="0.25">
      <c r="A40124">
        <v>84818019229</v>
      </c>
      <c r="B40124" t="s">
        <v>10</v>
      </c>
    </row>
    <row r="40125" spans="1:2" x14ac:dyDescent="0.25">
      <c r="A40125">
        <v>84818019290</v>
      </c>
      <c r="B40125" t="s">
        <v>10</v>
      </c>
    </row>
    <row r="40126" spans="1:2" x14ac:dyDescent="0.25">
      <c r="A40126">
        <v>848180199</v>
      </c>
      <c r="B40126" t="s">
        <v>10</v>
      </c>
    </row>
    <row r="40127" spans="1:2" x14ac:dyDescent="0.25">
      <c r="A40127">
        <v>84818019910</v>
      </c>
      <c r="B40127" t="s">
        <v>12587</v>
      </c>
    </row>
    <row r="40128" spans="1:2" x14ac:dyDescent="0.25">
      <c r="A40128">
        <v>84818019990</v>
      </c>
      <c r="B40128" t="s">
        <v>10</v>
      </c>
    </row>
    <row r="40129" spans="1:2" x14ac:dyDescent="0.25">
      <c r="A40129">
        <v>8481802</v>
      </c>
      <c r="B40129" t="s">
        <v>12588</v>
      </c>
    </row>
    <row r="40130" spans="1:2" x14ac:dyDescent="0.25">
      <c r="A40130">
        <v>84818021</v>
      </c>
      <c r="B40130" t="s">
        <v>12589</v>
      </c>
    </row>
    <row r="40131" spans="1:2" x14ac:dyDescent="0.25">
      <c r="A40131">
        <v>84818021100</v>
      </c>
      <c r="B40131" t="s">
        <v>12590</v>
      </c>
    </row>
    <row r="40132" spans="1:2" x14ac:dyDescent="0.25">
      <c r="A40132">
        <v>84818021900</v>
      </c>
      <c r="B40132" t="s">
        <v>57</v>
      </c>
    </row>
    <row r="40133" spans="1:2" x14ac:dyDescent="0.25">
      <c r="A40133">
        <v>84818029000</v>
      </c>
      <c r="B40133" t="s">
        <v>10</v>
      </c>
    </row>
    <row r="40134" spans="1:2" x14ac:dyDescent="0.25">
      <c r="A40134">
        <v>8481803</v>
      </c>
      <c r="B40134" t="s">
        <v>12591</v>
      </c>
    </row>
    <row r="40135" spans="1:2" x14ac:dyDescent="0.25">
      <c r="A40135">
        <v>84818031000</v>
      </c>
      <c r="B40135" t="s">
        <v>12592</v>
      </c>
    </row>
    <row r="40136" spans="1:2" x14ac:dyDescent="0.25">
      <c r="A40136">
        <v>84818039000</v>
      </c>
      <c r="B40136" t="s">
        <v>10</v>
      </c>
    </row>
    <row r="40137" spans="1:2" x14ac:dyDescent="0.25">
      <c r="A40137">
        <v>8481809</v>
      </c>
      <c r="B40137" t="s">
        <v>10</v>
      </c>
    </row>
    <row r="40138" spans="1:2" x14ac:dyDescent="0.25">
      <c r="A40138">
        <v>84818091000</v>
      </c>
      <c r="B40138" t="s">
        <v>12593</v>
      </c>
    </row>
    <row r="40139" spans="1:2" x14ac:dyDescent="0.25">
      <c r="A40139">
        <v>84818092</v>
      </c>
      <c r="B40139" t="s">
        <v>12594</v>
      </c>
    </row>
    <row r="40140" spans="1:2" x14ac:dyDescent="0.25">
      <c r="A40140">
        <v>84818092100</v>
      </c>
      <c r="B40140" t="s">
        <v>12564</v>
      </c>
    </row>
    <row r="40141" spans="1:2" x14ac:dyDescent="0.25">
      <c r="A40141">
        <v>84818092900</v>
      </c>
      <c r="B40141" t="s">
        <v>57</v>
      </c>
    </row>
    <row r="40142" spans="1:2" x14ac:dyDescent="0.25">
      <c r="A40142">
        <v>84818093</v>
      </c>
      <c r="B40142" t="s">
        <v>12595</v>
      </c>
    </row>
    <row r="40143" spans="1:2" x14ac:dyDescent="0.25">
      <c r="A40143">
        <v>84818093100</v>
      </c>
      <c r="B40143" t="s">
        <v>12564</v>
      </c>
    </row>
    <row r="40144" spans="1:2" x14ac:dyDescent="0.25">
      <c r="A40144">
        <v>84818093900</v>
      </c>
      <c r="B40144" t="s">
        <v>57</v>
      </c>
    </row>
    <row r="40145" spans="1:2" x14ac:dyDescent="0.25">
      <c r="A40145">
        <v>84818094000</v>
      </c>
      <c r="B40145" t="s">
        <v>12596</v>
      </c>
    </row>
    <row r="40146" spans="1:2" x14ac:dyDescent="0.25">
      <c r="A40146">
        <v>84818095000</v>
      </c>
      <c r="B40146" t="s">
        <v>12597</v>
      </c>
    </row>
    <row r="40147" spans="1:2" x14ac:dyDescent="0.25">
      <c r="A40147">
        <v>84818096000</v>
      </c>
      <c r="B40147" t="s">
        <v>12598</v>
      </c>
    </row>
    <row r="40148" spans="1:2" x14ac:dyDescent="0.25">
      <c r="A40148">
        <v>84818097</v>
      </c>
      <c r="B40148" t="s">
        <v>12599</v>
      </c>
    </row>
    <row r="40149" spans="1:2" x14ac:dyDescent="0.25">
      <c r="A40149">
        <v>84818097100</v>
      </c>
      <c r="B40149" t="s">
        <v>12600</v>
      </c>
    </row>
    <row r="40150" spans="1:2" x14ac:dyDescent="0.25">
      <c r="A40150">
        <v>84818097200</v>
      </c>
      <c r="B40150" t="s">
        <v>12601</v>
      </c>
    </row>
    <row r="40151" spans="1:2" x14ac:dyDescent="0.25">
      <c r="A40151">
        <v>84818097300</v>
      </c>
      <c r="B40151" t="s">
        <v>12602</v>
      </c>
    </row>
    <row r="40152" spans="1:2" x14ac:dyDescent="0.25">
      <c r="A40152">
        <v>84818097900</v>
      </c>
      <c r="B40152" t="s">
        <v>57</v>
      </c>
    </row>
    <row r="40153" spans="1:2" x14ac:dyDescent="0.25">
      <c r="A40153">
        <v>84818099</v>
      </c>
      <c r="B40153" t="s">
        <v>10</v>
      </c>
    </row>
    <row r="40154" spans="1:2" x14ac:dyDescent="0.25">
      <c r="A40154">
        <v>84818099100</v>
      </c>
      <c r="B40154" t="s">
        <v>12603</v>
      </c>
    </row>
    <row r="40155" spans="1:2" x14ac:dyDescent="0.25">
      <c r="A40155">
        <v>84818099200</v>
      </c>
      <c r="B40155" t="s">
        <v>12604</v>
      </c>
    </row>
    <row r="40156" spans="1:2" x14ac:dyDescent="0.25">
      <c r="A40156">
        <v>84818099300</v>
      </c>
      <c r="B40156" t="s">
        <v>12605</v>
      </c>
    </row>
    <row r="40157" spans="1:2" x14ac:dyDescent="0.25">
      <c r="A40157">
        <v>84818099400</v>
      </c>
      <c r="B40157" t="s">
        <v>12606</v>
      </c>
    </row>
    <row r="40158" spans="1:2" x14ac:dyDescent="0.25">
      <c r="A40158">
        <v>848180995</v>
      </c>
      <c r="B40158" t="s">
        <v>12607</v>
      </c>
    </row>
    <row r="40159" spans="1:2" x14ac:dyDescent="0.25">
      <c r="A40159">
        <v>84818099510</v>
      </c>
      <c r="B40159" t="s">
        <v>12608</v>
      </c>
    </row>
    <row r="40160" spans="1:2" x14ac:dyDescent="0.25">
      <c r="A40160">
        <v>84818099590</v>
      </c>
      <c r="B40160" t="s">
        <v>57</v>
      </c>
    </row>
    <row r="40161" spans="1:2" x14ac:dyDescent="0.25">
      <c r="A40161">
        <v>84818099600</v>
      </c>
      <c r="B40161" t="s">
        <v>12609</v>
      </c>
    </row>
    <row r="40162" spans="1:2" x14ac:dyDescent="0.25">
      <c r="A40162">
        <v>84818099700</v>
      </c>
      <c r="B40162" t="s">
        <v>12610</v>
      </c>
    </row>
    <row r="40163" spans="1:2" x14ac:dyDescent="0.25">
      <c r="A40163">
        <v>84818099800</v>
      </c>
      <c r="B40163" t="s">
        <v>12611</v>
      </c>
    </row>
    <row r="40164" spans="1:2" x14ac:dyDescent="0.25">
      <c r="A40164">
        <v>848180999</v>
      </c>
      <c r="B40164" t="s">
        <v>10</v>
      </c>
    </row>
    <row r="40165" spans="1:2" x14ac:dyDescent="0.25">
      <c r="A40165">
        <v>84818099910</v>
      </c>
      <c r="B40165" t="s">
        <v>12612</v>
      </c>
    </row>
    <row r="40166" spans="1:2" x14ac:dyDescent="0.25">
      <c r="A40166">
        <v>84818099990</v>
      </c>
      <c r="B40166" t="s">
        <v>10</v>
      </c>
    </row>
    <row r="40167" spans="1:2" x14ac:dyDescent="0.25">
      <c r="A40167">
        <v>848190</v>
      </c>
      <c r="B40167" t="e">
        <f>- partes</f>
        <v>#NAME?</v>
      </c>
    </row>
    <row r="40168" spans="1:2" x14ac:dyDescent="0.25">
      <c r="A40168">
        <v>84819010000</v>
      </c>
      <c r="B40168" t="s">
        <v>12613</v>
      </c>
    </row>
    <row r="40169" spans="1:2" x14ac:dyDescent="0.25">
      <c r="A40169">
        <v>84819090</v>
      </c>
      <c r="B40169" t="s">
        <v>57</v>
      </c>
    </row>
    <row r="40170" spans="1:2" x14ac:dyDescent="0.25">
      <c r="A40170">
        <v>84819090100</v>
      </c>
      <c r="B40170" t="s">
        <v>12614</v>
      </c>
    </row>
    <row r="40171" spans="1:2" x14ac:dyDescent="0.25">
      <c r="A40171">
        <v>84819090200</v>
      </c>
      <c r="B40171" t="s">
        <v>12615</v>
      </c>
    </row>
    <row r="40172" spans="1:2" x14ac:dyDescent="0.25">
      <c r="A40172">
        <v>84819090900</v>
      </c>
      <c r="B40172" t="s">
        <v>57</v>
      </c>
    </row>
    <row r="40173" spans="1:2" x14ac:dyDescent="0.25">
      <c r="A40173">
        <v>8482</v>
      </c>
      <c r="B40173" t="s">
        <v>12616</v>
      </c>
    </row>
    <row r="40174" spans="1:2" x14ac:dyDescent="0.25">
      <c r="A40174">
        <v>848210</v>
      </c>
      <c r="B40174" t="e">
        <f>- Rodamientos de Bolas</f>
        <v>#NAME?</v>
      </c>
    </row>
    <row r="40175" spans="1:2" x14ac:dyDescent="0.25">
      <c r="A40175">
        <v>84821010</v>
      </c>
      <c r="B40175" t="s">
        <v>7244</v>
      </c>
    </row>
    <row r="40176" spans="1:2" x14ac:dyDescent="0.25">
      <c r="A40176">
        <v>848210101</v>
      </c>
      <c r="B40176" t="s">
        <v>12617</v>
      </c>
    </row>
    <row r="40177" spans="1:2" x14ac:dyDescent="0.25">
      <c r="A40177">
        <v>8482101011</v>
      </c>
      <c r="B40177" t="s">
        <v>12618</v>
      </c>
    </row>
    <row r="40178" spans="1:2" x14ac:dyDescent="0.25">
      <c r="A40178">
        <v>84821010111</v>
      </c>
      <c r="B40178" t="s">
        <v>12619</v>
      </c>
    </row>
    <row r="40179" spans="1:2" x14ac:dyDescent="0.25">
      <c r="A40179">
        <v>84821010119</v>
      </c>
      <c r="B40179" t="s">
        <v>10</v>
      </c>
    </row>
    <row r="40180" spans="1:2" x14ac:dyDescent="0.25">
      <c r="A40180">
        <v>8482101012</v>
      </c>
      <c r="B40180" t="s">
        <v>12620</v>
      </c>
    </row>
    <row r="40181" spans="1:2" x14ac:dyDescent="0.25">
      <c r="A40181">
        <v>84821010121</v>
      </c>
      <c r="B40181" t="s">
        <v>12621</v>
      </c>
    </row>
    <row r="40182" spans="1:2" x14ac:dyDescent="0.25">
      <c r="A40182">
        <v>84821010129</v>
      </c>
      <c r="B40182" t="s">
        <v>10</v>
      </c>
    </row>
    <row r="40183" spans="1:2" x14ac:dyDescent="0.25">
      <c r="A40183">
        <v>8482101013</v>
      </c>
      <c r="B40183" t="s">
        <v>12622</v>
      </c>
    </row>
    <row r="40184" spans="1:2" x14ac:dyDescent="0.25">
      <c r="A40184">
        <v>84821010131</v>
      </c>
      <c r="B40184" t="s">
        <v>12623</v>
      </c>
    </row>
    <row r="40185" spans="1:2" x14ac:dyDescent="0.25">
      <c r="A40185">
        <v>84821010132</v>
      </c>
      <c r="B40185" t="s">
        <v>12624</v>
      </c>
    </row>
    <row r="40186" spans="1:2" x14ac:dyDescent="0.25">
      <c r="A40186">
        <v>84821010133</v>
      </c>
      <c r="B40186" t="s">
        <v>12625</v>
      </c>
    </row>
    <row r="40187" spans="1:2" x14ac:dyDescent="0.25">
      <c r="A40187">
        <v>84821010139</v>
      </c>
      <c r="B40187" t="s">
        <v>10</v>
      </c>
    </row>
    <row r="40188" spans="1:2" x14ac:dyDescent="0.25">
      <c r="A40188">
        <v>8482101014</v>
      </c>
      <c r="B40188" t="s">
        <v>12626</v>
      </c>
    </row>
    <row r="40189" spans="1:2" x14ac:dyDescent="0.25">
      <c r="A40189">
        <v>84821010141</v>
      </c>
      <c r="B40189" t="s">
        <v>12627</v>
      </c>
    </row>
    <row r="40190" spans="1:2" x14ac:dyDescent="0.25">
      <c r="A40190">
        <v>84821010142</v>
      </c>
      <c r="B40190" t="s">
        <v>12628</v>
      </c>
    </row>
    <row r="40191" spans="1:2" x14ac:dyDescent="0.25">
      <c r="A40191">
        <v>84821010143</v>
      </c>
      <c r="B40191" t="s">
        <v>12629</v>
      </c>
    </row>
    <row r="40192" spans="1:2" x14ac:dyDescent="0.25">
      <c r="A40192">
        <v>84821010144</v>
      </c>
      <c r="B40192" t="s">
        <v>12630</v>
      </c>
    </row>
    <row r="40193" spans="1:2" x14ac:dyDescent="0.25">
      <c r="A40193">
        <v>84821010145</v>
      </c>
      <c r="B40193" t="s">
        <v>12631</v>
      </c>
    </row>
    <row r="40194" spans="1:2" x14ac:dyDescent="0.25">
      <c r="A40194">
        <v>84821010149</v>
      </c>
      <c r="B40194" t="s">
        <v>10</v>
      </c>
    </row>
    <row r="40195" spans="1:2" x14ac:dyDescent="0.25">
      <c r="A40195">
        <v>8482101015</v>
      </c>
      <c r="B40195" t="s">
        <v>12632</v>
      </c>
    </row>
    <row r="40196" spans="1:2" x14ac:dyDescent="0.25">
      <c r="A40196">
        <v>84821010151</v>
      </c>
      <c r="B40196" t="s">
        <v>12633</v>
      </c>
    </row>
    <row r="40197" spans="1:2" x14ac:dyDescent="0.25">
      <c r="A40197">
        <v>84821010152</v>
      </c>
      <c r="B40197" t="s">
        <v>12634</v>
      </c>
    </row>
    <row r="40198" spans="1:2" x14ac:dyDescent="0.25">
      <c r="A40198">
        <v>84821010153</v>
      </c>
      <c r="B40198" t="s">
        <v>12635</v>
      </c>
    </row>
    <row r="40199" spans="1:2" x14ac:dyDescent="0.25">
      <c r="A40199">
        <v>84821010159</v>
      </c>
      <c r="B40199" t="s">
        <v>10</v>
      </c>
    </row>
    <row r="40200" spans="1:2" x14ac:dyDescent="0.25">
      <c r="A40200">
        <v>8482101016</v>
      </c>
      <c r="B40200" t="s">
        <v>12636</v>
      </c>
    </row>
    <row r="40201" spans="1:2" x14ac:dyDescent="0.25">
      <c r="A40201">
        <v>84821010161</v>
      </c>
      <c r="B40201" t="s">
        <v>12637</v>
      </c>
    </row>
    <row r="40202" spans="1:2" x14ac:dyDescent="0.25">
      <c r="A40202">
        <v>84821010162</v>
      </c>
      <c r="B40202" t="s">
        <v>12638</v>
      </c>
    </row>
    <row r="40203" spans="1:2" x14ac:dyDescent="0.25">
      <c r="A40203">
        <v>84821010163</v>
      </c>
      <c r="B40203" t="s">
        <v>12639</v>
      </c>
    </row>
    <row r="40204" spans="1:2" x14ac:dyDescent="0.25">
      <c r="A40204">
        <v>84821010164</v>
      </c>
      <c r="B40204" t="s">
        <v>12640</v>
      </c>
    </row>
    <row r="40205" spans="1:2" x14ac:dyDescent="0.25">
      <c r="A40205">
        <v>84821010165</v>
      </c>
      <c r="B40205" t="s">
        <v>12641</v>
      </c>
    </row>
    <row r="40206" spans="1:2" x14ac:dyDescent="0.25">
      <c r="A40206">
        <v>84821010169</v>
      </c>
      <c r="B40206" t="s">
        <v>10</v>
      </c>
    </row>
    <row r="40207" spans="1:2" x14ac:dyDescent="0.25">
      <c r="A40207">
        <v>84821010190</v>
      </c>
      <c r="B40207" t="s">
        <v>10</v>
      </c>
    </row>
    <row r="40208" spans="1:2" x14ac:dyDescent="0.25">
      <c r="A40208">
        <v>848210102</v>
      </c>
      <c r="B40208" t="s">
        <v>12642</v>
      </c>
    </row>
    <row r="40209" spans="1:2" x14ac:dyDescent="0.25">
      <c r="A40209">
        <v>84821010210</v>
      </c>
      <c r="B40209" t="s">
        <v>12643</v>
      </c>
    </row>
    <row r="40210" spans="1:2" x14ac:dyDescent="0.25">
      <c r="A40210">
        <v>84821010220</v>
      </c>
      <c r="B40210" t="s">
        <v>12644</v>
      </c>
    </row>
    <row r="40211" spans="1:2" x14ac:dyDescent="0.25">
      <c r="A40211">
        <v>84821010290</v>
      </c>
      <c r="B40211" t="s">
        <v>10</v>
      </c>
    </row>
    <row r="40212" spans="1:2" x14ac:dyDescent="0.25">
      <c r="A40212">
        <v>84821010900</v>
      </c>
      <c r="B40212" t="s">
        <v>10</v>
      </c>
    </row>
    <row r="40213" spans="1:2" x14ac:dyDescent="0.25">
      <c r="A40213">
        <v>84821090</v>
      </c>
      <c r="B40213" t="s">
        <v>10</v>
      </c>
    </row>
    <row r="40214" spans="1:2" x14ac:dyDescent="0.25">
      <c r="A40214">
        <v>848210901</v>
      </c>
      <c r="B40214" t="s">
        <v>12645</v>
      </c>
    </row>
    <row r="40215" spans="1:2" x14ac:dyDescent="0.25">
      <c r="A40215">
        <v>84821090110</v>
      </c>
      <c r="B40215" t="s">
        <v>12646</v>
      </c>
    </row>
    <row r="40216" spans="1:2" x14ac:dyDescent="0.25">
      <c r="A40216">
        <v>84821090120</v>
      </c>
      <c r="B40216" t="s">
        <v>12647</v>
      </c>
    </row>
    <row r="40217" spans="1:2" x14ac:dyDescent="0.25">
      <c r="A40217">
        <v>84821090130</v>
      </c>
      <c r="B40217" t="s">
        <v>12648</v>
      </c>
    </row>
    <row r="40218" spans="1:2" x14ac:dyDescent="0.25">
      <c r="A40218">
        <v>84821090190</v>
      </c>
      <c r="B40218" t="s">
        <v>10</v>
      </c>
    </row>
    <row r="40219" spans="1:2" x14ac:dyDescent="0.25">
      <c r="A40219">
        <v>848210902</v>
      </c>
      <c r="B40219" t="s">
        <v>12649</v>
      </c>
    </row>
    <row r="40220" spans="1:2" x14ac:dyDescent="0.25">
      <c r="A40220">
        <v>84821090210</v>
      </c>
      <c r="B40220" t="s">
        <v>12648</v>
      </c>
    </row>
    <row r="40221" spans="1:2" x14ac:dyDescent="0.25">
      <c r="A40221">
        <v>84821090290</v>
      </c>
      <c r="B40221" t="s">
        <v>10</v>
      </c>
    </row>
    <row r="40222" spans="1:2" x14ac:dyDescent="0.25">
      <c r="A40222">
        <v>84821090900</v>
      </c>
      <c r="B40222" t="s">
        <v>10</v>
      </c>
    </row>
    <row r="40223" spans="1:2" x14ac:dyDescent="0.25">
      <c r="A40223">
        <v>848220</v>
      </c>
      <c r="B40223" t="e">
        <f>- Rodamientos de rodillos conicos. incluidos Los ensamblados de Conos y rodillos conicos</f>
        <v>#NAME?</v>
      </c>
    </row>
    <row r="40224" spans="1:2" x14ac:dyDescent="0.25">
      <c r="A40224">
        <v>84822010</v>
      </c>
      <c r="B40224" t="s">
        <v>7244</v>
      </c>
    </row>
    <row r="40225" spans="1:2" x14ac:dyDescent="0.25">
      <c r="A40225">
        <v>84822010100</v>
      </c>
      <c r="B40225" t="s">
        <v>12650</v>
      </c>
    </row>
    <row r="40226" spans="1:2" x14ac:dyDescent="0.25">
      <c r="A40226">
        <v>84822010900</v>
      </c>
      <c r="B40226" t="s">
        <v>10</v>
      </c>
    </row>
    <row r="40227" spans="1:2" x14ac:dyDescent="0.25">
      <c r="A40227">
        <v>84822090</v>
      </c>
      <c r="B40227" t="s">
        <v>10</v>
      </c>
    </row>
    <row r="40228" spans="1:2" x14ac:dyDescent="0.25">
      <c r="A40228">
        <v>84822090100</v>
      </c>
      <c r="B40228" t="s">
        <v>12651</v>
      </c>
    </row>
    <row r="40229" spans="1:2" x14ac:dyDescent="0.25">
      <c r="A40229">
        <v>84822090900</v>
      </c>
      <c r="B40229" t="s">
        <v>10</v>
      </c>
    </row>
    <row r="40230" spans="1:2" x14ac:dyDescent="0.25">
      <c r="A40230">
        <v>84823000000</v>
      </c>
      <c r="B40230" t="e">
        <f>-Rodamientos de rodillos En forma de tonel</f>
        <v>#NAME?</v>
      </c>
    </row>
    <row r="40231" spans="1:2" x14ac:dyDescent="0.25">
      <c r="A40231">
        <v>84824000</v>
      </c>
      <c r="B40231" t="e">
        <f>-Rodamientos de agujas</f>
        <v>#NAME?</v>
      </c>
    </row>
    <row r="40232" spans="1:2" x14ac:dyDescent="0.25">
      <c r="A40232">
        <v>84824000100</v>
      </c>
      <c r="B40232" t="s">
        <v>12652</v>
      </c>
    </row>
    <row r="40233" spans="1:2" x14ac:dyDescent="0.25">
      <c r="A40233">
        <v>84824000900</v>
      </c>
      <c r="B40233" t="s">
        <v>10</v>
      </c>
    </row>
    <row r="40234" spans="1:2" x14ac:dyDescent="0.25">
      <c r="A40234">
        <v>848250</v>
      </c>
      <c r="B40234" t="e">
        <f>- Rodamientos de rodillos cilindricos</f>
        <v>#NAME?</v>
      </c>
    </row>
    <row r="40235" spans="1:2" x14ac:dyDescent="0.25">
      <c r="A40235">
        <v>84825010000</v>
      </c>
      <c r="B40235" t="s">
        <v>7244</v>
      </c>
    </row>
    <row r="40236" spans="1:2" x14ac:dyDescent="0.25">
      <c r="A40236">
        <v>84825090000</v>
      </c>
      <c r="B40236" t="s">
        <v>10</v>
      </c>
    </row>
    <row r="40237" spans="1:2" x14ac:dyDescent="0.25">
      <c r="A40237">
        <v>84828000000</v>
      </c>
      <c r="B40237" t="e">
        <f>-Los demas. incluidos Los Rodamientos combinados</f>
        <v>#NAME?</v>
      </c>
    </row>
    <row r="40238" spans="1:2" x14ac:dyDescent="0.25">
      <c r="A40238">
        <v>84829</v>
      </c>
      <c r="B40238" t="s">
        <v>11167</v>
      </c>
    </row>
    <row r="40239" spans="1:2" x14ac:dyDescent="0.25">
      <c r="A40239">
        <v>848291</v>
      </c>
      <c r="B40239" t="e">
        <f>- - Bolas. rodillos y agujas</f>
        <v>#NAME?</v>
      </c>
    </row>
    <row r="40240" spans="1:2" x14ac:dyDescent="0.25">
      <c r="A40240">
        <v>8482911</v>
      </c>
      <c r="B40240" t="s">
        <v>12653</v>
      </c>
    </row>
    <row r="40241" spans="1:2" x14ac:dyDescent="0.25">
      <c r="A40241">
        <v>84829111000</v>
      </c>
      <c r="B40241" t="s">
        <v>12654</v>
      </c>
    </row>
    <row r="40242" spans="1:2" x14ac:dyDescent="0.25">
      <c r="A40242">
        <v>84829119</v>
      </c>
      <c r="B40242" t="s">
        <v>57</v>
      </c>
    </row>
    <row r="40243" spans="1:2" x14ac:dyDescent="0.25">
      <c r="A40243">
        <v>84829119100</v>
      </c>
      <c r="B40243" t="s">
        <v>12655</v>
      </c>
    </row>
    <row r="40244" spans="1:2" x14ac:dyDescent="0.25">
      <c r="A40244">
        <v>84829119900</v>
      </c>
      <c r="B40244" t="s">
        <v>57</v>
      </c>
    </row>
    <row r="40245" spans="1:2" x14ac:dyDescent="0.25">
      <c r="A40245">
        <v>84829120000</v>
      </c>
      <c r="B40245" t="s">
        <v>12656</v>
      </c>
    </row>
    <row r="40246" spans="1:2" x14ac:dyDescent="0.25">
      <c r="A40246">
        <v>84829130000</v>
      </c>
      <c r="B40246" t="s">
        <v>12657</v>
      </c>
    </row>
    <row r="40247" spans="1:2" x14ac:dyDescent="0.25">
      <c r="A40247">
        <v>84829190000</v>
      </c>
      <c r="B40247" t="s">
        <v>10</v>
      </c>
    </row>
    <row r="40248" spans="1:2" x14ac:dyDescent="0.25">
      <c r="A40248">
        <v>848299</v>
      </c>
      <c r="B40248" t="e">
        <f>- - las demas</f>
        <v>#NAME?</v>
      </c>
    </row>
    <row r="40249" spans="1:2" x14ac:dyDescent="0.25">
      <c r="A40249">
        <v>84829910000</v>
      </c>
      <c r="B40249" t="s">
        <v>12658</v>
      </c>
    </row>
    <row r="40250" spans="1:2" x14ac:dyDescent="0.25">
      <c r="A40250">
        <v>84829990</v>
      </c>
      <c r="B40250" t="s">
        <v>57</v>
      </c>
    </row>
    <row r="40251" spans="1:2" x14ac:dyDescent="0.25">
      <c r="A40251">
        <v>848299901</v>
      </c>
      <c r="B40251" t="s">
        <v>12659</v>
      </c>
    </row>
    <row r="40252" spans="1:2" x14ac:dyDescent="0.25">
      <c r="A40252">
        <v>8482999011</v>
      </c>
      <c r="B40252" t="s">
        <v>12660</v>
      </c>
    </row>
    <row r="40253" spans="1:2" x14ac:dyDescent="0.25">
      <c r="A40253">
        <v>84829990111</v>
      </c>
      <c r="B40253" t="s">
        <v>12661</v>
      </c>
    </row>
    <row r="40254" spans="1:2" x14ac:dyDescent="0.25">
      <c r="A40254">
        <v>84829990112</v>
      </c>
      <c r="B40254" t="s">
        <v>12662</v>
      </c>
    </row>
    <row r="40255" spans="1:2" x14ac:dyDescent="0.25">
      <c r="A40255">
        <v>84829990113</v>
      </c>
      <c r="B40255" t="s">
        <v>12663</v>
      </c>
    </row>
    <row r="40256" spans="1:2" x14ac:dyDescent="0.25">
      <c r="A40256">
        <v>84829990114</v>
      </c>
      <c r="B40256" t="s">
        <v>12664</v>
      </c>
    </row>
    <row r="40257" spans="1:2" x14ac:dyDescent="0.25">
      <c r="A40257">
        <v>84829990115</v>
      </c>
      <c r="B40257" t="s">
        <v>12665</v>
      </c>
    </row>
    <row r="40258" spans="1:2" x14ac:dyDescent="0.25">
      <c r="A40258">
        <v>84829990116</v>
      </c>
      <c r="B40258" t="s">
        <v>12666</v>
      </c>
    </row>
    <row r="40259" spans="1:2" x14ac:dyDescent="0.25">
      <c r="A40259">
        <v>84829990119</v>
      </c>
      <c r="B40259" t="s">
        <v>10</v>
      </c>
    </row>
    <row r="40260" spans="1:2" x14ac:dyDescent="0.25">
      <c r="A40260">
        <v>8482999012</v>
      </c>
      <c r="B40260" t="s">
        <v>12667</v>
      </c>
    </row>
    <row r="40261" spans="1:2" x14ac:dyDescent="0.25">
      <c r="A40261">
        <v>84829990121</v>
      </c>
      <c r="B40261" t="s">
        <v>12661</v>
      </c>
    </row>
    <row r="40262" spans="1:2" x14ac:dyDescent="0.25">
      <c r="A40262">
        <v>84829990122</v>
      </c>
      <c r="B40262" t="s">
        <v>12668</v>
      </c>
    </row>
    <row r="40263" spans="1:2" x14ac:dyDescent="0.25">
      <c r="A40263">
        <v>84829990123</v>
      </c>
      <c r="B40263" t="s">
        <v>12669</v>
      </c>
    </row>
    <row r="40264" spans="1:2" x14ac:dyDescent="0.25">
      <c r="A40264">
        <v>84829990124</v>
      </c>
      <c r="B40264" t="s">
        <v>12670</v>
      </c>
    </row>
    <row r="40265" spans="1:2" x14ac:dyDescent="0.25">
      <c r="A40265">
        <v>84829990125</v>
      </c>
      <c r="B40265" t="s">
        <v>12671</v>
      </c>
    </row>
    <row r="40266" spans="1:2" x14ac:dyDescent="0.25">
      <c r="A40266">
        <v>84829990126</v>
      </c>
      <c r="B40266" t="s">
        <v>12672</v>
      </c>
    </row>
    <row r="40267" spans="1:2" x14ac:dyDescent="0.25">
      <c r="A40267">
        <v>84829990129</v>
      </c>
      <c r="B40267" t="s">
        <v>10</v>
      </c>
    </row>
    <row r="40268" spans="1:2" x14ac:dyDescent="0.25">
      <c r="A40268">
        <v>84829990200</v>
      </c>
      <c r="B40268" t="s">
        <v>12673</v>
      </c>
    </row>
    <row r="40269" spans="1:2" x14ac:dyDescent="0.25">
      <c r="A40269">
        <v>84829990900</v>
      </c>
      <c r="B40269" t="s">
        <v>57</v>
      </c>
    </row>
    <row r="40270" spans="1:2" x14ac:dyDescent="0.25">
      <c r="A40270">
        <v>8483</v>
      </c>
      <c r="B40270" t="s">
        <v>12674</v>
      </c>
    </row>
    <row r="40271" spans="1:2" x14ac:dyDescent="0.25">
      <c r="A40271">
        <v>848310</v>
      </c>
      <c r="B40271" t="e">
        <f>- arboles de transmision (incluidos Los de levas y Los cigÃ¼eñales) y manivelas</f>
        <v>#NAME?</v>
      </c>
    </row>
    <row r="40272" spans="1:2" x14ac:dyDescent="0.25">
      <c r="A40272">
        <v>8483101</v>
      </c>
      <c r="B40272" t="s">
        <v>12675</v>
      </c>
    </row>
    <row r="40273" spans="1:2" x14ac:dyDescent="0.25">
      <c r="A40273">
        <v>84831011000</v>
      </c>
      <c r="B40273" t="s">
        <v>12676</v>
      </c>
    </row>
    <row r="40274" spans="1:2" x14ac:dyDescent="0.25">
      <c r="A40274">
        <v>84831019000</v>
      </c>
      <c r="B40274" t="s">
        <v>10</v>
      </c>
    </row>
    <row r="40275" spans="1:2" x14ac:dyDescent="0.25">
      <c r="A40275">
        <v>84831020</v>
      </c>
      <c r="B40275" t="s">
        <v>12677</v>
      </c>
    </row>
    <row r="40276" spans="1:2" x14ac:dyDescent="0.25">
      <c r="A40276">
        <v>84831020100</v>
      </c>
      <c r="B40276" t="s">
        <v>12678</v>
      </c>
    </row>
    <row r="40277" spans="1:2" x14ac:dyDescent="0.25">
      <c r="A40277">
        <v>84831020200</v>
      </c>
      <c r="B40277" t="s">
        <v>12679</v>
      </c>
    </row>
    <row r="40278" spans="1:2" x14ac:dyDescent="0.25">
      <c r="A40278">
        <v>84831020900</v>
      </c>
      <c r="B40278" t="s">
        <v>10</v>
      </c>
    </row>
    <row r="40279" spans="1:2" x14ac:dyDescent="0.25">
      <c r="A40279">
        <v>84831030000</v>
      </c>
      <c r="B40279" t="s">
        <v>12680</v>
      </c>
    </row>
    <row r="40280" spans="1:2" x14ac:dyDescent="0.25">
      <c r="A40280">
        <v>84831040000</v>
      </c>
      <c r="B40280" t="s">
        <v>12681</v>
      </c>
    </row>
    <row r="40281" spans="1:2" x14ac:dyDescent="0.25">
      <c r="A40281">
        <v>84831050000</v>
      </c>
      <c r="B40281" t="s">
        <v>12682</v>
      </c>
    </row>
    <row r="40282" spans="1:2" x14ac:dyDescent="0.25">
      <c r="A40282">
        <v>84831090000</v>
      </c>
      <c r="B40282" t="s">
        <v>10</v>
      </c>
    </row>
    <row r="40283" spans="1:2" x14ac:dyDescent="0.25">
      <c r="A40283">
        <v>84832000000</v>
      </c>
      <c r="B40283" t="e">
        <f>-Cajas de cojinetes Con Rodamientos incorporados</f>
        <v>#NAME?</v>
      </c>
    </row>
    <row r="40284" spans="1:2" x14ac:dyDescent="0.25">
      <c r="A40284">
        <v>848330</v>
      </c>
      <c r="B40284" t="e">
        <f>- Cajas de cojinetes sin Rodamientos incorporados, cojinetes</f>
        <v>#NAME?</v>
      </c>
    </row>
    <row r="40285" spans="1:2" x14ac:dyDescent="0.25">
      <c r="A40285">
        <v>84833010000</v>
      </c>
      <c r="B40285" t="s">
        <v>12683</v>
      </c>
    </row>
    <row r="40286" spans="1:2" x14ac:dyDescent="0.25">
      <c r="A40286">
        <v>8483302</v>
      </c>
      <c r="B40286" t="s">
        <v>12684</v>
      </c>
    </row>
    <row r="40287" spans="1:2" x14ac:dyDescent="0.25">
      <c r="A40287">
        <v>84833021000</v>
      </c>
      <c r="B40287" t="s">
        <v>12685</v>
      </c>
    </row>
    <row r="40288" spans="1:2" x14ac:dyDescent="0.25">
      <c r="A40288">
        <v>84833029000</v>
      </c>
      <c r="B40288" t="s">
        <v>10</v>
      </c>
    </row>
    <row r="40289" spans="1:2" x14ac:dyDescent="0.25">
      <c r="A40289">
        <v>84833090000</v>
      </c>
      <c r="B40289" t="s">
        <v>10</v>
      </c>
    </row>
    <row r="40290" spans="1:2" x14ac:dyDescent="0.25">
      <c r="A40290">
        <v>848340</v>
      </c>
      <c r="B40290" t="e">
        <f>- engranajes yruedas de friccion. excepto las Ruedas dentadas ydemas organos elementales de transmision presentados aisladamente, husillos fileteados de Bolas o rodillos, reductores. multiplicadores y variadores de velocidad. incluidos Los Convertidores de par</f>
        <v>#NAME?</v>
      </c>
    </row>
    <row r="40291" spans="1:2" x14ac:dyDescent="0.25">
      <c r="A40291">
        <v>84834010</v>
      </c>
      <c r="B40291" t="s">
        <v>12686</v>
      </c>
    </row>
    <row r="40292" spans="1:2" x14ac:dyDescent="0.25">
      <c r="A40292">
        <v>848340101</v>
      </c>
      <c r="B40292" t="s">
        <v>12687</v>
      </c>
    </row>
    <row r="40293" spans="1:2" x14ac:dyDescent="0.25">
      <c r="A40293">
        <v>84834010110</v>
      </c>
      <c r="B40293" t="s">
        <v>12688</v>
      </c>
    </row>
    <row r="40294" spans="1:2" x14ac:dyDescent="0.25">
      <c r="A40294">
        <v>84834010120</v>
      </c>
      <c r="B40294" t="s">
        <v>12689</v>
      </c>
    </row>
    <row r="40295" spans="1:2" x14ac:dyDescent="0.25">
      <c r="A40295">
        <v>84834010130</v>
      </c>
      <c r="B40295" t="s">
        <v>12690</v>
      </c>
    </row>
    <row r="40296" spans="1:2" x14ac:dyDescent="0.25">
      <c r="A40296">
        <v>84834010190</v>
      </c>
      <c r="B40296" t="s">
        <v>823</v>
      </c>
    </row>
    <row r="40297" spans="1:2" x14ac:dyDescent="0.25">
      <c r="A40297">
        <v>84834010200</v>
      </c>
      <c r="B40297" t="s">
        <v>12691</v>
      </c>
    </row>
    <row r="40298" spans="1:2" x14ac:dyDescent="0.25">
      <c r="A40298">
        <v>84834010300</v>
      </c>
      <c r="B40298" t="s">
        <v>12692</v>
      </c>
    </row>
    <row r="40299" spans="1:2" x14ac:dyDescent="0.25">
      <c r="A40299">
        <v>84834010900</v>
      </c>
      <c r="B40299" t="s">
        <v>10</v>
      </c>
    </row>
    <row r="40300" spans="1:2" x14ac:dyDescent="0.25">
      <c r="A40300">
        <v>84834090</v>
      </c>
      <c r="B40300" t="s">
        <v>10</v>
      </c>
    </row>
    <row r="40301" spans="1:2" x14ac:dyDescent="0.25">
      <c r="A40301">
        <v>84834090100</v>
      </c>
      <c r="B40301" t="s">
        <v>12693</v>
      </c>
    </row>
    <row r="40302" spans="1:2" x14ac:dyDescent="0.25">
      <c r="A40302">
        <v>84834090900</v>
      </c>
      <c r="B40302" t="s">
        <v>10</v>
      </c>
    </row>
    <row r="40303" spans="1:2" x14ac:dyDescent="0.25">
      <c r="A40303">
        <v>848350</v>
      </c>
      <c r="B40303" t="e">
        <f>- Volantes y poleas. incluidos Los motones</f>
        <v>#NAME?</v>
      </c>
    </row>
    <row r="40304" spans="1:2" x14ac:dyDescent="0.25">
      <c r="A40304">
        <v>84835010</v>
      </c>
      <c r="B40304" t="s">
        <v>12694</v>
      </c>
    </row>
    <row r="40305" spans="1:2" x14ac:dyDescent="0.25">
      <c r="A40305">
        <v>84835010100</v>
      </c>
      <c r="B40305" t="s">
        <v>12695</v>
      </c>
    </row>
    <row r="40306" spans="1:2" x14ac:dyDescent="0.25">
      <c r="A40306">
        <v>84835010200</v>
      </c>
      <c r="B40306" t="s">
        <v>12696</v>
      </c>
    </row>
    <row r="40307" spans="1:2" x14ac:dyDescent="0.25">
      <c r="A40307">
        <v>84835010300</v>
      </c>
      <c r="B40307" t="s">
        <v>12697</v>
      </c>
    </row>
    <row r="40308" spans="1:2" x14ac:dyDescent="0.25">
      <c r="A40308">
        <v>84835010400</v>
      </c>
      <c r="B40308" t="s">
        <v>12698</v>
      </c>
    </row>
    <row r="40309" spans="1:2" x14ac:dyDescent="0.25">
      <c r="A40309">
        <v>84835010900</v>
      </c>
      <c r="B40309" t="s">
        <v>57</v>
      </c>
    </row>
    <row r="40310" spans="1:2" x14ac:dyDescent="0.25">
      <c r="A40310">
        <v>84835090</v>
      </c>
      <c r="B40310" t="s">
        <v>10</v>
      </c>
    </row>
    <row r="40311" spans="1:2" x14ac:dyDescent="0.25">
      <c r="A40311">
        <v>84835090100</v>
      </c>
      <c r="B40311" t="s">
        <v>12699</v>
      </c>
    </row>
    <row r="40312" spans="1:2" x14ac:dyDescent="0.25">
      <c r="A40312">
        <v>84835090900</v>
      </c>
      <c r="B40312" t="s">
        <v>57</v>
      </c>
    </row>
    <row r="40313" spans="1:2" x14ac:dyDescent="0.25">
      <c r="A40313">
        <v>848360</v>
      </c>
      <c r="B40313" t="e">
        <f>- Embragues y organos de acoplamiento. incluidas las Juntas de articulacion</f>
        <v>#NAME?</v>
      </c>
    </row>
    <row r="40314" spans="1:2" x14ac:dyDescent="0.25">
      <c r="A40314">
        <v>8483601</v>
      </c>
      <c r="B40314" t="s">
        <v>12700</v>
      </c>
    </row>
    <row r="40315" spans="1:2" x14ac:dyDescent="0.25">
      <c r="A40315">
        <v>84836011000</v>
      </c>
      <c r="B40315" t="s">
        <v>12701</v>
      </c>
    </row>
    <row r="40316" spans="1:2" x14ac:dyDescent="0.25">
      <c r="A40316">
        <v>84836019</v>
      </c>
      <c r="B40316" t="s">
        <v>10</v>
      </c>
    </row>
    <row r="40317" spans="1:2" x14ac:dyDescent="0.25">
      <c r="A40317">
        <v>84836019100</v>
      </c>
      <c r="B40317" t="s">
        <v>12702</v>
      </c>
    </row>
    <row r="40318" spans="1:2" x14ac:dyDescent="0.25">
      <c r="A40318">
        <v>84836019900</v>
      </c>
      <c r="B40318" t="s">
        <v>10</v>
      </c>
    </row>
    <row r="40319" spans="1:2" x14ac:dyDescent="0.25">
      <c r="A40319">
        <v>84836090</v>
      </c>
      <c r="B40319" t="s">
        <v>10</v>
      </c>
    </row>
    <row r="40320" spans="1:2" x14ac:dyDescent="0.25">
      <c r="A40320">
        <v>84836090100</v>
      </c>
      <c r="B40320" t="s">
        <v>12703</v>
      </c>
    </row>
    <row r="40321" spans="1:2" x14ac:dyDescent="0.25">
      <c r="A40321">
        <v>84836090200</v>
      </c>
      <c r="B40321" t="s">
        <v>12704</v>
      </c>
    </row>
    <row r="40322" spans="1:2" x14ac:dyDescent="0.25">
      <c r="A40322">
        <v>84836090300</v>
      </c>
      <c r="B40322" t="s">
        <v>12705</v>
      </c>
    </row>
    <row r="40323" spans="1:2" x14ac:dyDescent="0.25">
      <c r="A40323">
        <v>84836090400</v>
      </c>
      <c r="B40323" t="s">
        <v>12706</v>
      </c>
    </row>
    <row r="40324" spans="1:2" x14ac:dyDescent="0.25">
      <c r="A40324">
        <v>84836090900</v>
      </c>
      <c r="B40324" t="s">
        <v>10</v>
      </c>
    </row>
    <row r="40325" spans="1:2" x14ac:dyDescent="0.25">
      <c r="A40325">
        <v>84839000000</v>
      </c>
      <c r="B40325" t="e">
        <f>-Ruedas dentadas y demas organos elementales de transmision presentados aisladamente, partes</f>
        <v>#NAME?</v>
      </c>
    </row>
    <row r="40326" spans="1:2" x14ac:dyDescent="0.25">
      <c r="A40326">
        <v>8484</v>
      </c>
      <c r="B40326" t="s">
        <v>12707</v>
      </c>
    </row>
    <row r="40327" spans="1:2" x14ac:dyDescent="0.25">
      <c r="A40327">
        <v>84841000000</v>
      </c>
      <c r="B40327" t="e">
        <f>-Juntas metaloplasticas</f>
        <v>#NAME?</v>
      </c>
    </row>
    <row r="40328" spans="1:2" x14ac:dyDescent="0.25">
      <c r="A40328">
        <v>84842000000</v>
      </c>
      <c r="B40328" t="e">
        <f>-Juntas Mecanicas de estanqueidad</f>
        <v>#NAME?</v>
      </c>
    </row>
    <row r="40329" spans="1:2" x14ac:dyDescent="0.25">
      <c r="A40329">
        <v>84849000000</v>
      </c>
      <c r="B40329" t="e">
        <f>-Los demas</f>
        <v>#NAME?</v>
      </c>
    </row>
    <row r="40330" spans="1:2" x14ac:dyDescent="0.25">
      <c r="A40330">
        <v>8486</v>
      </c>
      <c r="B40330" t="s">
        <v>12708</v>
      </c>
    </row>
    <row r="40331" spans="1:2" x14ac:dyDescent="0.25">
      <c r="A40331">
        <v>84861000000</v>
      </c>
      <c r="B40331" t="s">
        <v>12709</v>
      </c>
    </row>
    <row r="40332" spans="1:2" x14ac:dyDescent="0.25">
      <c r="A40332">
        <v>84862000000</v>
      </c>
      <c r="B40332" t="e">
        <f>-maquinas y aparatos para la fabricacion de Dispositivos semiconductores o circuitos electronicos integrados</f>
        <v>#NAME?</v>
      </c>
    </row>
    <row r="40333" spans="1:2" x14ac:dyDescent="0.25">
      <c r="A40333">
        <v>84863000000</v>
      </c>
      <c r="B40333" t="e">
        <f>-maquinas y aparatos para la fabricacion de Dispositivos de visualizacion (display) de pantalla plana</f>
        <v>#NAME?</v>
      </c>
    </row>
    <row r="40334" spans="1:2" x14ac:dyDescent="0.25">
      <c r="A40334">
        <v>84864000000</v>
      </c>
      <c r="B40334" t="s">
        <v>12710</v>
      </c>
    </row>
    <row r="40335" spans="1:2" x14ac:dyDescent="0.25">
      <c r="A40335">
        <v>84869000000</v>
      </c>
      <c r="B40335" t="e">
        <f>-partes y accesorios</f>
        <v>#NAME?</v>
      </c>
    </row>
    <row r="40336" spans="1:2" x14ac:dyDescent="0.25">
      <c r="A40336">
        <v>8487</v>
      </c>
      <c r="B40336" t="s">
        <v>12711</v>
      </c>
    </row>
    <row r="40337" spans="1:2" x14ac:dyDescent="0.25">
      <c r="A40337">
        <v>84871000000</v>
      </c>
      <c r="B40337" t="e">
        <f>-Helices para barcos y sus Paletas</f>
        <v>#NAME?</v>
      </c>
    </row>
    <row r="40338" spans="1:2" x14ac:dyDescent="0.25">
      <c r="A40338">
        <v>84879000</v>
      </c>
      <c r="B40338" t="e">
        <f>- las demas</f>
        <v>#NAME?</v>
      </c>
    </row>
    <row r="40339" spans="1:2" x14ac:dyDescent="0.25">
      <c r="A40339">
        <v>84879000100</v>
      </c>
      <c r="B40339" t="s">
        <v>12712</v>
      </c>
    </row>
    <row r="40340" spans="1:2" x14ac:dyDescent="0.25">
      <c r="A40340">
        <v>84879000900</v>
      </c>
      <c r="B40340" t="s">
        <v>57</v>
      </c>
    </row>
    <row r="40341" spans="1:2" x14ac:dyDescent="0.25">
      <c r="A40341">
        <v>8501</v>
      </c>
      <c r="B40341" t="s">
        <v>12713</v>
      </c>
    </row>
    <row r="40342" spans="1:2" x14ac:dyDescent="0.25">
      <c r="A40342">
        <v>850110</v>
      </c>
      <c r="B40342" t="s">
        <v>12714</v>
      </c>
    </row>
    <row r="40343" spans="1:2" x14ac:dyDescent="0.25">
      <c r="A40343">
        <v>8501101</v>
      </c>
      <c r="B40343" t="s">
        <v>12715</v>
      </c>
    </row>
    <row r="40344" spans="1:2" x14ac:dyDescent="0.25">
      <c r="A40344">
        <v>85011011000</v>
      </c>
      <c r="B40344" t="s">
        <v>12716</v>
      </c>
    </row>
    <row r="40345" spans="1:2" x14ac:dyDescent="0.25">
      <c r="A40345">
        <v>85011019</v>
      </c>
      <c r="B40345" t="s">
        <v>10</v>
      </c>
    </row>
    <row r="40346" spans="1:2" x14ac:dyDescent="0.25">
      <c r="A40346">
        <v>85011019100</v>
      </c>
      <c r="B40346" t="s">
        <v>12717</v>
      </c>
    </row>
    <row r="40347" spans="1:2" x14ac:dyDescent="0.25">
      <c r="A40347">
        <v>85011019200</v>
      </c>
      <c r="B40347" t="s">
        <v>12718</v>
      </c>
    </row>
    <row r="40348" spans="1:2" x14ac:dyDescent="0.25">
      <c r="A40348">
        <v>85011019300</v>
      </c>
      <c r="B40348" t="s">
        <v>12719</v>
      </c>
    </row>
    <row r="40349" spans="1:2" x14ac:dyDescent="0.25">
      <c r="A40349">
        <v>85011019900</v>
      </c>
      <c r="B40349" t="s">
        <v>10</v>
      </c>
    </row>
    <row r="40350" spans="1:2" x14ac:dyDescent="0.25">
      <c r="A40350">
        <v>8501102</v>
      </c>
      <c r="B40350" t="s">
        <v>12720</v>
      </c>
    </row>
    <row r="40351" spans="1:2" x14ac:dyDescent="0.25">
      <c r="A40351">
        <v>85011021000</v>
      </c>
      <c r="B40351" t="s">
        <v>12721</v>
      </c>
    </row>
    <row r="40352" spans="1:2" x14ac:dyDescent="0.25">
      <c r="A40352">
        <v>85011029</v>
      </c>
      <c r="B40352" t="s">
        <v>10</v>
      </c>
    </row>
    <row r="40353" spans="1:2" x14ac:dyDescent="0.25">
      <c r="A40353">
        <v>85011029100</v>
      </c>
      <c r="B40353" t="s">
        <v>12722</v>
      </c>
    </row>
    <row r="40354" spans="1:2" x14ac:dyDescent="0.25">
      <c r="A40354">
        <v>85011029900</v>
      </c>
      <c r="B40354" t="s">
        <v>10</v>
      </c>
    </row>
    <row r="40355" spans="1:2" x14ac:dyDescent="0.25">
      <c r="A40355">
        <v>85011030</v>
      </c>
      <c r="B40355" t="s">
        <v>12251</v>
      </c>
    </row>
    <row r="40356" spans="1:2" x14ac:dyDescent="0.25">
      <c r="A40356">
        <v>85011030100</v>
      </c>
      <c r="B40356" t="s">
        <v>12723</v>
      </c>
    </row>
    <row r="40357" spans="1:2" x14ac:dyDescent="0.25">
      <c r="A40357">
        <v>85011030900</v>
      </c>
      <c r="B40357" t="s">
        <v>10</v>
      </c>
    </row>
    <row r="40358" spans="1:2" x14ac:dyDescent="0.25">
      <c r="A40358">
        <v>85012000</v>
      </c>
      <c r="B40358" t="s">
        <v>12724</v>
      </c>
    </row>
    <row r="40359" spans="1:2" x14ac:dyDescent="0.25">
      <c r="A40359">
        <v>85012000100</v>
      </c>
      <c r="B40359" t="s">
        <v>12725</v>
      </c>
    </row>
    <row r="40360" spans="1:2" x14ac:dyDescent="0.25">
      <c r="A40360">
        <v>85012000900</v>
      </c>
      <c r="B40360" t="s">
        <v>10</v>
      </c>
    </row>
    <row r="40361" spans="1:2" x14ac:dyDescent="0.25">
      <c r="A40361">
        <v>85013</v>
      </c>
      <c r="B40361" t="s">
        <v>12726</v>
      </c>
    </row>
    <row r="40362" spans="1:2" x14ac:dyDescent="0.25">
      <c r="A40362">
        <v>850131</v>
      </c>
      <c r="B40362" t="s">
        <v>12727</v>
      </c>
    </row>
    <row r="40363" spans="1:2" x14ac:dyDescent="0.25">
      <c r="A40363">
        <v>85013110</v>
      </c>
      <c r="B40363" t="s">
        <v>12728</v>
      </c>
    </row>
    <row r="40364" spans="1:2" x14ac:dyDescent="0.25">
      <c r="A40364">
        <v>850131101</v>
      </c>
      <c r="B40364" t="s">
        <v>12729</v>
      </c>
    </row>
    <row r="40365" spans="1:2" x14ac:dyDescent="0.25">
      <c r="A40365">
        <v>85013110110</v>
      </c>
      <c r="B40365" t="s">
        <v>12730</v>
      </c>
    </row>
    <row r="40366" spans="1:2" x14ac:dyDescent="0.25">
      <c r="A40366">
        <v>85013110120</v>
      </c>
      <c r="B40366" t="s">
        <v>12731</v>
      </c>
    </row>
    <row r="40367" spans="1:2" x14ac:dyDescent="0.25">
      <c r="A40367">
        <v>85013110190</v>
      </c>
      <c r="B40367" t="s">
        <v>10</v>
      </c>
    </row>
    <row r="40368" spans="1:2" x14ac:dyDescent="0.25">
      <c r="A40368">
        <v>85013110200</v>
      </c>
      <c r="B40368" t="s">
        <v>12732</v>
      </c>
    </row>
    <row r="40369" spans="1:2" x14ac:dyDescent="0.25">
      <c r="A40369">
        <v>85013110900</v>
      </c>
      <c r="B40369" t="s">
        <v>10</v>
      </c>
    </row>
    <row r="40370" spans="1:2" x14ac:dyDescent="0.25">
      <c r="A40370">
        <v>85013120</v>
      </c>
      <c r="B40370" t="s">
        <v>12733</v>
      </c>
    </row>
    <row r="40371" spans="1:2" x14ac:dyDescent="0.25">
      <c r="A40371">
        <v>850131201</v>
      </c>
      <c r="B40371" t="s">
        <v>12734</v>
      </c>
    </row>
    <row r="40372" spans="1:2" x14ac:dyDescent="0.25">
      <c r="A40372">
        <v>85013120110</v>
      </c>
      <c r="B40372" t="s">
        <v>12735</v>
      </c>
    </row>
    <row r="40373" spans="1:2" x14ac:dyDescent="0.25">
      <c r="A40373">
        <v>85013120120</v>
      </c>
      <c r="B40373" t="s">
        <v>12736</v>
      </c>
    </row>
    <row r="40374" spans="1:2" x14ac:dyDescent="0.25">
      <c r="A40374">
        <v>85013120130</v>
      </c>
      <c r="B40374" t="s">
        <v>12737</v>
      </c>
    </row>
    <row r="40375" spans="1:2" x14ac:dyDescent="0.25">
      <c r="A40375">
        <v>85013120140</v>
      </c>
      <c r="B40375" t="s">
        <v>12738</v>
      </c>
    </row>
    <row r="40376" spans="1:2" x14ac:dyDescent="0.25">
      <c r="A40376">
        <v>85013120150</v>
      </c>
      <c r="B40376" t="s">
        <v>12739</v>
      </c>
    </row>
    <row r="40377" spans="1:2" x14ac:dyDescent="0.25">
      <c r="A40377">
        <v>85013120190</v>
      </c>
      <c r="B40377" t="s">
        <v>10</v>
      </c>
    </row>
    <row r="40378" spans="1:2" x14ac:dyDescent="0.25">
      <c r="A40378">
        <v>85013120200</v>
      </c>
      <c r="B40378" t="s">
        <v>12740</v>
      </c>
    </row>
    <row r="40379" spans="1:2" x14ac:dyDescent="0.25">
      <c r="A40379">
        <v>85013120900</v>
      </c>
      <c r="B40379" t="s">
        <v>10</v>
      </c>
    </row>
    <row r="40380" spans="1:2" x14ac:dyDescent="0.25">
      <c r="A40380">
        <v>850132</v>
      </c>
      <c r="B40380" t="s">
        <v>12741</v>
      </c>
    </row>
    <row r="40381" spans="1:2" x14ac:dyDescent="0.25">
      <c r="A40381">
        <v>85013210</v>
      </c>
      <c r="B40381" t="s">
        <v>12728</v>
      </c>
    </row>
    <row r="40382" spans="1:2" x14ac:dyDescent="0.25">
      <c r="A40382">
        <v>85013210100</v>
      </c>
      <c r="B40382" t="s">
        <v>12742</v>
      </c>
    </row>
    <row r="40383" spans="1:2" x14ac:dyDescent="0.25">
      <c r="A40383">
        <v>850132102</v>
      </c>
      <c r="B40383" t="s">
        <v>12743</v>
      </c>
    </row>
    <row r="40384" spans="1:2" x14ac:dyDescent="0.25">
      <c r="A40384">
        <v>85013210210</v>
      </c>
      <c r="B40384" t="s">
        <v>12729</v>
      </c>
    </row>
    <row r="40385" spans="1:2" x14ac:dyDescent="0.25">
      <c r="A40385">
        <v>85013210290</v>
      </c>
      <c r="B40385" t="s">
        <v>10</v>
      </c>
    </row>
    <row r="40386" spans="1:2" x14ac:dyDescent="0.25">
      <c r="A40386">
        <v>850132109</v>
      </c>
      <c r="B40386" t="s">
        <v>10</v>
      </c>
    </row>
    <row r="40387" spans="1:2" x14ac:dyDescent="0.25">
      <c r="A40387">
        <v>85013210910</v>
      </c>
      <c r="B40387" t="s">
        <v>12729</v>
      </c>
    </row>
    <row r="40388" spans="1:2" x14ac:dyDescent="0.25">
      <c r="A40388">
        <v>85013210990</v>
      </c>
      <c r="B40388" t="s">
        <v>10</v>
      </c>
    </row>
    <row r="40389" spans="1:2" x14ac:dyDescent="0.25">
      <c r="A40389">
        <v>85013220</v>
      </c>
      <c r="B40389" t="s">
        <v>12733</v>
      </c>
    </row>
    <row r="40390" spans="1:2" x14ac:dyDescent="0.25">
      <c r="A40390">
        <v>85013220100</v>
      </c>
      <c r="B40390" t="s">
        <v>12734</v>
      </c>
    </row>
    <row r="40391" spans="1:2" x14ac:dyDescent="0.25">
      <c r="A40391">
        <v>85013220200</v>
      </c>
      <c r="B40391" t="s">
        <v>12740</v>
      </c>
    </row>
    <row r="40392" spans="1:2" x14ac:dyDescent="0.25">
      <c r="A40392">
        <v>85013220900</v>
      </c>
      <c r="B40392" t="s">
        <v>10</v>
      </c>
    </row>
    <row r="40393" spans="1:2" x14ac:dyDescent="0.25">
      <c r="A40393">
        <v>850133</v>
      </c>
      <c r="B40393" t="s">
        <v>12744</v>
      </c>
    </row>
    <row r="40394" spans="1:2" x14ac:dyDescent="0.25">
      <c r="A40394">
        <v>85013310</v>
      </c>
      <c r="B40394" t="s">
        <v>12728</v>
      </c>
    </row>
    <row r="40395" spans="1:2" x14ac:dyDescent="0.25">
      <c r="A40395">
        <v>85013310100</v>
      </c>
      <c r="B40395" t="s">
        <v>12729</v>
      </c>
    </row>
    <row r="40396" spans="1:2" x14ac:dyDescent="0.25">
      <c r="A40396">
        <v>85013310900</v>
      </c>
      <c r="B40396" t="s">
        <v>10</v>
      </c>
    </row>
    <row r="40397" spans="1:2" x14ac:dyDescent="0.25">
      <c r="A40397">
        <v>85013320000</v>
      </c>
      <c r="B40397" t="s">
        <v>12733</v>
      </c>
    </row>
    <row r="40398" spans="1:2" x14ac:dyDescent="0.25">
      <c r="A40398">
        <v>850134</v>
      </c>
      <c r="B40398" t="s">
        <v>12745</v>
      </c>
    </row>
    <row r="40399" spans="1:2" x14ac:dyDescent="0.25">
      <c r="A40399">
        <v>8501341</v>
      </c>
      <c r="B40399" t="s">
        <v>12728</v>
      </c>
    </row>
    <row r="40400" spans="1:2" x14ac:dyDescent="0.25">
      <c r="A40400">
        <v>85013411</v>
      </c>
      <c r="B40400" t="s">
        <v>12746</v>
      </c>
    </row>
    <row r="40401" spans="1:2" x14ac:dyDescent="0.25">
      <c r="A40401">
        <v>85013411100</v>
      </c>
      <c r="B40401" t="s">
        <v>12729</v>
      </c>
    </row>
    <row r="40402" spans="1:2" x14ac:dyDescent="0.25">
      <c r="A40402">
        <v>85013411900</v>
      </c>
      <c r="B40402" t="s">
        <v>10</v>
      </c>
    </row>
    <row r="40403" spans="1:2" x14ac:dyDescent="0.25">
      <c r="A40403">
        <v>85013419</v>
      </c>
      <c r="B40403" t="s">
        <v>10</v>
      </c>
    </row>
    <row r="40404" spans="1:2" x14ac:dyDescent="0.25">
      <c r="A40404">
        <v>85013419100</v>
      </c>
      <c r="B40404" t="s">
        <v>12729</v>
      </c>
    </row>
    <row r="40405" spans="1:2" x14ac:dyDescent="0.25">
      <c r="A40405">
        <v>85013419900</v>
      </c>
      <c r="B40405" t="s">
        <v>10</v>
      </c>
    </row>
    <row r="40406" spans="1:2" x14ac:dyDescent="0.25">
      <c r="A40406">
        <v>85013420000</v>
      </c>
      <c r="B40406" t="s">
        <v>12733</v>
      </c>
    </row>
    <row r="40407" spans="1:2" x14ac:dyDescent="0.25">
      <c r="A40407">
        <v>850140</v>
      </c>
      <c r="B40407" t="e">
        <f>- Los demas Motores de corriente alterna. monofasicos</f>
        <v>#NAME?</v>
      </c>
    </row>
    <row r="40408" spans="1:2" x14ac:dyDescent="0.25">
      <c r="A40408">
        <v>8501401</v>
      </c>
      <c r="B40408" t="s">
        <v>12747</v>
      </c>
    </row>
    <row r="40409" spans="1:2" x14ac:dyDescent="0.25">
      <c r="A40409">
        <v>85014011000</v>
      </c>
      <c r="B40409" t="s">
        <v>12721</v>
      </c>
    </row>
    <row r="40410" spans="1:2" x14ac:dyDescent="0.25">
      <c r="A40410">
        <v>85014019</v>
      </c>
      <c r="B40410" t="s">
        <v>10</v>
      </c>
    </row>
    <row r="40411" spans="1:2" x14ac:dyDescent="0.25">
      <c r="A40411">
        <v>850140191</v>
      </c>
      <c r="B40411" t="s">
        <v>12748</v>
      </c>
    </row>
    <row r="40412" spans="1:2" x14ac:dyDescent="0.25">
      <c r="A40412">
        <v>85014019110</v>
      </c>
      <c r="B40412" t="s">
        <v>12749</v>
      </c>
    </row>
    <row r="40413" spans="1:2" x14ac:dyDescent="0.25">
      <c r="A40413">
        <v>8501401912</v>
      </c>
      <c r="B40413" t="s">
        <v>12750</v>
      </c>
    </row>
    <row r="40414" spans="1:2" x14ac:dyDescent="0.25">
      <c r="A40414">
        <v>85014019121</v>
      </c>
      <c r="B40414" t="s">
        <v>12751</v>
      </c>
    </row>
    <row r="40415" spans="1:2" x14ac:dyDescent="0.25">
      <c r="A40415">
        <v>85014019129</v>
      </c>
      <c r="B40415" t="s">
        <v>10</v>
      </c>
    </row>
    <row r="40416" spans="1:2" x14ac:dyDescent="0.25">
      <c r="A40416">
        <v>85014019130</v>
      </c>
      <c r="B40416" t="s">
        <v>12752</v>
      </c>
    </row>
    <row r="40417" spans="1:2" x14ac:dyDescent="0.25">
      <c r="A40417">
        <v>85014019190</v>
      </c>
      <c r="B40417" t="s">
        <v>10</v>
      </c>
    </row>
    <row r="40418" spans="1:2" x14ac:dyDescent="0.25">
      <c r="A40418">
        <v>850140199</v>
      </c>
      <c r="B40418" t="s">
        <v>10</v>
      </c>
    </row>
    <row r="40419" spans="1:2" x14ac:dyDescent="0.25">
      <c r="A40419">
        <v>85014019910</v>
      </c>
      <c r="B40419" t="s">
        <v>12753</v>
      </c>
    </row>
    <row r="40420" spans="1:2" x14ac:dyDescent="0.25">
      <c r="A40420">
        <v>8501401992</v>
      </c>
      <c r="B40420" t="s">
        <v>12754</v>
      </c>
    </row>
    <row r="40421" spans="1:2" x14ac:dyDescent="0.25">
      <c r="A40421">
        <v>85014019921</v>
      </c>
      <c r="B40421" t="s">
        <v>12755</v>
      </c>
    </row>
    <row r="40422" spans="1:2" x14ac:dyDescent="0.25">
      <c r="A40422">
        <v>85014019922</v>
      </c>
      <c r="B40422" t="s">
        <v>12756</v>
      </c>
    </row>
    <row r="40423" spans="1:2" x14ac:dyDescent="0.25">
      <c r="A40423">
        <v>85014019923</v>
      </c>
      <c r="B40423" t="s">
        <v>12757</v>
      </c>
    </row>
    <row r="40424" spans="1:2" x14ac:dyDescent="0.25">
      <c r="A40424">
        <v>85014019924</v>
      </c>
      <c r="B40424" t="s">
        <v>12758</v>
      </c>
    </row>
    <row r="40425" spans="1:2" x14ac:dyDescent="0.25">
      <c r="A40425">
        <v>85014019925</v>
      </c>
      <c r="B40425" t="s">
        <v>12759</v>
      </c>
    </row>
    <row r="40426" spans="1:2" x14ac:dyDescent="0.25">
      <c r="A40426">
        <v>8501401993</v>
      </c>
      <c r="B40426" t="s">
        <v>12760</v>
      </c>
    </row>
    <row r="40427" spans="1:2" x14ac:dyDescent="0.25">
      <c r="A40427">
        <v>85014019931</v>
      </c>
      <c r="B40427" t="s">
        <v>12755</v>
      </c>
    </row>
    <row r="40428" spans="1:2" x14ac:dyDescent="0.25">
      <c r="A40428">
        <v>85014019932</v>
      </c>
      <c r="B40428" t="s">
        <v>12756</v>
      </c>
    </row>
    <row r="40429" spans="1:2" x14ac:dyDescent="0.25">
      <c r="A40429">
        <v>85014019933</v>
      </c>
      <c r="B40429" t="s">
        <v>12757</v>
      </c>
    </row>
    <row r="40430" spans="1:2" x14ac:dyDescent="0.25">
      <c r="A40430">
        <v>85014019934</v>
      </c>
      <c r="B40430" t="s">
        <v>12758</v>
      </c>
    </row>
    <row r="40431" spans="1:2" x14ac:dyDescent="0.25">
      <c r="A40431">
        <v>85014019935</v>
      </c>
      <c r="B40431" t="s">
        <v>12759</v>
      </c>
    </row>
    <row r="40432" spans="1:2" x14ac:dyDescent="0.25">
      <c r="A40432">
        <v>85014019940</v>
      </c>
      <c r="B40432" t="s">
        <v>12761</v>
      </c>
    </row>
    <row r="40433" spans="1:2" x14ac:dyDescent="0.25">
      <c r="A40433">
        <v>85014019990</v>
      </c>
      <c r="B40433" t="s">
        <v>10</v>
      </c>
    </row>
    <row r="40434" spans="1:2" x14ac:dyDescent="0.25">
      <c r="A40434">
        <v>8501402</v>
      </c>
      <c r="B40434" t="s">
        <v>12762</v>
      </c>
    </row>
    <row r="40435" spans="1:2" x14ac:dyDescent="0.25">
      <c r="A40435">
        <v>85014021000</v>
      </c>
      <c r="B40435" t="s">
        <v>12721</v>
      </c>
    </row>
    <row r="40436" spans="1:2" x14ac:dyDescent="0.25">
      <c r="A40436">
        <v>85014029000</v>
      </c>
      <c r="B40436" t="s">
        <v>10</v>
      </c>
    </row>
    <row r="40437" spans="1:2" x14ac:dyDescent="0.25">
      <c r="A40437">
        <v>85015</v>
      </c>
      <c r="B40437" t="s">
        <v>12763</v>
      </c>
    </row>
    <row r="40438" spans="1:2" x14ac:dyDescent="0.25">
      <c r="A40438">
        <v>850151</v>
      </c>
      <c r="B40438" t="s">
        <v>12727</v>
      </c>
    </row>
    <row r="40439" spans="1:2" x14ac:dyDescent="0.25">
      <c r="A40439">
        <v>85015110</v>
      </c>
      <c r="B40439" t="s">
        <v>12764</v>
      </c>
    </row>
    <row r="40440" spans="1:2" x14ac:dyDescent="0.25">
      <c r="A40440">
        <v>85015110100</v>
      </c>
      <c r="B40440" t="s">
        <v>12729</v>
      </c>
    </row>
    <row r="40441" spans="1:2" x14ac:dyDescent="0.25">
      <c r="A40441">
        <v>85015110900</v>
      </c>
      <c r="B40441" t="s">
        <v>10</v>
      </c>
    </row>
    <row r="40442" spans="1:2" x14ac:dyDescent="0.25">
      <c r="A40442">
        <v>85015120</v>
      </c>
      <c r="B40442" t="s">
        <v>12765</v>
      </c>
    </row>
    <row r="40443" spans="1:2" x14ac:dyDescent="0.25">
      <c r="A40443">
        <v>85015120100</v>
      </c>
      <c r="B40443" t="s">
        <v>12729</v>
      </c>
    </row>
    <row r="40444" spans="1:2" x14ac:dyDescent="0.25">
      <c r="A40444">
        <v>85015120900</v>
      </c>
      <c r="B40444" t="s">
        <v>10</v>
      </c>
    </row>
    <row r="40445" spans="1:2" x14ac:dyDescent="0.25">
      <c r="A40445">
        <v>85015190</v>
      </c>
      <c r="B40445" t="s">
        <v>10</v>
      </c>
    </row>
    <row r="40446" spans="1:2" x14ac:dyDescent="0.25">
      <c r="A40446">
        <v>85015190100</v>
      </c>
      <c r="B40446" t="s">
        <v>12729</v>
      </c>
    </row>
    <row r="40447" spans="1:2" x14ac:dyDescent="0.25">
      <c r="A40447">
        <v>85015190900</v>
      </c>
      <c r="B40447" t="s">
        <v>10</v>
      </c>
    </row>
    <row r="40448" spans="1:2" x14ac:dyDescent="0.25">
      <c r="A40448">
        <v>850152</v>
      </c>
      <c r="B40448" t="s">
        <v>12741</v>
      </c>
    </row>
    <row r="40449" spans="1:2" x14ac:dyDescent="0.25">
      <c r="A40449">
        <v>85015210</v>
      </c>
      <c r="B40449" t="s">
        <v>12764</v>
      </c>
    </row>
    <row r="40450" spans="1:2" x14ac:dyDescent="0.25">
      <c r="A40450">
        <v>850152101</v>
      </c>
      <c r="B40450" t="s">
        <v>12766</v>
      </c>
    </row>
    <row r="40451" spans="1:2" x14ac:dyDescent="0.25">
      <c r="A40451">
        <v>85015210110</v>
      </c>
      <c r="B40451" t="s">
        <v>12729</v>
      </c>
    </row>
    <row r="40452" spans="1:2" x14ac:dyDescent="0.25">
      <c r="A40452">
        <v>85015210190</v>
      </c>
      <c r="B40452" t="s">
        <v>10</v>
      </c>
    </row>
    <row r="40453" spans="1:2" x14ac:dyDescent="0.25">
      <c r="A40453">
        <v>850152102</v>
      </c>
      <c r="B40453" t="s">
        <v>12767</v>
      </c>
    </row>
    <row r="40454" spans="1:2" x14ac:dyDescent="0.25">
      <c r="A40454">
        <v>85015210210</v>
      </c>
      <c r="B40454" t="s">
        <v>12729</v>
      </c>
    </row>
    <row r="40455" spans="1:2" x14ac:dyDescent="0.25">
      <c r="A40455">
        <v>85015210290</v>
      </c>
      <c r="B40455" t="s">
        <v>10</v>
      </c>
    </row>
    <row r="40456" spans="1:2" x14ac:dyDescent="0.25">
      <c r="A40456">
        <v>850152109</v>
      </c>
      <c r="B40456" t="s">
        <v>10</v>
      </c>
    </row>
    <row r="40457" spans="1:2" x14ac:dyDescent="0.25">
      <c r="A40457">
        <v>85015210910</v>
      </c>
      <c r="B40457" t="s">
        <v>12729</v>
      </c>
    </row>
    <row r="40458" spans="1:2" x14ac:dyDescent="0.25">
      <c r="A40458">
        <v>85015210990</v>
      </c>
      <c r="B40458" t="s">
        <v>10</v>
      </c>
    </row>
    <row r="40459" spans="1:2" x14ac:dyDescent="0.25">
      <c r="A40459">
        <v>85015220</v>
      </c>
      <c r="B40459" t="s">
        <v>12765</v>
      </c>
    </row>
    <row r="40460" spans="1:2" x14ac:dyDescent="0.25">
      <c r="A40460">
        <v>85015220100</v>
      </c>
      <c r="B40460" t="s">
        <v>12729</v>
      </c>
    </row>
    <row r="40461" spans="1:2" x14ac:dyDescent="0.25">
      <c r="A40461">
        <v>85015220900</v>
      </c>
      <c r="B40461" t="s">
        <v>10</v>
      </c>
    </row>
    <row r="40462" spans="1:2" x14ac:dyDescent="0.25">
      <c r="A40462">
        <v>85015290</v>
      </c>
      <c r="B40462" t="s">
        <v>10</v>
      </c>
    </row>
    <row r="40463" spans="1:2" x14ac:dyDescent="0.25">
      <c r="A40463">
        <v>85015290100</v>
      </c>
      <c r="B40463" t="s">
        <v>12729</v>
      </c>
    </row>
    <row r="40464" spans="1:2" x14ac:dyDescent="0.25">
      <c r="A40464">
        <v>85015290200</v>
      </c>
      <c r="B40464" t="s">
        <v>12768</v>
      </c>
    </row>
    <row r="40465" spans="1:2" x14ac:dyDescent="0.25">
      <c r="A40465">
        <v>85015290900</v>
      </c>
      <c r="B40465" t="s">
        <v>10</v>
      </c>
    </row>
    <row r="40466" spans="1:2" x14ac:dyDescent="0.25">
      <c r="A40466">
        <v>850153</v>
      </c>
      <c r="B40466" t="s">
        <v>12769</v>
      </c>
    </row>
    <row r="40467" spans="1:2" x14ac:dyDescent="0.25">
      <c r="A40467">
        <v>85015310</v>
      </c>
      <c r="B40467" t="s">
        <v>12770</v>
      </c>
    </row>
    <row r="40468" spans="1:2" x14ac:dyDescent="0.25">
      <c r="A40468">
        <v>85015310100</v>
      </c>
      <c r="B40468" t="s">
        <v>12729</v>
      </c>
    </row>
    <row r="40469" spans="1:2" x14ac:dyDescent="0.25">
      <c r="A40469">
        <v>85015310900</v>
      </c>
      <c r="B40469" t="s">
        <v>10</v>
      </c>
    </row>
    <row r="40470" spans="1:2" x14ac:dyDescent="0.25">
      <c r="A40470">
        <v>85015320</v>
      </c>
      <c r="B40470" t="s">
        <v>12771</v>
      </c>
    </row>
    <row r="40471" spans="1:2" x14ac:dyDescent="0.25">
      <c r="A40471">
        <v>85015320100</v>
      </c>
      <c r="B40471" t="s">
        <v>12729</v>
      </c>
    </row>
    <row r="40472" spans="1:2" x14ac:dyDescent="0.25">
      <c r="A40472">
        <v>85015320900</v>
      </c>
      <c r="B40472" t="s">
        <v>10</v>
      </c>
    </row>
    <row r="40473" spans="1:2" x14ac:dyDescent="0.25">
      <c r="A40473">
        <v>85015330</v>
      </c>
      <c r="B40473" t="s">
        <v>12772</v>
      </c>
    </row>
    <row r="40474" spans="1:2" x14ac:dyDescent="0.25">
      <c r="A40474">
        <v>85015330100</v>
      </c>
      <c r="B40474" t="s">
        <v>12729</v>
      </c>
    </row>
    <row r="40475" spans="1:2" x14ac:dyDescent="0.25">
      <c r="A40475">
        <v>85015330900</v>
      </c>
      <c r="B40475" t="s">
        <v>10</v>
      </c>
    </row>
    <row r="40476" spans="1:2" x14ac:dyDescent="0.25">
      <c r="A40476">
        <v>85015390</v>
      </c>
      <c r="B40476" t="s">
        <v>10</v>
      </c>
    </row>
    <row r="40477" spans="1:2" x14ac:dyDescent="0.25">
      <c r="A40477">
        <v>85015390100</v>
      </c>
      <c r="B40477" t="s">
        <v>12729</v>
      </c>
    </row>
    <row r="40478" spans="1:2" x14ac:dyDescent="0.25">
      <c r="A40478">
        <v>85015390200</v>
      </c>
      <c r="B40478" t="s">
        <v>12768</v>
      </c>
    </row>
    <row r="40479" spans="1:2" x14ac:dyDescent="0.25">
      <c r="A40479">
        <v>85015390900</v>
      </c>
      <c r="B40479" t="s">
        <v>10</v>
      </c>
    </row>
    <row r="40480" spans="1:2" x14ac:dyDescent="0.25">
      <c r="A40480">
        <v>85016</v>
      </c>
      <c r="B40480" t="s">
        <v>12773</v>
      </c>
    </row>
    <row r="40481" spans="1:2" x14ac:dyDescent="0.25">
      <c r="A40481">
        <v>85016100000</v>
      </c>
      <c r="B40481" t="s">
        <v>12774</v>
      </c>
    </row>
    <row r="40482" spans="1:2" x14ac:dyDescent="0.25">
      <c r="A40482">
        <v>85016200000</v>
      </c>
      <c r="B40482" t="s">
        <v>12775</v>
      </c>
    </row>
    <row r="40483" spans="1:2" x14ac:dyDescent="0.25">
      <c r="A40483">
        <v>85016300000</v>
      </c>
      <c r="B40483" t="s">
        <v>12776</v>
      </c>
    </row>
    <row r="40484" spans="1:2" x14ac:dyDescent="0.25">
      <c r="A40484">
        <v>85016400000</v>
      </c>
      <c r="B40484" t="s">
        <v>12777</v>
      </c>
    </row>
    <row r="40485" spans="1:2" x14ac:dyDescent="0.25">
      <c r="A40485">
        <v>8502</v>
      </c>
      <c r="B40485" t="s">
        <v>12778</v>
      </c>
    </row>
    <row r="40486" spans="1:2" x14ac:dyDescent="0.25">
      <c r="A40486">
        <v>85021</v>
      </c>
      <c r="B40486" t="s">
        <v>12779</v>
      </c>
    </row>
    <row r="40487" spans="1:2" x14ac:dyDescent="0.25">
      <c r="A40487">
        <v>850211</v>
      </c>
      <c r="B40487" t="s">
        <v>12780</v>
      </c>
    </row>
    <row r="40488" spans="1:2" x14ac:dyDescent="0.25">
      <c r="A40488">
        <v>85021110</v>
      </c>
      <c r="B40488" t="s">
        <v>12720</v>
      </c>
    </row>
    <row r="40489" spans="1:2" x14ac:dyDescent="0.25">
      <c r="A40489">
        <v>85021110100</v>
      </c>
      <c r="B40489" t="s">
        <v>12781</v>
      </c>
    </row>
    <row r="40490" spans="1:2" x14ac:dyDescent="0.25">
      <c r="A40490">
        <v>85021110900</v>
      </c>
      <c r="B40490" t="s">
        <v>10</v>
      </c>
    </row>
    <row r="40491" spans="1:2" x14ac:dyDescent="0.25">
      <c r="A40491">
        <v>85021190</v>
      </c>
      <c r="B40491" t="s">
        <v>10</v>
      </c>
    </row>
    <row r="40492" spans="1:2" x14ac:dyDescent="0.25">
      <c r="A40492">
        <v>85021190100</v>
      </c>
      <c r="B40492" t="s">
        <v>12781</v>
      </c>
    </row>
    <row r="40493" spans="1:2" x14ac:dyDescent="0.25">
      <c r="A40493">
        <v>85021190900</v>
      </c>
      <c r="B40493" t="s">
        <v>10</v>
      </c>
    </row>
    <row r="40494" spans="1:2" x14ac:dyDescent="0.25">
      <c r="A40494">
        <v>850212</v>
      </c>
      <c r="B40494" t="s">
        <v>12782</v>
      </c>
    </row>
    <row r="40495" spans="1:2" x14ac:dyDescent="0.25">
      <c r="A40495">
        <v>85021210000</v>
      </c>
      <c r="B40495" t="s">
        <v>12720</v>
      </c>
    </row>
    <row r="40496" spans="1:2" x14ac:dyDescent="0.25">
      <c r="A40496">
        <v>85021290000</v>
      </c>
      <c r="B40496" t="s">
        <v>10</v>
      </c>
    </row>
    <row r="40497" spans="1:2" x14ac:dyDescent="0.25">
      <c r="A40497">
        <v>850213</v>
      </c>
      <c r="B40497" t="s">
        <v>12783</v>
      </c>
    </row>
    <row r="40498" spans="1:2" x14ac:dyDescent="0.25">
      <c r="A40498">
        <v>8502131</v>
      </c>
      <c r="B40498" t="s">
        <v>12720</v>
      </c>
    </row>
    <row r="40499" spans="1:2" x14ac:dyDescent="0.25">
      <c r="A40499">
        <v>85021311000</v>
      </c>
      <c r="B40499" t="s">
        <v>12784</v>
      </c>
    </row>
    <row r="40500" spans="1:2" x14ac:dyDescent="0.25">
      <c r="A40500">
        <v>85021319000</v>
      </c>
      <c r="B40500" t="s">
        <v>10</v>
      </c>
    </row>
    <row r="40501" spans="1:2" x14ac:dyDescent="0.25">
      <c r="A40501">
        <v>85021390000</v>
      </c>
      <c r="B40501" t="s">
        <v>10</v>
      </c>
    </row>
    <row r="40502" spans="1:2" x14ac:dyDescent="0.25">
      <c r="A40502">
        <v>850220</v>
      </c>
      <c r="B40502" t="e">
        <f>- grupos electrogenos Con motor de embolo (piston) de encendido por chispa (motor de explosion)</f>
        <v>#NAME?</v>
      </c>
    </row>
    <row r="40503" spans="1:2" x14ac:dyDescent="0.25">
      <c r="A40503">
        <v>8502201</v>
      </c>
      <c r="B40503" t="s">
        <v>12720</v>
      </c>
    </row>
    <row r="40504" spans="1:2" x14ac:dyDescent="0.25">
      <c r="A40504">
        <v>85022011</v>
      </c>
      <c r="B40504" t="s">
        <v>12785</v>
      </c>
    </row>
    <row r="40505" spans="1:2" x14ac:dyDescent="0.25">
      <c r="A40505">
        <v>85022011100</v>
      </c>
      <c r="B40505" t="s">
        <v>12781</v>
      </c>
    </row>
    <row r="40506" spans="1:2" x14ac:dyDescent="0.25">
      <c r="A40506">
        <v>85022011900</v>
      </c>
      <c r="B40506" t="s">
        <v>10</v>
      </c>
    </row>
    <row r="40507" spans="1:2" x14ac:dyDescent="0.25">
      <c r="A40507">
        <v>85022019000</v>
      </c>
      <c r="B40507" t="s">
        <v>10</v>
      </c>
    </row>
    <row r="40508" spans="1:2" x14ac:dyDescent="0.25">
      <c r="A40508">
        <v>85022090</v>
      </c>
      <c r="B40508" t="s">
        <v>10</v>
      </c>
    </row>
    <row r="40509" spans="1:2" x14ac:dyDescent="0.25">
      <c r="A40509">
        <v>85022090100</v>
      </c>
      <c r="B40509" t="s">
        <v>12781</v>
      </c>
    </row>
    <row r="40510" spans="1:2" x14ac:dyDescent="0.25">
      <c r="A40510">
        <v>85022090900</v>
      </c>
      <c r="B40510" t="s">
        <v>10</v>
      </c>
    </row>
    <row r="40511" spans="1:2" x14ac:dyDescent="0.25">
      <c r="A40511">
        <v>85023</v>
      </c>
      <c r="B40511" t="s">
        <v>12786</v>
      </c>
    </row>
    <row r="40512" spans="1:2" x14ac:dyDescent="0.25">
      <c r="A40512">
        <v>85023100</v>
      </c>
      <c r="B40512" t="e">
        <f>-- de energia eolica</f>
        <v>#NAME?</v>
      </c>
    </row>
    <row r="40513" spans="1:2" x14ac:dyDescent="0.25">
      <c r="A40513">
        <v>850231001</v>
      </c>
      <c r="B40513" t="s">
        <v>12787</v>
      </c>
    </row>
    <row r="40514" spans="1:2" x14ac:dyDescent="0.25">
      <c r="A40514">
        <v>85023100110</v>
      </c>
      <c r="B40514" t="s">
        <v>12788</v>
      </c>
    </row>
    <row r="40515" spans="1:2" x14ac:dyDescent="0.25">
      <c r="A40515">
        <v>85023100190</v>
      </c>
      <c r="B40515" t="s">
        <v>10</v>
      </c>
    </row>
    <row r="40516" spans="1:2" x14ac:dyDescent="0.25">
      <c r="A40516">
        <v>850231009</v>
      </c>
      <c r="B40516" t="s">
        <v>10</v>
      </c>
    </row>
    <row r="40517" spans="1:2" x14ac:dyDescent="0.25">
      <c r="A40517">
        <v>85023100910</v>
      </c>
      <c r="B40517" t="s">
        <v>12788</v>
      </c>
    </row>
    <row r="40518" spans="1:2" x14ac:dyDescent="0.25">
      <c r="A40518">
        <v>85023100990</v>
      </c>
      <c r="B40518" t="s">
        <v>10</v>
      </c>
    </row>
    <row r="40519" spans="1:2" x14ac:dyDescent="0.25">
      <c r="A40519">
        <v>85023900000</v>
      </c>
      <c r="B40519" t="e">
        <f>--Los demas</f>
        <v>#NAME?</v>
      </c>
    </row>
    <row r="40520" spans="1:2" x14ac:dyDescent="0.25">
      <c r="A40520">
        <v>850240</v>
      </c>
      <c r="B40520" t="e">
        <f>- Convertidores rotativos electricos</f>
        <v>#NAME?</v>
      </c>
    </row>
    <row r="40521" spans="1:2" x14ac:dyDescent="0.25">
      <c r="A40521">
        <v>85024010000</v>
      </c>
      <c r="B40521" t="s">
        <v>12789</v>
      </c>
    </row>
    <row r="40522" spans="1:2" x14ac:dyDescent="0.25">
      <c r="A40522">
        <v>85024090000</v>
      </c>
      <c r="B40522" t="s">
        <v>10</v>
      </c>
    </row>
    <row r="40523" spans="1:2" x14ac:dyDescent="0.25">
      <c r="A40523">
        <v>850300</v>
      </c>
      <c r="B40523" t="s">
        <v>12790</v>
      </c>
    </row>
    <row r="40524" spans="1:2" x14ac:dyDescent="0.25">
      <c r="A40524">
        <v>85030010000</v>
      </c>
      <c r="B40524" t="s">
        <v>12791</v>
      </c>
    </row>
    <row r="40525" spans="1:2" x14ac:dyDescent="0.25">
      <c r="A40525">
        <v>85030090000</v>
      </c>
      <c r="B40525" t="s">
        <v>57</v>
      </c>
    </row>
    <row r="40526" spans="1:2" x14ac:dyDescent="0.25">
      <c r="A40526">
        <v>8504</v>
      </c>
      <c r="B40526" t="s">
        <v>12792</v>
      </c>
    </row>
    <row r="40527" spans="1:2" x14ac:dyDescent="0.25">
      <c r="A40527">
        <v>85041000</v>
      </c>
      <c r="B40527" t="e">
        <f>- Balastos (reactancias) para Lamparas o Tubos de descarga</f>
        <v>#NAME?</v>
      </c>
    </row>
    <row r="40528" spans="1:2" x14ac:dyDescent="0.25">
      <c r="A40528">
        <v>850410001</v>
      </c>
      <c r="B40528" t="s">
        <v>12793</v>
      </c>
    </row>
    <row r="40529" spans="1:2" x14ac:dyDescent="0.25">
      <c r="A40529">
        <v>85041000110</v>
      </c>
      <c r="B40529" t="s">
        <v>12794</v>
      </c>
    </row>
    <row r="40530" spans="1:2" x14ac:dyDescent="0.25">
      <c r="A40530">
        <v>85041000120</v>
      </c>
      <c r="B40530" t="s">
        <v>12795</v>
      </c>
    </row>
    <row r="40531" spans="1:2" x14ac:dyDescent="0.25">
      <c r="A40531">
        <v>85041000190</v>
      </c>
      <c r="B40531" t="s">
        <v>10</v>
      </c>
    </row>
    <row r="40532" spans="1:2" x14ac:dyDescent="0.25">
      <c r="A40532">
        <v>850410009</v>
      </c>
      <c r="B40532" t="s">
        <v>10</v>
      </c>
    </row>
    <row r="40533" spans="1:2" x14ac:dyDescent="0.25">
      <c r="A40533">
        <v>85041000910</v>
      </c>
      <c r="B40533" t="s">
        <v>12796</v>
      </c>
    </row>
    <row r="40534" spans="1:2" x14ac:dyDescent="0.25">
      <c r="A40534">
        <v>85041000990</v>
      </c>
      <c r="B40534" t="s">
        <v>10</v>
      </c>
    </row>
    <row r="40535" spans="1:2" x14ac:dyDescent="0.25">
      <c r="A40535">
        <v>85042</v>
      </c>
      <c r="B40535" t="s">
        <v>12797</v>
      </c>
    </row>
    <row r="40536" spans="1:2" x14ac:dyDescent="0.25">
      <c r="A40536">
        <v>85042100</v>
      </c>
      <c r="B40536" t="s">
        <v>12798</v>
      </c>
    </row>
    <row r="40537" spans="1:2" x14ac:dyDescent="0.25">
      <c r="A40537">
        <v>850421001</v>
      </c>
      <c r="B40537" t="s">
        <v>12799</v>
      </c>
    </row>
    <row r="40538" spans="1:2" x14ac:dyDescent="0.25">
      <c r="A40538">
        <v>85042100110</v>
      </c>
      <c r="B40538" t="s">
        <v>12800</v>
      </c>
    </row>
    <row r="40539" spans="1:2" x14ac:dyDescent="0.25">
      <c r="A40539">
        <v>85042100120</v>
      </c>
      <c r="B40539" t="s">
        <v>12801</v>
      </c>
    </row>
    <row r="40540" spans="1:2" x14ac:dyDescent="0.25">
      <c r="A40540">
        <v>85042100130</v>
      </c>
      <c r="B40540" t="s">
        <v>12802</v>
      </c>
    </row>
    <row r="40541" spans="1:2" x14ac:dyDescent="0.25">
      <c r="A40541">
        <v>85042100140</v>
      </c>
      <c r="B40541" t="s">
        <v>12803</v>
      </c>
    </row>
    <row r="40542" spans="1:2" x14ac:dyDescent="0.25">
      <c r="A40542">
        <v>85042100150</v>
      </c>
      <c r="B40542" t="s">
        <v>12804</v>
      </c>
    </row>
    <row r="40543" spans="1:2" x14ac:dyDescent="0.25">
      <c r="A40543">
        <v>85042100190</v>
      </c>
      <c r="B40543" t="s">
        <v>10</v>
      </c>
    </row>
    <row r="40544" spans="1:2" x14ac:dyDescent="0.25">
      <c r="A40544">
        <v>850421002</v>
      </c>
      <c r="B40544" t="s">
        <v>12805</v>
      </c>
    </row>
    <row r="40545" spans="1:2" x14ac:dyDescent="0.25">
      <c r="A40545">
        <v>8504210021</v>
      </c>
      <c r="B40545" t="s">
        <v>12806</v>
      </c>
    </row>
    <row r="40546" spans="1:2" x14ac:dyDescent="0.25">
      <c r="A40546">
        <v>85042100211</v>
      </c>
      <c r="B40546" t="s">
        <v>12807</v>
      </c>
    </row>
    <row r="40547" spans="1:2" x14ac:dyDescent="0.25">
      <c r="A40547">
        <v>85042100212</v>
      </c>
      <c r="B40547" t="s">
        <v>12808</v>
      </c>
    </row>
    <row r="40548" spans="1:2" x14ac:dyDescent="0.25">
      <c r="A40548">
        <v>85042100213</v>
      </c>
      <c r="B40548" t="s">
        <v>12809</v>
      </c>
    </row>
    <row r="40549" spans="1:2" x14ac:dyDescent="0.25">
      <c r="A40549">
        <v>85042100214</v>
      </c>
      <c r="B40549" t="s">
        <v>12810</v>
      </c>
    </row>
    <row r="40550" spans="1:2" x14ac:dyDescent="0.25">
      <c r="A40550">
        <v>85042100215</v>
      </c>
      <c r="B40550" t="s">
        <v>12811</v>
      </c>
    </row>
    <row r="40551" spans="1:2" x14ac:dyDescent="0.25">
      <c r="A40551">
        <v>85042100216</v>
      </c>
      <c r="B40551" t="s">
        <v>12812</v>
      </c>
    </row>
    <row r="40552" spans="1:2" x14ac:dyDescent="0.25">
      <c r="A40552">
        <v>85042100219</v>
      </c>
      <c r="B40552" t="s">
        <v>10</v>
      </c>
    </row>
    <row r="40553" spans="1:2" x14ac:dyDescent="0.25">
      <c r="A40553">
        <v>8504210022</v>
      </c>
      <c r="B40553" t="s">
        <v>12813</v>
      </c>
    </row>
    <row r="40554" spans="1:2" x14ac:dyDescent="0.25">
      <c r="A40554">
        <v>85042100221</v>
      </c>
      <c r="B40554" t="s">
        <v>12814</v>
      </c>
    </row>
    <row r="40555" spans="1:2" x14ac:dyDescent="0.25">
      <c r="A40555">
        <v>85042100222</v>
      </c>
      <c r="B40555" t="s">
        <v>12815</v>
      </c>
    </row>
    <row r="40556" spans="1:2" x14ac:dyDescent="0.25">
      <c r="A40556">
        <v>85042100223</v>
      </c>
      <c r="B40556" t="s">
        <v>12816</v>
      </c>
    </row>
    <row r="40557" spans="1:2" x14ac:dyDescent="0.25">
      <c r="A40557">
        <v>85042100224</v>
      </c>
      <c r="B40557" t="s">
        <v>12817</v>
      </c>
    </row>
    <row r="40558" spans="1:2" x14ac:dyDescent="0.25">
      <c r="A40558">
        <v>85042100225</v>
      </c>
      <c r="B40558" t="s">
        <v>12818</v>
      </c>
    </row>
    <row r="40559" spans="1:2" x14ac:dyDescent="0.25">
      <c r="A40559">
        <v>85042100229</v>
      </c>
      <c r="B40559" t="s">
        <v>10</v>
      </c>
    </row>
    <row r="40560" spans="1:2" x14ac:dyDescent="0.25">
      <c r="A40560">
        <v>85042100900</v>
      </c>
      <c r="B40560" t="s">
        <v>10</v>
      </c>
    </row>
    <row r="40561" spans="1:2" x14ac:dyDescent="0.25">
      <c r="A40561">
        <v>85042200</v>
      </c>
      <c r="B40561" t="s">
        <v>12819</v>
      </c>
    </row>
    <row r="40562" spans="1:2" x14ac:dyDescent="0.25">
      <c r="A40562">
        <v>85042200100</v>
      </c>
      <c r="B40562" t="s">
        <v>12820</v>
      </c>
    </row>
    <row r="40563" spans="1:2" x14ac:dyDescent="0.25">
      <c r="A40563">
        <v>85042200200</v>
      </c>
      <c r="B40563" t="s">
        <v>12821</v>
      </c>
    </row>
    <row r="40564" spans="1:2" x14ac:dyDescent="0.25">
      <c r="A40564">
        <v>850422009</v>
      </c>
      <c r="B40564" t="s">
        <v>10</v>
      </c>
    </row>
    <row r="40565" spans="1:2" x14ac:dyDescent="0.25">
      <c r="A40565">
        <v>85042200910</v>
      </c>
      <c r="B40565" t="s">
        <v>12805</v>
      </c>
    </row>
    <row r="40566" spans="1:2" x14ac:dyDescent="0.25">
      <c r="A40566">
        <v>85042200990</v>
      </c>
      <c r="B40566" t="s">
        <v>10</v>
      </c>
    </row>
    <row r="40567" spans="1:2" x14ac:dyDescent="0.25">
      <c r="A40567">
        <v>85042300</v>
      </c>
      <c r="B40567" t="s">
        <v>12822</v>
      </c>
    </row>
    <row r="40568" spans="1:2" x14ac:dyDescent="0.25">
      <c r="A40568">
        <v>850423001</v>
      </c>
      <c r="B40568" t="s">
        <v>12823</v>
      </c>
    </row>
    <row r="40569" spans="1:2" x14ac:dyDescent="0.25">
      <c r="A40569">
        <v>8504230011</v>
      </c>
      <c r="B40569" t="s">
        <v>12805</v>
      </c>
    </row>
    <row r="40570" spans="1:2" x14ac:dyDescent="0.25">
      <c r="A40570">
        <v>85042300111</v>
      </c>
      <c r="B40570" t="s">
        <v>12824</v>
      </c>
    </row>
    <row r="40571" spans="1:2" x14ac:dyDescent="0.25">
      <c r="A40571">
        <v>85042300112</v>
      </c>
      <c r="B40571" t="s">
        <v>12825</v>
      </c>
    </row>
    <row r="40572" spans="1:2" x14ac:dyDescent="0.25">
      <c r="A40572">
        <v>85042300190</v>
      </c>
      <c r="B40572" t="s">
        <v>10</v>
      </c>
    </row>
    <row r="40573" spans="1:2" x14ac:dyDescent="0.25">
      <c r="A40573">
        <v>850423009</v>
      </c>
      <c r="B40573" t="s">
        <v>10</v>
      </c>
    </row>
    <row r="40574" spans="1:2" x14ac:dyDescent="0.25">
      <c r="A40574">
        <v>85042300910</v>
      </c>
      <c r="B40574" t="s">
        <v>12805</v>
      </c>
    </row>
    <row r="40575" spans="1:2" x14ac:dyDescent="0.25">
      <c r="A40575">
        <v>85042300990</v>
      </c>
      <c r="B40575" t="s">
        <v>10</v>
      </c>
    </row>
    <row r="40576" spans="1:2" x14ac:dyDescent="0.25">
      <c r="A40576">
        <v>85043</v>
      </c>
      <c r="B40576" t="s">
        <v>12826</v>
      </c>
    </row>
    <row r="40577" spans="1:2" x14ac:dyDescent="0.25">
      <c r="A40577">
        <v>850431</v>
      </c>
      <c r="B40577" t="s">
        <v>12827</v>
      </c>
    </row>
    <row r="40578" spans="1:2" x14ac:dyDescent="0.25">
      <c r="A40578">
        <v>8504311</v>
      </c>
      <c r="B40578" t="s">
        <v>12828</v>
      </c>
    </row>
    <row r="40579" spans="1:2" x14ac:dyDescent="0.25">
      <c r="A40579">
        <v>85043111000</v>
      </c>
      <c r="B40579" t="s">
        <v>12829</v>
      </c>
    </row>
    <row r="40580" spans="1:2" x14ac:dyDescent="0.25">
      <c r="A40580">
        <v>85043119</v>
      </c>
      <c r="B40580" t="s">
        <v>10</v>
      </c>
    </row>
    <row r="40581" spans="1:2" x14ac:dyDescent="0.25">
      <c r="A40581">
        <v>85043119100</v>
      </c>
      <c r="B40581" t="s">
        <v>12830</v>
      </c>
    </row>
    <row r="40582" spans="1:2" x14ac:dyDescent="0.25">
      <c r="A40582">
        <v>85043119900</v>
      </c>
      <c r="B40582" t="s">
        <v>10</v>
      </c>
    </row>
    <row r="40583" spans="1:2" x14ac:dyDescent="0.25">
      <c r="A40583">
        <v>8504319</v>
      </c>
      <c r="B40583" t="s">
        <v>10</v>
      </c>
    </row>
    <row r="40584" spans="1:2" x14ac:dyDescent="0.25">
      <c r="A40584">
        <v>85043191000</v>
      </c>
      <c r="B40584" t="s">
        <v>12831</v>
      </c>
    </row>
    <row r="40585" spans="1:2" x14ac:dyDescent="0.25">
      <c r="A40585">
        <v>85043192000</v>
      </c>
      <c r="B40585" t="s">
        <v>12832</v>
      </c>
    </row>
    <row r="40586" spans="1:2" x14ac:dyDescent="0.25">
      <c r="A40586">
        <v>85043199000</v>
      </c>
      <c r="B40586" t="s">
        <v>10</v>
      </c>
    </row>
    <row r="40587" spans="1:2" x14ac:dyDescent="0.25">
      <c r="A40587">
        <v>850432</v>
      </c>
      <c r="B40587" t="s">
        <v>12833</v>
      </c>
    </row>
    <row r="40588" spans="1:2" x14ac:dyDescent="0.25">
      <c r="A40588">
        <v>8504321</v>
      </c>
      <c r="B40588" t="s">
        <v>12834</v>
      </c>
    </row>
    <row r="40589" spans="1:2" x14ac:dyDescent="0.25">
      <c r="A40589">
        <v>85043211000</v>
      </c>
      <c r="B40589" t="s">
        <v>12828</v>
      </c>
    </row>
    <row r="40590" spans="1:2" x14ac:dyDescent="0.25">
      <c r="A40590">
        <v>85043219000</v>
      </c>
      <c r="B40590" t="s">
        <v>10</v>
      </c>
    </row>
    <row r="40591" spans="1:2" x14ac:dyDescent="0.25">
      <c r="A40591">
        <v>8504322</v>
      </c>
      <c r="B40591" t="s">
        <v>12835</v>
      </c>
    </row>
    <row r="40592" spans="1:2" x14ac:dyDescent="0.25">
      <c r="A40592">
        <v>85043221</v>
      </c>
      <c r="B40592" t="s">
        <v>12828</v>
      </c>
    </row>
    <row r="40593" spans="1:2" x14ac:dyDescent="0.25">
      <c r="A40593">
        <v>85043221100</v>
      </c>
      <c r="B40593" t="s">
        <v>12836</v>
      </c>
    </row>
    <row r="40594" spans="1:2" x14ac:dyDescent="0.25">
      <c r="A40594">
        <v>85043221900</v>
      </c>
      <c r="B40594" t="s">
        <v>10</v>
      </c>
    </row>
    <row r="40595" spans="1:2" x14ac:dyDescent="0.25">
      <c r="A40595">
        <v>85043229000</v>
      </c>
      <c r="B40595" t="s">
        <v>10</v>
      </c>
    </row>
    <row r="40596" spans="1:2" x14ac:dyDescent="0.25">
      <c r="A40596">
        <v>85043300000</v>
      </c>
      <c r="B40596" t="s">
        <v>12837</v>
      </c>
    </row>
    <row r="40597" spans="1:2" x14ac:dyDescent="0.25">
      <c r="A40597">
        <v>85043400000</v>
      </c>
      <c r="B40597" t="s">
        <v>12838</v>
      </c>
    </row>
    <row r="40598" spans="1:2" x14ac:dyDescent="0.25">
      <c r="A40598">
        <v>850440</v>
      </c>
      <c r="B40598" t="e">
        <f>- Convertidores estaticos</f>
        <v>#NAME?</v>
      </c>
    </row>
    <row r="40599" spans="1:2" x14ac:dyDescent="0.25">
      <c r="A40599">
        <v>85044010000</v>
      </c>
      <c r="B40599" t="s">
        <v>12839</v>
      </c>
    </row>
    <row r="40600" spans="1:2" x14ac:dyDescent="0.25">
      <c r="A40600">
        <v>8504402</v>
      </c>
      <c r="B40600" t="s">
        <v>12840</v>
      </c>
    </row>
    <row r="40601" spans="1:2" x14ac:dyDescent="0.25">
      <c r="A40601">
        <v>85044021</v>
      </c>
      <c r="B40601" t="s">
        <v>12841</v>
      </c>
    </row>
    <row r="40602" spans="1:2" x14ac:dyDescent="0.25">
      <c r="A40602">
        <v>85044021100</v>
      </c>
      <c r="B40602" t="s">
        <v>12842</v>
      </c>
    </row>
    <row r="40603" spans="1:2" x14ac:dyDescent="0.25">
      <c r="A40603">
        <v>85044021900</v>
      </c>
      <c r="B40603" t="s">
        <v>10</v>
      </c>
    </row>
    <row r="40604" spans="1:2" x14ac:dyDescent="0.25">
      <c r="A40604">
        <v>85044022000</v>
      </c>
      <c r="B40604" t="s">
        <v>12843</v>
      </c>
    </row>
    <row r="40605" spans="1:2" x14ac:dyDescent="0.25">
      <c r="A40605">
        <v>85044029000</v>
      </c>
      <c r="B40605" t="s">
        <v>10</v>
      </c>
    </row>
    <row r="40606" spans="1:2" x14ac:dyDescent="0.25">
      <c r="A40606">
        <v>85044030000</v>
      </c>
      <c r="B40606" t="s">
        <v>12844</v>
      </c>
    </row>
    <row r="40607" spans="1:2" x14ac:dyDescent="0.25">
      <c r="A40607">
        <v>85044040</v>
      </c>
      <c r="B40607" t="s">
        <v>12845</v>
      </c>
    </row>
    <row r="40608" spans="1:2" x14ac:dyDescent="0.25">
      <c r="A40608">
        <v>85044040100</v>
      </c>
      <c r="B40608" t="s">
        <v>12836</v>
      </c>
    </row>
    <row r="40609" spans="1:2" x14ac:dyDescent="0.25">
      <c r="A40609">
        <v>85044040900</v>
      </c>
      <c r="B40609" t="s">
        <v>10</v>
      </c>
    </row>
    <row r="40610" spans="1:2" x14ac:dyDescent="0.25">
      <c r="A40610">
        <v>85044050000</v>
      </c>
      <c r="B40610" t="s">
        <v>12846</v>
      </c>
    </row>
    <row r="40611" spans="1:2" x14ac:dyDescent="0.25">
      <c r="A40611">
        <v>85044060000</v>
      </c>
      <c r="B40611" t="s">
        <v>12847</v>
      </c>
    </row>
    <row r="40612" spans="1:2" x14ac:dyDescent="0.25">
      <c r="A40612">
        <v>85044090</v>
      </c>
      <c r="B40612" t="s">
        <v>10</v>
      </c>
    </row>
    <row r="40613" spans="1:2" x14ac:dyDescent="0.25">
      <c r="A40613">
        <v>850440901</v>
      </c>
      <c r="B40613" t="s">
        <v>12848</v>
      </c>
    </row>
    <row r="40614" spans="1:2" x14ac:dyDescent="0.25">
      <c r="A40614">
        <v>85044090110</v>
      </c>
      <c r="B40614" t="s">
        <v>12849</v>
      </c>
    </row>
    <row r="40615" spans="1:2" x14ac:dyDescent="0.25">
      <c r="A40615">
        <v>85044090190</v>
      </c>
      <c r="B40615" t="s">
        <v>10</v>
      </c>
    </row>
    <row r="40616" spans="1:2" x14ac:dyDescent="0.25">
      <c r="A40616">
        <v>850440909</v>
      </c>
      <c r="B40616" t="s">
        <v>10</v>
      </c>
    </row>
    <row r="40617" spans="1:2" x14ac:dyDescent="0.25">
      <c r="A40617">
        <v>85044090910</v>
      </c>
      <c r="B40617" t="s">
        <v>12849</v>
      </c>
    </row>
    <row r="40618" spans="1:2" x14ac:dyDescent="0.25">
      <c r="A40618">
        <v>85044090990</v>
      </c>
      <c r="B40618" t="s">
        <v>10</v>
      </c>
    </row>
    <row r="40619" spans="1:2" x14ac:dyDescent="0.25">
      <c r="A40619">
        <v>85045000000</v>
      </c>
      <c r="B40619" t="e">
        <f>-las demas bobinas de reactancia (autoinduccion)</f>
        <v>#NAME?</v>
      </c>
    </row>
    <row r="40620" spans="1:2" x14ac:dyDescent="0.25">
      <c r="A40620">
        <v>850490</v>
      </c>
      <c r="B40620" t="e">
        <f>- partes</f>
        <v>#NAME?</v>
      </c>
    </row>
    <row r="40621" spans="1:2" x14ac:dyDescent="0.25">
      <c r="A40621">
        <v>85049010000</v>
      </c>
      <c r="B40621" t="s">
        <v>12850</v>
      </c>
    </row>
    <row r="40622" spans="1:2" x14ac:dyDescent="0.25">
      <c r="A40622">
        <v>85049020000</v>
      </c>
      <c r="B40622" t="s">
        <v>12851</v>
      </c>
    </row>
    <row r="40623" spans="1:2" x14ac:dyDescent="0.25">
      <c r="A40623">
        <v>85049030000</v>
      </c>
      <c r="B40623" t="s">
        <v>12852</v>
      </c>
    </row>
    <row r="40624" spans="1:2" x14ac:dyDescent="0.25">
      <c r="A40624">
        <v>85049040000</v>
      </c>
      <c r="B40624" t="s">
        <v>12853</v>
      </c>
    </row>
    <row r="40625" spans="1:2" x14ac:dyDescent="0.25">
      <c r="A40625">
        <v>85049090000</v>
      </c>
      <c r="B40625" t="s">
        <v>57</v>
      </c>
    </row>
    <row r="40626" spans="1:2" x14ac:dyDescent="0.25">
      <c r="A40626">
        <v>8505</v>
      </c>
      <c r="B40626" t="s">
        <v>12854</v>
      </c>
    </row>
    <row r="40627" spans="1:2" x14ac:dyDescent="0.25">
      <c r="A40627">
        <v>85051</v>
      </c>
      <c r="B40627" t="s">
        <v>12855</v>
      </c>
    </row>
    <row r="40628" spans="1:2" x14ac:dyDescent="0.25">
      <c r="A40628">
        <v>85051100000</v>
      </c>
      <c r="B40628" t="e">
        <f>--de Metal</f>
        <v>#NAME?</v>
      </c>
    </row>
    <row r="40629" spans="1:2" x14ac:dyDescent="0.25">
      <c r="A40629">
        <v>850519</v>
      </c>
      <c r="B40629" t="e">
        <f>- - Los demas</f>
        <v>#NAME?</v>
      </c>
    </row>
    <row r="40630" spans="1:2" x14ac:dyDescent="0.25">
      <c r="A40630">
        <v>85051910</v>
      </c>
      <c r="B40630" t="s">
        <v>12856</v>
      </c>
    </row>
    <row r="40631" spans="1:2" x14ac:dyDescent="0.25">
      <c r="A40631">
        <v>85051910100</v>
      </c>
      <c r="B40631" t="s">
        <v>12857</v>
      </c>
    </row>
    <row r="40632" spans="1:2" x14ac:dyDescent="0.25">
      <c r="A40632">
        <v>850519109</v>
      </c>
      <c r="B40632" t="s">
        <v>10</v>
      </c>
    </row>
    <row r="40633" spans="1:2" x14ac:dyDescent="0.25">
      <c r="A40633">
        <v>85051910910</v>
      </c>
      <c r="B40633" t="s">
        <v>12858</v>
      </c>
    </row>
    <row r="40634" spans="1:2" x14ac:dyDescent="0.25">
      <c r="A40634">
        <v>85051910990</v>
      </c>
      <c r="B40634" t="s">
        <v>10</v>
      </c>
    </row>
    <row r="40635" spans="1:2" x14ac:dyDescent="0.25">
      <c r="A40635">
        <v>85051990000</v>
      </c>
      <c r="B40635" t="s">
        <v>10</v>
      </c>
    </row>
    <row r="40636" spans="1:2" x14ac:dyDescent="0.25">
      <c r="A40636">
        <v>850520</v>
      </c>
      <c r="B40636" t="e">
        <f>- Acoplamientos. embragues. variadores de velocidad y frenos. electromagneticos</f>
        <v>#NAME?</v>
      </c>
    </row>
    <row r="40637" spans="1:2" x14ac:dyDescent="0.25">
      <c r="A40637">
        <v>85052010000</v>
      </c>
      <c r="B40637" t="s">
        <v>12859</v>
      </c>
    </row>
    <row r="40638" spans="1:2" x14ac:dyDescent="0.25">
      <c r="A40638">
        <v>85052090</v>
      </c>
      <c r="B40638" t="s">
        <v>10</v>
      </c>
    </row>
    <row r="40639" spans="1:2" x14ac:dyDescent="0.25">
      <c r="A40639">
        <v>85052090100</v>
      </c>
      <c r="B40639" t="s">
        <v>12860</v>
      </c>
    </row>
    <row r="40640" spans="1:2" x14ac:dyDescent="0.25">
      <c r="A40640">
        <v>85052090200</v>
      </c>
      <c r="B40640" t="s">
        <v>12861</v>
      </c>
    </row>
    <row r="40641" spans="1:2" x14ac:dyDescent="0.25">
      <c r="A40641">
        <v>85052090300</v>
      </c>
      <c r="B40641" t="s">
        <v>12700</v>
      </c>
    </row>
    <row r="40642" spans="1:2" x14ac:dyDescent="0.25">
      <c r="A40642">
        <v>85052090900</v>
      </c>
      <c r="B40642" t="s">
        <v>10</v>
      </c>
    </row>
    <row r="40643" spans="1:2" x14ac:dyDescent="0.25">
      <c r="A40643">
        <v>850590</v>
      </c>
      <c r="B40643" t="e">
        <f>- Los demas. incluidas las partes</f>
        <v>#NAME?</v>
      </c>
    </row>
    <row r="40644" spans="1:2" x14ac:dyDescent="0.25">
      <c r="A40644">
        <v>85059010000</v>
      </c>
      <c r="B40644" t="s">
        <v>12862</v>
      </c>
    </row>
    <row r="40645" spans="1:2" x14ac:dyDescent="0.25">
      <c r="A40645">
        <v>85059080</v>
      </c>
      <c r="B40645" t="s">
        <v>10</v>
      </c>
    </row>
    <row r="40646" spans="1:2" x14ac:dyDescent="0.25">
      <c r="A40646">
        <v>85059080100</v>
      </c>
      <c r="B40646" t="s">
        <v>12863</v>
      </c>
    </row>
    <row r="40647" spans="1:2" x14ac:dyDescent="0.25">
      <c r="A40647">
        <v>85059080900</v>
      </c>
      <c r="B40647" t="s">
        <v>10</v>
      </c>
    </row>
    <row r="40648" spans="1:2" x14ac:dyDescent="0.25">
      <c r="A40648">
        <v>85059090000</v>
      </c>
      <c r="B40648" t="s">
        <v>10194</v>
      </c>
    </row>
    <row r="40649" spans="1:2" x14ac:dyDescent="0.25">
      <c r="A40649">
        <v>8506</v>
      </c>
      <c r="B40649" t="s">
        <v>12864</v>
      </c>
    </row>
    <row r="40650" spans="1:2" x14ac:dyDescent="0.25">
      <c r="A40650">
        <v>850610</v>
      </c>
      <c r="B40650" t="e">
        <f>- de Dioxido de manganeso</f>
        <v>#NAME?</v>
      </c>
    </row>
    <row r="40651" spans="1:2" x14ac:dyDescent="0.25">
      <c r="A40651">
        <v>85061010</v>
      </c>
      <c r="B40651" t="s">
        <v>12865</v>
      </c>
    </row>
    <row r="40652" spans="1:2" x14ac:dyDescent="0.25">
      <c r="A40652">
        <v>850610101</v>
      </c>
      <c r="B40652" t="s">
        <v>12866</v>
      </c>
    </row>
    <row r="40653" spans="1:2" x14ac:dyDescent="0.25">
      <c r="A40653">
        <v>8506101012</v>
      </c>
      <c r="B40653" t="s">
        <v>12867</v>
      </c>
    </row>
    <row r="40654" spans="1:2" x14ac:dyDescent="0.25">
      <c r="A40654">
        <v>85061010121</v>
      </c>
      <c r="B40654" t="s">
        <v>12868</v>
      </c>
    </row>
    <row r="40655" spans="1:2" x14ac:dyDescent="0.25">
      <c r="A40655">
        <v>85061010129</v>
      </c>
      <c r="B40655" t="s">
        <v>57</v>
      </c>
    </row>
    <row r="40656" spans="1:2" x14ac:dyDescent="0.25">
      <c r="A40656">
        <v>85061010190</v>
      </c>
      <c r="B40656" t="s">
        <v>57</v>
      </c>
    </row>
    <row r="40657" spans="1:2" x14ac:dyDescent="0.25">
      <c r="A40657">
        <v>850610109</v>
      </c>
      <c r="B40657" t="s">
        <v>12869</v>
      </c>
    </row>
    <row r="40658" spans="1:2" x14ac:dyDescent="0.25">
      <c r="A40658">
        <v>85061010910</v>
      </c>
      <c r="B40658" t="s">
        <v>12867</v>
      </c>
    </row>
    <row r="40659" spans="1:2" x14ac:dyDescent="0.25">
      <c r="A40659">
        <v>85061010990</v>
      </c>
      <c r="B40659" t="s">
        <v>57</v>
      </c>
    </row>
    <row r="40660" spans="1:2" x14ac:dyDescent="0.25">
      <c r="A40660">
        <v>85061020</v>
      </c>
      <c r="B40660" t="s">
        <v>12870</v>
      </c>
    </row>
    <row r="40661" spans="1:2" x14ac:dyDescent="0.25">
      <c r="A40661">
        <v>85061020100</v>
      </c>
      <c r="B40661" t="s">
        <v>12871</v>
      </c>
    </row>
    <row r="40662" spans="1:2" x14ac:dyDescent="0.25">
      <c r="A40662">
        <v>85061020900</v>
      </c>
      <c r="B40662" t="s">
        <v>12869</v>
      </c>
    </row>
    <row r="40663" spans="1:2" x14ac:dyDescent="0.25">
      <c r="A40663">
        <v>8506103</v>
      </c>
      <c r="B40663" t="s">
        <v>12872</v>
      </c>
    </row>
    <row r="40664" spans="1:2" x14ac:dyDescent="0.25">
      <c r="A40664">
        <v>85061031</v>
      </c>
      <c r="B40664" t="s">
        <v>12873</v>
      </c>
    </row>
    <row r="40665" spans="1:2" x14ac:dyDescent="0.25">
      <c r="A40665">
        <v>85061031100</v>
      </c>
      <c r="B40665" t="s">
        <v>12871</v>
      </c>
    </row>
    <row r="40666" spans="1:2" x14ac:dyDescent="0.25">
      <c r="A40666">
        <v>85061031900</v>
      </c>
      <c r="B40666" t="s">
        <v>10</v>
      </c>
    </row>
    <row r="40667" spans="1:2" x14ac:dyDescent="0.25">
      <c r="A40667">
        <v>85061039</v>
      </c>
      <c r="B40667" t="s">
        <v>10</v>
      </c>
    </row>
    <row r="40668" spans="1:2" x14ac:dyDescent="0.25">
      <c r="A40668">
        <v>85061039100</v>
      </c>
      <c r="B40668" t="s">
        <v>12874</v>
      </c>
    </row>
    <row r="40669" spans="1:2" x14ac:dyDescent="0.25">
      <c r="A40669">
        <v>85061039900</v>
      </c>
      <c r="B40669" t="s">
        <v>10</v>
      </c>
    </row>
    <row r="40670" spans="1:2" x14ac:dyDescent="0.25">
      <c r="A40670">
        <v>850630</v>
      </c>
      <c r="B40670" t="e">
        <f>- de Oxido de Mercurio</f>
        <v>#NAME?</v>
      </c>
    </row>
    <row r="40671" spans="1:2" x14ac:dyDescent="0.25">
      <c r="A40671">
        <v>85063010000</v>
      </c>
      <c r="B40671" t="s">
        <v>12875</v>
      </c>
    </row>
    <row r="40672" spans="1:2" x14ac:dyDescent="0.25">
      <c r="A40672">
        <v>85063090000</v>
      </c>
      <c r="B40672" t="s">
        <v>57</v>
      </c>
    </row>
    <row r="40673" spans="1:2" x14ac:dyDescent="0.25">
      <c r="A40673">
        <v>850640</v>
      </c>
      <c r="B40673" t="e">
        <f>- de Oxido de plata</f>
        <v>#NAME?</v>
      </c>
    </row>
    <row r="40674" spans="1:2" x14ac:dyDescent="0.25">
      <c r="A40674">
        <v>85064010000</v>
      </c>
      <c r="B40674" t="s">
        <v>12875</v>
      </c>
    </row>
    <row r="40675" spans="1:2" x14ac:dyDescent="0.25">
      <c r="A40675">
        <v>85064090000</v>
      </c>
      <c r="B40675" t="s">
        <v>57</v>
      </c>
    </row>
    <row r="40676" spans="1:2" x14ac:dyDescent="0.25">
      <c r="A40676">
        <v>850650</v>
      </c>
      <c r="B40676" t="e">
        <f>- de litio</f>
        <v>#NAME?</v>
      </c>
    </row>
    <row r="40677" spans="1:2" x14ac:dyDescent="0.25">
      <c r="A40677">
        <v>85065010000</v>
      </c>
      <c r="B40677" t="s">
        <v>12875</v>
      </c>
    </row>
    <row r="40678" spans="1:2" x14ac:dyDescent="0.25">
      <c r="A40678">
        <v>85065090000</v>
      </c>
      <c r="B40678" t="s">
        <v>57</v>
      </c>
    </row>
    <row r="40679" spans="1:2" x14ac:dyDescent="0.25">
      <c r="A40679">
        <v>850660</v>
      </c>
      <c r="B40679" t="e">
        <f>- de aire-cinc</f>
        <v>#NAME?</v>
      </c>
    </row>
    <row r="40680" spans="1:2" x14ac:dyDescent="0.25">
      <c r="A40680">
        <v>85066010000</v>
      </c>
      <c r="B40680" t="s">
        <v>12875</v>
      </c>
    </row>
    <row r="40681" spans="1:2" x14ac:dyDescent="0.25">
      <c r="A40681">
        <v>85066090000</v>
      </c>
      <c r="B40681" t="s">
        <v>57</v>
      </c>
    </row>
    <row r="40682" spans="1:2" x14ac:dyDescent="0.25">
      <c r="A40682">
        <v>850680</v>
      </c>
      <c r="B40682" t="e">
        <f>- las demas pilas y baterias de pilas</f>
        <v>#NAME?</v>
      </c>
    </row>
    <row r="40683" spans="1:2" x14ac:dyDescent="0.25">
      <c r="A40683">
        <v>85068010</v>
      </c>
      <c r="B40683" t="s">
        <v>12875</v>
      </c>
    </row>
    <row r="40684" spans="1:2" x14ac:dyDescent="0.25">
      <c r="A40684">
        <v>85068010100</v>
      </c>
      <c r="B40684" t="s">
        <v>12876</v>
      </c>
    </row>
    <row r="40685" spans="1:2" x14ac:dyDescent="0.25">
      <c r="A40685">
        <v>85068010900</v>
      </c>
      <c r="B40685" t="s">
        <v>57</v>
      </c>
    </row>
    <row r="40686" spans="1:2" x14ac:dyDescent="0.25">
      <c r="A40686">
        <v>85068090</v>
      </c>
      <c r="B40686" t="s">
        <v>57</v>
      </c>
    </row>
    <row r="40687" spans="1:2" x14ac:dyDescent="0.25">
      <c r="A40687">
        <v>85068090100</v>
      </c>
      <c r="B40687" t="s">
        <v>12876</v>
      </c>
    </row>
    <row r="40688" spans="1:2" x14ac:dyDescent="0.25">
      <c r="A40688">
        <v>85068090900</v>
      </c>
      <c r="B40688" t="s">
        <v>57</v>
      </c>
    </row>
    <row r="40689" spans="1:2" x14ac:dyDescent="0.25">
      <c r="A40689">
        <v>85069000000</v>
      </c>
      <c r="B40689" t="e">
        <f>-partes</f>
        <v>#NAME?</v>
      </c>
    </row>
    <row r="40690" spans="1:2" x14ac:dyDescent="0.25">
      <c r="A40690">
        <v>8507</v>
      </c>
      <c r="B40690" t="s">
        <v>12877</v>
      </c>
    </row>
    <row r="40691" spans="1:2" x14ac:dyDescent="0.25">
      <c r="A40691">
        <v>850710</v>
      </c>
      <c r="B40691" t="e">
        <f>- de plomo. de Los tipos utilizados para arranque de Motores de embolo (piston)</f>
        <v>#NAME?</v>
      </c>
    </row>
    <row r="40692" spans="1:2" x14ac:dyDescent="0.25">
      <c r="A40692">
        <v>85071010</v>
      </c>
      <c r="B40692" t="s">
        <v>12878</v>
      </c>
    </row>
    <row r="40693" spans="1:2" x14ac:dyDescent="0.25">
      <c r="A40693">
        <v>850710101</v>
      </c>
      <c r="B40693" t="s">
        <v>12879</v>
      </c>
    </row>
    <row r="40694" spans="1:2" x14ac:dyDescent="0.25">
      <c r="A40694">
        <v>85071010110</v>
      </c>
      <c r="B40694" t="s">
        <v>12880</v>
      </c>
    </row>
    <row r="40695" spans="1:2" x14ac:dyDescent="0.25">
      <c r="A40695">
        <v>85071010190</v>
      </c>
      <c r="B40695" t="s">
        <v>10</v>
      </c>
    </row>
    <row r="40696" spans="1:2" x14ac:dyDescent="0.25">
      <c r="A40696">
        <v>850710102</v>
      </c>
      <c r="B40696" t="s">
        <v>12881</v>
      </c>
    </row>
    <row r="40697" spans="1:2" x14ac:dyDescent="0.25">
      <c r="A40697">
        <v>8507101021</v>
      </c>
      <c r="B40697" t="s">
        <v>12882</v>
      </c>
    </row>
    <row r="40698" spans="1:2" x14ac:dyDescent="0.25">
      <c r="A40698">
        <v>85071010211</v>
      </c>
      <c r="B40698" t="s">
        <v>12883</v>
      </c>
    </row>
    <row r="40699" spans="1:2" x14ac:dyDescent="0.25">
      <c r="A40699">
        <v>85071010219</v>
      </c>
      <c r="B40699" t="s">
        <v>823</v>
      </c>
    </row>
    <row r="40700" spans="1:2" x14ac:dyDescent="0.25">
      <c r="A40700">
        <v>8507101029</v>
      </c>
      <c r="B40700" t="s">
        <v>823</v>
      </c>
    </row>
    <row r="40701" spans="1:2" x14ac:dyDescent="0.25">
      <c r="A40701">
        <v>85071010291</v>
      </c>
      <c r="B40701" t="s">
        <v>12884</v>
      </c>
    </row>
    <row r="40702" spans="1:2" x14ac:dyDescent="0.25">
      <c r="A40702">
        <v>85071010299</v>
      </c>
      <c r="B40702" t="s">
        <v>823</v>
      </c>
    </row>
    <row r="40703" spans="1:2" x14ac:dyDescent="0.25">
      <c r="A40703">
        <v>85071090</v>
      </c>
      <c r="B40703" t="s">
        <v>10</v>
      </c>
    </row>
    <row r="40704" spans="1:2" x14ac:dyDescent="0.25">
      <c r="A40704">
        <v>850710901</v>
      </c>
      <c r="B40704" t="s">
        <v>12879</v>
      </c>
    </row>
    <row r="40705" spans="1:2" x14ac:dyDescent="0.25">
      <c r="A40705">
        <v>8507109011</v>
      </c>
      <c r="B40705" t="s">
        <v>12880</v>
      </c>
    </row>
    <row r="40706" spans="1:2" x14ac:dyDescent="0.25">
      <c r="A40706">
        <v>85071090111</v>
      </c>
      <c r="B40706" t="s">
        <v>12885</v>
      </c>
    </row>
    <row r="40707" spans="1:2" x14ac:dyDescent="0.25">
      <c r="A40707">
        <v>85071090119</v>
      </c>
      <c r="B40707" t="s">
        <v>10</v>
      </c>
    </row>
    <row r="40708" spans="1:2" x14ac:dyDescent="0.25">
      <c r="A40708">
        <v>8507109019</v>
      </c>
      <c r="B40708" t="s">
        <v>10</v>
      </c>
    </row>
    <row r="40709" spans="1:2" x14ac:dyDescent="0.25">
      <c r="A40709">
        <v>85071090191</v>
      </c>
      <c r="B40709" t="s">
        <v>12885</v>
      </c>
    </row>
    <row r="40710" spans="1:2" x14ac:dyDescent="0.25">
      <c r="A40710">
        <v>85071090199</v>
      </c>
      <c r="B40710" t="s">
        <v>10</v>
      </c>
    </row>
    <row r="40711" spans="1:2" x14ac:dyDescent="0.25">
      <c r="A40711">
        <v>850710902</v>
      </c>
      <c r="B40711" t="s">
        <v>12881</v>
      </c>
    </row>
    <row r="40712" spans="1:2" x14ac:dyDescent="0.25">
      <c r="A40712">
        <v>8507109021</v>
      </c>
      <c r="B40712" t="s">
        <v>12880</v>
      </c>
    </row>
    <row r="40713" spans="1:2" x14ac:dyDescent="0.25">
      <c r="A40713">
        <v>85071090211</v>
      </c>
      <c r="B40713" t="s">
        <v>12885</v>
      </c>
    </row>
    <row r="40714" spans="1:2" x14ac:dyDescent="0.25">
      <c r="A40714">
        <v>85071090212</v>
      </c>
      <c r="B40714" t="s">
        <v>12886</v>
      </c>
    </row>
    <row r="40715" spans="1:2" x14ac:dyDescent="0.25">
      <c r="A40715">
        <v>85071090213</v>
      </c>
      <c r="B40715" t="s">
        <v>12887</v>
      </c>
    </row>
    <row r="40716" spans="1:2" x14ac:dyDescent="0.25">
      <c r="A40716">
        <v>85071090214</v>
      </c>
      <c r="B40716" t="s">
        <v>12888</v>
      </c>
    </row>
    <row r="40717" spans="1:2" x14ac:dyDescent="0.25">
      <c r="A40717">
        <v>85071090215</v>
      </c>
      <c r="B40717" t="s">
        <v>12889</v>
      </c>
    </row>
    <row r="40718" spans="1:2" x14ac:dyDescent="0.25">
      <c r="A40718">
        <v>85071090216</v>
      </c>
      <c r="B40718" t="s">
        <v>12890</v>
      </c>
    </row>
    <row r="40719" spans="1:2" x14ac:dyDescent="0.25">
      <c r="A40719">
        <v>85071090217</v>
      </c>
      <c r="B40719" t="s">
        <v>12891</v>
      </c>
    </row>
    <row r="40720" spans="1:2" x14ac:dyDescent="0.25">
      <c r="A40720">
        <v>85071090218</v>
      </c>
      <c r="B40720" t="s">
        <v>12892</v>
      </c>
    </row>
    <row r="40721" spans="1:2" x14ac:dyDescent="0.25">
      <c r="A40721">
        <v>85071090219</v>
      </c>
      <c r="B40721" t="s">
        <v>10</v>
      </c>
    </row>
    <row r="40722" spans="1:2" x14ac:dyDescent="0.25">
      <c r="A40722">
        <v>8507109029</v>
      </c>
      <c r="B40722" t="s">
        <v>10</v>
      </c>
    </row>
    <row r="40723" spans="1:2" x14ac:dyDescent="0.25">
      <c r="A40723">
        <v>85071090291</v>
      </c>
      <c r="B40723" t="s">
        <v>12885</v>
      </c>
    </row>
    <row r="40724" spans="1:2" x14ac:dyDescent="0.25">
      <c r="A40724">
        <v>85071090292</v>
      </c>
      <c r="B40724" t="s">
        <v>12886</v>
      </c>
    </row>
    <row r="40725" spans="1:2" x14ac:dyDescent="0.25">
      <c r="A40725">
        <v>85071090293</v>
      </c>
      <c r="B40725" t="s">
        <v>12887</v>
      </c>
    </row>
    <row r="40726" spans="1:2" x14ac:dyDescent="0.25">
      <c r="A40726">
        <v>85071090294</v>
      </c>
      <c r="B40726" t="s">
        <v>12888</v>
      </c>
    </row>
    <row r="40727" spans="1:2" x14ac:dyDescent="0.25">
      <c r="A40727">
        <v>85071090295</v>
      </c>
      <c r="B40727" t="s">
        <v>12889</v>
      </c>
    </row>
    <row r="40728" spans="1:2" x14ac:dyDescent="0.25">
      <c r="A40728">
        <v>85071090296</v>
      </c>
      <c r="B40728" t="s">
        <v>12890</v>
      </c>
    </row>
    <row r="40729" spans="1:2" x14ac:dyDescent="0.25">
      <c r="A40729">
        <v>85071090297</v>
      </c>
      <c r="B40729" t="s">
        <v>12891</v>
      </c>
    </row>
    <row r="40730" spans="1:2" x14ac:dyDescent="0.25">
      <c r="A40730">
        <v>85071090298</v>
      </c>
      <c r="B40730" t="s">
        <v>12892</v>
      </c>
    </row>
    <row r="40731" spans="1:2" x14ac:dyDescent="0.25">
      <c r="A40731">
        <v>85071090299</v>
      </c>
      <c r="B40731" t="s">
        <v>10</v>
      </c>
    </row>
    <row r="40732" spans="1:2" x14ac:dyDescent="0.25">
      <c r="A40732">
        <v>850710909</v>
      </c>
      <c r="B40732" t="s">
        <v>10</v>
      </c>
    </row>
    <row r="40733" spans="1:2" x14ac:dyDescent="0.25">
      <c r="A40733">
        <v>85071090910</v>
      </c>
      <c r="B40733" t="s">
        <v>12880</v>
      </c>
    </row>
    <row r="40734" spans="1:2" x14ac:dyDescent="0.25">
      <c r="A40734">
        <v>85071090990</v>
      </c>
      <c r="B40734" t="s">
        <v>10</v>
      </c>
    </row>
    <row r="40735" spans="1:2" x14ac:dyDescent="0.25">
      <c r="A40735">
        <v>850720</v>
      </c>
      <c r="B40735" t="e">
        <f>- Los demas acumuladores de plomo</f>
        <v>#NAME?</v>
      </c>
    </row>
    <row r="40736" spans="1:2" x14ac:dyDescent="0.25">
      <c r="A40736">
        <v>85072010</v>
      </c>
      <c r="B40736" t="s">
        <v>12893</v>
      </c>
    </row>
    <row r="40737" spans="1:2" x14ac:dyDescent="0.25">
      <c r="A40737">
        <v>85072010100</v>
      </c>
      <c r="B40737" t="s">
        <v>12880</v>
      </c>
    </row>
    <row r="40738" spans="1:2" x14ac:dyDescent="0.25">
      <c r="A40738">
        <v>85072010900</v>
      </c>
      <c r="B40738" t="s">
        <v>10</v>
      </c>
    </row>
    <row r="40739" spans="1:2" x14ac:dyDescent="0.25">
      <c r="A40739">
        <v>85072090</v>
      </c>
      <c r="B40739" t="s">
        <v>10</v>
      </c>
    </row>
    <row r="40740" spans="1:2" x14ac:dyDescent="0.25">
      <c r="A40740">
        <v>85072090100</v>
      </c>
      <c r="B40740" t="s">
        <v>12880</v>
      </c>
    </row>
    <row r="40741" spans="1:2" x14ac:dyDescent="0.25">
      <c r="A40741">
        <v>85072090900</v>
      </c>
      <c r="B40741" t="s">
        <v>10</v>
      </c>
    </row>
    <row r="40742" spans="1:2" x14ac:dyDescent="0.25">
      <c r="A40742">
        <v>850730</v>
      </c>
      <c r="B40742" t="e">
        <f>- de niquel-Cadmio</f>
        <v>#NAME?</v>
      </c>
    </row>
    <row r="40743" spans="1:2" x14ac:dyDescent="0.25">
      <c r="A40743">
        <v>8507301</v>
      </c>
      <c r="B40743" t="s">
        <v>12894</v>
      </c>
    </row>
    <row r="40744" spans="1:2" x14ac:dyDescent="0.25">
      <c r="A40744">
        <v>85073011000</v>
      </c>
      <c r="B40744" t="s">
        <v>12895</v>
      </c>
    </row>
    <row r="40745" spans="1:2" x14ac:dyDescent="0.25">
      <c r="A40745">
        <v>85073019000</v>
      </c>
      <c r="B40745" t="s">
        <v>10</v>
      </c>
    </row>
    <row r="40746" spans="1:2" x14ac:dyDescent="0.25">
      <c r="A40746">
        <v>85073090000</v>
      </c>
      <c r="B40746" t="s">
        <v>10</v>
      </c>
    </row>
    <row r="40747" spans="1:2" x14ac:dyDescent="0.25">
      <c r="A40747">
        <v>85074000000</v>
      </c>
      <c r="B40747" t="e">
        <f>-de niquel-hierro</f>
        <v>#NAME?</v>
      </c>
    </row>
    <row r="40748" spans="1:2" x14ac:dyDescent="0.25">
      <c r="A40748">
        <v>850750</v>
      </c>
      <c r="B40748" t="e">
        <f>- de niquel-hidruro metalico</f>
        <v>#NAME?</v>
      </c>
    </row>
    <row r="40749" spans="1:2" x14ac:dyDescent="0.25">
      <c r="A40749">
        <v>85075010000</v>
      </c>
      <c r="B40749" t="s">
        <v>12896</v>
      </c>
    </row>
    <row r="40750" spans="1:2" x14ac:dyDescent="0.25">
      <c r="A40750">
        <v>85075020000</v>
      </c>
      <c r="B40750" t="s">
        <v>12897</v>
      </c>
    </row>
    <row r="40751" spans="1:2" x14ac:dyDescent="0.25">
      <c r="A40751">
        <v>85075090000</v>
      </c>
      <c r="B40751" t="s">
        <v>10</v>
      </c>
    </row>
    <row r="40752" spans="1:2" x14ac:dyDescent="0.25">
      <c r="A40752">
        <v>85076000</v>
      </c>
      <c r="B40752" t="e">
        <f>- de iones de litio</f>
        <v>#NAME?</v>
      </c>
    </row>
    <row r="40753" spans="1:2" x14ac:dyDescent="0.25">
      <c r="A40753">
        <v>850760001</v>
      </c>
      <c r="B40753" t="s">
        <v>12898</v>
      </c>
    </row>
    <row r="40754" spans="1:2" x14ac:dyDescent="0.25">
      <c r="A40754">
        <v>85076000110</v>
      </c>
      <c r="B40754" t="s">
        <v>12899</v>
      </c>
    </row>
    <row r="40755" spans="1:2" x14ac:dyDescent="0.25">
      <c r="A40755">
        <v>85076000120</v>
      </c>
      <c r="B40755" t="s">
        <v>12900</v>
      </c>
    </row>
    <row r="40756" spans="1:2" x14ac:dyDescent="0.25">
      <c r="A40756">
        <v>85076000190</v>
      </c>
      <c r="B40756" t="s">
        <v>57</v>
      </c>
    </row>
    <row r="40757" spans="1:2" x14ac:dyDescent="0.25">
      <c r="A40757">
        <v>850760009</v>
      </c>
      <c r="B40757" t="s">
        <v>10</v>
      </c>
    </row>
    <row r="40758" spans="1:2" x14ac:dyDescent="0.25">
      <c r="A40758">
        <v>85076000910</v>
      </c>
      <c r="B40758" t="s">
        <v>12901</v>
      </c>
    </row>
    <row r="40759" spans="1:2" x14ac:dyDescent="0.25">
      <c r="A40759">
        <v>85076000920</v>
      </c>
      <c r="B40759" t="s">
        <v>12902</v>
      </c>
    </row>
    <row r="40760" spans="1:2" x14ac:dyDescent="0.25">
      <c r="A40760">
        <v>85076000990</v>
      </c>
      <c r="B40760" t="s">
        <v>10</v>
      </c>
    </row>
    <row r="40761" spans="1:2" x14ac:dyDescent="0.25">
      <c r="A40761">
        <v>85078000000</v>
      </c>
      <c r="B40761" t="e">
        <f>-Los demas acumuladores</f>
        <v>#NAME?</v>
      </c>
    </row>
    <row r="40762" spans="1:2" x14ac:dyDescent="0.25">
      <c r="A40762">
        <v>850790</v>
      </c>
      <c r="B40762" t="e">
        <f>- partes</f>
        <v>#NAME?</v>
      </c>
    </row>
    <row r="40763" spans="1:2" x14ac:dyDescent="0.25">
      <c r="A40763">
        <v>85079010000</v>
      </c>
      <c r="B40763" t="s">
        <v>12903</v>
      </c>
    </row>
    <row r="40764" spans="1:2" x14ac:dyDescent="0.25">
      <c r="A40764">
        <v>85079020</v>
      </c>
      <c r="B40764" t="s">
        <v>12904</v>
      </c>
    </row>
    <row r="40765" spans="1:2" x14ac:dyDescent="0.25">
      <c r="A40765">
        <v>85079020100</v>
      </c>
      <c r="B40765" t="s">
        <v>12905</v>
      </c>
    </row>
    <row r="40766" spans="1:2" x14ac:dyDescent="0.25">
      <c r="A40766">
        <v>85079020200</v>
      </c>
      <c r="B40766" t="s">
        <v>6927</v>
      </c>
    </row>
    <row r="40767" spans="1:2" x14ac:dyDescent="0.25">
      <c r="A40767">
        <v>85079020900</v>
      </c>
      <c r="B40767" t="s">
        <v>823</v>
      </c>
    </row>
    <row r="40768" spans="1:2" x14ac:dyDescent="0.25">
      <c r="A40768">
        <v>85079090</v>
      </c>
      <c r="B40768" t="s">
        <v>57</v>
      </c>
    </row>
    <row r="40769" spans="1:2" x14ac:dyDescent="0.25">
      <c r="A40769">
        <v>85079090100</v>
      </c>
      <c r="B40769" t="s">
        <v>12906</v>
      </c>
    </row>
    <row r="40770" spans="1:2" x14ac:dyDescent="0.25">
      <c r="A40770">
        <v>85079090200</v>
      </c>
      <c r="B40770" t="s">
        <v>12907</v>
      </c>
    </row>
    <row r="40771" spans="1:2" x14ac:dyDescent="0.25">
      <c r="A40771">
        <v>85079090900</v>
      </c>
      <c r="B40771" t="s">
        <v>57</v>
      </c>
    </row>
    <row r="40772" spans="1:2" x14ac:dyDescent="0.25">
      <c r="A40772">
        <v>8508</v>
      </c>
      <c r="B40772" t="s">
        <v>12908</v>
      </c>
    </row>
    <row r="40773" spans="1:2" x14ac:dyDescent="0.25">
      <c r="A40773">
        <v>85081</v>
      </c>
      <c r="B40773" t="s">
        <v>12335</v>
      </c>
    </row>
    <row r="40774" spans="1:2" x14ac:dyDescent="0.25">
      <c r="A40774">
        <v>85081100</v>
      </c>
      <c r="B40774" t="s">
        <v>12909</v>
      </c>
    </row>
    <row r="40775" spans="1:2" x14ac:dyDescent="0.25">
      <c r="A40775">
        <v>850811001</v>
      </c>
      <c r="B40775" t="s">
        <v>12369</v>
      </c>
    </row>
    <row r="40776" spans="1:2" x14ac:dyDescent="0.25">
      <c r="A40776">
        <v>85081100110</v>
      </c>
      <c r="B40776" t="s">
        <v>12910</v>
      </c>
    </row>
    <row r="40777" spans="1:2" x14ac:dyDescent="0.25">
      <c r="A40777">
        <v>85081100190</v>
      </c>
      <c r="B40777" t="s">
        <v>57</v>
      </c>
    </row>
    <row r="40778" spans="1:2" x14ac:dyDescent="0.25">
      <c r="A40778">
        <v>85081100900</v>
      </c>
      <c r="B40778" t="s">
        <v>57</v>
      </c>
    </row>
    <row r="40779" spans="1:2" x14ac:dyDescent="0.25">
      <c r="A40779">
        <v>85081900</v>
      </c>
      <c r="B40779" t="e">
        <f>- - las demas</f>
        <v>#NAME?</v>
      </c>
    </row>
    <row r="40780" spans="1:2" x14ac:dyDescent="0.25">
      <c r="A40780">
        <v>85081900200</v>
      </c>
      <c r="B40780" t="s">
        <v>12911</v>
      </c>
    </row>
    <row r="40781" spans="1:2" x14ac:dyDescent="0.25">
      <c r="A40781">
        <v>85081900300</v>
      </c>
      <c r="B40781" t="s">
        <v>12912</v>
      </c>
    </row>
    <row r="40782" spans="1:2" x14ac:dyDescent="0.25">
      <c r="A40782">
        <v>85081900900</v>
      </c>
      <c r="B40782" t="s">
        <v>57</v>
      </c>
    </row>
    <row r="40783" spans="1:2" x14ac:dyDescent="0.25">
      <c r="A40783">
        <v>85086000000</v>
      </c>
      <c r="B40783" t="e">
        <f>-las demas aspiradoras</f>
        <v>#NAME?</v>
      </c>
    </row>
    <row r="40784" spans="1:2" x14ac:dyDescent="0.25">
      <c r="A40784">
        <v>85087000000</v>
      </c>
      <c r="B40784" t="e">
        <f>-partes</f>
        <v>#NAME?</v>
      </c>
    </row>
    <row r="40785" spans="1:2" x14ac:dyDescent="0.25">
      <c r="A40785">
        <v>8509</v>
      </c>
      <c r="B40785" t="s">
        <v>12913</v>
      </c>
    </row>
    <row r="40786" spans="1:2" x14ac:dyDescent="0.25">
      <c r="A40786">
        <v>850940</v>
      </c>
      <c r="B40786" t="e">
        <f>- Trituradoras y mezcladoras de Alimentos, extractoras de Jugo de frutos u hortalizas</f>
        <v>#NAME?</v>
      </c>
    </row>
    <row r="40787" spans="1:2" x14ac:dyDescent="0.25">
      <c r="A40787">
        <v>85094010000</v>
      </c>
      <c r="B40787" t="s">
        <v>12914</v>
      </c>
    </row>
    <row r="40788" spans="1:2" x14ac:dyDescent="0.25">
      <c r="A40788">
        <v>85094020</v>
      </c>
      <c r="B40788" t="s">
        <v>12915</v>
      </c>
    </row>
    <row r="40789" spans="1:2" x14ac:dyDescent="0.25">
      <c r="A40789">
        <v>85094020100</v>
      </c>
      <c r="B40789" t="s">
        <v>12916</v>
      </c>
    </row>
    <row r="40790" spans="1:2" x14ac:dyDescent="0.25">
      <c r="A40790">
        <v>85094020900</v>
      </c>
      <c r="B40790" t="s">
        <v>57</v>
      </c>
    </row>
    <row r="40791" spans="1:2" x14ac:dyDescent="0.25">
      <c r="A40791">
        <v>85094030000</v>
      </c>
      <c r="B40791" t="s">
        <v>11924</v>
      </c>
    </row>
    <row r="40792" spans="1:2" x14ac:dyDescent="0.25">
      <c r="A40792">
        <v>85094040000</v>
      </c>
      <c r="B40792" t="s">
        <v>12917</v>
      </c>
    </row>
    <row r="40793" spans="1:2" x14ac:dyDescent="0.25">
      <c r="A40793">
        <v>85094050</v>
      </c>
      <c r="B40793" t="s">
        <v>12918</v>
      </c>
    </row>
    <row r="40794" spans="1:2" x14ac:dyDescent="0.25">
      <c r="A40794">
        <v>85094050100</v>
      </c>
      <c r="B40794" t="s">
        <v>12919</v>
      </c>
    </row>
    <row r="40795" spans="1:2" x14ac:dyDescent="0.25">
      <c r="A40795">
        <v>85094050900</v>
      </c>
      <c r="B40795" t="s">
        <v>10</v>
      </c>
    </row>
    <row r="40796" spans="1:2" x14ac:dyDescent="0.25">
      <c r="A40796">
        <v>85094090</v>
      </c>
      <c r="B40796" t="s">
        <v>57</v>
      </c>
    </row>
    <row r="40797" spans="1:2" x14ac:dyDescent="0.25">
      <c r="A40797">
        <v>85094090100</v>
      </c>
      <c r="B40797" t="s">
        <v>12920</v>
      </c>
    </row>
    <row r="40798" spans="1:2" x14ac:dyDescent="0.25">
      <c r="A40798">
        <v>85094090200</v>
      </c>
      <c r="B40798" t="s">
        <v>12921</v>
      </c>
    </row>
    <row r="40799" spans="1:2" x14ac:dyDescent="0.25">
      <c r="A40799">
        <v>85094090300</v>
      </c>
      <c r="B40799" t="s">
        <v>10790</v>
      </c>
    </row>
    <row r="40800" spans="1:2" x14ac:dyDescent="0.25">
      <c r="A40800">
        <v>85094090900</v>
      </c>
      <c r="B40800" t="s">
        <v>10</v>
      </c>
    </row>
    <row r="40801" spans="1:2" x14ac:dyDescent="0.25">
      <c r="A40801">
        <v>850980</v>
      </c>
      <c r="B40801" t="e">
        <f>- Los demas aparatos</f>
        <v>#NAME?</v>
      </c>
    </row>
    <row r="40802" spans="1:2" x14ac:dyDescent="0.25">
      <c r="A40802">
        <v>85098010000</v>
      </c>
      <c r="B40802" t="s">
        <v>12922</v>
      </c>
    </row>
    <row r="40803" spans="1:2" x14ac:dyDescent="0.25">
      <c r="A40803">
        <v>85098090</v>
      </c>
      <c r="B40803" t="s">
        <v>10</v>
      </c>
    </row>
    <row r="40804" spans="1:2" x14ac:dyDescent="0.25">
      <c r="A40804">
        <v>85098090100</v>
      </c>
      <c r="B40804" t="s">
        <v>11923</v>
      </c>
    </row>
    <row r="40805" spans="1:2" x14ac:dyDescent="0.25">
      <c r="A40805">
        <v>85098090200</v>
      </c>
      <c r="B40805" t="s">
        <v>12923</v>
      </c>
    </row>
    <row r="40806" spans="1:2" x14ac:dyDescent="0.25">
      <c r="A40806">
        <v>85098090900</v>
      </c>
      <c r="B40806" t="s">
        <v>10</v>
      </c>
    </row>
    <row r="40807" spans="1:2" x14ac:dyDescent="0.25">
      <c r="A40807">
        <v>85099000000</v>
      </c>
      <c r="B40807" t="e">
        <f>-partes</f>
        <v>#NAME?</v>
      </c>
    </row>
    <row r="40808" spans="1:2" x14ac:dyDescent="0.25">
      <c r="A40808">
        <v>8510</v>
      </c>
      <c r="B40808" t="s">
        <v>12924</v>
      </c>
    </row>
    <row r="40809" spans="1:2" x14ac:dyDescent="0.25">
      <c r="A40809">
        <v>85101000000</v>
      </c>
      <c r="B40809" t="e">
        <f>-Afeitadoras</f>
        <v>#NAME?</v>
      </c>
    </row>
    <row r="40810" spans="1:2" x14ac:dyDescent="0.25">
      <c r="A40810">
        <v>85102000</v>
      </c>
      <c r="B40810" t="e">
        <f>- maquinas de cortar el Pelo o esquilar</f>
        <v>#NAME?</v>
      </c>
    </row>
    <row r="40811" spans="1:2" x14ac:dyDescent="0.25">
      <c r="A40811">
        <v>85102000100</v>
      </c>
      <c r="B40811" t="s">
        <v>12925</v>
      </c>
    </row>
    <row r="40812" spans="1:2" x14ac:dyDescent="0.25">
      <c r="A40812">
        <v>85102000900</v>
      </c>
      <c r="B40812" t="s">
        <v>57</v>
      </c>
    </row>
    <row r="40813" spans="1:2" x14ac:dyDescent="0.25">
      <c r="A40813">
        <v>85103000000</v>
      </c>
      <c r="B40813" t="e">
        <f>-aparatos de depilar</f>
        <v>#NAME?</v>
      </c>
    </row>
    <row r="40814" spans="1:2" x14ac:dyDescent="0.25">
      <c r="A40814">
        <v>851090</v>
      </c>
      <c r="B40814" t="e">
        <f>- partes</f>
        <v>#NAME?</v>
      </c>
    </row>
    <row r="40815" spans="1:2" x14ac:dyDescent="0.25">
      <c r="A40815">
        <v>8510901</v>
      </c>
      <c r="B40815" t="s">
        <v>12926</v>
      </c>
    </row>
    <row r="40816" spans="1:2" x14ac:dyDescent="0.25">
      <c r="A40816">
        <v>85109011000</v>
      </c>
      <c r="B40816" t="s">
        <v>12927</v>
      </c>
    </row>
    <row r="40817" spans="1:2" x14ac:dyDescent="0.25">
      <c r="A40817">
        <v>85109019000</v>
      </c>
      <c r="B40817" t="s">
        <v>57</v>
      </c>
    </row>
    <row r="40818" spans="1:2" x14ac:dyDescent="0.25">
      <c r="A40818">
        <v>85109020000</v>
      </c>
      <c r="B40818" t="s">
        <v>12928</v>
      </c>
    </row>
    <row r="40819" spans="1:2" x14ac:dyDescent="0.25">
      <c r="A40819">
        <v>85109090000</v>
      </c>
      <c r="B40819" t="s">
        <v>57</v>
      </c>
    </row>
    <row r="40820" spans="1:2" x14ac:dyDescent="0.25">
      <c r="A40820">
        <v>8511</v>
      </c>
      <c r="B40820" t="s">
        <v>12929</v>
      </c>
    </row>
    <row r="40821" spans="1:2" x14ac:dyDescent="0.25">
      <c r="A40821">
        <v>85111000000</v>
      </c>
      <c r="B40821" t="e">
        <f>-Bujias de encendido</f>
        <v>#NAME?</v>
      </c>
    </row>
    <row r="40822" spans="1:2" x14ac:dyDescent="0.25">
      <c r="A40822">
        <v>851120</v>
      </c>
      <c r="B40822" t="e">
        <f>- Magnetos, dinamomagnetos, Volantes magneticos</f>
        <v>#NAME?</v>
      </c>
    </row>
    <row r="40823" spans="1:2" x14ac:dyDescent="0.25">
      <c r="A40823">
        <v>85112010000</v>
      </c>
      <c r="B40823" t="s">
        <v>12930</v>
      </c>
    </row>
    <row r="40824" spans="1:2" x14ac:dyDescent="0.25">
      <c r="A40824">
        <v>85112090</v>
      </c>
      <c r="B40824" t="s">
        <v>10</v>
      </c>
    </row>
    <row r="40825" spans="1:2" x14ac:dyDescent="0.25">
      <c r="A40825">
        <v>85112090100</v>
      </c>
      <c r="B40825" t="s">
        <v>12931</v>
      </c>
    </row>
    <row r="40826" spans="1:2" x14ac:dyDescent="0.25">
      <c r="A40826">
        <v>85112090900</v>
      </c>
      <c r="B40826" t="s">
        <v>10</v>
      </c>
    </row>
    <row r="40827" spans="1:2" x14ac:dyDescent="0.25">
      <c r="A40827">
        <v>851130</v>
      </c>
      <c r="B40827" t="e">
        <f>- distribuidores, bobinas de encendido</f>
        <v>#NAME?</v>
      </c>
    </row>
    <row r="40828" spans="1:2" x14ac:dyDescent="0.25">
      <c r="A40828">
        <v>85113010000</v>
      </c>
      <c r="B40828" t="s">
        <v>12932</v>
      </c>
    </row>
    <row r="40829" spans="1:2" x14ac:dyDescent="0.25">
      <c r="A40829">
        <v>85113020</v>
      </c>
      <c r="B40829" t="s">
        <v>12933</v>
      </c>
    </row>
    <row r="40830" spans="1:2" x14ac:dyDescent="0.25">
      <c r="A40830">
        <v>85113020200</v>
      </c>
      <c r="B40830" t="s">
        <v>12934</v>
      </c>
    </row>
    <row r="40831" spans="1:2" x14ac:dyDescent="0.25">
      <c r="A40831">
        <v>85113020300</v>
      </c>
      <c r="B40831" t="s">
        <v>12935</v>
      </c>
    </row>
    <row r="40832" spans="1:2" x14ac:dyDescent="0.25">
      <c r="A40832">
        <v>85113020900</v>
      </c>
      <c r="B40832" t="s">
        <v>57</v>
      </c>
    </row>
    <row r="40833" spans="1:2" x14ac:dyDescent="0.25">
      <c r="A40833">
        <v>85114000</v>
      </c>
      <c r="B40833" t="e">
        <f>-Motores de arranque. aunque funcionen tambien como Generadores</f>
        <v>#NAME?</v>
      </c>
    </row>
    <row r="40834" spans="1:2" x14ac:dyDescent="0.25">
      <c r="A40834">
        <v>85114000100</v>
      </c>
      <c r="B40834" t="s">
        <v>12936</v>
      </c>
    </row>
    <row r="40835" spans="1:2" x14ac:dyDescent="0.25">
      <c r="A40835">
        <v>85114000900</v>
      </c>
      <c r="B40835" t="s">
        <v>10</v>
      </c>
    </row>
    <row r="40836" spans="1:2" x14ac:dyDescent="0.25">
      <c r="A40836">
        <v>851150</v>
      </c>
      <c r="B40836" t="e">
        <f>- Los demas Generadores</f>
        <v>#NAME?</v>
      </c>
    </row>
    <row r="40837" spans="1:2" x14ac:dyDescent="0.25">
      <c r="A40837">
        <v>85115010</v>
      </c>
      <c r="B40837" t="s">
        <v>12937</v>
      </c>
    </row>
    <row r="40838" spans="1:2" x14ac:dyDescent="0.25">
      <c r="A40838">
        <v>85115010100</v>
      </c>
      <c r="B40838" t="s">
        <v>12938</v>
      </c>
    </row>
    <row r="40839" spans="1:2" x14ac:dyDescent="0.25">
      <c r="A40839">
        <v>85115010900</v>
      </c>
      <c r="B40839" t="s">
        <v>10</v>
      </c>
    </row>
    <row r="40840" spans="1:2" x14ac:dyDescent="0.25">
      <c r="A40840">
        <v>85115090000</v>
      </c>
      <c r="B40840" t="s">
        <v>10</v>
      </c>
    </row>
    <row r="40841" spans="1:2" x14ac:dyDescent="0.25">
      <c r="A40841">
        <v>851180</v>
      </c>
      <c r="B40841" t="e">
        <f>- Los demas aparatos y Dispositivos</f>
        <v>#NAME?</v>
      </c>
    </row>
    <row r="40842" spans="1:2" x14ac:dyDescent="0.25">
      <c r="A40842">
        <v>85118010000</v>
      </c>
      <c r="B40842" t="s">
        <v>12939</v>
      </c>
    </row>
    <row r="40843" spans="1:2" x14ac:dyDescent="0.25">
      <c r="A40843">
        <v>85118020000</v>
      </c>
      <c r="B40843" t="s">
        <v>12940</v>
      </c>
    </row>
    <row r="40844" spans="1:2" x14ac:dyDescent="0.25">
      <c r="A40844">
        <v>85118030</v>
      </c>
      <c r="B40844" t="s">
        <v>12941</v>
      </c>
    </row>
    <row r="40845" spans="1:2" x14ac:dyDescent="0.25">
      <c r="A40845">
        <v>851180301</v>
      </c>
      <c r="B40845" t="s">
        <v>9487</v>
      </c>
    </row>
    <row r="40846" spans="1:2" x14ac:dyDescent="0.25">
      <c r="A40846">
        <v>8511803011</v>
      </c>
      <c r="B40846" t="s">
        <v>12942</v>
      </c>
    </row>
    <row r="40847" spans="1:2" x14ac:dyDescent="0.25">
      <c r="A40847">
        <v>85118030111</v>
      </c>
      <c r="B40847" t="s">
        <v>12943</v>
      </c>
    </row>
    <row r="40848" spans="1:2" x14ac:dyDescent="0.25">
      <c r="A40848">
        <v>85118030119</v>
      </c>
      <c r="B40848" t="s">
        <v>10</v>
      </c>
    </row>
    <row r="40849" spans="1:2" x14ac:dyDescent="0.25">
      <c r="A40849">
        <v>85118030120</v>
      </c>
      <c r="B40849" t="s">
        <v>12944</v>
      </c>
    </row>
    <row r="40850" spans="1:2" x14ac:dyDescent="0.25">
      <c r="A40850">
        <v>85118030900</v>
      </c>
      <c r="B40850" t="s">
        <v>10</v>
      </c>
    </row>
    <row r="40851" spans="1:2" x14ac:dyDescent="0.25">
      <c r="A40851">
        <v>85118090</v>
      </c>
      <c r="B40851" t="s">
        <v>10</v>
      </c>
    </row>
    <row r="40852" spans="1:2" x14ac:dyDescent="0.25">
      <c r="A40852">
        <v>85118090100</v>
      </c>
      <c r="B40852" t="s">
        <v>12945</v>
      </c>
    </row>
    <row r="40853" spans="1:2" x14ac:dyDescent="0.25">
      <c r="A40853">
        <v>85118090900</v>
      </c>
      <c r="B40853" t="s">
        <v>10</v>
      </c>
    </row>
    <row r="40854" spans="1:2" x14ac:dyDescent="0.25">
      <c r="A40854">
        <v>85119000000</v>
      </c>
      <c r="B40854" t="e">
        <f>-partes</f>
        <v>#NAME?</v>
      </c>
    </row>
    <row r="40855" spans="1:2" x14ac:dyDescent="0.25">
      <c r="A40855">
        <v>8512</v>
      </c>
      <c r="B40855" t="s">
        <v>12946</v>
      </c>
    </row>
    <row r="40856" spans="1:2" x14ac:dyDescent="0.25">
      <c r="A40856">
        <v>85121000000</v>
      </c>
      <c r="B40856" t="e">
        <f>-aparatos de alumbrado o señalizacion visual de Los tipos utilizados En bicicletas</f>
        <v>#NAME?</v>
      </c>
    </row>
    <row r="40857" spans="1:2" x14ac:dyDescent="0.25">
      <c r="A40857">
        <v>851220</v>
      </c>
      <c r="B40857" t="e">
        <f>- Los demas aparatos de alumbrado o señalizacion visual</f>
        <v>#NAME?</v>
      </c>
    </row>
    <row r="40858" spans="1:2" x14ac:dyDescent="0.25">
      <c r="A40858">
        <v>8512201</v>
      </c>
      <c r="B40858" t="s">
        <v>12947</v>
      </c>
    </row>
    <row r="40859" spans="1:2" x14ac:dyDescent="0.25">
      <c r="A40859">
        <v>85122011</v>
      </c>
      <c r="B40859" t="s">
        <v>12948</v>
      </c>
    </row>
    <row r="40860" spans="1:2" x14ac:dyDescent="0.25">
      <c r="A40860">
        <v>85122011100</v>
      </c>
      <c r="B40860" t="s">
        <v>6673</v>
      </c>
    </row>
    <row r="40861" spans="1:2" x14ac:dyDescent="0.25">
      <c r="A40861">
        <v>85122011900</v>
      </c>
      <c r="B40861" t="s">
        <v>10</v>
      </c>
    </row>
    <row r="40862" spans="1:2" x14ac:dyDescent="0.25">
      <c r="A40862">
        <v>85122019</v>
      </c>
      <c r="B40862" t="s">
        <v>10</v>
      </c>
    </row>
    <row r="40863" spans="1:2" x14ac:dyDescent="0.25">
      <c r="A40863">
        <v>851220191</v>
      </c>
      <c r="B40863" t="s">
        <v>6673</v>
      </c>
    </row>
    <row r="40864" spans="1:2" x14ac:dyDescent="0.25">
      <c r="A40864">
        <v>8512201911</v>
      </c>
      <c r="B40864" t="s">
        <v>12949</v>
      </c>
    </row>
    <row r="40865" spans="1:2" x14ac:dyDescent="0.25">
      <c r="A40865">
        <v>85122019111</v>
      </c>
      <c r="B40865" t="s">
        <v>12950</v>
      </c>
    </row>
    <row r="40866" spans="1:2" x14ac:dyDescent="0.25">
      <c r="A40866">
        <v>85122019119</v>
      </c>
      <c r="B40866" t="s">
        <v>10</v>
      </c>
    </row>
    <row r="40867" spans="1:2" x14ac:dyDescent="0.25">
      <c r="A40867">
        <v>85122019190</v>
      </c>
      <c r="B40867" t="s">
        <v>10</v>
      </c>
    </row>
    <row r="40868" spans="1:2" x14ac:dyDescent="0.25">
      <c r="A40868">
        <v>85122019900</v>
      </c>
      <c r="B40868" t="s">
        <v>10</v>
      </c>
    </row>
    <row r="40869" spans="1:2" x14ac:dyDescent="0.25">
      <c r="A40869">
        <v>8512202</v>
      </c>
      <c r="B40869" t="s">
        <v>12951</v>
      </c>
    </row>
    <row r="40870" spans="1:2" x14ac:dyDescent="0.25">
      <c r="A40870">
        <v>85122021</v>
      </c>
      <c r="B40870" t="s">
        <v>12952</v>
      </c>
    </row>
    <row r="40871" spans="1:2" x14ac:dyDescent="0.25">
      <c r="A40871">
        <v>851220211</v>
      </c>
      <c r="B40871" t="s">
        <v>12953</v>
      </c>
    </row>
    <row r="40872" spans="1:2" x14ac:dyDescent="0.25">
      <c r="A40872">
        <v>85122021110</v>
      </c>
      <c r="B40872" t="s">
        <v>12954</v>
      </c>
    </row>
    <row r="40873" spans="1:2" x14ac:dyDescent="0.25">
      <c r="A40873">
        <v>85122021190</v>
      </c>
      <c r="B40873" t="s">
        <v>57</v>
      </c>
    </row>
    <row r="40874" spans="1:2" x14ac:dyDescent="0.25">
      <c r="A40874">
        <v>85122021900</v>
      </c>
      <c r="B40874" t="s">
        <v>57</v>
      </c>
    </row>
    <row r="40875" spans="1:2" x14ac:dyDescent="0.25">
      <c r="A40875">
        <v>85122022</v>
      </c>
      <c r="B40875" t="s">
        <v>12955</v>
      </c>
    </row>
    <row r="40876" spans="1:2" x14ac:dyDescent="0.25">
      <c r="A40876">
        <v>851220221</v>
      </c>
      <c r="B40876" t="s">
        <v>6673</v>
      </c>
    </row>
    <row r="40877" spans="1:2" x14ac:dyDescent="0.25">
      <c r="A40877">
        <v>85122022110</v>
      </c>
      <c r="B40877" t="s">
        <v>12956</v>
      </c>
    </row>
    <row r="40878" spans="1:2" x14ac:dyDescent="0.25">
      <c r="A40878">
        <v>85122022120</v>
      </c>
      <c r="B40878" t="s">
        <v>12954</v>
      </c>
    </row>
    <row r="40879" spans="1:2" x14ac:dyDescent="0.25">
      <c r="A40879">
        <v>85122022190</v>
      </c>
      <c r="B40879" t="s">
        <v>10</v>
      </c>
    </row>
    <row r="40880" spans="1:2" x14ac:dyDescent="0.25">
      <c r="A40880">
        <v>85122022900</v>
      </c>
      <c r="B40880" t="s">
        <v>57</v>
      </c>
    </row>
    <row r="40881" spans="1:2" x14ac:dyDescent="0.25">
      <c r="A40881">
        <v>85122023</v>
      </c>
      <c r="B40881" t="s">
        <v>12957</v>
      </c>
    </row>
    <row r="40882" spans="1:2" x14ac:dyDescent="0.25">
      <c r="A40882">
        <v>851220231</v>
      </c>
      <c r="B40882" t="s">
        <v>6673</v>
      </c>
    </row>
    <row r="40883" spans="1:2" x14ac:dyDescent="0.25">
      <c r="A40883">
        <v>85122023110</v>
      </c>
      <c r="B40883" t="s">
        <v>12954</v>
      </c>
    </row>
    <row r="40884" spans="1:2" x14ac:dyDescent="0.25">
      <c r="A40884">
        <v>85122023190</v>
      </c>
      <c r="B40884" t="s">
        <v>10</v>
      </c>
    </row>
    <row r="40885" spans="1:2" x14ac:dyDescent="0.25">
      <c r="A40885">
        <v>85122023900</v>
      </c>
      <c r="B40885" t="s">
        <v>57</v>
      </c>
    </row>
    <row r="40886" spans="1:2" x14ac:dyDescent="0.25">
      <c r="A40886">
        <v>85122029000</v>
      </c>
      <c r="B40886" t="s">
        <v>10</v>
      </c>
    </row>
    <row r="40887" spans="1:2" x14ac:dyDescent="0.25">
      <c r="A40887">
        <v>85123000</v>
      </c>
      <c r="B40887" t="e">
        <f>- aparatos de señalizacion acustica</f>
        <v>#NAME?</v>
      </c>
    </row>
    <row r="40888" spans="1:2" x14ac:dyDescent="0.25">
      <c r="A40888">
        <v>851230001</v>
      </c>
      <c r="B40888" t="s">
        <v>12958</v>
      </c>
    </row>
    <row r="40889" spans="1:2" x14ac:dyDescent="0.25">
      <c r="A40889">
        <v>85123000110</v>
      </c>
      <c r="B40889" t="s">
        <v>6673</v>
      </c>
    </row>
    <row r="40890" spans="1:2" x14ac:dyDescent="0.25">
      <c r="A40890">
        <v>85123000190</v>
      </c>
      <c r="B40890" t="s">
        <v>10</v>
      </c>
    </row>
    <row r="40891" spans="1:2" x14ac:dyDescent="0.25">
      <c r="A40891">
        <v>85123000200</v>
      </c>
      <c r="B40891" t="s">
        <v>12959</v>
      </c>
    </row>
    <row r="40892" spans="1:2" x14ac:dyDescent="0.25">
      <c r="A40892">
        <v>85123000900</v>
      </c>
      <c r="B40892" t="s">
        <v>10</v>
      </c>
    </row>
    <row r="40893" spans="1:2" x14ac:dyDescent="0.25">
      <c r="A40893">
        <v>851240</v>
      </c>
      <c r="B40893" t="e">
        <f>- Limpiaparabrisas y eliminadores de escarcha o vaho</f>
        <v>#NAME?</v>
      </c>
    </row>
    <row r="40894" spans="1:2" x14ac:dyDescent="0.25">
      <c r="A40894">
        <v>85124010</v>
      </c>
      <c r="B40894" t="s">
        <v>12535</v>
      </c>
    </row>
    <row r="40895" spans="1:2" x14ac:dyDescent="0.25">
      <c r="A40895">
        <v>85124010100</v>
      </c>
      <c r="B40895" t="s">
        <v>12960</v>
      </c>
    </row>
    <row r="40896" spans="1:2" x14ac:dyDescent="0.25">
      <c r="A40896">
        <v>85124010900</v>
      </c>
      <c r="B40896" t="s">
        <v>10</v>
      </c>
    </row>
    <row r="40897" spans="1:2" x14ac:dyDescent="0.25">
      <c r="A40897">
        <v>85124020</v>
      </c>
      <c r="B40897" t="s">
        <v>12961</v>
      </c>
    </row>
    <row r="40898" spans="1:2" x14ac:dyDescent="0.25">
      <c r="A40898">
        <v>85124020100</v>
      </c>
      <c r="B40898" t="s">
        <v>12962</v>
      </c>
    </row>
    <row r="40899" spans="1:2" x14ac:dyDescent="0.25">
      <c r="A40899">
        <v>85124020200</v>
      </c>
      <c r="B40899" t="s">
        <v>12963</v>
      </c>
    </row>
    <row r="40900" spans="1:2" x14ac:dyDescent="0.25">
      <c r="A40900">
        <v>85124020900</v>
      </c>
      <c r="B40900" t="s">
        <v>10</v>
      </c>
    </row>
    <row r="40901" spans="1:2" x14ac:dyDescent="0.25">
      <c r="A40901">
        <v>85129000</v>
      </c>
      <c r="B40901" t="e">
        <f>- partes</f>
        <v>#NAME?</v>
      </c>
    </row>
    <row r="40902" spans="1:2" x14ac:dyDescent="0.25">
      <c r="A40902">
        <v>85129000100</v>
      </c>
      <c r="B40902" t="s">
        <v>12964</v>
      </c>
    </row>
    <row r="40903" spans="1:2" x14ac:dyDescent="0.25">
      <c r="A40903">
        <v>85129000200</v>
      </c>
      <c r="B40903" t="s">
        <v>12965</v>
      </c>
    </row>
    <row r="40904" spans="1:2" x14ac:dyDescent="0.25">
      <c r="A40904">
        <v>85129000900</v>
      </c>
      <c r="B40904" t="s">
        <v>57</v>
      </c>
    </row>
    <row r="40905" spans="1:2" x14ac:dyDescent="0.25">
      <c r="A40905">
        <v>8513</v>
      </c>
      <c r="B40905" t="s">
        <v>12966</v>
      </c>
    </row>
    <row r="40906" spans="1:2" x14ac:dyDescent="0.25">
      <c r="A40906">
        <v>851310</v>
      </c>
      <c r="B40906" t="e">
        <f>- Lamparas</f>
        <v>#NAME?</v>
      </c>
    </row>
    <row r="40907" spans="1:2" x14ac:dyDescent="0.25">
      <c r="A40907">
        <v>85131010000</v>
      </c>
      <c r="B40907" t="s">
        <v>12967</v>
      </c>
    </row>
    <row r="40908" spans="1:2" x14ac:dyDescent="0.25">
      <c r="A40908">
        <v>85131090000</v>
      </c>
      <c r="B40908" t="s">
        <v>57</v>
      </c>
    </row>
    <row r="40909" spans="1:2" x14ac:dyDescent="0.25">
      <c r="A40909">
        <v>85139000000</v>
      </c>
      <c r="B40909" t="e">
        <f>-partes</f>
        <v>#NAME?</v>
      </c>
    </row>
    <row r="40910" spans="1:2" x14ac:dyDescent="0.25">
      <c r="A40910">
        <v>8514</v>
      </c>
      <c r="B40910" t="s">
        <v>12968</v>
      </c>
    </row>
    <row r="40911" spans="1:2" x14ac:dyDescent="0.25">
      <c r="A40911">
        <v>851410</v>
      </c>
      <c r="B40911" t="e">
        <f>- hornos de resistencia (de calentamiento indirecto)</f>
        <v>#NAME?</v>
      </c>
    </row>
    <row r="40912" spans="1:2" x14ac:dyDescent="0.25">
      <c r="A40912">
        <v>85141010000</v>
      </c>
      <c r="B40912" t="s">
        <v>12969</v>
      </c>
    </row>
    <row r="40913" spans="1:2" x14ac:dyDescent="0.25">
      <c r="A40913">
        <v>85141090000</v>
      </c>
      <c r="B40913" t="s">
        <v>10</v>
      </c>
    </row>
    <row r="40914" spans="1:2" x14ac:dyDescent="0.25">
      <c r="A40914">
        <v>851420</v>
      </c>
      <c r="B40914" t="e">
        <f>- hornos que funcionen por induccion o perdidas dielectricas</f>
        <v>#NAME?</v>
      </c>
    </row>
    <row r="40915" spans="1:2" x14ac:dyDescent="0.25">
      <c r="A40915">
        <v>8514201</v>
      </c>
      <c r="B40915" t="s">
        <v>12970</v>
      </c>
    </row>
    <row r="40916" spans="1:2" x14ac:dyDescent="0.25">
      <c r="A40916">
        <v>85142011000</v>
      </c>
      <c r="B40916" t="s">
        <v>12969</v>
      </c>
    </row>
    <row r="40917" spans="1:2" x14ac:dyDescent="0.25">
      <c r="A40917">
        <v>85142019000</v>
      </c>
      <c r="B40917" t="s">
        <v>10</v>
      </c>
    </row>
    <row r="40918" spans="1:2" x14ac:dyDescent="0.25">
      <c r="A40918">
        <v>85142020000</v>
      </c>
      <c r="B40918" t="s">
        <v>12971</v>
      </c>
    </row>
    <row r="40919" spans="1:2" x14ac:dyDescent="0.25">
      <c r="A40919">
        <v>851430</v>
      </c>
      <c r="B40919" t="e">
        <f>- Los demas hornos</f>
        <v>#NAME?</v>
      </c>
    </row>
    <row r="40920" spans="1:2" x14ac:dyDescent="0.25">
      <c r="A40920">
        <v>8514301</v>
      </c>
      <c r="B40920" t="s">
        <v>12972</v>
      </c>
    </row>
    <row r="40921" spans="1:2" x14ac:dyDescent="0.25">
      <c r="A40921">
        <v>85143011000</v>
      </c>
      <c r="B40921" t="s">
        <v>12969</v>
      </c>
    </row>
    <row r="40922" spans="1:2" x14ac:dyDescent="0.25">
      <c r="A40922">
        <v>85143019000</v>
      </c>
      <c r="B40922" t="s">
        <v>10</v>
      </c>
    </row>
    <row r="40923" spans="1:2" x14ac:dyDescent="0.25">
      <c r="A40923">
        <v>8514302</v>
      </c>
      <c r="B40923" t="s">
        <v>12973</v>
      </c>
    </row>
    <row r="40924" spans="1:2" x14ac:dyDescent="0.25">
      <c r="A40924">
        <v>85143021000</v>
      </c>
      <c r="B40924" t="s">
        <v>12969</v>
      </c>
    </row>
    <row r="40925" spans="1:2" x14ac:dyDescent="0.25">
      <c r="A40925">
        <v>85143029000</v>
      </c>
      <c r="B40925" t="s">
        <v>10</v>
      </c>
    </row>
    <row r="40926" spans="1:2" x14ac:dyDescent="0.25">
      <c r="A40926">
        <v>85143090000</v>
      </c>
      <c r="B40926" t="s">
        <v>10</v>
      </c>
    </row>
    <row r="40927" spans="1:2" x14ac:dyDescent="0.25">
      <c r="A40927">
        <v>85144000000</v>
      </c>
      <c r="B40927" t="e">
        <f>-Los demas aparatos para tratamiento termico de materias por induccion o perdidas dielectricas</f>
        <v>#NAME?</v>
      </c>
    </row>
    <row r="40928" spans="1:2" x14ac:dyDescent="0.25">
      <c r="A40928">
        <v>85149000000</v>
      </c>
      <c r="B40928" t="e">
        <f>-partes</f>
        <v>#NAME?</v>
      </c>
    </row>
    <row r="40929" spans="1:2" x14ac:dyDescent="0.25">
      <c r="A40929">
        <v>8515</v>
      </c>
      <c r="B40929" t="s">
        <v>12974</v>
      </c>
    </row>
    <row r="40930" spans="1:2" x14ac:dyDescent="0.25">
      <c r="A40930">
        <v>85151</v>
      </c>
      <c r="B40930" t="s">
        <v>12975</v>
      </c>
    </row>
    <row r="40931" spans="1:2" x14ac:dyDescent="0.25">
      <c r="A40931">
        <v>85151100000</v>
      </c>
      <c r="B40931" t="e">
        <f>--Soldadores y Pistolas para soldar</f>
        <v>#NAME?</v>
      </c>
    </row>
    <row r="40932" spans="1:2" x14ac:dyDescent="0.25">
      <c r="A40932">
        <v>85151900000</v>
      </c>
      <c r="B40932" t="e">
        <f>--Los demas</f>
        <v>#NAME?</v>
      </c>
    </row>
    <row r="40933" spans="1:2" x14ac:dyDescent="0.25">
      <c r="A40933">
        <v>85152</v>
      </c>
      <c r="B40933" t="s">
        <v>12976</v>
      </c>
    </row>
    <row r="40934" spans="1:2" x14ac:dyDescent="0.25">
      <c r="A40934">
        <v>85152100000</v>
      </c>
      <c r="B40934" t="e">
        <f>--total o parcialmente automaticos</f>
        <v>#NAME?</v>
      </c>
    </row>
    <row r="40935" spans="1:2" x14ac:dyDescent="0.25">
      <c r="A40935">
        <v>85152900000</v>
      </c>
      <c r="B40935" t="e">
        <f>--Los demas</f>
        <v>#NAME?</v>
      </c>
    </row>
    <row r="40936" spans="1:2" x14ac:dyDescent="0.25">
      <c r="A40936">
        <v>85153</v>
      </c>
      <c r="B40936" t="s">
        <v>12977</v>
      </c>
    </row>
    <row r="40937" spans="1:2" x14ac:dyDescent="0.25">
      <c r="A40937">
        <v>851531</v>
      </c>
      <c r="B40937" t="e">
        <f>- - total o parcialmente automaticos</f>
        <v>#NAME?</v>
      </c>
    </row>
    <row r="40938" spans="1:2" x14ac:dyDescent="0.25">
      <c r="A40938">
        <v>85153110000</v>
      </c>
      <c r="B40938" t="s">
        <v>12978</v>
      </c>
    </row>
    <row r="40939" spans="1:2" x14ac:dyDescent="0.25">
      <c r="A40939">
        <v>85153190</v>
      </c>
      <c r="B40939" t="s">
        <v>10</v>
      </c>
    </row>
    <row r="40940" spans="1:2" x14ac:dyDescent="0.25">
      <c r="A40940">
        <v>851531901</v>
      </c>
      <c r="B40940" t="s">
        <v>12979</v>
      </c>
    </row>
    <row r="40941" spans="1:2" x14ac:dyDescent="0.25">
      <c r="A40941">
        <v>85153190110</v>
      </c>
      <c r="B40941" t="s">
        <v>12980</v>
      </c>
    </row>
    <row r="40942" spans="1:2" x14ac:dyDescent="0.25">
      <c r="A40942">
        <v>85153190120</v>
      </c>
      <c r="B40942" t="s">
        <v>12981</v>
      </c>
    </row>
    <row r="40943" spans="1:2" x14ac:dyDescent="0.25">
      <c r="A40943">
        <v>85153190190</v>
      </c>
      <c r="B40943" t="s">
        <v>57</v>
      </c>
    </row>
    <row r="40944" spans="1:2" x14ac:dyDescent="0.25">
      <c r="A40944">
        <v>85153190900</v>
      </c>
      <c r="B40944" t="s">
        <v>10</v>
      </c>
    </row>
    <row r="40945" spans="1:2" x14ac:dyDescent="0.25">
      <c r="A40945">
        <v>85153900</v>
      </c>
      <c r="B40945" t="e">
        <f>--Los demas</f>
        <v>#NAME?</v>
      </c>
    </row>
    <row r="40946" spans="1:2" x14ac:dyDescent="0.25">
      <c r="A40946">
        <v>851539001</v>
      </c>
      <c r="B40946" t="s">
        <v>10678</v>
      </c>
    </row>
    <row r="40947" spans="1:2" x14ac:dyDescent="0.25">
      <c r="A40947">
        <v>85153900110</v>
      </c>
      <c r="B40947" t="s">
        <v>12982</v>
      </c>
    </row>
    <row r="40948" spans="1:2" x14ac:dyDescent="0.25">
      <c r="A40948">
        <v>85153900120</v>
      </c>
      <c r="B40948" t="s">
        <v>12983</v>
      </c>
    </row>
    <row r="40949" spans="1:2" x14ac:dyDescent="0.25">
      <c r="A40949">
        <v>85153900190</v>
      </c>
      <c r="B40949" t="s">
        <v>57</v>
      </c>
    </row>
    <row r="40950" spans="1:2" x14ac:dyDescent="0.25">
      <c r="A40950">
        <v>85153900900</v>
      </c>
      <c r="B40950" t="s">
        <v>10</v>
      </c>
    </row>
    <row r="40951" spans="1:2" x14ac:dyDescent="0.25">
      <c r="A40951">
        <v>851580</v>
      </c>
      <c r="B40951" t="e">
        <f>- las demas maquinas y aparatos</f>
        <v>#NAME?</v>
      </c>
    </row>
    <row r="40952" spans="1:2" x14ac:dyDescent="0.25">
      <c r="A40952">
        <v>85158010000</v>
      </c>
      <c r="B40952" t="s">
        <v>12984</v>
      </c>
    </row>
    <row r="40953" spans="1:2" x14ac:dyDescent="0.25">
      <c r="A40953">
        <v>85158090</v>
      </c>
      <c r="B40953" t="s">
        <v>10</v>
      </c>
    </row>
    <row r="40954" spans="1:2" x14ac:dyDescent="0.25">
      <c r="A40954">
        <v>85158090100</v>
      </c>
      <c r="B40954" t="s">
        <v>12985</v>
      </c>
    </row>
    <row r="40955" spans="1:2" x14ac:dyDescent="0.25">
      <c r="A40955">
        <v>85158090900</v>
      </c>
      <c r="B40955" t="s">
        <v>10</v>
      </c>
    </row>
    <row r="40956" spans="1:2" x14ac:dyDescent="0.25">
      <c r="A40956">
        <v>85159000000</v>
      </c>
      <c r="B40956" t="e">
        <f>-partes</f>
        <v>#NAME?</v>
      </c>
    </row>
    <row r="40957" spans="1:2" x14ac:dyDescent="0.25">
      <c r="A40957">
        <v>8516</v>
      </c>
      <c r="B40957" t="s">
        <v>12986</v>
      </c>
    </row>
    <row r="40958" spans="1:2" x14ac:dyDescent="0.25">
      <c r="A40958">
        <v>85161000</v>
      </c>
      <c r="B40958" t="e">
        <f>- Calentadores electricos de agua de calentamiento instantaneo o acumulacion y Calentadores electricos de inmersion</f>
        <v>#NAME?</v>
      </c>
    </row>
    <row r="40959" spans="1:2" x14ac:dyDescent="0.25">
      <c r="A40959">
        <v>851610001</v>
      </c>
      <c r="B40959" t="s">
        <v>12987</v>
      </c>
    </row>
    <row r="40960" spans="1:2" x14ac:dyDescent="0.25">
      <c r="A40960">
        <v>8516100011</v>
      </c>
      <c r="B40960" t="s">
        <v>12988</v>
      </c>
    </row>
    <row r="40961" spans="1:2" x14ac:dyDescent="0.25">
      <c r="A40961">
        <v>85161000111</v>
      </c>
      <c r="B40961" t="s">
        <v>12989</v>
      </c>
    </row>
    <row r="40962" spans="1:2" x14ac:dyDescent="0.25">
      <c r="A40962">
        <v>85161000119</v>
      </c>
      <c r="B40962" t="s">
        <v>10</v>
      </c>
    </row>
    <row r="40963" spans="1:2" x14ac:dyDescent="0.25">
      <c r="A40963">
        <v>85161000120</v>
      </c>
      <c r="B40963" t="s">
        <v>12990</v>
      </c>
    </row>
    <row r="40964" spans="1:2" x14ac:dyDescent="0.25">
      <c r="A40964">
        <v>85161000130</v>
      </c>
      <c r="B40964" t="s">
        <v>12991</v>
      </c>
    </row>
    <row r="40965" spans="1:2" x14ac:dyDescent="0.25">
      <c r="A40965">
        <v>85161000140</v>
      </c>
      <c r="B40965" t="s">
        <v>12992</v>
      </c>
    </row>
    <row r="40966" spans="1:2" x14ac:dyDescent="0.25">
      <c r="A40966">
        <v>85161000150</v>
      </c>
      <c r="B40966" t="s">
        <v>12993</v>
      </c>
    </row>
    <row r="40967" spans="1:2" x14ac:dyDescent="0.25">
      <c r="A40967">
        <v>85161000190</v>
      </c>
      <c r="B40967" t="s">
        <v>10</v>
      </c>
    </row>
    <row r="40968" spans="1:2" x14ac:dyDescent="0.25">
      <c r="A40968">
        <v>85161000200</v>
      </c>
      <c r="B40968" t="s">
        <v>12994</v>
      </c>
    </row>
    <row r="40969" spans="1:2" x14ac:dyDescent="0.25">
      <c r="A40969">
        <v>851610008</v>
      </c>
      <c r="B40969" t="s">
        <v>12995</v>
      </c>
    </row>
    <row r="40970" spans="1:2" x14ac:dyDescent="0.25">
      <c r="A40970">
        <v>85161000810</v>
      </c>
      <c r="B40970" t="s">
        <v>12996</v>
      </c>
    </row>
    <row r="40971" spans="1:2" x14ac:dyDescent="0.25">
      <c r="A40971">
        <v>85161000890</v>
      </c>
      <c r="B40971" t="s">
        <v>10</v>
      </c>
    </row>
    <row r="40972" spans="1:2" x14ac:dyDescent="0.25">
      <c r="A40972">
        <v>85161000900</v>
      </c>
      <c r="B40972" t="s">
        <v>10</v>
      </c>
    </row>
    <row r="40973" spans="1:2" x14ac:dyDescent="0.25">
      <c r="A40973">
        <v>85162</v>
      </c>
      <c r="B40973" t="s">
        <v>12997</v>
      </c>
    </row>
    <row r="40974" spans="1:2" x14ac:dyDescent="0.25">
      <c r="A40974">
        <v>85162100000</v>
      </c>
      <c r="B40974" t="e">
        <f>--Radiadores de acumulacion</f>
        <v>#NAME?</v>
      </c>
    </row>
    <row r="40975" spans="1:2" x14ac:dyDescent="0.25">
      <c r="A40975">
        <v>85162900</v>
      </c>
      <c r="B40975" t="e">
        <f>- - Los demas</f>
        <v>#NAME?</v>
      </c>
    </row>
    <row r="40976" spans="1:2" x14ac:dyDescent="0.25">
      <c r="A40976">
        <v>85162900100</v>
      </c>
      <c r="B40976" t="s">
        <v>12998</v>
      </c>
    </row>
    <row r="40977" spans="1:2" x14ac:dyDescent="0.25">
      <c r="A40977">
        <v>851629002</v>
      </c>
      <c r="B40977" t="s">
        <v>12999</v>
      </c>
    </row>
    <row r="40978" spans="1:2" x14ac:dyDescent="0.25">
      <c r="A40978">
        <v>85162900210</v>
      </c>
      <c r="B40978" t="s">
        <v>13000</v>
      </c>
    </row>
    <row r="40979" spans="1:2" x14ac:dyDescent="0.25">
      <c r="A40979">
        <v>85162900220</v>
      </c>
      <c r="B40979" t="s">
        <v>13001</v>
      </c>
    </row>
    <row r="40980" spans="1:2" x14ac:dyDescent="0.25">
      <c r="A40980">
        <v>85162900230</v>
      </c>
      <c r="B40980" t="s">
        <v>13002</v>
      </c>
    </row>
    <row r="40981" spans="1:2" x14ac:dyDescent="0.25">
      <c r="A40981">
        <v>85162900290</v>
      </c>
      <c r="B40981" t="s">
        <v>10</v>
      </c>
    </row>
    <row r="40982" spans="1:2" x14ac:dyDescent="0.25">
      <c r="A40982">
        <v>85162900300</v>
      </c>
      <c r="B40982" t="s">
        <v>13003</v>
      </c>
    </row>
    <row r="40983" spans="1:2" x14ac:dyDescent="0.25">
      <c r="A40983">
        <v>85162900400</v>
      </c>
      <c r="B40983" t="s">
        <v>13004</v>
      </c>
    </row>
    <row r="40984" spans="1:2" x14ac:dyDescent="0.25">
      <c r="A40984">
        <v>851629009</v>
      </c>
      <c r="B40984" t="s">
        <v>10</v>
      </c>
    </row>
    <row r="40985" spans="1:2" x14ac:dyDescent="0.25">
      <c r="A40985">
        <v>85162900910</v>
      </c>
      <c r="B40985" t="s">
        <v>13005</v>
      </c>
    </row>
    <row r="40986" spans="1:2" x14ac:dyDescent="0.25">
      <c r="A40986">
        <v>8516290099</v>
      </c>
      <c r="B40986" t="s">
        <v>10</v>
      </c>
    </row>
    <row r="40987" spans="1:2" x14ac:dyDescent="0.25">
      <c r="A40987">
        <v>85162900991</v>
      </c>
      <c r="B40987" t="s">
        <v>11500</v>
      </c>
    </row>
    <row r="40988" spans="1:2" x14ac:dyDescent="0.25">
      <c r="A40988">
        <v>85162900999</v>
      </c>
      <c r="B40988" t="s">
        <v>10</v>
      </c>
    </row>
    <row r="40989" spans="1:2" x14ac:dyDescent="0.25">
      <c r="A40989">
        <v>85163</v>
      </c>
      <c r="B40989" t="s">
        <v>13006</v>
      </c>
    </row>
    <row r="40990" spans="1:2" x14ac:dyDescent="0.25">
      <c r="A40990">
        <v>85163100000</v>
      </c>
      <c r="B40990" t="e">
        <f>--Secadores para el cabello</f>
        <v>#NAME?</v>
      </c>
    </row>
    <row r="40991" spans="1:2" x14ac:dyDescent="0.25">
      <c r="A40991">
        <v>85163200</v>
      </c>
      <c r="B40991" t="e">
        <f>- - Los demas aparatos para el cuidado del cabello</f>
        <v>#NAME?</v>
      </c>
    </row>
    <row r="40992" spans="1:2" x14ac:dyDescent="0.25">
      <c r="A40992">
        <v>85163200100</v>
      </c>
      <c r="B40992" t="s">
        <v>13007</v>
      </c>
    </row>
    <row r="40993" spans="1:2" x14ac:dyDescent="0.25">
      <c r="A40993">
        <v>85163200200</v>
      </c>
      <c r="B40993" t="s">
        <v>13008</v>
      </c>
    </row>
    <row r="40994" spans="1:2" x14ac:dyDescent="0.25">
      <c r="A40994">
        <v>85163200900</v>
      </c>
      <c r="B40994" t="s">
        <v>10</v>
      </c>
    </row>
    <row r="40995" spans="1:2" x14ac:dyDescent="0.25">
      <c r="A40995">
        <v>85163300000</v>
      </c>
      <c r="B40995" t="e">
        <f>--aparatos para secar las manos</f>
        <v>#NAME?</v>
      </c>
    </row>
    <row r="40996" spans="1:2" x14ac:dyDescent="0.25">
      <c r="A40996">
        <v>85164000</v>
      </c>
      <c r="B40996" t="e">
        <f>- Planchas electricas</f>
        <v>#NAME?</v>
      </c>
    </row>
    <row r="40997" spans="1:2" x14ac:dyDescent="0.25">
      <c r="A40997">
        <v>85164000100</v>
      </c>
      <c r="B40997" t="s">
        <v>13009</v>
      </c>
    </row>
    <row r="40998" spans="1:2" x14ac:dyDescent="0.25">
      <c r="A40998">
        <v>85164000200</v>
      </c>
      <c r="B40998" t="s">
        <v>13010</v>
      </c>
    </row>
    <row r="40999" spans="1:2" x14ac:dyDescent="0.25">
      <c r="A40999">
        <v>85164000300</v>
      </c>
      <c r="B40999" t="s">
        <v>13011</v>
      </c>
    </row>
    <row r="41000" spans="1:2" x14ac:dyDescent="0.25">
      <c r="A41000">
        <v>85164000900</v>
      </c>
      <c r="B41000" t="s">
        <v>57</v>
      </c>
    </row>
    <row r="41001" spans="1:2" x14ac:dyDescent="0.25">
      <c r="A41001">
        <v>85165000</v>
      </c>
      <c r="B41001" t="e">
        <f>- hornos de micro-ondas</f>
        <v>#NAME?</v>
      </c>
    </row>
    <row r="41002" spans="1:2" x14ac:dyDescent="0.25">
      <c r="A41002">
        <v>851650001</v>
      </c>
      <c r="B41002" t="s">
        <v>13012</v>
      </c>
    </row>
    <row r="41003" spans="1:2" x14ac:dyDescent="0.25">
      <c r="A41003">
        <v>85165000110</v>
      </c>
      <c r="B41003" t="s">
        <v>13013</v>
      </c>
    </row>
    <row r="41004" spans="1:2" x14ac:dyDescent="0.25">
      <c r="A41004">
        <v>85165000190</v>
      </c>
      <c r="B41004" t="s">
        <v>10</v>
      </c>
    </row>
    <row r="41005" spans="1:2" x14ac:dyDescent="0.25">
      <c r="A41005">
        <v>851650002</v>
      </c>
      <c r="B41005" t="s">
        <v>13014</v>
      </c>
    </row>
    <row r="41006" spans="1:2" x14ac:dyDescent="0.25">
      <c r="A41006">
        <v>85165000210</v>
      </c>
      <c r="B41006" t="s">
        <v>13015</v>
      </c>
    </row>
    <row r="41007" spans="1:2" x14ac:dyDescent="0.25">
      <c r="A41007">
        <v>85165000220</v>
      </c>
      <c r="B41007" t="s">
        <v>13016</v>
      </c>
    </row>
    <row r="41008" spans="1:2" x14ac:dyDescent="0.25">
      <c r="A41008">
        <v>85165000230</v>
      </c>
      <c r="B41008" t="s">
        <v>13017</v>
      </c>
    </row>
    <row r="41009" spans="1:2" x14ac:dyDescent="0.25">
      <c r="A41009">
        <v>85165000240</v>
      </c>
      <c r="B41009" t="s">
        <v>13018</v>
      </c>
    </row>
    <row r="41010" spans="1:2" x14ac:dyDescent="0.25">
      <c r="A41010">
        <v>85165000290</v>
      </c>
      <c r="B41010" t="s">
        <v>10</v>
      </c>
    </row>
    <row r="41011" spans="1:2" x14ac:dyDescent="0.25">
      <c r="A41011">
        <v>85166000</v>
      </c>
      <c r="B41011" t="s">
        <v>13019</v>
      </c>
    </row>
    <row r="41012" spans="1:2" x14ac:dyDescent="0.25">
      <c r="A41012">
        <v>85166000100</v>
      </c>
      <c r="B41012" t="s">
        <v>13020</v>
      </c>
    </row>
    <row r="41013" spans="1:2" x14ac:dyDescent="0.25">
      <c r="A41013">
        <v>851660002</v>
      </c>
      <c r="B41013" t="s">
        <v>13021</v>
      </c>
    </row>
    <row r="41014" spans="1:2" x14ac:dyDescent="0.25">
      <c r="A41014">
        <v>85166000210</v>
      </c>
      <c r="B41014" t="s">
        <v>13022</v>
      </c>
    </row>
    <row r="41015" spans="1:2" x14ac:dyDescent="0.25">
      <c r="A41015">
        <v>85166000220</v>
      </c>
      <c r="B41015" t="s">
        <v>13023</v>
      </c>
    </row>
    <row r="41016" spans="1:2" x14ac:dyDescent="0.25">
      <c r="A41016">
        <v>85166000290</v>
      </c>
      <c r="B41016" t="s">
        <v>10</v>
      </c>
    </row>
    <row r="41017" spans="1:2" x14ac:dyDescent="0.25">
      <c r="A41017">
        <v>85166000300</v>
      </c>
      <c r="B41017" t="s">
        <v>13024</v>
      </c>
    </row>
    <row r="41018" spans="1:2" x14ac:dyDescent="0.25">
      <c r="A41018">
        <v>85166000400</v>
      </c>
      <c r="B41018" t="s">
        <v>13025</v>
      </c>
    </row>
    <row r="41019" spans="1:2" x14ac:dyDescent="0.25">
      <c r="A41019">
        <v>85166000500</v>
      </c>
      <c r="B41019" t="s">
        <v>13026</v>
      </c>
    </row>
    <row r="41020" spans="1:2" x14ac:dyDescent="0.25">
      <c r="A41020">
        <v>85166000900</v>
      </c>
      <c r="B41020" t="s">
        <v>10</v>
      </c>
    </row>
    <row r="41021" spans="1:2" x14ac:dyDescent="0.25">
      <c r="A41021">
        <v>85167</v>
      </c>
      <c r="B41021" t="s">
        <v>13027</v>
      </c>
    </row>
    <row r="41022" spans="1:2" x14ac:dyDescent="0.25">
      <c r="A41022">
        <v>85167100000</v>
      </c>
      <c r="B41022" t="e">
        <f>--aparatos para la preparacion de Cafe o Te</f>
        <v>#NAME?</v>
      </c>
    </row>
    <row r="41023" spans="1:2" x14ac:dyDescent="0.25">
      <c r="A41023">
        <v>85167200000</v>
      </c>
      <c r="B41023" t="e">
        <f>--Tostadoras de Pan</f>
        <v>#NAME?</v>
      </c>
    </row>
    <row r="41024" spans="1:2" x14ac:dyDescent="0.25">
      <c r="A41024">
        <v>851679</v>
      </c>
      <c r="B41024" t="e">
        <f>- - Los demas</f>
        <v>#NAME?</v>
      </c>
    </row>
    <row r="41025" spans="1:2" x14ac:dyDescent="0.25">
      <c r="A41025">
        <v>85167910000</v>
      </c>
      <c r="B41025" t="s">
        <v>13028</v>
      </c>
    </row>
    <row r="41026" spans="1:2" x14ac:dyDescent="0.25">
      <c r="A41026">
        <v>85167920000</v>
      </c>
      <c r="B41026" t="s">
        <v>13029</v>
      </c>
    </row>
    <row r="41027" spans="1:2" x14ac:dyDescent="0.25">
      <c r="A41027">
        <v>85167990</v>
      </c>
      <c r="B41027" t="s">
        <v>10</v>
      </c>
    </row>
    <row r="41028" spans="1:2" x14ac:dyDescent="0.25">
      <c r="A41028">
        <v>85167990100</v>
      </c>
      <c r="B41028" t="s">
        <v>13030</v>
      </c>
    </row>
    <row r="41029" spans="1:2" x14ac:dyDescent="0.25">
      <c r="A41029">
        <v>85167990200</v>
      </c>
      <c r="B41029" t="s">
        <v>13031</v>
      </c>
    </row>
    <row r="41030" spans="1:2" x14ac:dyDescent="0.25">
      <c r="A41030">
        <v>85167990300</v>
      </c>
      <c r="B41030" t="s">
        <v>13032</v>
      </c>
    </row>
    <row r="41031" spans="1:2" x14ac:dyDescent="0.25">
      <c r="A41031">
        <v>85167990400</v>
      </c>
      <c r="B41031" t="s">
        <v>13033</v>
      </c>
    </row>
    <row r="41032" spans="1:2" x14ac:dyDescent="0.25">
      <c r="A41032">
        <v>85167990500</v>
      </c>
      <c r="B41032" t="s">
        <v>13034</v>
      </c>
    </row>
    <row r="41033" spans="1:2" x14ac:dyDescent="0.25">
      <c r="A41033">
        <v>85167990900</v>
      </c>
      <c r="B41033" t="s">
        <v>10</v>
      </c>
    </row>
    <row r="41034" spans="1:2" x14ac:dyDescent="0.25">
      <c r="A41034">
        <v>851680</v>
      </c>
      <c r="B41034" t="e">
        <f>- Resistencias calentadoras</f>
        <v>#NAME?</v>
      </c>
    </row>
    <row r="41035" spans="1:2" x14ac:dyDescent="0.25">
      <c r="A41035">
        <v>85168010000</v>
      </c>
      <c r="B41035" t="s">
        <v>13035</v>
      </c>
    </row>
    <row r="41036" spans="1:2" x14ac:dyDescent="0.25">
      <c r="A41036">
        <v>85168090</v>
      </c>
      <c r="B41036" t="s">
        <v>6724</v>
      </c>
    </row>
    <row r="41037" spans="1:2" x14ac:dyDescent="0.25">
      <c r="A41037">
        <v>85168090100</v>
      </c>
      <c r="B41037" t="s">
        <v>13036</v>
      </c>
    </row>
    <row r="41038" spans="1:2" x14ac:dyDescent="0.25">
      <c r="A41038">
        <v>85168090900</v>
      </c>
      <c r="B41038" t="s">
        <v>823</v>
      </c>
    </row>
    <row r="41039" spans="1:2" x14ac:dyDescent="0.25">
      <c r="A41039">
        <v>85169000000</v>
      </c>
      <c r="B41039" t="e">
        <f>-partes</f>
        <v>#NAME?</v>
      </c>
    </row>
    <row r="41040" spans="1:2" x14ac:dyDescent="0.25">
      <c r="A41040">
        <v>8517</v>
      </c>
      <c r="B41040" t="s">
        <v>13037</v>
      </c>
    </row>
    <row r="41041" spans="1:2" x14ac:dyDescent="0.25">
      <c r="A41041">
        <v>85171</v>
      </c>
      <c r="B41041" t="s">
        <v>13038</v>
      </c>
    </row>
    <row r="41042" spans="1:2" x14ac:dyDescent="0.25">
      <c r="A41042">
        <v>85171100</v>
      </c>
      <c r="B41042" t="e">
        <f>- - telefonos de auricular inalambrico combinado Con microfono</f>
        <v>#NAME?</v>
      </c>
    </row>
    <row r="41043" spans="1:2" x14ac:dyDescent="0.25">
      <c r="A41043">
        <v>851711001</v>
      </c>
      <c r="B41043" t="s">
        <v>13039</v>
      </c>
    </row>
    <row r="41044" spans="1:2" x14ac:dyDescent="0.25">
      <c r="A41044">
        <v>85171100110</v>
      </c>
      <c r="B41044" t="s">
        <v>13040</v>
      </c>
    </row>
    <row r="41045" spans="1:2" x14ac:dyDescent="0.25">
      <c r="A41045">
        <v>85171100190</v>
      </c>
      <c r="B41045" t="s">
        <v>10</v>
      </c>
    </row>
    <row r="41046" spans="1:2" x14ac:dyDescent="0.25">
      <c r="A41046">
        <v>851711009</v>
      </c>
      <c r="B41046" t="s">
        <v>10</v>
      </c>
    </row>
    <row r="41047" spans="1:2" x14ac:dyDescent="0.25">
      <c r="A41047">
        <v>85171100910</v>
      </c>
      <c r="B41047" t="s">
        <v>13040</v>
      </c>
    </row>
    <row r="41048" spans="1:2" x14ac:dyDescent="0.25">
      <c r="A41048">
        <v>85171100990</v>
      </c>
      <c r="B41048" t="s">
        <v>10</v>
      </c>
    </row>
    <row r="41049" spans="1:2" x14ac:dyDescent="0.25">
      <c r="A41049">
        <v>851712</v>
      </c>
      <c r="B41049" t="e">
        <f>- - telefonos celulares (moviles)* y Los de otras Redes inalambricas</f>
        <v>#NAME?</v>
      </c>
    </row>
    <row r="41050" spans="1:2" x14ac:dyDescent="0.25">
      <c r="A41050">
        <v>8517121</v>
      </c>
      <c r="B41050" t="s">
        <v>13041</v>
      </c>
    </row>
    <row r="41051" spans="1:2" x14ac:dyDescent="0.25">
      <c r="A41051">
        <v>85171211000</v>
      </c>
      <c r="B41051" t="s">
        <v>13042</v>
      </c>
    </row>
    <row r="41052" spans="1:2" x14ac:dyDescent="0.25">
      <c r="A41052">
        <v>85171212000</v>
      </c>
      <c r="B41052" t="s">
        <v>13043</v>
      </c>
    </row>
    <row r="41053" spans="1:2" x14ac:dyDescent="0.25">
      <c r="A41053">
        <v>85171213000</v>
      </c>
      <c r="B41053" t="s">
        <v>6673</v>
      </c>
    </row>
    <row r="41054" spans="1:2" x14ac:dyDescent="0.25">
      <c r="A41054">
        <v>85171219000</v>
      </c>
      <c r="B41054" t="s">
        <v>57</v>
      </c>
    </row>
    <row r="41055" spans="1:2" x14ac:dyDescent="0.25">
      <c r="A41055">
        <v>8517122</v>
      </c>
      <c r="B41055" t="s">
        <v>13044</v>
      </c>
    </row>
    <row r="41056" spans="1:2" x14ac:dyDescent="0.25">
      <c r="A41056">
        <v>85171221000</v>
      </c>
      <c r="B41056" t="s">
        <v>13045</v>
      </c>
    </row>
    <row r="41057" spans="1:2" x14ac:dyDescent="0.25">
      <c r="A41057">
        <v>85171222000</v>
      </c>
      <c r="B41057" t="s">
        <v>13046</v>
      </c>
    </row>
    <row r="41058" spans="1:2" x14ac:dyDescent="0.25">
      <c r="A41058">
        <v>85171223000</v>
      </c>
      <c r="B41058" t="s">
        <v>6673</v>
      </c>
    </row>
    <row r="41059" spans="1:2" x14ac:dyDescent="0.25">
      <c r="A41059">
        <v>85171229000</v>
      </c>
      <c r="B41059" t="s">
        <v>57</v>
      </c>
    </row>
    <row r="41060" spans="1:2" x14ac:dyDescent="0.25">
      <c r="A41060">
        <v>8517123</v>
      </c>
      <c r="B41060" t="s">
        <v>13047</v>
      </c>
    </row>
    <row r="41061" spans="1:2" x14ac:dyDescent="0.25">
      <c r="A41061">
        <v>85171231000</v>
      </c>
      <c r="B41061" t="s">
        <v>13045</v>
      </c>
    </row>
    <row r="41062" spans="1:2" x14ac:dyDescent="0.25">
      <c r="A41062">
        <v>85171232000</v>
      </c>
      <c r="B41062" t="s">
        <v>13048</v>
      </c>
    </row>
    <row r="41063" spans="1:2" x14ac:dyDescent="0.25">
      <c r="A41063">
        <v>85171233000</v>
      </c>
      <c r="B41063" t="s">
        <v>6673</v>
      </c>
    </row>
    <row r="41064" spans="1:2" x14ac:dyDescent="0.25">
      <c r="A41064">
        <v>85171239000</v>
      </c>
      <c r="B41064" t="s">
        <v>57</v>
      </c>
    </row>
    <row r="41065" spans="1:2" x14ac:dyDescent="0.25">
      <c r="A41065">
        <v>8517124</v>
      </c>
      <c r="B41065" t="s">
        <v>13049</v>
      </c>
    </row>
    <row r="41066" spans="1:2" x14ac:dyDescent="0.25">
      <c r="A41066">
        <v>85171241000</v>
      </c>
      <c r="B41066" t="s">
        <v>13050</v>
      </c>
    </row>
    <row r="41067" spans="1:2" x14ac:dyDescent="0.25">
      <c r="A41067">
        <v>85171249000</v>
      </c>
      <c r="B41067" t="s">
        <v>10</v>
      </c>
    </row>
    <row r="41068" spans="1:2" x14ac:dyDescent="0.25">
      <c r="A41068">
        <v>85171290000</v>
      </c>
      <c r="B41068" t="s">
        <v>10</v>
      </c>
    </row>
    <row r="41069" spans="1:2" x14ac:dyDescent="0.25">
      <c r="A41069">
        <v>851718</v>
      </c>
      <c r="B41069" t="e">
        <f>- - Los demas</f>
        <v>#NAME?</v>
      </c>
    </row>
    <row r="41070" spans="1:2" x14ac:dyDescent="0.25">
      <c r="A41070">
        <v>85171810</v>
      </c>
      <c r="B41070" t="s">
        <v>13051</v>
      </c>
    </row>
    <row r="41071" spans="1:2" x14ac:dyDescent="0.25">
      <c r="A41071">
        <v>85171810100</v>
      </c>
      <c r="B41071" t="s">
        <v>13052</v>
      </c>
    </row>
    <row r="41072" spans="1:2" x14ac:dyDescent="0.25">
      <c r="A41072">
        <v>85171810900</v>
      </c>
      <c r="B41072" t="s">
        <v>10</v>
      </c>
    </row>
    <row r="41073" spans="1:2" x14ac:dyDescent="0.25">
      <c r="A41073">
        <v>85171820</v>
      </c>
      <c r="B41073" t="s">
        <v>13053</v>
      </c>
    </row>
    <row r="41074" spans="1:2" x14ac:dyDescent="0.25">
      <c r="A41074">
        <v>85171820100</v>
      </c>
      <c r="B41074" t="s">
        <v>13054</v>
      </c>
    </row>
    <row r="41075" spans="1:2" x14ac:dyDescent="0.25">
      <c r="A41075">
        <v>85171820900</v>
      </c>
      <c r="B41075" t="s">
        <v>10</v>
      </c>
    </row>
    <row r="41076" spans="1:2" x14ac:dyDescent="0.25">
      <c r="A41076">
        <v>8517189</v>
      </c>
      <c r="B41076" t="s">
        <v>10</v>
      </c>
    </row>
    <row r="41077" spans="1:2" x14ac:dyDescent="0.25">
      <c r="A41077">
        <v>85171891000</v>
      </c>
      <c r="B41077" t="s">
        <v>13055</v>
      </c>
    </row>
    <row r="41078" spans="1:2" x14ac:dyDescent="0.25">
      <c r="A41078">
        <v>85171899000</v>
      </c>
      <c r="B41078" t="s">
        <v>10</v>
      </c>
    </row>
    <row r="41079" spans="1:2" x14ac:dyDescent="0.25">
      <c r="A41079">
        <v>85176</v>
      </c>
      <c r="B41079" t="s">
        <v>13056</v>
      </c>
    </row>
    <row r="41080" spans="1:2" x14ac:dyDescent="0.25">
      <c r="A41080">
        <v>851761</v>
      </c>
      <c r="B41080" t="e">
        <f>- - estaciones base</f>
        <v>#NAME?</v>
      </c>
    </row>
    <row r="41081" spans="1:2" x14ac:dyDescent="0.25">
      <c r="A41081">
        <v>8517611</v>
      </c>
      <c r="B41081" t="s">
        <v>13057</v>
      </c>
    </row>
    <row r="41082" spans="1:2" x14ac:dyDescent="0.25">
      <c r="A41082">
        <v>85176111000</v>
      </c>
      <c r="B41082" t="s">
        <v>13058</v>
      </c>
    </row>
    <row r="41083" spans="1:2" x14ac:dyDescent="0.25">
      <c r="A41083">
        <v>85176119000</v>
      </c>
      <c r="B41083" t="s">
        <v>57</v>
      </c>
    </row>
    <row r="41084" spans="1:2" x14ac:dyDescent="0.25">
      <c r="A41084">
        <v>85176120000</v>
      </c>
      <c r="B41084" t="s">
        <v>13059</v>
      </c>
    </row>
    <row r="41085" spans="1:2" x14ac:dyDescent="0.25">
      <c r="A41085">
        <v>85176130000</v>
      </c>
      <c r="B41085" t="s">
        <v>13060</v>
      </c>
    </row>
    <row r="41086" spans="1:2" x14ac:dyDescent="0.25">
      <c r="A41086">
        <v>8517614</v>
      </c>
      <c r="B41086" t="s">
        <v>13049</v>
      </c>
    </row>
    <row r="41087" spans="1:2" x14ac:dyDescent="0.25">
      <c r="A41087">
        <v>85176141000</v>
      </c>
      <c r="B41087" t="s">
        <v>13061</v>
      </c>
    </row>
    <row r="41088" spans="1:2" x14ac:dyDescent="0.25">
      <c r="A41088">
        <v>85176142000</v>
      </c>
      <c r="B41088" t="s">
        <v>13062</v>
      </c>
    </row>
    <row r="41089" spans="1:2" x14ac:dyDescent="0.25">
      <c r="A41089">
        <v>85176143000</v>
      </c>
      <c r="B41089" t="s">
        <v>13050</v>
      </c>
    </row>
    <row r="41090" spans="1:2" x14ac:dyDescent="0.25">
      <c r="A41090">
        <v>85176149000</v>
      </c>
      <c r="B41090" t="s">
        <v>57</v>
      </c>
    </row>
    <row r="41091" spans="1:2" x14ac:dyDescent="0.25">
      <c r="A41091">
        <v>8517619</v>
      </c>
      <c r="B41091" t="s">
        <v>57</v>
      </c>
    </row>
    <row r="41092" spans="1:2" x14ac:dyDescent="0.25">
      <c r="A41092">
        <v>85176191000</v>
      </c>
      <c r="B41092" t="s">
        <v>13063</v>
      </c>
    </row>
    <row r="41093" spans="1:2" x14ac:dyDescent="0.25">
      <c r="A41093">
        <v>85176192000</v>
      </c>
      <c r="B41093" t="s">
        <v>13064</v>
      </c>
    </row>
    <row r="41094" spans="1:2" x14ac:dyDescent="0.25">
      <c r="A41094">
        <v>85176199000</v>
      </c>
      <c r="B41094" t="s">
        <v>57</v>
      </c>
    </row>
    <row r="41095" spans="1:2" x14ac:dyDescent="0.25">
      <c r="A41095">
        <v>851762</v>
      </c>
      <c r="B41095" t="s">
        <v>13065</v>
      </c>
    </row>
    <row r="41096" spans="1:2" x14ac:dyDescent="0.25">
      <c r="A41096">
        <v>8517621</v>
      </c>
      <c r="B41096" t="s">
        <v>13066</v>
      </c>
    </row>
    <row r="41097" spans="1:2" x14ac:dyDescent="0.25">
      <c r="A41097">
        <v>85176211000</v>
      </c>
      <c r="B41097" t="s">
        <v>13067</v>
      </c>
    </row>
    <row r="41098" spans="1:2" x14ac:dyDescent="0.25">
      <c r="A41098">
        <v>85176212000</v>
      </c>
      <c r="B41098" t="s">
        <v>13068</v>
      </c>
    </row>
    <row r="41099" spans="1:2" x14ac:dyDescent="0.25">
      <c r="A41099">
        <v>85176213000</v>
      </c>
      <c r="B41099" t="s">
        <v>13069</v>
      </c>
    </row>
    <row r="41100" spans="1:2" x14ac:dyDescent="0.25">
      <c r="A41100">
        <v>85176214000</v>
      </c>
      <c r="B41100" t="s">
        <v>13070</v>
      </c>
    </row>
    <row r="41101" spans="1:2" x14ac:dyDescent="0.25">
      <c r="A41101">
        <v>85176219000</v>
      </c>
      <c r="B41101" t="s">
        <v>10</v>
      </c>
    </row>
    <row r="41102" spans="1:2" x14ac:dyDescent="0.25">
      <c r="A41102">
        <v>8517622</v>
      </c>
      <c r="B41102" t="s">
        <v>13071</v>
      </c>
    </row>
    <row r="41103" spans="1:2" x14ac:dyDescent="0.25">
      <c r="A41103">
        <v>85176221000</v>
      </c>
      <c r="B41103" t="s">
        <v>13072</v>
      </c>
    </row>
    <row r="41104" spans="1:2" x14ac:dyDescent="0.25">
      <c r="A41104">
        <v>85176222</v>
      </c>
      <c r="B41104" t="s">
        <v>13073</v>
      </c>
    </row>
    <row r="41105" spans="1:2" x14ac:dyDescent="0.25">
      <c r="A41105">
        <v>85176222100</v>
      </c>
      <c r="B41105" t="s">
        <v>13074</v>
      </c>
    </row>
    <row r="41106" spans="1:2" x14ac:dyDescent="0.25">
      <c r="A41106">
        <v>85176222900</v>
      </c>
      <c r="B41106" t="s">
        <v>57</v>
      </c>
    </row>
    <row r="41107" spans="1:2" x14ac:dyDescent="0.25">
      <c r="A41107">
        <v>85176223000</v>
      </c>
      <c r="B41107" t="s">
        <v>13075</v>
      </c>
    </row>
    <row r="41108" spans="1:2" x14ac:dyDescent="0.25">
      <c r="A41108">
        <v>85176224000</v>
      </c>
      <c r="B41108" t="s">
        <v>13076</v>
      </c>
    </row>
    <row r="41109" spans="1:2" x14ac:dyDescent="0.25">
      <c r="A41109">
        <v>85176229000</v>
      </c>
      <c r="B41109" t="s">
        <v>57</v>
      </c>
    </row>
    <row r="41110" spans="1:2" x14ac:dyDescent="0.25">
      <c r="A41110">
        <v>8517623</v>
      </c>
      <c r="B41110" t="s">
        <v>13077</v>
      </c>
    </row>
    <row r="41111" spans="1:2" x14ac:dyDescent="0.25">
      <c r="A41111">
        <v>85176231000</v>
      </c>
      <c r="B41111" t="s">
        <v>13078</v>
      </c>
    </row>
    <row r="41112" spans="1:2" x14ac:dyDescent="0.25">
      <c r="A41112">
        <v>85176232000</v>
      </c>
      <c r="B41112" t="s">
        <v>13079</v>
      </c>
    </row>
    <row r="41113" spans="1:2" x14ac:dyDescent="0.25">
      <c r="A41113">
        <v>85176233000</v>
      </c>
      <c r="B41113" t="s">
        <v>13080</v>
      </c>
    </row>
    <row r="41114" spans="1:2" x14ac:dyDescent="0.25">
      <c r="A41114">
        <v>85176239000</v>
      </c>
      <c r="B41114" t="s">
        <v>10</v>
      </c>
    </row>
    <row r="41115" spans="1:2" x14ac:dyDescent="0.25">
      <c r="A41115">
        <v>8517624</v>
      </c>
      <c r="B41115" t="s">
        <v>13081</v>
      </c>
    </row>
    <row r="41116" spans="1:2" x14ac:dyDescent="0.25">
      <c r="A41116">
        <v>85176241</v>
      </c>
      <c r="B41116" t="s">
        <v>13082</v>
      </c>
    </row>
    <row r="41117" spans="1:2" x14ac:dyDescent="0.25">
      <c r="A41117">
        <v>85176241100</v>
      </c>
      <c r="B41117" t="s">
        <v>13083</v>
      </c>
    </row>
    <row r="41118" spans="1:2" x14ac:dyDescent="0.25">
      <c r="A41118">
        <v>85176241900</v>
      </c>
      <c r="B41118" t="s">
        <v>10</v>
      </c>
    </row>
    <row r="41119" spans="1:2" x14ac:dyDescent="0.25">
      <c r="A41119">
        <v>85176248000</v>
      </c>
      <c r="B41119" t="s">
        <v>13084</v>
      </c>
    </row>
    <row r="41120" spans="1:2" x14ac:dyDescent="0.25">
      <c r="A41120">
        <v>85176249</v>
      </c>
      <c r="B41120" t="s">
        <v>10</v>
      </c>
    </row>
    <row r="41121" spans="1:2" x14ac:dyDescent="0.25">
      <c r="A41121">
        <v>85176249100</v>
      </c>
      <c r="B41121" t="s">
        <v>13083</v>
      </c>
    </row>
    <row r="41122" spans="1:2" x14ac:dyDescent="0.25">
      <c r="A41122">
        <v>85176249900</v>
      </c>
      <c r="B41122" t="s">
        <v>10</v>
      </c>
    </row>
    <row r="41123" spans="1:2" x14ac:dyDescent="0.25">
      <c r="A41123">
        <v>8517625</v>
      </c>
      <c r="B41123" t="s">
        <v>13085</v>
      </c>
    </row>
    <row r="41124" spans="1:2" x14ac:dyDescent="0.25">
      <c r="A41124">
        <v>85176251000</v>
      </c>
      <c r="B41124" t="s">
        <v>13086</v>
      </c>
    </row>
    <row r="41125" spans="1:2" x14ac:dyDescent="0.25">
      <c r="A41125">
        <v>85176252000</v>
      </c>
      <c r="B41125" t="s">
        <v>13087</v>
      </c>
    </row>
    <row r="41126" spans="1:2" x14ac:dyDescent="0.25">
      <c r="A41126">
        <v>85176253000</v>
      </c>
      <c r="B41126" t="s">
        <v>13088</v>
      </c>
    </row>
    <row r="41127" spans="1:2" x14ac:dyDescent="0.25">
      <c r="A41127">
        <v>85176254</v>
      </c>
      <c r="B41127" t="s">
        <v>13089</v>
      </c>
    </row>
    <row r="41128" spans="1:2" x14ac:dyDescent="0.25">
      <c r="A41128">
        <v>85176254100</v>
      </c>
      <c r="B41128" t="s">
        <v>13083</v>
      </c>
    </row>
    <row r="41129" spans="1:2" x14ac:dyDescent="0.25">
      <c r="A41129">
        <v>85176254900</v>
      </c>
      <c r="B41129" t="s">
        <v>10</v>
      </c>
    </row>
    <row r="41130" spans="1:2" x14ac:dyDescent="0.25">
      <c r="A41130">
        <v>85176255</v>
      </c>
      <c r="B41130" t="s">
        <v>13090</v>
      </c>
    </row>
    <row r="41131" spans="1:2" x14ac:dyDescent="0.25">
      <c r="A41131">
        <v>85176255100</v>
      </c>
      <c r="B41131" t="s">
        <v>13091</v>
      </c>
    </row>
    <row r="41132" spans="1:2" x14ac:dyDescent="0.25">
      <c r="A41132">
        <v>85176255900</v>
      </c>
      <c r="B41132" t="s">
        <v>10</v>
      </c>
    </row>
    <row r="41133" spans="1:2" x14ac:dyDescent="0.25">
      <c r="A41133">
        <v>85176259000</v>
      </c>
      <c r="B41133" t="s">
        <v>10</v>
      </c>
    </row>
    <row r="41134" spans="1:2" x14ac:dyDescent="0.25">
      <c r="A41134">
        <v>8517626</v>
      </c>
      <c r="B41134" t="s">
        <v>13092</v>
      </c>
    </row>
    <row r="41135" spans="1:2" x14ac:dyDescent="0.25">
      <c r="A41135">
        <v>85176261000</v>
      </c>
      <c r="B41135" t="s">
        <v>13093</v>
      </c>
    </row>
    <row r="41136" spans="1:2" x14ac:dyDescent="0.25">
      <c r="A41136">
        <v>85176262000</v>
      </c>
      <c r="B41136" t="s">
        <v>13094</v>
      </c>
    </row>
    <row r="41137" spans="1:2" x14ac:dyDescent="0.25">
      <c r="A41137">
        <v>85176264000</v>
      </c>
      <c r="B41137" t="s">
        <v>13095</v>
      </c>
    </row>
    <row r="41138" spans="1:2" x14ac:dyDescent="0.25">
      <c r="A41138">
        <v>85176265000</v>
      </c>
      <c r="B41138" t="s">
        <v>13096</v>
      </c>
    </row>
    <row r="41139" spans="1:2" x14ac:dyDescent="0.25">
      <c r="A41139">
        <v>8517627</v>
      </c>
      <c r="B41139" t="s">
        <v>13097</v>
      </c>
    </row>
    <row r="41140" spans="1:2" x14ac:dyDescent="0.25">
      <c r="A41140">
        <v>85176271000</v>
      </c>
      <c r="B41140" t="s">
        <v>13098</v>
      </c>
    </row>
    <row r="41141" spans="1:2" x14ac:dyDescent="0.25">
      <c r="A41141">
        <v>85176272</v>
      </c>
      <c r="B41141" t="s">
        <v>13099</v>
      </c>
    </row>
    <row r="41142" spans="1:2" x14ac:dyDescent="0.25">
      <c r="A41142">
        <v>85176272100</v>
      </c>
      <c r="B41142" t="s">
        <v>13100</v>
      </c>
    </row>
    <row r="41143" spans="1:2" x14ac:dyDescent="0.25">
      <c r="A41143">
        <v>85176272900</v>
      </c>
      <c r="B41143" t="s">
        <v>10</v>
      </c>
    </row>
    <row r="41144" spans="1:2" x14ac:dyDescent="0.25">
      <c r="A41144">
        <v>85176277000</v>
      </c>
      <c r="B41144" t="s">
        <v>13101</v>
      </c>
    </row>
    <row r="41145" spans="1:2" x14ac:dyDescent="0.25">
      <c r="A41145">
        <v>85176278000</v>
      </c>
      <c r="B41145" t="s">
        <v>13102</v>
      </c>
    </row>
    <row r="41146" spans="1:2" x14ac:dyDescent="0.25">
      <c r="A41146">
        <v>85176279000</v>
      </c>
      <c r="B41146" t="s">
        <v>10</v>
      </c>
    </row>
    <row r="41147" spans="1:2" x14ac:dyDescent="0.25">
      <c r="A41147">
        <v>8517629</v>
      </c>
      <c r="B41147" t="s">
        <v>10</v>
      </c>
    </row>
    <row r="41148" spans="1:2" x14ac:dyDescent="0.25">
      <c r="A41148">
        <v>85176291000</v>
      </c>
      <c r="B41148" t="s">
        <v>13103</v>
      </c>
    </row>
    <row r="41149" spans="1:2" x14ac:dyDescent="0.25">
      <c r="A41149">
        <v>85176292000</v>
      </c>
      <c r="B41149" t="s">
        <v>13104</v>
      </c>
    </row>
    <row r="41150" spans="1:2" x14ac:dyDescent="0.25">
      <c r="A41150">
        <v>85176293000</v>
      </c>
      <c r="B41150" t="s">
        <v>13105</v>
      </c>
    </row>
    <row r="41151" spans="1:2" x14ac:dyDescent="0.25">
      <c r="A41151">
        <v>85176294000</v>
      </c>
      <c r="B41151" t="s">
        <v>13106</v>
      </c>
    </row>
    <row r="41152" spans="1:2" x14ac:dyDescent="0.25">
      <c r="A41152">
        <v>85176295000</v>
      </c>
      <c r="B41152" t="s">
        <v>13107</v>
      </c>
    </row>
    <row r="41153" spans="1:2" x14ac:dyDescent="0.25">
      <c r="A41153">
        <v>85176296000</v>
      </c>
      <c r="B41153" t="s">
        <v>13108</v>
      </c>
    </row>
    <row r="41154" spans="1:2" x14ac:dyDescent="0.25">
      <c r="A41154">
        <v>85176299</v>
      </c>
      <c r="B41154" t="s">
        <v>10</v>
      </c>
    </row>
    <row r="41155" spans="1:2" x14ac:dyDescent="0.25">
      <c r="A41155">
        <v>85176299100</v>
      </c>
      <c r="B41155" t="s">
        <v>13109</v>
      </c>
    </row>
    <row r="41156" spans="1:2" x14ac:dyDescent="0.25">
      <c r="A41156">
        <v>85176299900</v>
      </c>
      <c r="B41156" t="s">
        <v>10</v>
      </c>
    </row>
    <row r="41157" spans="1:2" x14ac:dyDescent="0.25">
      <c r="A41157">
        <v>85176900000</v>
      </c>
      <c r="B41157" t="e">
        <f>--Los demas</f>
        <v>#NAME?</v>
      </c>
    </row>
    <row r="41158" spans="1:2" x14ac:dyDescent="0.25">
      <c r="A41158">
        <v>851770</v>
      </c>
      <c r="B41158" t="e">
        <f>- partes</f>
        <v>#NAME?</v>
      </c>
    </row>
    <row r="41159" spans="1:2" x14ac:dyDescent="0.25">
      <c r="A41159">
        <v>85177010000</v>
      </c>
      <c r="B41159" t="s">
        <v>12439</v>
      </c>
    </row>
    <row r="41160" spans="1:2" x14ac:dyDescent="0.25">
      <c r="A41160">
        <v>8517702</v>
      </c>
      <c r="B41160" t="s">
        <v>13110</v>
      </c>
    </row>
    <row r="41161" spans="1:2" x14ac:dyDescent="0.25">
      <c r="A41161">
        <v>85177021000</v>
      </c>
      <c r="B41161" t="s">
        <v>13111</v>
      </c>
    </row>
    <row r="41162" spans="1:2" x14ac:dyDescent="0.25">
      <c r="A41162">
        <v>85177029</v>
      </c>
      <c r="B41162" t="s">
        <v>57</v>
      </c>
    </row>
    <row r="41163" spans="1:2" x14ac:dyDescent="0.25">
      <c r="A41163">
        <v>85177029100</v>
      </c>
      <c r="B41163" t="s">
        <v>13112</v>
      </c>
    </row>
    <row r="41164" spans="1:2" x14ac:dyDescent="0.25">
      <c r="A41164">
        <v>85177029900</v>
      </c>
      <c r="B41164" t="s">
        <v>10</v>
      </c>
    </row>
    <row r="41165" spans="1:2" x14ac:dyDescent="0.25">
      <c r="A41165">
        <v>8517709</v>
      </c>
      <c r="B41165" t="s">
        <v>57</v>
      </c>
    </row>
    <row r="41166" spans="1:2" x14ac:dyDescent="0.25">
      <c r="A41166">
        <v>85177091000</v>
      </c>
      <c r="B41166" t="s">
        <v>13113</v>
      </c>
    </row>
    <row r="41167" spans="1:2" x14ac:dyDescent="0.25">
      <c r="A41167">
        <v>85177092000</v>
      </c>
      <c r="B41167" t="s">
        <v>13114</v>
      </c>
    </row>
    <row r="41168" spans="1:2" x14ac:dyDescent="0.25">
      <c r="A41168">
        <v>85177099000</v>
      </c>
      <c r="B41168" t="s">
        <v>57</v>
      </c>
    </row>
    <row r="41169" spans="1:2" x14ac:dyDescent="0.25">
      <c r="A41169">
        <v>8518</v>
      </c>
      <c r="B41169" t="s">
        <v>13115</v>
      </c>
    </row>
    <row r="41170" spans="1:2" x14ac:dyDescent="0.25">
      <c r="A41170">
        <v>851810</v>
      </c>
      <c r="B41170" t="e">
        <f>- Microfonos y sus soportes</f>
        <v>#NAME?</v>
      </c>
    </row>
    <row r="41171" spans="1:2" x14ac:dyDescent="0.25">
      <c r="A41171">
        <v>85181010000</v>
      </c>
      <c r="B41171" t="s">
        <v>13116</v>
      </c>
    </row>
    <row r="41172" spans="1:2" x14ac:dyDescent="0.25">
      <c r="A41172">
        <v>85181090000</v>
      </c>
      <c r="B41172" t="s">
        <v>10</v>
      </c>
    </row>
    <row r="41173" spans="1:2" x14ac:dyDescent="0.25">
      <c r="A41173">
        <v>85182</v>
      </c>
      <c r="B41173" t="s">
        <v>13117</v>
      </c>
    </row>
    <row r="41174" spans="1:2" x14ac:dyDescent="0.25">
      <c r="A41174">
        <v>85182100</v>
      </c>
      <c r="B41174" t="e">
        <f>- - un altavoz (altoparlante) montado En su caja</f>
        <v>#NAME?</v>
      </c>
    </row>
    <row r="41175" spans="1:2" x14ac:dyDescent="0.25">
      <c r="A41175">
        <v>85182100100</v>
      </c>
      <c r="B41175" t="s">
        <v>13118</v>
      </c>
    </row>
    <row r="41176" spans="1:2" x14ac:dyDescent="0.25">
      <c r="A41176">
        <v>85182100900</v>
      </c>
      <c r="B41176" t="s">
        <v>10</v>
      </c>
    </row>
    <row r="41177" spans="1:2" x14ac:dyDescent="0.25">
      <c r="A41177">
        <v>85182200</v>
      </c>
      <c r="B41177" t="e">
        <f>- - Varios Altavoces (altoparlantes) montados En una misma caja</f>
        <v>#NAME?</v>
      </c>
    </row>
    <row r="41178" spans="1:2" x14ac:dyDescent="0.25">
      <c r="A41178">
        <v>85182200100</v>
      </c>
      <c r="B41178" t="s">
        <v>13118</v>
      </c>
    </row>
    <row r="41179" spans="1:2" x14ac:dyDescent="0.25">
      <c r="A41179">
        <v>85182200900</v>
      </c>
      <c r="B41179" t="s">
        <v>10</v>
      </c>
    </row>
    <row r="41180" spans="1:2" x14ac:dyDescent="0.25">
      <c r="A41180">
        <v>851829</v>
      </c>
      <c r="B41180" t="e">
        <f>- - Los demas</f>
        <v>#NAME?</v>
      </c>
    </row>
    <row r="41181" spans="1:2" x14ac:dyDescent="0.25">
      <c r="A41181">
        <v>85182910000</v>
      </c>
      <c r="B41181" t="s">
        <v>13116</v>
      </c>
    </row>
    <row r="41182" spans="1:2" x14ac:dyDescent="0.25">
      <c r="A41182">
        <v>85182990</v>
      </c>
      <c r="B41182" t="s">
        <v>10</v>
      </c>
    </row>
    <row r="41183" spans="1:2" x14ac:dyDescent="0.25">
      <c r="A41183">
        <v>85182990100</v>
      </c>
      <c r="B41183" t="s">
        <v>6673</v>
      </c>
    </row>
    <row r="41184" spans="1:2" x14ac:dyDescent="0.25">
      <c r="A41184">
        <v>85182990900</v>
      </c>
      <c r="B41184" t="s">
        <v>10</v>
      </c>
    </row>
    <row r="41185" spans="1:2" x14ac:dyDescent="0.25">
      <c r="A41185">
        <v>85183000</v>
      </c>
      <c r="B41185" t="s">
        <v>13119</v>
      </c>
    </row>
    <row r="41186" spans="1:2" x14ac:dyDescent="0.25">
      <c r="A41186">
        <v>85183000100</v>
      </c>
      <c r="B41186" t="s">
        <v>13120</v>
      </c>
    </row>
    <row r="41187" spans="1:2" x14ac:dyDescent="0.25">
      <c r="A41187">
        <v>85183000900</v>
      </c>
      <c r="B41187" t="s">
        <v>10</v>
      </c>
    </row>
    <row r="41188" spans="1:2" x14ac:dyDescent="0.25">
      <c r="A41188">
        <v>85184000000</v>
      </c>
      <c r="B41188" t="e">
        <f>-Amplificadores electricos de audiofrecuencia</f>
        <v>#NAME?</v>
      </c>
    </row>
    <row r="41189" spans="1:2" x14ac:dyDescent="0.25">
      <c r="A41189">
        <v>85185000</v>
      </c>
      <c r="B41189" t="e">
        <f>- equipos electricos para amplificacion de sonido</f>
        <v>#NAME?</v>
      </c>
    </row>
    <row r="41190" spans="1:2" x14ac:dyDescent="0.25">
      <c r="A41190">
        <v>85185000100</v>
      </c>
      <c r="B41190" t="s">
        <v>7632</v>
      </c>
    </row>
    <row r="41191" spans="1:2" x14ac:dyDescent="0.25">
      <c r="A41191">
        <v>85185000900</v>
      </c>
      <c r="B41191" t="s">
        <v>10</v>
      </c>
    </row>
    <row r="41192" spans="1:2" x14ac:dyDescent="0.25">
      <c r="A41192">
        <v>851890</v>
      </c>
      <c r="B41192" t="e">
        <f>- partes</f>
        <v>#NAME?</v>
      </c>
    </row>
    <row r="41193" spans="1:2" x14ac:dyDescent="0.25">
      <c r="A41193">
        <v>85189010000</v>
      </c>
      <c r="B41193" t="s">
        <v>13121</v>
      </c>
    </row>
    <row r="41194" spans="1:2" x14ac:dyDescent="0.25">
      <c r="A41194">
        <v>85189090000</v>
      </c>
      <c r="B41194" t="s">
        <v>57</v>
      </c>
    </row>
    <row r="41195" spans="1:2" x14ac:dyDescent="0.25">
      <c r="A41195">
        <v>8519</v>
      </c>
      <c r="B41195" t="s">
        <v>13122</v>
      </c>
    </row>
    <row r="41196" spans="1:2" x14ac:dyDescent="0.25">
      <c r="A41196">
        <v>85192000</v>
      </c>
      <c r="B41196" t="e">
        <f>- aparatos activados Con monedas. billetes. tarjetas. fichas o cualquier otro medio de pago</f>
        <v>#NAME?</v>
      </c>
    </row>
    <row r="41197" spans="1:2" x14ac:dyDescent="0.25">
      <c r="A41197">
        <v>85192000100</v>
      </c>
      <c r="B41197" t="s">
        <v>13123</v>
      </c>
    </row>
    <row r="41198" spans="1:2" x14ac:dyDescent="0.25">
      <c r="A41198">
        <v>85192000900</v>
      </c>
      <c r="B41198" t="s">
        <v>10</v>
      </c>
    </row>
    <row r="41199" spans="1:2" x14ac:dyDescent="0.25">
      <c r="A41199">
        <v>85193000000</v>
      </c>
      <c r="B41199" t="e">
        <f>-Giradiscos</f>
        <v>#NAME?</v>
      </c>
    </row>
    <row r="41200" spans="1:2" x14ac:dyDescent="0.25">
      <c r="A41200">
        <v>85195000000</v>
      </c>
      <c r="B41200" t="e">
        <f>-Contestadores telefonicos</f>
        <v>#NAME?</v>
      </c>
    </row>
    <row r="41201" spans="1:2" x14ac:dyDescent="0.25">
      <c r="A41201">
        <v>85198</v>
      </c>
      <c r="B41201" t="s">
        <v>10369</v>
      </c>
    </row>
    <row r="41202" spans="1:2" x14ac:dyDescent="0.25">
      <c r="A41202">
        <v>851981</v>
      </c>
      <c r="B41202" t="e">
        <f>- - que utilizan un soporte magnetico. optico o semiconductor</f>
        <v>#NAME?</v>
      </c>
    </row>
    <row r="41203" spans="1:2" x14ac:dyDescent="0.25">
      <c r="A41203">
        <v>85198110</v>
      </c>
      <c r="B41203" t="s">
        <v>13124</v>
      </c>
    </row>
    <row r="41204" spans="1:2" x14ac:dyDescent="0.25">
      <c r="A41204">
        <v>85198110100</v>
      </c>
      <c r="B41204" t="s">
        <v>13125</v>
      </c>
    </row>
    <row r="41205" spans="1:2" x14ac:dyDescent="0.25">
      <c r="A41205">
        <v>851981102</v>
      </c>
      <c r="B41205" t="s">
        <v>13126</v>
      </c>
    </row>
    <row r="41206" spans="1:2" x14ac:dyDescent="0.25">
      <c r="A41206">
        <v>85198110210</v>
      </c>
      <c r="B41206" t="s">
        <v>13127</v>
      </c>
    </row>
    <row r="41207" spans="1:2" x14ac:dyDescent="0.25">
      <c r="A41207">
        <v>85198110290</v>
      </c>
      <c r="B41207" t="s">
        <v>10</v>
      </c>
    </row>
    <row r="41208" spans="1:2" x14ac:dyDescent="0.25">
      <c r="A41208">
        <v>851981109</v>
      </c>
      <c r="B41208" t="s">
        <v>10</v>
      </c>
    </row>
    <row r="41209" spans="1:2" x14ac:dyDescent="0.25">
      <c r="A41209">
        <v>85198110910</v>
      </c>
      <c r="B41209" t="s">
        <v>13127</v>
      </c>
    </row>
    <row r="41210" spans="1:2" x14ac:dyDescent="0.25">
      <c r="A41210">
        <v>85198110990</v>
      </c>
      <c r="B41210" t="s">
        <v>10</v>
      </c>
    </row>
    <row r="41211" spans="1:2" x14ac:dyDescent="0.25">
      <c r="A41211">
        <v>85198120000</v>
      </c>
      <c r="B41211" t="s">
        <v>13128</v>
      </c>
    </row>
    <row r="41212" spans="1:2" x14ac:dyDescent="0.25">
      <c r="A41212">
        <v>85198190</v>
      </c>
      <c r="B41212" t="s">
        <v>10</v>
      </c>
    </row>
    <row r="41213" spans="1:2" x14ac:dyDescent="0.25">
      <c r="A41213">
        <v>851981901</v>
      </c>
      <c r="B41213" t="s">
        <v>13129</v>
      </c>
    </row>
    <row r="41214" spans="1:2" x14ac:dyDescent="0.25">
      <c r="A41214">
        <v>85198190110</v>
      </c>
      <c r="B41214" t="s">
        <v>13130</v>
      </c>
    </row>
    <row r="41215" spans="1:2" x14ac:dyDescent="0.25">
      <c r="A41215">
        <v>85198190120</v>
      </c>
      <c r="B41215" t="s">
        <v>13131</v>
      </c>
    </row>
    <row r="41216" spans="1:2" x14ac:dyDescent="0.25">
      <c r="A41216">
        <v>851981902</v>
      </c>
      <c r="B41216" t="s">
        <v>13132</v>
      </c>
    </row>
    <row r="41217" spans="1:2" x14ac:dyDescent="0.25">
      <c r="A41217">
        <v>8519819021</v>
      </c>
      <c r="B41217" t="s">
        <v>13133</v>
      </c>
    </row>
    <row r="41218" spans="1:2" x14ac:dyDescent="0.25">
      <c r="A41218">
        <v>85198190211</v>
      </c>
      <c r="B41218" t="s">
        <v>13134</v>
      </c>
    </row>
    <row r="41219" spans="1:2" x14ac:dyDescent="0.25">
      <c r="A41219">
        <v>85198190212</v>
      </c>
      <c r="B41219" t="s">
        <v>13135</v>
      </c>
    </row>
    <row r="41220" spans="1:2" x14ac:dyDescent="0.25">
      <c r="A41220">
        <v>85198190219</v>
      </c>
      <c r="B41220" t="s">
        <v>13136</v>
      </c>
    </row>
    <row r="41221" spans="1:2" x14ac:dyDescent="0.25">
      <c r="A41221">
        <v>85198190220</v>
      </c>
      <c r="B41221" t="s">
        <v>13137</v>
      </c>
    </row>
    <row r="41222" spans="1:2" x14ac:dyDescent="0.25">
      <c r="A41222">
        <v>85198190300</v>
      </c>
      <c r="B41222" t="s">
        <v>13138</v>
      </c>
    </row>
    <row r="41223" spans="1:2" x14ac:dyDescent="0.25">
      <c r="A41223">
        <v>851981909</v>
      </c>
      <c r="B41223" t="s">
        <v>10</v>
      </c>
    </row>
    <row r="41224" spans="1:2" x14ac:dyDescent="0.25">
      <c r="A41224">
        <v>85198190910</v>
      </c>
      <c r="B41224" t="s">
        <v>13139</v>
      </c>
    </row>
    <row r="41225" spans="1:2" x14ac:dyDescent="0.25">
      <c r="A41225">
        <v>8519819099</v>
      </c>
      <c r="B41225" t="s">
        <v>10</v>
      </c>
    </row>
    <row r="41226" spans="1:2" x14ac:dyDescent="0.25">
      <c r="A41226">
        <v>85198190991</v>
      </c>
      <c r="B41226" t="s">
        <v>5635</v>
      </c>
    </row>
    <row r="41227" spans="1:2" x14ac:dyDescent="0.25">
      <c r="A41227">
        <v>85198190992</v>
      </c>
      <c r="B41227" t="s">
        <v>13140</v>
      </c>
    </row>
    <row r="41228" spans="1:2" x14ac:dyDescent="0.25">
      <c r="A41228">
        <v>85198190993</v>
      </c>
      <c r="B41228" t="s">
        <v>13141</v>
      </c>
    </row>
    <row r="41229" spans="1:2" x14ac:dyDescent="0.25">
      <c r="A41229">
        <v>85198190999</v>
      </c>
      <c r="B41229" t="s">
        <v>10</v>
      </c>
    </row>
    <row r="41230" spans="1:2" x14ac:dyDescent="0.25">
      <c r="A41230">
        <v>85198900</v>
      </c>
      <c r="B41230" t="e">
        <f>- - Los demas</f>
        <v>#NAME?</v>
      </c>
    </row>
    <row r="41231" spans="1:2" x14ac:dyDescent="0.25">
      <c r="A41231">
        <v>85198900100</v>
      </c>
      <c r="B41231" t="s">
        <v>13123</v>
      </c>
    </row>
    <row r="41232" spans="1:2" x14ac:dyDescent="0.25">
      <c r="A41232">
        <v>85198900900</v>
      </c>
      <c r="B41232" t="s">
        <v>10</v>
      </c>
    </row>
    <row r="41233" spans="1:2" x14ac:dyDescent="0.25">
      <c r="A41233">
        <v>8521</v>
      </c>
      <c r="B41233" t="s">
        <v>13142</v>
      </c>
    </row>
    <row r="41234" spans="1:2" x14ac:dyDescent="0.25">
      <c r="A41234">
        <v>852110</v>
      </c>
      <c r="B41234" t="e">
        <f>- de cinta magnetica</f>
        <v>#NAME?</v>
      </c>
    </row>
    <row r="41235" spans="1:2" x14ac:dyDescent="0.25">
      <c r="A41235">
        <v>85211010000</v>
      </c>
      <c r="B41235" t="s">
        <v>13143</v>
      </c>
    </row>
    <row r="41236" spans="1:2" x14ac:dyDescent="0.25">
      <c r="A41236">
        <v>8521108</v>
      </c>
      <c r="B41236" t="s">
        <v>13144</v>
      </c>
    </row>
    <row r="41237" spans="1:2" x14ac:dyDescent="0.25">
      <c r="A41237">
        <v>85211081000</v>
      </c>
      <c r="B41237" t="s">
        <v>13145</v>
      </c>
    </row>
    <row r="41238" spans="1:2" x14ac:dyDescent="0.25">
      <c r="A41238">
        <v>85211089</v>
      </c>
      <c r="B41238" t="s">
        <v>10</v>
      </c>
    </row>
    <row r="41239" spans="1:2" x14ac:dyDescent="0.25">
      <c r="A41239">
        <v>85211089100</v>
      </c>
      <c r="B41239" t="s">
        <v>13146</v>
      </c>
    </row>
    <row r="41240" spans="1:2" x14ac:dyDescent="0.25">
      <c r="A41240">
        <v>85211089900</v>
      </c>
      <c r="B41240" t="s">
        <v>10</v>
      </c>
    </row>
    <row r="41241" spans="1:2" x14ac:dyDescent="0.25">
      <c r="A41241">
        <v>85211090000</v>
      </c>
      <c r="B41241" t="s">
        <v>13147</v>
      </c>
    </row>
    <row r="41242" spans="1:2" x14ac:dyDescent="0.25">
      <c r="A41242">
        <v>852190</v>
      </c>
      <c r="B41242" t="e">
        <f>- Los demas</f>
        <v>#NAME?</v>
      </c>
    </row>
    <row r="41243" spans="1:2" x14ac:dyDescent="0.25">
      <c r="A41243">
        <v>85219010</v>
      </c>
      <c r="B41243" t="s">
        <v>13148</v>
      </c>
    </row>
    <row r="41244" spans="1:2" x14ac:dyDescent="0.25">
      <c r="A41244">
        <v>85219010100</v>
      </c>
      <c r="B41244" t="s">
        <v>13149</v>
      </c>
    </row>
    <row r="41245" spans="1:2" x14ac:dyDescent="0.25">
      <c r="A41245">
        <v>85219010900</v>
      </c>
      <c r="B41245" t="s">
        <v>10</v>
      </c>
    </row>
    <row r="41246" spans="1:2" x14ac:dyDescent="0.25">
      <c r="A41246">
        <v>85219090</v>
      </c>
      <c r="B41246" t="s">
        <v>10</v>
      </c>
    </row>
    <row r="41247" spans="1:2" x14ac:dyDescent="0.25">
      <c r="A41247">
        <v>85219090100</v>
      </c>
      <c r="B41247" t="s">
        <v>13149</v>
      </c>
    </row>
    <row r="41248" spans="1:2" x14ac:dyDescent="0.25">
      <c r="A41248">
        <v>852190909</v>
      </c>
      <c r="B41248" t="s">
        <v>10</v>
      </c>
    </row>
    <row r="41249" spans="1:2" x14ac:dyDescent="0.25">
      <c r="A41249">
        <v>8521909091</v>
      </c>
      <c r="B41249" t="s">
        <v>13150</v>
      </c>
    </row>
    <row r="41250" spans="1:2" x14ac:dyDescent="0.25">
      <c r="A41250">
        <v>85219090911</v>
      </c>
      <c r="B41250" t="s">
        <v>13151</v>
      </c>
    </row>
    <row r="41251" spans="1:2" x14ac:dyDescent="0.25">
      <c r="A41251">
        <v>85219090919</v>
      </c>
      <c r="B41251" t="s">
        <v>10</v>
      </c>
    </row>
    <row r="41252" spans="1:2" x14ac:dyDescent="0.25">
      <c r="A41252">
        <v>85219090990</v>
      </c>
      <c r="B41252" t="s">
        <v>10</v>
      </c>
    </row>
    <row r="41253" spans="1:2" x14ac:dyDescent="0.25">
      <c r="A41253">
        <v>8522</v>
      </c>
      <c r="B41253" t="s">
        <v>13152</v>
      </c>
    </row>
    <row r="41254" spans="1:2" x14ac:dyDescent="0.25">
      <c r="A41254">
        <v>85221000000</v>
      </c>
      <c r="B41254" t="e">
        <f>-capsulas fonocaptoras</f>
        <v>#NAME?</v>
      </c>
    </row>
    <row r="41255" spans="1:2" x14ac:dyDescent="0.25">
      <c r="A41255">
        <v>852290</v>
      </c>
      <c r="B41255" t="e">
        <f>- Los demas</f>
        <v>#NAME?</v>
      </c>
    </row>
    <row r="41256" spans="1:2" x14ac:dyDescent="0.25">
      <c r="A41256">
        <v>85229010000</v>
      </c>
      <c r="B41256" t="s">
        <v>13153</v>
      </c>
    </row>
    <row r="41257" spans="1:2" x14ac:dyDescent="0.25">
      <c r="A41257">
        <v>85229020000</v>
      </c>
      <c r="B41257" t="s">
        <v>13154</v>
      </c>
    </row>
    <row r="41258" spans="1:2" x14ac:dyDescent="0.25">
      <c r="A41258">
        <v>85229030000</v>
      </c>
      <c r="B41258" t="s">
        <v>13155</v>
      </c>
    </row>
    <row r="41259" spans="1:2" x14ac:dyDescent="0.25">
      <c r="A41259">
        <v>85229040000</v>
      </c>
      <c r="B41259" t="s">
        <v>13156</v>
      </c>
    </row>
    <row r="41260" spans="1:2" x14ac:dyDescent="0.25">
      <c r="A41260">
        <v>85229050000</v>
      </c>
      <c r="B41260" t="s">
        <v>13157</v>
      </c>
    </row>
    <row r="41261" spans="1:2" x14ac:dyDescent="0.25">
      <c r="A41261">
        <v>85229090</v>
      </c>
      <c r="B41261" t="s">
        <v>10</v>
      </c>
    </row>
    <row r="41262" spans="1:2" x14ac:dyDescent="0.25">
      <c r="A41262">
        <v>852290901</v>
      </c>
      <c r="B41262" t="s">
        <v>12036</v>
      </c>
    </row>
    <row r="41263" spans="1:2" x14ac:dyDescent="0.25">
      <c r="A41263">
        <v>85229090110</v>
      </c>
      <c r="B41263" t="s">
        <v>13158</v>
      </c>
    </row>
    <row r="41264" spans="1:2" x14ac:dyDescent="0.25">
      <c r="A41264">
        <v>85229090120</v>
      </c>
      <c r="B41264" t="s">
        <v>13159</v>
      </c>
    </row>
    <row r="41265" spans="1:2" x14ac:dyDescent="0.25">
      <c r="A41265">
        <v>85229090130</v>
      </c>
      <c r="B41265" t="s">
        <v>13160</v>
      </c>
    </row>
    <row r="41266" spans="1:2" x14ac:dyDescent="0.25">
      <c r="A41266">
        <v>85229090140</v>
      </c>
      <c r="B41266" t="s">
        <v>13161</v>
      </c>
    </row>
    <row r="41267" spans="1:2" x14ac:dyDescent="0.25">
      <c r="A41267">
        <v>85229090190</v>
      </c>
      <c r="B41267" t="s">
        <v>10</v>
      </c>
    </row>
    <row r="41268" spans="1:2" x14ac:dyDescent="0.25">
      <c r="A41268">
        <v>85229090900</v>
      </c>
      <c r="B41268" t="s">
        <v>12037</v>
      </c>
    </row>
    <row r="41269" spans="1:2" x14ac:dyDescent="0.25">
      <c r="A41269">
        <v>8523</v>
      </c>
      <c r="B41269" t="s">
        <v>13162</v>
      </c>
    </row>
    <row r="41270" spans="1:2" x14ac:dyDescent="0.25">
      <c r="A41270">
        <v>85232</v>
      </c>
      <c r="B41270" t="s">
        <v>13163</v>
      </c>
    </row>
    <row r="41271" spans="1:2" x14ac:dyDescent="0.25">
      <c r="A41271">
        <v>852321</v>
      </c>
      <c r="B41271" t="e">
        <f>- - tarjetas Con banda magnetica incorporada</f>
        <v>#NAME?</v>
      </c>
    </row>
    <row r="41272" spans="1:2" x14ac:dyDescent="0.25">
      <c r="A41272">
        <v>85232110</v>
      </c>
      <c r="B41272" t="s">
        <v>13164</v>
      </c>
    </row>
    <row r="41273" spans="1:2" x14ac:dyDescent="0.25">
      <c r="A41273">
        <v>852321101</v>
      </c>
      <c r="B41273" t="s">
        <v>7612</v>
      </c>
    </row>
    <row r="41274" spans="1:2" x14ac:dyDescent="0.25">
      <c r="A41274">
        <v>8523211011</v>
      </c>
      <c r="B41274" t="s">
        <v>13165</v>
      </c>
    </row>
    <row r="41275" spans="1:2" x14ac:dyDescent="0.25">
      <c r="A41275">
        <v>85232110111</v>
      </c>
      <c r="B41275" t="s">
        <v>13166</v>
      </c>
    </row>
    <row r="41276" spans="1:2" x14ac:dyDescent="0.25">
      <c r="A41276">
        <v>85232110112</v>
      </c>
      <c r="B41276" t="s">
        <v>13167</v>
      </c>
    </row>
    <row r="41277" spans="1:2" x14ac:dyDescent="0.25">
      <c r="A41277">
        <v>85232110113</v>
      </c>
      <c r="B41277" t="s">
        <v>13168</v>
      </c>
    </row>
    <row r="41278" spans="1:2" x14ac:dyDescent="0.25">
      <c r="A41278">
        <v>85232110119</v>
      </c>
      <c r="B41278" t="s">
        <v>57</v>
      </c>
    </row>
    <row r="41279" spans="1:2" x14ac:dyDescent="0.25">
      <c r="A41279">
        <v>8523211012</v>
      </c>
      <c r="B41279" t="s">
        <v>13169</v>
      </c>
    </row>
    <row r="41280" spans="1:2" x14ac:dyDescent="0.25">
      <c r="A41280">
        <v>85232110121</v>
      </c>
      <c r="B41280" t="s">
        <v>13166</v>
      </c>
    </row>
    <row r="41281" spans="1:2" x14ac:dyDescent="0.25">
      <c r="A41281">
        <v>85232110122</v>
      </c>
      <c r="B41281" t="s">
        <v>13167</v>
      </c>
    </row>
    <row r="41282" spans="1:2" x14ac:dyDescent="0.25">
      <c r="A41282">
        <v>85232110123</v>
      </c>
      <c r="B41282" t="s">
        <v>13168</v>
      </c>
    </row>
    <row r="41283" spans="1:2" x14ac:dyDescent="0.25">
      <c r="A41283">
        <v>85232110129</v>
      </c>
      <c r="B41283" t="s">
        <v>57</v>
      </c>
    </row>
    <row r="41284" spans="1:2" x14ac:dyDescent="0.25">
      <c r="A41284">
        <v>8523211013</v>
      </c>
      <c r="B41284" t="s">
        <v>13170</v>
      </c>
    </row>
    <row r="41285" spans="1:2" x14ac:dyDescent="0.25">
      <c r="A41285">
        <v>85232110131</v>
      </c>
      <c r="B41285" t="s">
        <v>13166</v>
      </c>
    </row>
    <row r="41286" spans="1:2" x14ac:dyDescent="0.25">
      <c r="A41286">
        <v>85232110132</v>
      </c>
      <c r="B41286" t="s">
        <v>13167</v>
      </c>
    </row>
    <row r="41287" spans="1:2" x14ac:dyDescent="0.25">
      <c r="A41287">
        <v>85232110133</v>
      </c>
      <c r="B41287" t="s">
        <v>13168</v>
      </c>
    </row>
    <row r="41288" spans="1:2" x14ac:dyDescent="0.25">
      <c r="A41288">
        <v>85232110139</v>
      </c>
      <c r="B41288" t="s">
        <v>57</v>
      </c>
    </row>
    <row r="41289" spans="1:2" x14ac:dyDescent="0.25">
      <c r="A41289">
        <v>8523211019</v>
      </c>
      <c r="B41289" t="s">
        <v>57</v>
      </c>
    </row>
    <row r="41290" spans="1:2" x14ac:dyDescent="0.25">
      <c r="A41290">
        <v>85232110191</v>
      </c>
      <c r="B41290" t="s">
        <v>13166</v>
      </c>
    </row>
    <row r="41291" spans="1:2" x14ac:dyDescent="0.25">
      <c r="A41291">
        <v>85232110192</v>
      </c>
      <c r="B41291" t="s">
        <v>13167</v>
      </c>
    </row>
    <row r="41292" spans="1:2" x14ac:dyDescent="0.25">
      <c r="A41292">
        <v>85232110193</v>
      </c>
      <c r="B41292" t="s">
        <v>13168</v>
      </c>
    </row>
    <row r="41293" spans="1:2" x14ac:dyDescent="0.25">
      <c r="A41293">
        <v>85232110199</v>
      </c>
      <c r="B41293" t="s">
        <v>57</v>
      </c>
    </row>
    <row r="41294" spans="1:2" x14ac:dyDescent="0.25">
      <c r="A41294">
        <v>85232110900</v>
      </c>
      <c r="B41294" t="s">
        <v>57</v>
      </c>
    </row>
    <row r="41295" spans="1:2" x14ac:dyDescent="0.25">
      <c r="A41295">
        <v>85232120</v>
      </c>
      <c r="B41295" t="s">
        <v>13171</v>
      </c>
    </row>
    <row r="41296" spans="1:2" x14ac:dyDescent="0.25">
      <c r="A41296">
        <v>852321201</v>
      </c>
      <c r="B41296" t="s">
        <v>7612</v>
      </c>
    </row>
    <row r="41297" spans="1:2" x14ac:dyDescent="0.25">
      <c r="A41297">
        <v>8523212011</v>
      </c>
      <c r="B41297" t="s">
        <v>13165</v>
      </c>
    </row>
    <row r="41298" spans="1:2" x14ac:dyDescent="0.25">
      <c r="A41298">
        <v>85232120111</v>
      </c>
      <c r="B41298" t="s">
        <v>13166</v>
      </c>
    </row>
    <row r="41299" spans="1:2" x14ac:dyDescent="0.25">
      <c r="A41299">
        <v>85232120112</v>
      </c>
      <c r="B41299" t="s">
        <v>13167</v>
      </c>
    </row>
    <row r="41300" spans="1:2" x14ac:dyDescent="0.25">
      <c r="A41300">
        <v>85232120113</v>
      </c>
      <c r="B41300" t="s">
        <v>13168</v>
      </c>
    </row>
    <row r="41301" spans="1:2" x14ac:dyDescent="0.25">
      <c r="A41301">
        <v>85232120119</v>
      </c>
      <c r="B41301" t="s">
        <v>57</v>
      </c>
    </row>
    <row r="41302" spans="1:2" x14ac:dyDescent="0.25">
      <c r="A41302">
        <v>8523212012</v>
      </c>
      <c r="B41302" t="s">
        <v>13172</v>
      </c>
    </row>
    <row r="41303" spans="1:2" x14ac:dyDescent="0.25">
      <c r="A41303">
        <v>85232120121</v>
      </c>
      <c r="B41303" t="s">
        <v>13166</v>
      </c>
    </row>
    <row r="41304" spans="1:2" x14ac:dyDescent="0.25">
      <c r="A41304">
        <v>85232120122</v>
      </c>
      <c r="B41304" t="s">
        <v>13167</v>
      </c>
    </row>
    <row r="41305" spans="1:2" x14ac:dyDescent="0.25">
      <c r="A41305">
        <v>85232120123</v>
      </c>
      <c r="B41305" t="s">
        <v>13168</v>
      </c>
    </row>
    <row r="41306" spans="1:2" x14ac:dyDescent="0.25">
      <c r="A41306">
        <v>85232120129</v>
      </c>
      <c r="B41306" t="s">
        <v>57</v>
      </c>
    </row>
    <row r="41307" spans="1:2" x14ac:dyDescent="0.25">
      <c r="A41307">
        <v>8523212013</v>
      </c>
      <c r="B41307" t="s">
        <v>13170</v>
      </c>
    </row>
    <row r="41308" spans="1:2" x14ac:dyDescent="0.25">
      <c r="A41308">
        <v>85232120131</v>
      </c>
      <c r="B41308" t="s">
        <v>13166</v>
      </c>
    </row>
    <row r="41309" spans="1:2" x14ac:dyDescent="0.25">
      <c r="A41309">
        <v>85232120132</v>
      </c>
      <c r="B41309" t="s">
        <v>13167</v>
      </c>
    </row>
    <row r="41310" spans="1:2" x14ac:dyDescent="0.25">
      <c r="A41310">
        <v>85232120133</v>
      </c>
      <c r="B41310" t="s">
        <v>13168</v>
      </c>
    </row>
    <row r="41311" spans="1:2" x14ac:dyDescent="0.25">
      <c r="A41311">
        <v>85232120139</v>
      </c>
      <c r="B41311" t="s">
        <v>57</v>
      </c>
    </row>
    <row r="41312" spans="1:2" x14ac:dyDescent="0.25">
      <c r="A41312">
        <v>8523212019</v>
      </c>
      <c r="B41312" t="s">
        <v>57</v>
      </c>
    </row>
    <row r="41313" spans="1:2" x14ac:dyDescent="0.25">
      <c r="A41313">
        <v>85232120191</v>
      </c>
      <c r="B41313" t="s">
        <v>13166</v>
      </c>
    </row>
    <row r="41314" spans="1:2" x14ac:dyDescent="0.25">
      <c r="A41314">
        <v>85232120192</v>
      </c>
      <c r="B41314" t="s">
        <v>13167</v>
      </c>
    </row>
    <row r="41315" spans="1:2" x14ac:dyDescent="0.25">
      <c r="A41315">
        <v>85232120193</v>
      </c>
      <c r="B41315" t="s">
        <v>13168</v>
      </c>
    </row>
    <row r="41316" spans="1:2" x14ac:dyDescent="0.25">
      <c r="A41316">
        <v>85232120199</v>
      </c>
      <c r="B41316" t="s">
        <v>57</v>
      </c>
    </row>
    <row r="41317" spans="1:2" x14ac:dyDescent="0.25">
      <c r="A41317">
        <v>85232120900</v>
      </c>
      <c r="B41317" t="s">
        <v>57</v>
      </c>
    </row>
    <row r="41318" spans="1:2" x14ac:dyDescent="0.25">
      <c r="A41318">
        <v>852329</v>
      </c>
      <c r="B41318" t="e">
        <f>- - Los demas</f>
        <v>#NAME?</v>
      </c>
    </row>
    <row r="41319" spans="1:2" x14ac:dyDescent="0.25">
      <c r="A41319">
        <v>8523291</v>
      </c>
      <c r="B41319" t="s">
        <v>13173</v>
      </c>
    </row>
    <row r="41320" spans="1:2" x14ac:dyDescent="0.25">
      <c r="A41320">
        <v>85232911000</v>
      </c>
      <c r="B41320" t="s">
        <v>13174</v>
      </c>
    </row>
    <row r="41321" spans="1:2" x14ac:dyDescent="0.25">
      <c r="A41321">
        <v>85232919</v>
      </c>
      <c r="B41321" t="s">
        <v>10</v>
      </c>
    </row>
    <row r="41322" spans="1:2" x14ac:dyDescent="0.25">
      <c r="A41322">
        <v>85232919100</v>
      </c>
      <c r="B41322" t="s">
        <v>13175</v>
      </c>
    </row>
    <row r="41323" spans="1:2" x14ac:dyDescent="0.25">
      <c r="A41323">
        <v>852329192</v>
      </c>
      <c r="B41323" t="s">
        <v>13176</v>
      </c>
    </row>
    <row r="41324" spans="1:2" x14ac:dyDescent="0.25">
      <c r="A41324">
        <v>8523291921</v>
      </c>
      <c r="B41324" t="s">
        <v>13177</v>
      </c>
    </row>
    <row r="41325" spans="1:2" x14ac:dyDescent="0.25">
      <c r="A41325">
        <v>85232919211</v>
      </c>
      <c r="B41325" t="s">
        <v>13178</v>
      </c>
    </row>
    <row r="41326" spans="1:2" x14ac:dyDescent="0.25">
      <c r="A41326">
        <v>85232919212</v>
      </c>
      <c r="B41326" t="s">
        <v>13179</v>
      </c>
    </row>
    <row r="41327" spans="1:2" x14ac:dyDescent="0.25">
      <c r="A41327">
        <v>85232919213</v>
      </c>
      <c r="B41327" t="s">
        <v>13180</v>
      </c>
    </row>
    <row r="41328" spans="1:2" x14ac:dyDescent="0.25">
      <c r="A41328">
        <v>8523291922</v>
      </c>
      <c r="B41328" t="s">
        <v>13181</v>
      </c>
    </row>
    <row r="41329" spans="1:2" x14ac:dyDescent="0.25">
      <c r="A41329">
        <v>85232919221</v>
      </c>
      <c r="B41329" t="s">
        <v>13178</v>
      </c>
    </row>
    <row r="41330" spans="1:2" x14ac:dyDescent="0.25">
      <c r="A41330">
        <v>85232919222</v>
      </c>
      <c r="B41330" t="s">
        <v>13182</v>
      </c>
    </row>
    <row r="41331" spans="1:2" x14ac:dyDescent="0.25">
      <c r="A41331">
        <v>85232919223</v>
      </c>
      <c r="B41331" t="s">
        <v>13183</v>
      </c>
    </row>
    <row r="41332" spans="1:2" x14ac:dyDescent="0.25">
      <c r="A41332">
        <v>85232919224</v>
      </c>
      <c r="B41332" t="s">
        <v>13184</v>
      </c>
    </row>
    <row r="41333" spans="1:2" x14ac:dyDescent="0.25">
      <c r="A41333">
        <v>85232919225</v>
      </c>
      <c r="B41333" t="s">
        <v>13185</v>
      </c>
    </row>
    <row r="41334" spans="1:2" x14ac:dyDescent="0.25">
      <c r="A41334">
        <v>85232919900</v>
      </c>
      <c r="B41334" t="s">
        <v>10</v>
      </c>
    </row>
    <row r="41335" spans="1:2" x14ac:dyDescent="0.25">
      <c r="A41335">
        <v>8523292</v>
      </c>
      <c r="B41335" t="s">
        <v>13186</v>
      </c>
    </row>
    <row r="41336" spans="1:2" x14ac:dyDescent="0.25">
      <c r="A41336">
        <v>85232921000</v>
      </c>
      <c r="B41336" t="s">
        <v>13187</v>
      </c>
    </row>
    <row r="41337" spans="1:2" x14ac:dyDescent="0.25">
      <c r="A41337">
        <v>85232922000</v>
      </c>
      <c r="B41337" t="s">
        <v>13188</v>
      </c>
    </row>
    <row r="41338" spans="1:2" x14ac:dyDescent="0.25">
      <c r="A41338">
        <v>85232923000</v>
      </c>
      <c r="B41338" t="s">
        <v>13189</v>
      </c>
    </row>
    <row r="41339" spans="1:2" x14ac:dyDescent="0.25">
      <c r="A41339">
        <v>85232924</v>
      </c>
      <c r="B41339" t="s">
        <v>13190</v>
      </c>
    </row>
    <row r="41340" spans="1:2" x14ac:dyDescent="0.25">
      <c r="A41340">
        <v>852329241</v>
      </c>
      <c r="B41340" t="s">
        <v>13191</v>
      </c>
    </row>
    <row r="41341" spans="1:2" x14ac:dyDescent="0.25">
      <c r="A41341">
        <v>85232924110</v>
      </c>
      <c r="B41341" t="s">
        <v>13192</v>
      </c>
    </row>
    <row r="41342" spans="1:2" x14ac:dyDescent="0.25">
      <c r="A41342">
        <v>85232924120</v>
      </c>
      <c r="B41342" t="s">
        <v>13193</v>
      </c>
    </row>
    <row r="41343" spans="1:2" x14ac:dyDescent="0.25">
      <c r="A41343">
        <v>85232924130</v>
      </c>
      <c r="B41343" t="s">
        <v>13194</v>
      </c>
    </row>
    <row r="41344" spans="1:2" x14ac:dyDescent="0.25">
      <c r="A41344">
        <v>85232924140</v>
      </c>
      <c r="B41344" t="s">
        <v>13195</v>
      </c>
    </row>
    <row r="41345" spans="1:2" x14ac:dyDescent="0.25">
      <c r="A41345">
        <v>85232924190</v>
      </c>
      <c r="B41345" t="s">
        <v>57</v>
      </c>
    </row>
    <row r="41346" spans="1:2" x14ac:dyDescent="0.25">
      <c r="A41346">
        <v>852329242</v>
      </c>
      <c r="B41346" t="s">
        <v>13196</v>
      </c>
    </row>
    <row r="41347" spans="1:2" x14ac:dyDescent="0.25">
      <c r="A41347">
        <v>85232924210</v>
      </c>
      <c r="B41347" t="s">
        <v>13192</v>
      </c>
    </row>
    <row r="41348" spans="1:2" x14ac:dyDescent="0.25">
      <c r="A41348">
        <v>85232924220</v>
      </c>
      <c r="B41348" t="s">
        <v>13197</v>
      </c>
    </row>
    <row r="41349" spans="1:2" x14ac:dyDescent="0.25">
      <c r="A41349">
        <v>85232924230</v>
      </c>
      <c r="B41349" t="s">
        <v>13198</v>
      </c>
    </row>
    <row r="41350" spans="1:2" x14ac:dyDescent="0.25">
      <c r="A41350">
        <v>85232924290</v>
      </c>
      <c r="B41350" t="s">
        <v>57</v>
      </c>
    </row>
    <row r="41351" spans="1:2" x14ac:dyDescent="0.25">
      <c r="A41351">
        <v>852329243</v>
      </c>
      <c r="B41351" t="s">
        <v>13199</v>
      </c>
    </row>
    <row r="41352" spans="1:2" x14ac:dyDescent="0.25">
      <c r="A41352">
        <v>85232924310</v>
      </c>
      <c r="B41352" t="s">
        <v>13192</v>
      </c>
    </row>
    <row r="41353" spans="1:2" x14ac:dyDescent="0.25">
      <c r="A41353">
        <v>85232924320</v>
      </c>
      <c r="B41353" t="s">
        <v>13198</v>
      </c>
    </row>
    <row r="41354" spans="1:2" x14ac:dyDescent="0.25">
      <c r="A41354">
        <v>85232924330</v>
      </c>
      <c r="B41354" t="s">
        <v>13193</v>
      </c>
    </row>
    <row r="41355" spans="1:2" x14ac:dyDescent="0.25">
      <c r="A41355">
        <v>85232924340</v>
      </c>
      <c r="B41355" t="s">
        <v>13194</v>
      </c>
    </row>
    <row r="41356" spans="1:2" x14ac:dyDescent="0.25">
      <c r="A41356">
        <v>85232924390</v>
      </c>
      <c r="B41356" t="s">
        <v>57</v>
      </c>
    </row>
    <row r="41357" spans="1:2" x14ac:dyDescent="0.25">
      <c r="A41357">
        <v>852329249</v>
      </c>
      <c r="B41357" t="s">
        <v>57</v>
      </c>
    </row>
    <row r="41358" spans="1:2" x14ac:dyDescent="0.25">
      <c r="A41358">
        <v>85232924910</v>
      </c>
      <c r="B41358" t="s">
        <v>13192</v>
      </c>
    </row>
    <row r="41359" spans="1:2" x14ac:dyDescent="0.25">
      <c r="A41359">
        <v>85232924920</v>
      </c>
      <c r="B41359" t="s">
        <v>13197</v>
      </c>
    </row>
    <row r="41360" spans="1:2" x14ac:dyDescent="0.25">
      <c r="A41360">
        <v>85232924930</v>
      </c>
      <c r="B41360" t="s">
        <v>13198</v>
      </c>
    </row>
    <row r="41361" spans="1:2" x14ac:dyDescent="0.25">
      <c r="A41361">
        <v>85232924940</v>
      </c>
      <c r="B41361" t="s">
        <v>13193</v>
      </c>
    </row>
    <row r="41362" spans="1:2" x14ac:dyDescent="0.25">
      <c r="A41362">
        <v>85232924950</v>
      </c>
      <c r="B41362" t="s">
        <v>13194</v>
      </c>
    </row>
    <row r="41363" spans="1:2" x14ac:dyDescent="0.25">
      <c r="A41363">
        <v>85232924960</v>
      </c>
      <c r="B41363" t="s">
        <v>13195</v>
      </c>
    </row>
    <row r="41364" spans="1:2" x14ac:dyDescent="0.25">
      <c r="A41364">
        <v>85232924990</v>
      </c>
      <c r="B41364" t="s">
        <v>57</v>
      </c>
    </row>
    <row r="41365" spans="1:2" x14ac:dyDescent="0.25">
      <c r="A41365">
        <v>85232929000</v>
      </c>
      <c r="B41365" t="s">
        <v>57</v>
      </c>
    </row>
    <row r="41366" spans="1:2" x14ac:dyDescent="0.25">
      <c r="A41366">
        <v>8523293</v>
      </c>
      <c r="B41366" t="s">
        <v>13200</v>
      </c>
    </row>
    <row r="41367" spans="1:2" x14ac:dyDescent="0.25">
      <c r="A41367">
        <v>85232931</v>
      </c>
      <c r="B41367" t="s">
        <v>13201</v>
      </c>
    </row>
    <row r="41368" spans="1:2" x14ac:dyDescent="0.25">
      <c r="A41368">
        <v>852329311</v>
      </c>
      <c r="B41368" t="s">
        <v>13202</v>
      </c>
    </row>
    <row r="41369" spans="1:2" x14ac:dyDescent="0.25">
      <c r="A41369">
        <v>85232931110</v>
      </c>
      <c r="B41369" t="s">
        <v>13203</v>
      </c>
    </row>
    <row r="41370" spans="1:2" x14ac:dyDescent="0.25">
      <c r="A41370">
        <v>85232931120</v>
      </c>
      <c r="B41370" t="s">
        <v>13204</v>
      </c>
    </row>
    <row r="41371" spans="1:2" x14ac:dyDescent="0.25">
      <c r="A41371">
        <v>85232931130</v>
      </c>
      <c r="B41371" t="s">
        <v>13205</v>
      </c>
    </row>
    <row r="41372" spans="1:2" x14ac:dyDescent="0.25">
      <c r="A41372">
        <v>85232931900</v>
      </c>
      <c r="B41372" t="s">
        <v>57</v>
      </c>
    </row>
    <row r="41373" spans="1:2" x14ac:dyDescent="0.25">
      <c r="A41373">
        <v>85232932</v>
      </c>
      <c r="B41373" t="s">
        <v>13206</v>
      </c>
    </row>
    <row r="41374" spans="1:2" x14ac:dyDescent="0.25">
      <c r="A41374">
        <v>852329321</v>
      </c>
      <c r="B41374" t="s">
        <v>13207</v>
      </c>
    </row>
    <row r="41375" spans="1:2" x14ac:dyDescent="0.25">
      <c r="A41375">
        <v>85232932110</v>
      </c>
      <c r="B41375" t="s">
        <v>13208</v>
      </c>
    </row>
    <row r="41376" spans="1:2" x14ac:dyDescent="0.25">
      <c r="A41376">
        <v>8523293213</v>
      </c>
      <c r="B41376" t="s">
        <v>13209</v>
      </c>
    </row>
    <row r="41377" spans="1:2" x14ac:dyDescent="0.25">
      <c r="A41377">
        <v>85232932131</v>
      </c>
      <c r="B41377" t="s">
        <v>13210</v>
      </c>
    </row>
    <row r="41378" spans="1:2" x14ac:dyDescent="0.25">
      <c r="A41378">
        <v>85232932132</v>
      </c>
      <c r="B41378" t="s">
        <v>13184</v>
      </c>
    </row>
    <row r="41379" spans="1:2" x14ac:dyDescent="0.25">
      <c r="A41379">
        <v>85232932133</v>
      </c>
      <c r="B41379" t="s">
        <v>13185</v>
      </c>
    </row>
    <row r="41380" spans="1:2" x14ac:dyDescent="0.25">
      <c r="A41380">
        <v>8523293214</v>
      </c>
      <c r="B41380" t="s">
        <v>13211</v>
      </c>
    </row>
    <row r="41381" spans="1:2" x14ac:dyDescent="0.25">
      <c r="A41381">
        <v>85232932141</v>
      </c>
      <c r="B41381" t="s">
        <v>13210</v>
      </c>
    </row>
    <row r="41382" spans="1:2" x14ac:dyDescent="0.25">
      <c r="A41382">
        <v>85232932142</v>
      </c>
      <c r="B41382" t="s">
        <v>13184</v>
      </c>
    </row>
    <row r="41383" spans="1:2" x14ac:dyDescent="0.25">
      <c r="A41383">
        <v>85232932143</v>
      </c>
      <c r="B41383" t="s">
        <v>13185</v>
      </c>
    </row>
    <row r="41384" spans="1:2" x14ac:dyDescent="0.25">
      <c r="A41384">
        <v>852329329</v>
      </c>
      <c r="B41384" t="s">
        <v>57</v>
      </c>
    </row>
    <row r="41385" spans="1:2" x14ac:dyDescent="0.25">
      <c r="A41385">
        <v>85232932910</v>
      </c>
      <c r="B41385" t="s">
        <v>13208</v>
      </c>
    </row>
    <row r="41386" spans="1:2" x14ac:dyDescent="0.25">
      <c r="A41386">
        <v>8523293293</v>
      </c>
      <c r="B41386" t="s">
        <v>13212</v>
      </c>
    </row>
    <row r="41387" spans="1:2" x14ac:dyDescent="0.25">
      <c r="A41387">
        <v>85232932931</v>
      </c>
      <c r="B41387" t="s">
        <v>13210</v>
      </c>
    </row>
    <row r="41388" spans="1:2" x14ac:dyDescent="0.25">
      <c r="A41388">
        <v>85232932932</v>
      </c>
      <c r="B41388" t="s">
        <v>13184</v>
      </c>
    </row>
    <row r="41389" spans="1:2" x14ac:dyDescent="0.25">
      <c r="A41389">
        <v>85232932933</v>
      </c>
      <c r="B41389" t="s">
        <v>13185</v>
      </c>
    </row>
    <row r="41390" spans="1:2" x14ac:dyDescent="0.25">
      <c r="A41390">
        <v>85232933</v>
      </c>
      <c r="B41390" t="s">
        <v>13213</v>
      </c>
    </row>
    <row r="41391" spans="1:2" x14ac:dyDescent="0.25">
      <c r="A41391">
        <v>852329331</v>
      </c>
      <c r="B41391" t="s">
        <v>13214</v>
      </c>
    </row>
    <row r="41392" spans="1:2" x14ac:dyDescent="0.25">
      <c r="A41392">
        <v>85232933110</v>
      </c>
      <c r="B41392" t="s">
        <v>13208</v>
      </c>
    </row>
    <row r="41393" spans="1:2" x14ac:dyDescent="0.25">
      <c r="A41393">
        <v>8523293313</v>
      </c>
      <c r="B41393" t="s">
        <v>13209</v>
      </c>
    </row>
    <row r="41394" spans="1:2" x14ac:dyDescent="0.25">
      <c r="A41394">
        <v>85232933131</v>
      </c>
      <c r="B41394" t="s">
        <v>13210</v>
      </c>
    </row>
    <row r="41395" spans="1:2" x14ac:dyDescent="0.25">
      <c r="A41395">
        <v>85232933132</v>
      </c>
      <c r="B41395" t="s">
        <v>13184</v>
      </c>
    </row>
    <row r="41396" spans="1:2" x14ac:dyDescent="0.25">
      <c r="A41396">
        <v>85232933133</v>
      </c>
      <c r="B41396" t="s">
        <v>13185</v>
      </c>
    </row>
    <row r="41397" spans="1:2" x14ac:dyDescent="0.25">
      <c r="A41397">
        <v>8523293314</v>
      </c>
      <c r="B41397" t="s">
        <v>13211</v>
      </c>
    </row>
    <row r="41398" spans="1:2" x14ac:dyDescent="0.25">
      <c r="A41398">
        <v>85232933141</v>
      </c>
      <c r="B41398" t="s">
        <v>13210</v>
      </c>
    </row>
    <row r="41399" spans="1:2" x14ac:dyDescent="0.25">
      <c r="A41399">
        <v>85232933142</v>
      </c>
      <c r="B41399" t="s">
        <v>13184</v>
      </c>
    </row>
    <row r="41400" spans="1:2" x14ac:dyDescent="0.25">
      <c r="A41400">
        <v>85232933143</v>
      </c>
      <c r="B41400" t="s">
        <v>13185</v>
      </c>
    </row>
    <row r="41401" spans="1:2" x14ac:dyDescent="0.25">
      <c r="A41401">
        <v>852329332</v>
      </c>
      <c r="B41401" t="s">
        <v>13215</v>
      </c>
    </row>
    <row r="41402" spans="1:2" x14ac:dyDescent="0.25">
      <c r="A41402">
        <v>8523293321</v>
      </c>
      <c r="B41402" t="s">
        <v>13208</v>
      </c>
    </row>
    <row r="41403" spans="1:2" x14ac:dyDescent="0.25">
      <c r="A41403">
        <v>85232933211</v>
      </c>
      <c r="B41403" t="s">
        <v>5983</v>
      </c>
    </row>
    <row r="41404" spans="1:2" x14ac:dyDescent="0.25">
      <c r="A41404">
        <v>85232933219</v>
      </c>
      <c r="B41404" t="s">
        <v>57</v>
      </c>
    </row>
    <row r="41405" spans="1:2" x14ac:dyDescent="0.25">
      <c r="A41405">
        <v>8523293323</v>
      </c>
      <c r="B41405" t="s">
        <v>13216</v>
      </c>
    </row>
    <row r="41406" spans="1:2" x14ac:dyDescent="0.25">
      <c r="A41406">
        <v>85232933231</v>
      </c>
      <c r="B41406" t="s">
        <v>13210</v>
      </c>
    </row>
    <row r="41407" spans="1:2" x14ac:dyDescent="0.25">
      <c r="A41407">
        <v>85232933232</v>
      </c>
      <c r="B41407" t="s">
        <v>13184</v>
      </c>
    </row>
    <row r="41408" spans="1:2" x14ac:dyDescent="0.25">
      <c r="A41408">
        <v>85232933233</v>
      </c>
      <c r="B41408" t="s">
        <v>13185</v>
      </c>
    </row>
    <row r="41409" spans="1:2" x14ac:dyDescent="0.25">
      <c r="A41409">
        <v>8523293324</v>
      </c>
      <c r="B41409" t="s">
        <v>13217</v>
      </c>
    </row>
    <row r="41410" spans="1:2" x14ac:dyDescent="0.25">
      <c r="A41410">
        <v>85232933241</v>
      </c>
      <c r="B41410" t="s">
        <v>13210</v>
      </c>
    </row>
    <row r="41411" spans="1:2" x14ac:dyDescent="0.25">
      <c r="A41411">
        <v>85232933242</v>
      </c>
      <c r="B41411" t="s">
        <v>13184</v>
      </c>
    </row>
    <row r="41412" spans="1:2" x14ac:dyDescent="0.25">
      <c r="A41412">
        <v>85232933243</v>
      </c>
      <c r="B41412" t="s">
        <v>13185</v>
      </c>
    </row>
    <row r="41413" spans="1:2" x14ac:dyDescent="0.25">
      <c r="A41413">
        <v>852329339</v>
      </c>
      <c r="B41413" t="s">
        <v>57</v>
      </c>
    </row>
    <row r="41414" spans="1:2" x14ac:dyDescent="0.25">
      <c r="A41414">
        <v>85232933910</v>
      </c>
      <c r="B41414" t="s">
        <v>5983</v>
      </c>
    </row>
    <row r="41415" spans="1:2" x14ac:dyDescent="0.25">
      <c r="A41415">
        <v>85232933990</v>
      </c>
      <c r="B41415" t="s">
        <v>57</v>
      </c>
    </row>
    <row r="41416" spans="1:2" x14ac:dyDescent="0.25">
      <c r="A41416">
        <v>85232939000</v>
      </c>
      <c r="B41416" t="s">
        <v>57</v>
      </c>
    </row>
    <row r="41417" spans="1:2" x14ac:dyDescent="0.25">
      <c r="A41417">
        <v>85232990000</v>
      </c>
      <c r="B41417" t="s">
        <v>10</v>
      </c>
    </row>
    <row r="41418" spans="1:2" x14ac:dyDescent="0.25">
      <c r="A41418">
        <v>85234</v>
      </c>
      <c r="B41418" t="s">
        <v>13218</v>
      </c>
    </row>
    <row r="41419" spans="1:2" x14ac:dyDescent="0.25">
      <c r="A41419">
        <v>852341</v>
      </c>
      <c r="B41419" t="e">
        <f>- - sin grabar</f>
        <v>#NAME?</v>
      </c>
    </row>
    <row r="41420" spans="1:2" x14ac:dyDescent="0.25">
      <c r="A41420">
        <v>85234110</v>
      </c>
      <c r="B41420" t="s">
        <v>13219</v>
      </c>
    </row>
    <row r="41421" spans="1:2" x14ac:dyDescent="0.25">
      <c r="A41421">
        <v>85234110100</v>
      </c>
      <c r="B41421" t="s">
        <v>13220</v>
      </c>
    </row>
    <row r="41422" spans="1:2" x14ac:dyDescent="0.25">
      <c r="A41422">
        <v>852341109</v>
      </c>
      <c r="B41422" t="s">
        <v>10</v>
      </c>
    </row>
    <row r="41423" spans="1:2" x14ac:dyDescent="0.25">
      <c r="A41423">
        <v>85234110910</v>
      </c>
      <c r="B41423" t="s">
        <v>13221</v>
      </c>
    </row>
    <row r="41424" spans="1:2" x14ac:dyDescent="0.25">
      <c r="A41424">
        <v>85234110990</v>
      </c>
      <c r="B41424" t="s">
        <v>10</v>
      </c>
    </row>
    <row r="41425" spans="1:2" x14ac:dyDescent="0.25">
      <c r="A41425">
        <v>85234190000</v>
      </c>
      <c r="B41425" t="s">
        <v>10</v>
      </c>
    </row>
    <row r="41426" spans="1:2" x14ac:dyDescent="0.25">
      <c r="A41426">
        <v>852349</v>
      </c>
      <c r="B41426" t="e">
        <f>- - Los demas</f>
        <v>#NAME?</v>
      </c>
    </row>
    <row r="41427" spans="1:2" x14ac:dyDescent="0.25">
      <c r="A41427">
        <v>85234910</v>
      </c>
      <c r="B41427" t="s">
        <v>13222</v>
      </c>
    </row>
    <row r="41428" spans="1:2" x14ac:dyDescent="0.25">
      <c r="A41428">
        <v>85234910100</v>
      </c>
      <c r="B41428" t="s">
        <v>13177</v>
      </c>
    </row>
    <row r="41429" spans="1:2" x14ac:dyDescent="0.25">
      <c r="A41429">
        <v>852349102</v>
      </c>
      <c r="B41429" t="s">
        <v>13181</v>
      </c>
    </row>
    <row r="41430" spans="1:2" x14ac:dyDescent="0.25">
      <c r="A41430">
        <v>85234910210</v>
      </c>
      <c r="B41430" t="s">
        <v>13223</v>
      </c>
    </row>
    <row r="41431" spans="1:2" x14ac:dyDescent="0.25">
      <c r="A41431">
        <v>85234910220</v>
      </c>
      <c r="B41431" t="s">
        <v>13224</v>
      </c>
    </row>
    <row r="41432" spans="1:2" x14ac:dyDescent="0.25">
      <c r="A41432">
        <v>85234910230</v>
      </c>
      <c r="B41432" t="s">
        <v>13184</v>
      </c>
    </row>
    <row r="41433" spans="1:2" x14ac:dyDescent="0.25">
      <c r="A41433">
        <v>85234910240</v>
      </c>
      <c r="B41433" t="s">
        <v>13185</v>
      </c>
    </row>
    <row r="41434" spans="1:2" x14ac:dyDescent="0.25">
      <c r="A41434">
        <v>85234920</v>
      </c>
      <c r="B41434" t="s">
        <v>13201</v>
      </c>
    </row>
    <row r="41435" spans="1:2" x14ac:dyDescent="0.25">
      <c r="A41435">
        <v>852349201</v>
      </c>
      <c r="B41435" t="s">
        <v>13207</v>
      </c>
    </row>
    <row r="41436" spans="1:2" x14ac:dyDescent="0.25">
      <c r="A41436">
        <v>8523492011</v>
      </c>
      <c r="B41436" t="s">
        <v>13177</v>
      </c>
    </row>
    <row r="41437" spans="1:2" x14ac:dyDescent="0.25">
      <c r="A41437">
        <v>85234920111</v>
      </c>
      <c r="B41437" t="s">
        <v>13225</v>
      </c>
    </row>
    <row r="41438" spans="1:2" x14ac:dyDescent="0.25">
      <c r="A41438">
        <v>85234920112</v>
      </c>
      <c r="B41438" t="s">
        <v>13226</v>
      </c>
    </row>
    <row r="41439" spans="1:2" x14ac:dyDescent="0.25">
      <c r="A41439">
        <v>85234920113</v>
      </c>
      <c r="B41439" t="s">
        <v>13227</v>
      </c>
    </row>
    <row r="41440" spans="1:2" x14ac:dyDescent="0.25">
      <c r="A41440">
        <v>85234920119</v>
      </c>
      <c r="B41440" t="s">
        <v>10</v>
      </c>
    </row>
    <row r="41441" spans="1:2" x14ac:dyDescent="0.25">
      <c r="A41441">
        <v>8523492012</v>
      </c>
      <c r="B41441" t="s">
        <v>13228</v>
      </c>
    </row>
    <row r="41442" spans="1:2" x14ac:dyDescent="0.25">
      <c r="A41442">
        <v>85234920121</v>
      </c>
      <c r="B41442" t="s">
        <v>13229</v>
      </c>
    </row>
    <row r="41443" spans="1:2" x14ac:dyDescent="0.25">
      <c r="A41443">
        <v>85234920122</v>
      </c>
      <c r="B41443" t="s">
        <v>13226</v>
      </c>
    </row>
    <row r="41444" spans="1:2" x14ac:dyDescent="0.25">
      <c r="A41444">
        <v>85234920123</v>
      </c>
      <c r="B41444" t="s">
        <v>13227</v>
      </c>
    </row>
    <row r="41445" spans="1:2" x14ac:dyDescent="0.25">
      <c r="A41445">
        <v>85234920124</v>
      </c>
      <c r="B41445" t="s">
        <v>13230</v>
      </c>
    </row>
    <row r="41446" spans="1:2" x14ac:dyDescent="0.25">
      <c r="A41446">
        <v>85234920129</v>
      </c>
      <c r="B41446" t="s">
        <v>10</v>
      </c>
    </row>
    <row r="41447" spans="1:2" x14ac:dyDescent="0.25">
      <c r="A41447">
        <v>8523492013</v>
      </c>
      <c r="B41447" t="s">
        <v>13231</v>
      </c>
    </row>
    <row r="41448" spans="1:2" x14ac:dyDescent="0.25">
      <c r="A41448">
        <v>85234920131</v>
      </c>
      <c r="B41448" t="s">
        <v>13225</v>
      </c>
    </row>
    <row r="41449" spans="1:2" x14ac:dyDescent="0.25">
      <c r="A41449">
        <v>85234920132</v>
      </c>
      <c r="B41449" t="s">
        <v>13226</v>
      </c>
    </row>
    <row r="41450" spans="1:2" x14ac:dyDescent="0.25">
      <c r="A41450">
        <v>85234920133</v>
      </c>
      <c r="B41450" t="s">
        <v>13227</v>
      </c>
    </row>
    <row r="41451" spans="1:2" x14ac:dyDescent="0.25">
      <c r="A41451">
        <v>85234920134</v>
      </c>
      <c r="B41451" t="s">
        <v>13232</v>
      </c>
    </row>
    <row r="41452" spans="1:2" x14ac:dyDescent="0.25">
      <c r="A41452">
        <v>85234920135</v>
      </c>
      <c r="B41452" t="s">
        <v>13185</v>
      </c>
    </row>
    <row r="41453" spans="1:2" x14ac:dyDescent="0.25">
      <c r="A41453">
        <v>85234920139</v>
      </c>
      <c r="B41453" t="s">
        <v>10</v>
      </c>
    </row>
    <row r="41454" spans="1:2" x14ac:dyDescent="0.25">
      <c r="A41454">
        <v>85234920190</v>
      </c>
      <c r="B41454" t="s">
        <v>10</v>
      </c>
    </row>
    <row r="41455" spans="1:2" x14ac:dyDescent="0.25">
      <c r="A41455">
        <v>852349209</v>
      </c>
      <c r="B41455" t="s">
        <v>13233</v>
      </c>
    </row>
    <row r="41456" spans="1:2" x14ac:dyDescent="0.25">
      <c r="A41456">
        <v>85234920910</v>
      </c>
      <c r="B41456" t="s">
        <v>13229</v>
      </c>
    </row>
    <row r="41457" spans="1:2" x14ac:dyDescent="0.25">
      <c r="A41457">
        <v>85234920920</v>
      </c>
      <c r="B41457" t="s">
        <v>13226</v>
      </c>
    </row>
    <row r="41458" spans="1:2" x14ac:dyDescent="0.25">
      <c r="A41458">
        <v>85234920930</v>
      </c>
      <c r="B41458" t="s">
        <v>13227</v>
      </c>
    </row>
    <row r="41459" spans="1:2" x14ac:dyDescent="0.25">
      <c r="A41459">
        <v>85234990</v>
      </c>
      <c r="B41459" t="s">
        <v>10</v>
      </c>
    </row>
    <row r="41460" spans="1:2" x14ac:dyDescent="0.25">
      <c r="A41460">
        <v>852349901</v>
      </c>
      <c r="B41460" t="s">
        <v>13234</v>
      </c>
    </row>
    <row r="41461" spans="1:2" x14ac:dyDescent="0.25">
      <c r="A41461">
        <v>8523499011</v>
      </c>
      <c r="B41461" t="s">
        <v>13177</v>
      </c>
    </row>
    <row r="41462" spans="1:2" x14ac:dyDescent="0.25">
      <c r="A41462">
        <v>85234990111</v>
      </c>
      <c r="B41462" t="s">
        <v>13235</v>
      </c>
    </row>
    <row r="41463" spans="1:2" x14ac:dyDescent="0.25">
      <c r="A41463">
        <v>85234990112</v>
      </c>
      <c r="B41463" t="s">
        <v>13226</v>
      </c>
    </row>
    <row r="41464" spans="1:2" x14ac:dyDescent="0.25">
      <c r="A41464">
        <v>85234990113</v>
      </c>
      <c r="B41464" t="s">
        <v>13236</v>
      </c>
    </row>
    <row r="41465" spans="1:2" x14ac:dyDescent="0.25">
      <c r="A41465">
        <v>8523499012</v>
      </c>
      <c r="B41465" t="s">
        <v>13237</v>
      </c>
    </row>
    <row r="41466" spans="1:2" x14ac:dyDescent="0.25">
      <c r="A41466">
        <v>85234990121</v>
      </c>
      <c r="B41466" t="s">
        <v>13235</v>
      </c>
    </row>
    <row r="41467" spans="1:2" x14ac:dyDescent="0.25">
      <c r="A41467">
        <v>85234990122</v>
      </c>
      <c r="B41467" t="s">
        <v>13238</v>
      </c>
    </row>
    <row r="41468" spans="1:2" x14ac:dyDescent="0.25">
      <c r="A41468">
        <v>85234990123</v>
      </c>
      <c r="B41468" t="s">
        <v>13236</v>
      </c>
    </row>
    <row r="41469" spans="1:2" x14ac:dyDescent="0.25">
      <c r="A41469">
        <v>85234990124</v>
      </c>
      <c r="B41469" t="s">
        <v>13230</v>
      </c>
    </row>
    <row r="41470" spans="1:2" x14ac:dyDescent="0.25">
      <c r="A41470">
        <v>85234990129</v>
      </c>
      <c r="B41470" t="s">
        <v>10</v>
      </c>
    </row>
    <row r="41471" spans="1:2" x14ac:dyDescent="0.25">
      <c r="A41471">
        <v>8523499013</v>
      </c>
      <c r="B41471" t="s">
        <v>13231</v>
      </c>
    </row>
    <row r="41472" spans="1:2" x14ac:dyDescent="0.25">
      <c r="A41472">
        <v>85234990131</v>
      </c>
      <c r="B41472" t="s">
        <v>13239</v>
      </c>
    </row>
    <row r="41473" spans="1:2" x14ac:dyDescent="0.25">
      <c r="A41473">
        <v>85234990132</v>
      </c>
      <c r="B41473" t="s">
        <v>13240</v>
      </c>
    </row>
    <row r="41474" spans="1:2" x14ac:dyDescent="0.25">
      <c r="A41474">
        <v>85234990133</v>
      </c>
      <c r="B41474" t="s">
        <v>13241</v>
      </c>
    </row>
    <row r="41475" spans="1:2" x14ac:dyDescent="0.25">
      <c r="A41475">
        <v>85234990134</v>
      </c>
      <c r="B41475" t="s">
        <v>13184</v>
      </c>
    </row>
    <row r="41476" spans="1:2" x14ac:dyDescent="0.25">
      <c r="A41476">
        <v>85234990135</v>
      </c>
      <c r="B41476" t="s">
        <v>13185</v>
      </c>
    </row>
    <row r="41477" spans="1:2" x14ac:dyDescent="0.25">
      <c r="A41477">
        <v>85234990139</v>
      </c>
      <c r="B41477" t="s">
        <v>10</v>
      </c>
    </row>
    <row r="41478" spans="1:2" x14ac:dyDescent="0.25">
      <c r="A41478">
        <v>852349902</v>
      </c>
      <c r="B41478" t="s">
        <v>13242</v>
      </c>
    </row>
    <row r="41479" spans="1:2" x14ac:dyDescent="0.25">
      <c r="A41479">
        <v>8523499021</v>
      </c>
      <c r="B41479" t="s">
        <v>13177</v>
      </c>
    </row>
    <row r="41480" spans="1:2" x14ac:dyDescent="0.25">
      <c r="A41480">
        <v>85234990211</v>
      </c>
      <c r="B41480" t="s">
        <v>13239</v>
      </c>
    </row>
    <row r="41481" spans="1:2" x14ac:dyDescent="0.25">
      <c r="A41481">
        <v>85234990212</v>
      </c>
      <c r="B41481" t="s">
        <v>13243</v>
      </c>
    </row>
    <row r="41482" spans="1:2" x14ac:dyDescent="0.25">
      <c r="A41482">
        <v>85234990213</v>
      </c>
      <c r="B41482" t="s">
        <v>13241</v>
      </c>
    </row>
    <row r="41483" spans="1:2" x14ac:dyDescent="0.25">
      <c r="A41483">
        <v>8523499022</v>
      </c>
      <c r="B41483" t="s">
        <v>13181</v>
      </c>
    </row>
    <row r="41484" spans="1:2" x14ac:dyDescent="0.25">
      <c r="A41484">
        <v>85234990221</v>
      </c>
      <c r="B41484" t="s">
        <v>13239</v>
      </c>
    </row>
    <row r="41485" spans="1:2" x14ac:dyDescent="0.25">
      <c r="A41485">
        <v>85234990222</v>
      </c>
      <c r="B41485" t="s">
        <v>13243</v>
      </c>
    </row>
    <row r="41486" spans="1:2" x14ac:dyDescent="0.25">
      <c r="A41486">
        <v>85234990223</v>
      </c>
      <c r="B41486" t="s">
        <v>13241</v>
      </c>
    </row>
    <row r="41487" spans="1:2" x14ac:dyDescent="0.25">
      <c r="A41487">
        <v>85234990224</v>
      </c>
      <c r="B41487" t="s">
        <v>13184</v>
      </c>
    </row>
    <row r="41488" spans="1:2" x14ac:dyDescent="0.25">
      <c r="A41488">
        <v>85234990225</v>
      </c>
      <c r="B41488" t="s">
        <v>13185</v>
      </c>
    </row>
    <row r="41489" spans="1:2" x14ac:dyDescent="0.25">
      <c r="A41489">
        <v>85234990300</v>
      </c>
      <c r="B41489" t="s">
        <v>13244</v>
      </c>
    </row>
    <row r="41490" spans="1:2" x14ac:dyDescent="0.25">
      <c r="A41490">
        <v>852349904</v>
      </c>
      <c r="B41490" t="s">
        <v>13245</v>
      </c>
    </row>
    <row r="41491" spans="1:2" x14ac:dyDescent="0.25">
      <c r="A41491">
        <v>85234990410</v>
      </c>
      <c r="B41491" t="s">
        <v>13246</v>
      </c>
    </row>
    <row r="41492" spans="1:2" x14ac:dyDescent="0.25">
      <c r="A41492">
        <v>8523499042</v>
      </c>
      <c r="B41492" t="s">
        <v>13247</v>
      </c>
    </row>
    <row r="41493" spans="1:2" x14ac:dyDescent="0.25">
      <c r="A41493">
        <v>85234990421</v>
      </c>
      <c r="B41493" t="s">
        <v>5983</v>
      </c>
    </row>
    <row r="41494" spans="1:2" x14ac:dyDescent="0.25">
      <c r="A41494">
        <v>85234990429</v>
      </c>
      <c r="B41494" t="s">
        <v>57</v>
      </c>
    </row>
    <row r="41495" spans="1:2" x14ac:dyDescent="0.25">
      <c r="A41495">
        <v>85235</v>
      </c>
      <c r="B41495" t="s">
        <v>13248</v>
      </c>
    </row>
    <row r="41496" spans="1:2" x14ac:dyDescent="0.25">
      <c r="A41496">
        <v>852351</v>
      </c>
      <c r="B41496" t="e">
        <f>- - Dispositivos de almacenamiento permanente de datos a base de semiconductores</f>
        <v>#NAME?</v>
      </c>
    </row>
    <row r="41497" spans="1:2" x14ac:dyDescent="0.25">
      <c r="A41497">
        <v>85235110000</v>
      </c>
      <c r="B41497" t="s">
        <v>13249</v>
      </c>
    </row>
    <row r="41498" spans="1:2" x14ac:dyDescent="0.25">
      <c r="A41498">
        <v>85235190</v>
      </c>
      <c r="B41498" t="s">
        <v>10</v>
      </c>
    </row>
    <row r="41499" spans="1:2" x14ac:dyDescent="0.25">
      <c r="A41499">
        <v>85235190100</v>
      </c>
      <c r="B41499" t="s">
        <v>13250</v>
      </c>
    </row>
    <row r="41500" spans="1:2" x14ac:dyDescent="0.25">
      <c r="A41500">
        <v>85235190900</v>
      </c>
      <c r="B41500" t="s">
        <v>10</v>
      </c>
    </row>
    <row r="41501" spans="1:2" x14ac:dyDescent="0.25">
      <c r="A41501">
        <v>85235200</v>
      </c>
      <c r="B41501" t="s">
        <v>13251</v>
      </c>
    </row>
    <row r="41502" spans="1:2" x14ac:dyDescent="0.25">
      <c r="A41502">
        <v>852352001</v>
      </c>
      <c r="B41502" t="s">
        <v>13252</v>
      </c>
    </row>
    <row r="41503" spans="1:2" x14ac:dyDescent="0.25">
      <c r="A41503">
        <v>8523520011</v>
      </c>
      <c r="B41503" t="s">
        <v>13165</v>
      </c>
    </row>
    <row r="41504" spans="1:2" x14ac:dyDescent="0.25">
      <c r="A41504">
        <v>85235200111</v>
      </c>
      <c r="B41504" t="s">
        <v>13166</v>
      </c>
    </row>
    <row r="41505" spans="1:2" x14ac:dyDescent="0.25">
      <c r="A41505">
        <v>85235200112</v>
      </c>
      <c r="B41505" t="s">
        <v>13167</v>
      </c>
    </row>
    <row r="41506" spans="1:2" x14ac:dyDescent="0.25">
      <c r="A41506">
        <v>85235200113</v>
      </c>
      <c r="B41506" t="s">
        <v>13168</v>
      </c>
    </row>
    <row r="41507" spans="1:2" x14ac:dyDescent="0.25">
      <c r="A41507">
        <v>85235200119</v>
      </c>
      <c r="B41507" t="s">
        <v>57</v>
      </c>
    </row>
    <row r="41508" spans="1:2" x14ac:dyDescent="0.25">
      <c r="A41508">
        <v>8523520012</v>
      </c>
      <c r="B41508" t="s">
        <v>13169</v>
      </c>
    </row>
    <row r="41509" spans="1:2" x14ac:dyDescent="0.25">
      <c r="A41509">
        <v>85235200121</v>
      </c>
      <c r="B41509" t="s">
        <v>13166</v>
      </c>
    </row>
    <row r="41510" spans="1:2" x14ac:dyDescent="0.25">
      <c r="A41510">
        <v>85235200122</v>
      </c>
      <c r="B41510" t="s">
        <v>13167</v>
      </c>
    </row>
    <row r="41511" spans="1:2" x14ac:dyDescent="0.25">
      <c r="A41511">
        <v>85235200123</v>
      </c>
      <c r="B41511" t="s">
        <v>13168</v>
      </c>
    </row>
    <row r="41512" spans="1:2" x14ac:dyDescent="0.25">
      <c r="A41512">
        <v>85235200129</v>
      </c>
      <c r="B41512" t="s">
        <v>57</v>
      </c>
    </row>
    <row r="41513" spans="1:2" x14ac:dyDescent="0.25">
      <c r="A41513">
        <v>8523520013</v>
      </c>
      <c r="B41513" t="s">
        <v>13170</v>
      </c>
    </row>
    <row r="41514" spans="1:2" x14ac:dyDescent="0.25">
      <c r="A41514">
        <v>85235200131</v>
      </c>
      <c r="B41514" t="s">
        <v>13166</v>
      </c>
    </row>
    <row r="41515" spans="1:2" x14ac:dyDescent="0.25">
      <c r="A41515">
        <v>85235200132</v>
      </c>
      <c r="B41515" t="s">
        <v>13167</v>
      </c>
    </row>
    <row r="41516" spans="1:2" x14ac:dyDescent="0.25">
      <c r="A41516">
        <v>85235200133</v>
      </c>
      <c r="B41516" t="s">
        <v>13168</v>
      </c>
    </row>
    <row r="41517" spans="1:2" x14ac:dyDescent="0.25">
      <c r="A41517">
        <v>85235200139</v>
      </c>
      <c r="B41517" t="s">
        <v>57</v>
      </c>
    </row>
    <row r="41518" spans="1:2" x14ac:dyDescent="0.25">
      <c r="A41518">
        <v>8523520019</v>
      </c>
      <c r="B41518" t="s">
        <v>57</v>
      </c>
    </row>
    <row r="41519" spans="1:2" x14ac:dyDescent="0.25">
      <c r="A41519">
        <v>85235200191</v>
      </c>
      <c r="B41519" t="s">
        <v>13166</v>
      </c>
    </row>
    <row r="41520" spans="1:2" x14ac:dyDescent="0.25">
      <c r="A41520">
        <v>85235200192</v>
      </c>
      <c r="B41520" t="s">
        <v>13167</v>
      </c>
    </row>
    <row r="41521" spans="1:2" x14ac:dyDescent="0.25">
      <c r="A41521">
        <v>85235200193</v>
      </c>
      <c r="B41521" t="s">
        <v>13168</v>
      </c>
    </row>
    <row r="41522" spans="1:2" x14ac:dyDescent="0.25">
      <c r="A41522">
        <v>85235200199</v>
      </c>
      <c r="B41522" t="s">
        <v>57</v>
      </c>
    </row>
    <row r="41523" spans="1:2" x14ac:dyDescent="0.25">
      <c r="A41523">
        <v>85235200200</v>
      </c>
      <c r="B41523" t="s">
        <v>13253</v>
      </c>
    </row>
    <row r="41524" spans="1:2" x14ac:dyDescent="0.25">
      <c r="A41524">
        <v>85235200900</v>
      </c>
      <c r="B41524" t="s">
        <v>57</v>
      </c>
    </row>
    <row r="41525" spans="1:2" x14ac:dyDescent="0.25">
      <c r="A41525">
        <v>852359</v>
      </c>
      <c r="B41525" t="e">
        <f>- - Los demas</f>
        <v>#NAME?</v>
      </c>
    </row>
    <row r="41526" spans="1:2" x14ac:dyDescent="0.25">
      <c r="A41526">
        <v>85235910</v>
      </c>
      <c r="B41526" t="s">
        <v>13254</v>
      </c>
    </row>
    <row r="41527" spans="1:2" x14ac:dyDescent="0.25">
      <c r="A41527">
        <v>85235910100</v>
      </c>
      <c r="B41527" t="s">
        <v>7025</v>
      </c>
    </row>
    <row r="41528" spans="1:2" x14ac:dyDescent="0.25">
      <c r="A41528">
        <v>85235910900</v>
      </c>
      <c r="B41528" t="s">
        <v>6724</v>
      </c>
    </row>
    <row r="41529" spans="1:2" x14ac:dyDescent="0.25">
      <c r="A41529">
        <v>85235990000</v>
      </c>
      <c r="B41529" t="s">
        <v>57</v>
      </c>
    </row>
    <row r="41530" spans="1:2" x14ac:dyDescent="0.25">
      <c r="A41530">
        <v>85238000000</v>
      </c>
      <c r="B41530" t="e">
        <f>-Los demas</f>
        <v>#NAME?</v>
      </c>
    </row>
    <row r="41531" spans="1:2" x14ac:dyDescent="0.25">
      <c r="A41531">
        <v>8525</v>
      </c>
      <c r="B41531" t="s">
        <v>13255</v>
      </c>
    </row>
    <row r="41532" spans="1:2" x14ac:dyDescent="0.25">
      <c r="A41532">
        <v>852550</v>
      </c>
      <c r="B41532" t="e">
        <f>- aparatos emisores</f>
        <v>#NAME?</v>
      </c>
    </row>
    <row r="41533" spans="1:2" x14ac:dyDescent="0.25">
      <c r="A41533">
        <v>8525501</v>
      </c>
      <c r="B41533" t="s">
        <v>13256</v>
      </c>
    </row>
    <row r="41534" spans="1:2" x14ac:dyDescent="0.25">
      <c r="A41534">
        <v>85255011000</v>
      </c>
      <c r="B41534" t="s">
        <v>13257</v>
      </c>
    </row>
    <row r="41535" spans="1:2" x14ac:dyDescent="0.25">
      <c r="A41535">
        <v>85255012000</v>
      </c>
      <c r="B41535" t="s">
        <v>13258</v>
      </c>
    </row>
    <row r="41536" spans="1:2" x14ac:dyDescent="0.25">
      <c r="A41536">
        <v>85255019000</v>
      </c>
      <c r="B41536" t="s">
        <v>10</v>
      </c>
    </row>
    <row r="41537" spans="1:2" x14ac:dyDescent="0.25">
      <c r="A41537">
        <v>8525502</v>
      </c>
      <c r="B41537" t="s">
        <v>13259</v>
      </c>
    </row>
    <row r="41538" spans="1:2" x14ac:dyDescent="0.25">
      <c r="A41538">
        <v>85255021000</v>
      </c>
      <c r="B41538" t="s">
        <v>13260</v>
      </c>
    </row>
    <row r="41539" spans="1:2" x14ac:dyDescent="0.25">
      <c r="A41539">
        <v>85255022000</v>
      </c>
      <c r="B41539" t="s">
        <v>13261</v>
      </c>
    </row>
    <row r="41540" spans="1:2" x14ac:dyDescent="0.25">
      <c r="A41540">
        <v>85255023000</v>
      </c>
      <c r="B41540" t="s">
        <v>13262</v>
      </c>
    </row>
    <row r="41541" spans="1:2" x14ac:dyDescent="0.25">
      <c r="A41541">
        <v>85255024000</v>
      </c>
      <c r="B41541" t="s">
        <v>13263</v>
      </c>
    </row>
    <row r="41542" spans="1:2" x14ac:dyDescent="0.25">
      <c r="A41542">
        <v>85255029000</v>
      </c>
      <c r="B41542" t="s">
        <v>10</v>
      </c>
    </row>
    <row r="41543" spans="1:2" x14ac:dyDescent="0.25">
      <c r="A41543">
        <v>852560</v>
      </c>
      <c r="B41543" t="e">
        <f>- aparatos emisores Con aparato receptor incorporado</f>
        <v>#NAME?</v>
      </c>
    </row>
    <row r="41544" spans="1:2" x14ac:dyDescent="0.25">
      <c r="A41544">
        <v>85256010000</v>
      </c>
      <c r="B41544" t="s">
        <v>13256</v>
      </c>
    </row>
    <row r="41545" spans="1:2" x14ac:dyDescent="0.25">
      <c r="A41545">
        <v>85256020000</v>
      </c>
      <c r="B41545" t="s">
        <v>13264</v>
      </c>
    </row>
    <row r="41546" spans="1:2" x14ac:dyDescent="0.25">
      <c r="A41546">
        <v>85256090</v>
      </c>
      <c r="B41546" t="s">
        <v>10</v>
      </c>
    </row>
    <row r="41547" spans="1:2" x14ac:dyDescent="0.25">
      <c r="A41547">
        <v>85256090100</v>
      </c>
      <c r="B41547" t="s">
        <v>13265</v>
      </c>
    </row>
    <row r="41548" spans="1:2" x14ac:dyDescent="0.25">
      <c r="A41548">
        <v>85256090900</v>
      </c>
      <c r="B41548" t="s">
        <v>10</v>
      </c>
    </row>
    <row r="41549" spans="1:2" x14ac:dyDescent="0.25">
      <c r="A41549">
        <v>852580</v>
      </c>
      <c r="B41549" t="e">
        <f>- camaras de television. camaras digitales y videocamaras</f>
        <v>#NAME?</v>
      </c>
    </row>
    <row r="41550" spans="1:2" x14ac:dyDescent="0.25">
      <c r="A41550">
        <v>8525801</v>
      </c>
      <c r="B41550" t="s">
        <v>13266</v>
      </c>
    </row>
    <row r="41551" spans="1:2" x14ac:dyDescent="0.25">
      <c r="A41551">
        <v>85258011000</v>
      </c>
      <c r="B41551" t="s">
        <v>13267</v>
      </c>
    </row>
    <row r="41552" spans="1:2" x14ac:dyDescent="0.25">
      <c r="A41552">
        <v>85258012000</v>
      </c>
      <c r="B41552" t="s">
        <v>13268</v>
      </c>
    </row>
    <row r="41553" spans="1:2" x14ac:dyDescent="0.25">
      <c r="A41553">
        <v>85258013000</v>
      </c>
      <c r="B41553" t="s">
        <v>13269</v>
      </c>
    </row>
    <row r="41554" spans="1:2" x14ac:dyDescent="0.25">
      <c r="A41554">
        <v>85258019</v>
      </c>
      <c r="B41554" t="s">
        <v>57</v>
      </c>
    </row>
    <row r="41555" spans="1:2" x14ac:dyDescent="0.25">
      <c r="A41555">
        <v>85258019100</v>
      </c>
      <c r="B41555" t="s">
        <v>13270</v>
      </c>
    </row>
    <row r="41556" spans="1:2" x14ac:dyDescent="0.25">
      <c r="A41556">
        <v>85258019900</v>
      </c>
      <c r="B41556" t="s">
        <v>10</v>
      </c>
    </row>
    <row r="41557" spans="1:2" x14ac:dyDescent="0.25">
      <c r="A41557">
        <v>8525802</v>
      </c>
      <c r="B41557" t="s">
        <v>13271</v>
      </c>
    </row>
    <row r="41558" spans="1:2" x14ac:dyDescent="0.25">
      <c r="A41558">
        <v>85258021</v>
      </c>
      <c r="B41558" t="s">
        <v>13267</v>
      </c>
    </row>
    <row r="41559" spans="1:2" x14ac:dyDescent="0.25">
      <c r="A41559">
        <v>85258021100</v>
      </c>
      <c r="B41559" t="s">
        <v>13272</v>
      </c>
    </row>
    <row r="41560" spans="1:2" x14ac:dyDescent="0.25">
      <c r="A41560">
        <v>85258021900</v>
      </c>
      <c r="B41560" t="s">
        <v>57</v>
      </c>
    </row>
    <row r="41561" spans="1:2" x14ac:dyDescent="0.25">
      <c r="A41561">
        <v>85258022000</v>
      </c>
      <c r="B41561" t="s">
        <v>13269</v>
      </c>
    </row>
    <row r="41562" spans="1:2" x14ac:dyDescent="0.25">
      <c r="A41562">
        <v>85258029</v>
      </c>
      <c r="B41562" t="s">
        <v>57</v>
      </c>
    </row>
    <row r="41563" spans="1:2" x14ac:dyDescent="0.25">
      <c r="A41563">
        <v>852580292</v>
      </c>
      <c r="B41563" t="s">
        <v>13273</v>
      </c>
    </row>
    <row r="41564" spans="1:2" x14ac:dyDescent="0.25">
      <c r="A41564">
        <v>85258029210</v>
      </c>
      <c r="B41564" t="s">
        <v>13274</v>
      </c>
    </row>
    <row r="41565" spans="1:2" x14ac:dyDescent="0.25">
      <c r="A41565">
        <v>85258029290</v>
      </c>
      <c r="B41565" t="s">
        <v>57</v>
      </c>
    </row>
    <row r="41566" spans="1:2" x14ac:dyDescent="0.25">
      <c r="A41566">
        <v>85258029300</v>
      </c>
      <c r="B41566" t="s">
        <v>13272</v>
      </c>
    </row>
    <row r="41567" spans="1:2" x14ac:dyDescent="0.25">
      <c r="A41567">
        <v>85258029900</v>
      </c>
      <c r="B41567" t="s">
        <v>57</v>
      </c>
    </row>
    <row r="41568" spans="1:2" x14ac:dyDescent="0.25">
      <c r="A41568">
        <v>8526</v>
      </c>
      <c r="B41568" t="s">
        <v>13275</v>
      </c>
    </row>
    <row r="41569" spans="1:2" x14ac:dyDescent="0.25">
      <c r="A41569">
        <v>85261000</v>
      </c>
      <c r="B41569" t="e">
        <f>- aparatos de radar</f>
        <v>#NAME?</v>
      </c>
    </row>
    <row r="41570" spans="1:2" x14ac:dyDescent="0.25">
      <c r="A41570">
        <v>85261000100</v>
      </c>
      <c r="B41570" t="s">
        <v>13276</v>
      </c>
    </row>
    <row r="41571" spans="1:2" x14ac:dyDescent="0.25">
      <c r="A41571">
        <v>85261000900</v>
      </c>
      <c r="B41571" t="s">
        <v>10</v>
      </c>
    </row>
    <row r="41572" spans="1:2" x14ac:dyDescent="0.25">
      <c r="A41572">
        <v>85269</v>
      </c>
      <c r="B41572" t="s">
        <v>28</v>
      </c>
    </row>
    <row r="41573" spans="1:2" x14ac:dyDescent="0.25">
      <c r="A41573">
        <v>85269100</v>
      </c>
      <c r="B41573" t="e">
        <f>- - aparatos de radionavegacion</f>
        <v>#NAME?</v>
      </c>
    </row>
    <row r="41574" spans="1:2" x14ac:dyDescent="0.25">
      <c r="A41574">
        <v>85269100100</v>
      </c>
      <c r="B41574" t="s">
        <v>13277</v>
      </c>
    </row>
    <row r="41575" spans="1:2" x14ac:dyDescent="0.25">
      <c r="A41575">
        <v>85269100200</v>
      </c>
      <c r="B41575" t="s">
        <v>13278</v>
      </c>
    </row>
    <row r="41576" spans="1:2" x14ac:dyDescent="0.25">
      <c r="A41576">
        <v>85269100900</v>
      </c>
      <c r="B41576" t="s">
        <v>10</v>
      </c>
    </row>
    <row r="41577" spans="1:2" x14ac:dyDescent="0.25">
      <c r="A41577">
        <v>85269200000</v>
      </c>
      <c r="B41577" t="e">
        <f>--aparatos de radiotelemando</f>
        <v>#NAME?</v>
      </c>
    </row>
    <row r="41578" spans="1:2" x14ac:dyDescent="0.25">
      <c r="A41578">
        <v>8527</v>
      </c>
      <c r="B41578" t="s">
        <v>13279</v>
      </c>
    </row>
    <row r="41579" spans="1:2" x14ac:dyDescent="0.25">
      <c r="A41579">
        <v>85271</v>
      </c>
      <c r="B41579" t="s">
        <v>13280</v>
      </c>
    </row>
    <row r="41580" spans="1:2" x14ac:dyDescent="0.25">
      <c r="A41580">
        <v>85271200</v>
      </c>
      <c r="B41580" t="e">
        <f>- - Radiocasetes de bolsillo</f>
        <v>#NAME?</v>
      </c>
    </row>
    <row r="41581" spans="1:2" x14ac:dyDescent="0.25">
      <c r="A41581">
        <v>85271200100</v>
      </c>
      <c r="B41581" t="s">
        <v>5635</v>
      </c>
    </row>
    <row r="41582" spans="1:2" x14ac:dyDescent="0.25">
      <c r="A41582">
        <v>85271200900</v>
      </c>
      <c r="B41582" t="s">
        <v>10</v>
      </c>
    </row>
    <row r="41583" spans="1:2" x14ac:dyDescent="0.25">
      <c r="A41583">
        <v>85271300</v>
      </c>
      <c r="B41583" t="e">
        <f>- - Los demas aparatos combinados Con grabador o reproductor de sonido</f>
        <v>#NAME?</v>
      </c>
    </row>
    <row r="41584" spans="1:2" x14ac:dyDescent="0.25">
      <c r="A41584">
        <v>852713001</v>
      </c>
      <c r="B41584" t="s">
        <v>13281</v>
      </c>
    </row>
    <row r="41585" spans="1:2" x14ac:dyDescent="0.25">
      <c r="A41585">
        <v>85271300110</v>
      </c>
      <c r="B41585" t="s">
        <v>13126</v>
      </c>
    </row>
    <row r="41586" spans="1:2" x14ac:dyDescent="0.25">
      <c r="A41586">
        <v>85271300190</v>
      </c>
      <c r="B41586" t="s">
        <v>10</v>
      </c>
    </row>
    <row r="41587" spans="1:2" x14ac:dyDescent="0.25">
      <c r="A41587">
        <v>85271300200</v>
      </c>
      <c r="B41587" t="s">
        <v>13139</v>
      </c>
    </row>
    <row r="41588" spans="1:2" x14ac:dyDescent="0.25">
      <c r="A41588">
        <v>85271300300</v>
      </c>
      <c r="B41588" t="s">
        <v>13282</v>
      </c>
    </row>
    <row r="41589" spans="1:2" x14ac:dyDescent="0.25">
      <c r="A41589">
        <v>852713009</v>
      </c>
      <c r="B41589" t="s">
        <v>823</v>
      </c>
    </row>
    <row r="41590" spans="1:2" x14ac:dyDescent="0.25">
      <c r="A41590">
        <v>8527130091</v>
      </c>
      <c r="B41590" t="s">
        <v>13150</v>
      </c>
    </row>
    <row r="41591" spans="1:2" x14ac:dyDescent="0.25">
      <c r="A41591">
        <v>85271300911</v>
      </c>
      <c r="B41591" t="s">
        <v>13151</v>
      </c>
    </row>
    <row r="41592" spans="1:2" x14ac:dyDescent="0.25">
      <c r="A41592">
        <v>85271300919</v>
      </c>
      <c r="B41592" t="s">
        <v>10</v>
      </c>
    </row>
    <row r="41593" spans="1:2" x14ac:dyDescent="0.25">
      <c r="A41593">
        <v>85271300990</v>
      </c>
      <c r="B41593" t="s">
        <v>10</v>
      </c>
    </row>
    <row r="41594" spans="1:2" x14ac:dyDescent="0.25">
      <c r="A41594">
        <v>852719</v>
      </c>
      <c r="B41594" t="e">
        <f>- - Los demas</f>
        <v>#NAME?</v>
      </c>
    </row>
    <row r="41595" spans="1:2" x14ac:dyDescent="0.25">
      <c r="A41595">
        <v>85271910000</v>
      </c>
      <c r="B41595" t="s">
        <v>13283</v>
      </c>
    </row>
    <row r="41596" spans="1:2" x14ac:dyDescent="0.25">
      <c r="A41596">
        <v>85271990</v>
      </c>
      <c r="B41596" t="s">
        <v>10</v>
      </c>
    </row>
    <row r="41597" spans="1:2" x14ac:dyDescent="0.25">
      <c r="A41597">
        <v>85271990100</v>
      </c>
      <c r="B41597" t="s">
        <v>13284</v>
      </c>
    </row>
    <row r="41598" spans="1:2" x14ac:dyDescent="0.25">
      <c r="A41598">
        <v>852719909</v>
      </c>
      <c r="B41598" t="s">
        <v>10</v>
      </c>
    </row>
    <row r="41599" spans="1:2" x14ac:dyDescent="0.25">
      <c r="A41599">
        <v>85271990910</v>
      </c>
      <c r="B41599" t="s">
        <v>5635</v>
      </c>
    </row>
    <row r="41600" spans="1:2" x14ac:dyDescent="0.25">
      <c r="A41600">
        <v>85271990990</v>
      </c>
      <c r="B41600" t="s">
        <v>10</v>
      </c>
    </row>
    <row r="41601" spans="1:2" x14ac:dyDescent="0.25">
      <c r="A41601">
        <v>85272</v>
      </c>
      <c r="B41601" t="s">
        <v>13285</v>
      </c>
    </row>
    <row r="41602" spans="1:2" x14ac:dyDescent="0.25">
      <c r="A41602">
        <v>85272100000</v>
      </c>
      <c r="B41602" t="e">
        <f>--combinados Con grabador o reproductor de sonido</f>
        <v>#NAME?</v>
      </c>
    </row>
    <row r="41603" spans="1:2" x14ac:dyDescent="0.25">
      <c r="A41603">
        <v>85272900</v>
      </c>
      <c r="B41603" t="e">
        <f>- - Los demas</f>
        <v>#NAME?</v>
      </c>
    </row>
    <row r="41604" spans="1:2" x14ac:dyDescent="0.25">
      <c r="A41604">
        <v>852729001</v>
      </c>
      <c r="B41604" t="s">
        <v>13286</v>
      </c>
    </row>
    <row r="41605" spans="1:2" x14ac:dyDescent="0.25">
      <c r="A41605">
        <v>85272900110</v>
      </c>
      <c r="B41605" t="s">
        <v>13287</v>
      </c>
    </row>
    <row r="41606" spans="1:2" x14ac:dyDescent="0.25">
      <c r="A41606">
        <v>85272900190</v>
      </c>
      <c r="B41606" t="s">
        <v>10</v>
      </c>
    </row>
    <row r="41607" spans="1:2" x14ac:dyDescent="0.25">
      <c r="A41607">
        <v>852729009</v>
      </c>
      <c r="B41607" t="s">
        <v>10</v>
      </c>
    </row>
    <row r="41608" spans="1:2" x14ac:dyDescent="0.25">
      <c r="A41608">
        <v>85272900910</v>
      </c>
      <c r="B41608" t="s">
        <v>13287</v>
      </c>
    </row>
    <row r="41609" spans="1:2" x14ac:dyDescent="0.25">
      <c r="A41609">
        <v>85272900990</v>
      </c>
      <c r="B41609" t="s">
        <v>10</v>
      </c>
    </row>
    <row r="41610" spans="1:2" x14ac:dyDescent="0.25">
      <c r="A41610">
        <v>85279</v>
      </c>
      <c r="B41610" t="s">
        <v>28</v>
      </c>
    </row>
    <row r="41611" spans="1:2" x14ac:dyDescent="0.25">
      <c r="A41611">
        <v>85279100</v>
      </c>
      <c r="B41611" t="e">
        <f>- - combinados Con grabador o reproductor de sonido</f>
        <v>#NAME?</v>
      </c>
    </row>
    <row r="41612" spans="1:2" x14ac:dyDescent="0.25">
      <c r="A41612">
        <v>85279100100</v>
      </c>
      <c r="B41612" t="s">
        <v>13288</v>
      </c>
    </row>
    <row r="41613" spans="1:2" x14ac:dyDescent="0.25">
      <c r="A41613">
        <v>85279100200</v>
      </c>
      <c r="B41613" t="s">
        <v>13289</v>
      </c>
    </row>
    <row r="41614" spans="1:2" x14ac:dyDescent="0.25">
      <c r="A41614">
        <v>85279100300</v>
      </c>
      <c r="B41614" t="s">
        <v>13290</v>
      </c>
    </row>
    <row r="41615" spans="1:2" x14ac:dyDescent="0.25">
      <c r="A41615">
        <v>85279100400</v>
      </c>
      <c r="B41615" t="s">
        <v>13291</v>
      </c>
    </row>
    <row r="41616" spans="1:2" x14ac:dyDescent="0.25">
      <c r="A41616">
        <v>85279100500</v>
      </c>
      <c r="B41616" t="s">
        <v>13292</v>
      </c>
    </row>
    <row r="41617" spans="1:2" x14ac:dyDescent="0.25">
      <c r="A41617">
        <v>85279100600</v>
      </c>
      <c r="B41617" t="s">
        <v>13293</v>
      </c>
    </row>
    <row r="41618" spans="1:2" x14ac:dyDescent="0.25">
      <c r="A41618">
        <v>85279100700</v>
      </c>
      <c r="B41618" t="s">
        <v>13294</v>
      </c>
    </row>
    <row r="41619" spans="1:2" x14ac:dyDescent="0.25">
      <c r="A41619">
        <v>85279100900</v>
      </c>
      <c r="B41619" t="s">
        <v>10</v>
      </c>
    </row>
    <row r="41620" spans="1:2" x14ac:dyDescent="0.25">
      <c r="A41620">
        <v>85279200000</v>
      </c>
      <c r="B41620" t="e">
        <f>--sin combinar Con grabador o reproductor de sonido. pero combinados Con reloj</f>
        <v>#NAME?</v>
      </c>
    </row>
    <row r="41621" spans="1:2" x14ac:dyDescent="0.25">
      <c r="A41621">
        <v>852799</v>
      </c>
      <c r="B41621" t="e">
        <f>- - Los demas</f>
        <v>#NAME?</v>
      </c>
    </row>
    <row r="41622" spans="1:2" x14ac:dyDescent="0.25">
      <c r="A41622">
        <v>85279910000</v>
      </c>
      <c r="B41622" t="s">
        <v>13295</v>
      </c>
    </row>
    <row r="41623" spans="1:2" x14ac:dyDescent="0.25">
      <c r="A41623">
        <v>85279990</v>
      </c>
      <c r="B41623" t="s">
        <v>10</v>
      </c>
    </row>
    <row r="41624" spans="1:2" x14ac:dyDescent="0.25">
      <c r="A41624">
        <v>85279990100</v>
      </c>
      <c r="B41624" t="s">
        <v>13284</v>
      </c>
    </row>
    <row r="41625" spans="1:2" x14ac:dyDescent="0.25">
      <c r="A41625">
        <v>85279990900</v>
      </c>
      <c r="B41625" t="s">
        <v>10</v>
      </c>
    </row>
    <row r="41626" spans="1:2" x14ac:dyDescent="0.25">
      <c r="A41626">
        <v>8528</v>
      </c>
      <c r="B41626" t="s">
        <v>13296</v>
      </c>
    </row>
    <row r="41627" spans="1:2" x14ac:dyDescent="0.25">
      <c r="A41627">
        <v>85284</v>
      </c>
      <c r="B41627" t="s">
        <v>13297</v>
      </c>
    </row>
    <row r="41628" spans="1:2" x14ac:dyDescent="0.25">
      <c r="A41628">
        <v>852842</v>
      </c>
      <c r="B41628" t="s">
        <v>13298</v>
      </c>
    </row>
    <row r="41629" spans="1:2" x14ac:dyDescent="0.25">
      <c r="A41629">
        <v>85284210000</v>
      </c>
      <c r="B41629" t="s">
        <v>13299</v>
      </c>
    </row>
    <row r="41630" spans="1:2" x14ac:dyDescent="0.25">
      <c r="A41630">
        <v>85284220</v>
      </c>
      <c r="B41630" t="s">
        <v>13300</v>
      </c>
    </row>
    <row r="41631" spans="1:2" x14ac:dyDescent="0.25">
      <c r="A41631">
        <v>85284220100</v>
      </c>
      <c r="B41631" t="s">
        <v>13301</v>
      </c>
    </row>
    <row r="41632" spans="1:2" x14ac:dyDescent="0.25">
      <c r="A41632">
        <v>85284220200</v>
      </c>
      <c r="B41632" t="s">
        <v>13302</v>
      </c>
    </row>
    <row r="41633" spans="1:2" x14ac:dyDescent="0.25">
      <c r="A41633">
        <v>85284220300</v>
      </c>
      <c r="B41633" t="s">
        <v>13303</v>
      </c>
    </row>
    <row r="41634" spans="1:2" x14ac:dyDescent="0.25">
      <c r="A41634">
        <v>85284220400</v>
      </c>
      <c r="B41634" t="s">
        <v>13304</v>
      </c>
    </row>
    <row r="41635" spans="1:2" x14ac:dyDescent="0.25">
      <c r="A41635">
        <v>85284220500</v>
      </c>
      <c r="B41635" t="s">
        <v>13304</v>
      </c>
    </row>
    <row r="41636" spans="1:2" x14ac:dyDescent="0.25">
      <c r="A41636">
        <v>85284220600</v>
      </c>
      <c r="B41636" t="s">
        <v>13305</v>
      </c>
    </row>
    <row r="41637" spans="1:2" x14ac:dyDescent="0.25">
      <c r="A41637">
        <v>85284220900</v>
      </c>
      <c r="B41637" t="s">
        <v>10</v>
      </c>
    </row>
    <row r="41638" spans="1:2" x14ac:dyDescent="0.25">
      <c r="A41638">
        <v>852849</v>
      </c>
      <c r="B41638" t="e">
        <f>- - Los demas</f>
        <v>#NAME?</v>
      </c>
    </row>
    <row r="41639" spans="1:2" x14ac:dyDescent="0.25">
      <c r="A41639">
        <v>85284910000</v>
      </c>
      <c r="B41639" t="s">
        <v>13299</v>
      </c>
    </row>
    <row r="41640" spans="1:2" x14ac:dyDescent="0.25">
      <c r="A41640">
        <v>8528492</v>
      </c>
      <c r="B41640" t="s">
        <v>13300</v>
      </c>
    </row>
    <row r="41641" spans="1:2" x14ac:dyDescent="0.25">
      <c r="A41641">
        <v>85284921000</v>
      </c>
      <c r="B41641" t="s">
        <v>13306</v>
      </c>
    </row>
    <row r="41642" spans="1:2" x14ac:dyDescent="0.25">
      <c r="A41642">
        <v>85284929000</v>
      </c>
      <c r="B41642" t="s">
        <v>10</v>
      </c>
    </row>
    <row r="41643" spans="1:2" x14ac:dyDescent="0.25">
      <c r="A41643">
        <v>85285</v>
      </c>
      <c r="B41643" t="s">
        <v>13307</v>
      </c>
    </row>
    <row r="41644" spans="1:2" x14ac:dyDescent="0.25">
      <c r="A41644">
        <v>852852</v>
      </c>
      <c r="B41644" t="s">
        <v>13298</v>
      </c>
    </row>
    <row r="41645" spans="1:2" x14ac:dyDescent="0.25">
      <c r="A41645">
        <v>85285210000</v>
      </c>
      <c r="B41645" t="s">
        <v>13299</v>
      </c>
    </row>
    <row r="41646" spans="1:2" x14ac:dyDescent="0.25">
      <c r="A41646">
        <v>85285220000</v>
      </c>
      <c r="B41646" t="s">
        <v>13300</v>
      </c>
    </row>
    <row r="41647" spans="1:2" x14ac:dyDescent="0.25">
      <c r="A41647">
        <v>852859</v>
      </c>
      <c r="B41647" t="e">
        <f>- - Los demas</f>
        <v>#NAME?</v>
      </c>
    </row>
    <row r="41648" spans="1:2" x14ac:dyDescent="0.25">
      <c r="A41648">
        <v>85285910000</v>
      </c>
      <c r="B41648" t="s">
        <v>13299</v>
      </c>
    </row>
    <row r="41649" spans="1:2" x14ac:dyDescent="0.25">
      <c r="A41649">
        <v>85285920</v>
      </c>
      <c r="B41649" t="s">
        <v>13300</v>
      </c>
    </row>
    <row r="41650" spans="1:2" x14ac:dyDescent="0.25">
      <c r="A41650">
        <v>85285920100</v>
      </c>
      <c r="B41650" t="s">
        <v>13308</v>
      </c>
    </row>
    <row r="41651" spans="1:2" x14ac:dyDescent="0.25">
      <c r="A41651">
        <v>85285920200</v>
      </c>
      <c r="B41651" t="s">
        <v>13272</v>
      </c>
    </row>
    <row r="41652" spans="1:2" x14ac:dyDescent="0.25">
      <c r="A41652">
        <v>85285920900</v>
      </c>
      <c r="B41652" t="s">
        <v>10</v>
      </c>
    </row>
    <row r="41653" spans="1:2" x14ac:dyDescent="0.25">
      <c r="A41653">
        <v>85286</v>
      </c>
      <c r="B41653" t="s">
        <v>13309</v>
      </c>
    </row>
    <row r="41654" spans="1:2" x14ac:dyDescent="0.25">
      <c r="A41654">
        <v>85286200000</v>
      </c>
      <c r="B41654" t="s">
        <v>13310</v>
      </c>
    </row>
    <row r="41655" spans="1:2" x14ac:dyDescent="0.25">
      <c r="A41655">
        <v>852869</v>
      </c>
      <c r="B41655" t="e">
        <f>- - Los demas</f>
        <v>#NAME?</v>
      </c>
    </row>
    <row r="41656" spans="1:2" x14ac:dyDescent="0.25">
      <c r="A41656">
        <v>85286910000</v>
      </c>
      <c r="B41656" t="s">
        <v>13311</v>
      </c>
    </row>
    <row r="41657" spans="1:2" x14ac:dyDescent="0.25">
      <c r="A41657">
        <v>85286990000</v>
      </c>
      <c r="B41657" t="s">
        <v>10</v>
      </c>
    </row>
    <row r="41658" spans="1:2" x14ac:dyDescent="0.25">
      <c r="A41658">
        <v>85287</v>
      </c>
      <c r="B41658" t="s">
        <v>13312</v>
      </c>
    </row>
    <row r="41659" spans="1:2" x14ac:dyDescent="0.25">
      <c r="A41659">
        <v>852871</v>
      </c>
      <c r="B41659" t="s">
        <v>13313</v>
      </c>
    </row>
    <row r="41660" spans="1:2" x14ac:dyDescent="0.25">
      <c r="A41660">
        <v>8528711</v>
      </c>
      <c r="B41660" t="s">
        <v>13314</v>
      </c>
    </row>
    <row r="41661" spans="1:2" x14ac:dyDescent="0.25">
      <c r="A41661">
        <v>85287111000</v>
      </c>
      <c r="B41661" t="s">
        <v>13315</v>
      </c>
    </row>
    <row r="41662" spans="1:2" x14ac:dyDescent="0.25">
      <c r="A41662">
        <v>85287119000</v>
      </c>
      <c r="B41662" t="s">
        <v>10</v>
      </c>
    </row>
    <row r="41663" spans="1:2" x14ac:dyDescent="0.25">
      <c r="A41663">
        <v>85287190000</v>
      </c>
      <c r="B41663" t="s">
        <v>10</v>
      </c>
    </row>
    <row r="41664" spans="1:2" x14ac:dyDescent="0.25">
      <c r="A41664">
        <v>85287200</v>
      </c>
      <c r="B41664" t="e">
        <f>- - Los demas. En colores</f>
        <v>#NAME?</v>
      </c>
    </row>
    <row r="41665" spans="1:2" x14ac:dyDescent="0.25">
      <c r="A41665">
        <v>85287200100</v>
      </c>
      <c r="B41665" t="s">
        <v>13316</v>
      </c>
    </row>
    <row r="41666" spans="1:2" x14ac:dyDescent="0.25">
      <c r="A41666">
        <v>852872002</v>
      </c>
      <c r="B41666" t="s">
        <v>13317</v>
      </c>
    </row>
    <row r="41667" spans="1:2" x14ac:dyDescent="0.25">
      <c r="A41667">
        <v>85287200210</v>
      </c>
      <c r="B41667" t="s">
        <v>13318</v>
      </c>
    </row>
    <row r="41668" spans="1:2" x14ac:dyDescent="0.25">
      <c r="A41668">
        <v>85287200290</v>
      </c>
      <c r="B41668" t="s">
        <v>10</v>
      </c>
    </row>
    <row r="41669" spans="1:2" x14ac:dyDescent="0.25">
      <c r="A41669">
        <v>852872003</v>
      </c>
      <c r="B41669" t="s">
        <v>13319</v>
      </c>
    </row>
    <row r="41670" spans="1:2" x14ac:dyDescent="0.25">
      <c r="A41670">
        <v>85287200310</v>
      </c>
      <c r="B41670" t="s">
        <v>13318</v>
      </c>
    </row>
    <row r="41671" spans="1:2" x14ac:dyDescent="0.25">
      <c r="A41671">
        <v>85287200390</v>
      </c>
      <c r="B41671" t="s">
        <v>10</v>
      </c>
    </row>
    <row r="41672" spans="1:2" x14ac:dyDescent="0.25">
      <c r="A41672">
        <v>852872004</v>
      </c>
      <c r="B41672" t="s">
        <v>13320</v>
      </c>
    </row>
    <row r="41673" spans="1:2" x14ac:dyDescent="0.25">
      <c r="A41673">
        <v>85287200410</v>
      </c>
      <c r="B41673" t="s">
        <v>13318</v>
      </c>
    </row>
    <row r="41674" spans="1:2" x14ac:dyDescent="0.25">
      <c r="A41674">
        <v>85287200490</v>
      </c>
      <c r="B41674" t="s">
        <v>10</v>
      </c>
    </row>
    <row r="41675" spans="1:2" x14ac:dyDescent="0.25">
      <c r="A41675">
        <v>852872005</v>
      </c>
      <c r="B41675" t="s">
        <v>13321</v>
      </c>
    </row>
    <row r="41676" spans="1:2" x14ac:dyDescent="0.25">
      <c r="A41676">
        <v>85287200510</v>
      </c>
      <c r="B41676" t="s">
        <v>13318</v>
      </c>
    </row>
    <row r="41677" spans="1:2" x14ac:dyDescent="0.25">
      <c r="A41677">
        <v>85287200590</v>
      </c>
      <c r="B41677" t="s">
        <v>10</v>
      </c>
    </row>
    <row r="41678" spans="1:2" x14ac:dyDescent="0.25">
      <c r="A41678">
        <v>852872006</v>
      </c>
      <c r="B41678" t="s">
        <v>13322</v>
      </c>
    </row>
    <row r="41679" spans="1:2" x14ac:dyDescent="0.25">
      <c r="A41679">
        <v>85287200610</v>
      </c>
      <c r="B41679" t="s">
        <v>13318</v>
      </c>
    </row>
    <row r="41680" spans="1:2" x14ac:dyDescent="0.25">
      <c r="A41680">
        <v>85287200690</v>
      </c>
      <c r="B41680" t="s">
        <v>10</v>
      </c>
    </row>
    <row r="41681" spans="1:2" x14ac:dyDescent="0.25">
      <c r="A41681">
        <v>852872007</v>
      </c>
      <c r="B41681" t="s">
        <v>13323</v>
      </c>
    </row>
    <row r="41682" spans="1:2" x14ac:dyDescent="0.25">
      <c r="A41682">
        <v>85287200710</v>
      </c>
      <c r="B41682" t="s">
        <v>13318</v>
      </c>
    </row>
    <row r="41683" spans="1:2" x14ac:dyDescent="0.25">
      <c r="A41683">
        <v>85287200790</v>
      </c>
      <c r="B41683" t="s">
        <v>10</v>
      </c>
    </row>
    <row r="41684" spans="1:2" x14ac:dyDescent="0.25">
      <c r="A41684">
        <v>852872008</v>
      </c>
      <c r="B41684" t="s">
        <v>13324</v>
      </c>
    </row>
    <row r="41685" spans="1:2" x14ac:dyDescent="0.25">
      <c r="A41685">
        <v>85287200810</v>
      </c>
      <c r="B41685" t="s">
        <v>13318</v>
      </c>
    </row>
    <row r="41686" spans="1:2" x14ac:dyDescent="0.25">
      <c r="A41686">
        <v>85287200890</v>
      </c>
      <c r="B41686" t="s">
        <v>10</v>
      </c>
    </row>
    <row r="41687" spans="1:2" x14ac:dyDescent="0.25">
      <c r="A41687">
        <v>852872009</v>
      </c>
      <c r="B41687" t="s">
        <v>10</v>
      </c>
    </row>
    <row r="41688" spans="1:2" x14ac:dyDescent="0.25">
      <c r="A41688">
        <v>85287200910</v>
      </c>
      <c r="B41688" t="s">
        <v>13318</v>
      </c>
    </row>
    <row r="41689" spans="1:2" x14ac:dyDescent="0.25">
      <c r="A41689">
        <v>8528720096</v>
      </c>
      <c r="B41689" t="s">
        <v>13325</v>
      </c>
    </row>
    <row r="41690" spans="1:2" x14ac:dyDescent="0.25">
      <c r="A41690">
        <v>85287200961</v>
      </c>
      <c r="B41690" t="s">
        <v>13326</v>
      </c>
    </row>
    <row r="41691" spans="1:2" x14ac:dyDescent="0.25">
      <c r="A41691">
        <v>85287200962</v>
      </c>
      <c r="B41691" t="s">
        <v>13327</v>
      </c>
    </row>
    <row r="41692" spans="1:2" x14ac:dyDescent="0.25">
      <c r="A41692">
        <v>85287200963</v>
      </c>
      <c r="B41692" t="s">
        <v>13328</v>
      </c>
    </row>
    <row r="41693" spans="1:2" x14ac:dyDescent="0.25">
      <c r="A41693">
        <v>85287200964</v>
      </c>
      <c r="B41693" t="s">
        <v>13329</v>
      </c>
    </row>
    <row r="41694" spans="1:2" x14ac:dyDescent="0.25">
      <c r="A41694">
        <v>85287200965</v>
      </c>
      <c r="B41694" t="s">
        <v>13330</v>
      </c>
    </row>
    <row r="41695" spans="1:2" x14ac:dyDescent="0.25">
      <c r="A41695">
        <v>85287200966</v>
      </c>
      <c r="B41695" t="s">
        <v>13331</v>
      </c>
    </row>
    <row r="41696" spans="1:2" x14ac:dyDescent="0.25">
      <c r="A41696">
        <v>85287200967</v>
      </c>
      <c r="B41696" t="s">
        <v>13332</v>
      </c>
    </row>
    <row r="41697" spans="1:2" x14ac:dyDescent="0.25">
      <c r="A41697">
        <v>85287200969</v>
      </c>
      <c r="B41697" t="s">
        <v>10</v>
      </c>
    </row>
    <row r="41698" spans="1:2" x14ac:dyDescent="0.25">
      <c r="A41698">
        <v>8528720097</v>
      </c>
      <c r="B41698" t="s">
        <v>13333</v>
      </c>
    </row>
    <row r="41699" spans="1:2" x14ac:dyDescent="0.25">
      <c r="A41699">
        <v>85287200971</v>
      </c>
      <c r="B41699" t="s">
        <v>13334</v>
      </c>
    </row>
    <row r="41700" spans="1:2" x14ac:dyDescent="0.25">
      <c r="A41700">
        <v>85287200979</v>
      </c>
      <c r="B41700" t="s">
        <v>10</v>
      </c>
    </row>
    <row r="41701" spans="1:2" x14ac:dyDescent="0.25">
      <c r="A41701">
        <v>85287200990</v>
      </c>
      <c r="B41701" t="s">
        <v>10</v>
      </c>
    </row>
    <row r="41702" spans="1:2" x14ac:dyDescent="0.25">
      <c r="A41702">
        <v>85287300000</v>
      </c>
      <c r="B41702" t="e">
        <f>--Los demas. monocromos</f>
        <v>#NAME?</v>
      </c>
    </row>
    <row r="41703" spans="1:2" x14ac:dyDescent="0.25">
      <c r="A41703">
        <v>8529</v>
      </c>
      <c r="B41703" t="s">
        <v>13335</v>
      </c>
    </row>
    <row r="41704" spans="1:2" x14ac:dyDescent="0.25">
      <c r="A41704">
        <v>852910</v>
      </c>
      <c r="B41704" t="e">
        <f>- Antenas y reflectores de antena de cualquier tipo, partes apropiadas para su utilizacion Con dichos Articulos</f>
        <v>#NAME?</v>
      </c>
    </row>
    <row r="41705" spans="1:2" x14ac:dyDescent="0.25">
      <c r="A41705">
        <v>8529101</v>
      </c>
      <c r="B41705" t="s">
        <v>13336</v>
      </c>
    </row>
    <row r="41706" spans="1:2" x14ac:dyDescent="0.25">
      <c r="A41706">
        <v>85291011000</v>
      </c>
      <c r="B41706" t="s">
        <v>13337</v>
      </c>
    </row>
    <row r="41707" spans="1:2" x14ac:dyDescent="0.25">
      <c r="A41707">
        <v>85291019</v>
      </c>
      <c r="B41707" t="s">
        <v>57</v>
      </c>
    </row>
    <row r="41708" spans="1:2" x14ac:dyDescent="0.25">
      <c r="A41708">
        <v>85291019100</v>
      </c>
      <c r="B41708" t="s">
        <v>13338</v>
      </c>
    </row>
    <row r="41709" spans="1:2" x14ac:dyDescent="0.25">
      <c r="A41709">
        <v>85291019900</v>
      </c>
      <c r="B41709" t="s">
        <v>57</v>
      </c>
    </row>
    <row r="41710" spans="1:2" x14ac:dyDescent="0.25">
      <c r="A41710">
        <v>85291090</v>
      </c>
      <c r="B41710" t="s">
        <v>10</v>
      </c>
    </row>
    <row r="41711" spans="1:2" x14ac:dyDescent="0.25">
      <c r="A41711">
        <v>85291090100</v>
      </c>
      <c r="B41711" t="s">
        <v>13339</v>
      </c>
    </row>
    <row r="41712" spans="1:2" x14ac:dyDescent="0.25">
      <c r="A41712">
        <v>85291090900</v>
      </c>
      <c r="B41712" t="s">
        <v>10</v>
      </c>
    </row>
    <row r="41713" spans="1:2" x14ac:dyDescent="0.25">
      <c r="A41713">
        <v>852990</v>
      </c>
      <c r="B41713" t="e">
        <f>- las demas</f>
        <v>#NAME?</v>
      </c>
    </row>
    <row r="41714" spans="1:2" x14ac:dyDescent="0.25">
      <c r="A41714">
        <v>8529901</v>
      </c>
      <c r="B41714" t="s">
        <v>13340</v>
      </c>
    </row>
    <row r="41715" spans="1:2" x14ac:dyDescent="0.25">
      <c r="A41715">
        <v>85299011000</v>
      </c>
      <c r="B41715" t="s">
        <v>13341</v>
      </c>
    </row>
    <row r="41716" spans="1:2" x14ac:dyDescent="0.25">
      <c r="A41716">
        <v>85299012000</v>
      </c>
      <c r="B41716" t="s">
        <v>12439</v>
      </c>
    </row>
    <row r="41717" spans="1:2" x14ac:dyDescent="0.25">
      <c r="A41717">
        <v>85299019000</v>
      </c>
      <c r="B41717" t="s">
        <v>57</v>
      </c>
    </row>
    <row r="41718" spans="1:2" x14ac:dyDescent="0.25">
      <c r="A41718">
        <v>85299020000</v>
      </c>
      <c r="B41718" t="s">
        <v>13342</v>
      </c>
    </row>
    <row r="41719" spans="1:2" x14ac:dyDescent="0.25">
      <c r="A41719">
        <v>85299030000</v>
      </c>
      <c r="B41719" t="s">
        <v>13343</v>
      </c>
    </row>
    <row r="41720" spans="1:2" x14ac:dyDescent="0.25">
      <c r="A41720">
        <v>85299040000</v>
      </c>
      <c r="B41720" t="s">
        <v>13344</v>
      </c>
    </row>
    <row r="41721" spans="1:2" x14ac:dyDescent="0.25">
      <c r="A41721">
        <v>85299090000</v>
      </c>
      <c r="B41721" t="s">
        <v>57</v>
      </c>
    </row>
    <row r="41722" spans="1:2" x14ac:dyDescent="0.25">
      <c r="A41722">
        <v>8530</v>
      </c>
      <c r="B41722" t="s">
        <v>13345</v>
      </c>
    </row>
    <row r="41723" spans="1:2" x14ac:dyDescent="0.25">
      <c r="A41723">
        <v>853010</v>
      </c>
      <c r="B41723" t="e">
        <f>- aparatos para vias ferreas o similares</f>
        <v>#NAME?</v>
      </c>
    </row>
    <row r="41724" spans="1:2" x14ac:dyDescent="0.25">
      <c r="A41724">
        <v>85301010000</v>
      </c>
      <c r="B41724" t="s">
        <v>13346</v>
      </c>
    </row>
    <row r="41725" spans="1:2" x14ac:dyDescent="0.25">
      <c r="A41725">
        <v>85301090000</v>
      </c>
      <c r="B41725" t="s">
        <v>10</v>
      </c>
    </row>
    <row r="41726" spans="1:2" x14ac:dyDescent="0.25">
      <c r="A41726">
        <v>853080</v>
      </c>
      <c r="B41726" t="e">
        <f>- Los demas aparatos</f>
        <v>#NAME?</v>
      </c>
    </row>
    <row r="41727" spans="1:2" x14ac:dyDescent="0.25">
      <c r="A41727">
        <v>85308010000</v>
      </c>
      <c r="B41727" t="s">
        <v>13347</v>
      </c>
    </row>
    <row r="41728" spans="1:2" x14ac:dyDescent="0.25">
      <c r="A41728">
        <v>85308090000</v>
      </c>
      <c r="B41728" t="s">
        <v>10</v>
      </c>
    </row>
    <row r="41729" spans="1:2" x14ac:dyDescent="0.25">
      <c r="A41729">
        <v>85309000000</v>
      </c>
      <c r="B41729" t="e">
        <f>-partes</f>
        <v>#NAME?</v>
      </c>
    </row>
    <row r="41730" spans="1:2" x14ac:dyDescent="0.25">
      <c r="A41730">
        <v>8531</v>
      </c>
      <c r="B41730" t="s">
        <v>13348</v>
      </c>
    </row>
    <row r="41731" spans="1:2" x14ac:dyDescent="0.25">
      <c r="A41731">
        <v>853110</v>
      </c>
      <c r="B41731" t="e">
        <f>- Avisadores electricos de proteccion contra robo o incendio y aparatos similares</f>
        <v>#NAME?</v>
      </c>
    </row>
    <row r="41732" spans="1:2" x14ac:dyDescent="0.25">
      <c r="A41732">
        <v>85311010000</v>
      </c>
      <c r="B41732" t="s">
        <v>13349</v>
      </c>
    </row>
    <row r="41733" spans="1:2" x14ac:dyDescent="0.25">
      <c r="A41733">
        <v>85311090</v>
      </c>
      <c r="B41733" t="s">
        <v>10</v>
      </c>
    </row>
    <row r="41734" spans="1:2" x14ac:dyDescent="0.25">
      <c r="A41734">
        <v>853110901</v>
      </c>
      <c r="B41734" t="s">
        <v>13350</v>
      </c>
    </row>
    <row r="41735" spans="1:2" x14ac:dyDescent="0.25">
      <c r="A41735">
        <v>8531109011</v>
      </c>
      <c r="B41735" t="s">
        <v>13351</v>
      </c>
    </row>
    <row r="41736" spans="1:2" x14ac:dyDescent="0.25">
      <c r="A41736">
        <v>85311090111</v>
      </c>
      <c r="B41736" t="s">
        <v>13352</v>
      </c>
    </row>
    <row r="41737" spans="1:2" x14ac:dyDescent="0.25">
      <c r="A41737">
        <v>85311090112</v>
      </c>
      <c r="B41737" t="s">
        <v>13353</v>
      </c>
    </row>
    <row r="41738" spans="1:2" x14ac:dyDescent="0.25">
      <c r="A41738">
        <v>85311090113</v>
      </c>
      <c r="B41738" t="s">
        <v>13354</v>
      </c>
    </row>
    <row r="41739" spans="1:2" x14ac:dyDescent="0.25">
      <c r="A41739">
        <v>85311090114</v>
      </c>
      <c r="B41739" t="s">
        <v>13355</v>
      </c>
    </row>
    <row r="41740" spans="1:2" x14ac:dyDescent="0.25">
      <c r="A41740">
        <v>85311090119</v>
      </c>
      <c r="B41740" t="s">
        <v>10</v>
      </c>
    </row>
    <row r="41741" spans="1:2" x14ac:dyDescent="0.25">
      <c r="A41741">
        <v>8531109012</v>
      </c>
      <c r="B41741" t="s">
        <v>13356</v>
      </c>
    </row>
    <row r="41742" spans="1:2" x14ac:dyDescent="0.25">
      <c r="A41742">
        <v>85311090121</v>
      </c>
      <c r="B41742" t="s">
        <v>13352</v>
      </c>
    </row>
    <row r="41743" spans="1:2" x14ac:dyDescent="0.25">
      <c r="A41743">
        <v>85311090122</v>
      </c>
      <c r="B41743" t="s">
        <v>13353</v>
      </c>
    </row>
    <row r="41744" spans="1:2" x14ac:dyDescent="0.25">
      <c r="A41744">
        <v>85311090123</v>
      </c>
      <c r="B41744" t="s">
        <v>13354</v>
      </c>
    </row>
    <row r="41745" spans="1:2" x14ac:dyDescent="0.25">
      <c r="A41745">
        <v>85311090124</v>
      </c>
      <c r="B41745" t="s">
        <v>13355</v>
      </c>
    </row>
    <row r="41746" spans="1:2" x14ac:dyDescent="0.25">
      <c r="A41746">
        <v>85311090129</v>
      </c>
      <c r="B41746" t="s">
        <v>10</v>
      </c>
    </row>
    <row r="41747" spans="1:2" x14ac:dyDescent="0.25">
      <c r="A41747">
        <v>8531109013</v>
      </c>
      <c r="B41747" t="s">
        <v>13357</v>
      </c>
    </row>
    <row r="41748" spans="1:2" x14ac:dyDescent="0.25">
      <c r="A41748">
        <v>85311090131</v>
      </c>
      <c r="B41748" t="s">
        <v>13352</v>
      </c>
    </row>
    <row r="41749" spans="1:2" x14ac:dyDescent="0.25">
      <c r="A41749">
        <v>85311090132</v>
      </c>
      <c r="B41749" t="s">
        <v>13353</v>
      </c>
    </row>
    <row r="41750" spans="1:2" x14ac:dyDescent="0.25">
      <c r="A41750">
        <v>85311090133</v>
      </c>
      <c r="B41750" t="s">
        <v>13354</v>
      </c>
    </row>
    <row r="41751" spans="1:2" x14ac:dyDescent="0.25">
      <c r="A41751">
        <v>85311090134</v>
      </c>
      <c r="B41751" t="s">
        <v>13355</v>
      </c>
    </row>
    <row r="41752" spans="1:2" x14ac:dyDescent="0.25">
      <c r="A41752">
        <v>85311090139</v>
      </c>
      <c r="B41752" t="s">
        <v>10</v>
      </c>
    </row>
    <row r="41753" spans="1:2" x14ac:dyDescent="0.25">
      <c r="A41753">
        <v>8531109014</v>
      </c>
      <c r="B41753" t="s">
        <v>13358</v>
      </c>
    </row>
    <row r="41754" spans="1:2" x14ac:dyDescent="0.25">
      <c r="A41754">
        <v>85311090141</v>
      </c>
      <c r="B41754" t="s">
        <v>13352</v>
      </c>
    </row>
    <row r="41755" spans="1:2" x14ac:dyDescent="0.25">
      <c r="A41755">
        <v>85311090142</v>
      </c>
      <c r="B41755" t="s">
        <v>13353</v>
      </c>
    </row>
    <row r="41756" spans="1:2" x14ac:dyDescent="0.25">
      <c r="A41756">
        <v>85311090143</v>
      </c>
      <c r="B41756" t="s">
        <v>13354</v>
      </c>
    </row>
    <row r="41757" spans="1:2" x14ac:dyDescent="0.25">
      <c r="A41757">
        <v>85311090144</v>
      </c>
      <c r="B41757" t="s">
        <v>13355</v>
      </c>
    </row>
    <row r="41758" spans="1:2" x14ac:dyDescent="0.25">
      <c r="A41758">
        <v>85311090149</v>
      </c>
      <c r="B41758" t="s">
        <v>10</v>
      </c>
    </row>
    <row r="41759" spans="1:2" x14ac:dyDescent="0.25">
      <c r="A41759">
        <v>85311090190</v>
      </c>
      <c r="B41759" t="s">
        <v>10</v>
      </c>
    </row>
    <row r="41760" spans="1:2" x14ac:dyDescent="0.25">
      <c r="A41760">
        <v>85311090200</v>
      </c>
      <c r="B41760" t="s">
        <v>13359</v>
      </c>
    </row>
    <row r="41761" spans="1:2" x14ac:dyDescent="0.25">
      <c r="A41761">
        <v>85311090300</v>
      </c>
      <c r="B41761" t="s">
        <v>13360</v>
      </c>
    </row>
    <row r="41762" spans="1:2" x14ac:dyDescent="0.25">
      <c r="A41762">
        <v>85311090900</v>
      </c>
      <c r="B41762" t="s">
        <v>10</v>
      </c>
    </row>
    <row r="41763" spans="1:2" x14ac:dyDescent="0.25">
      <c r="A41763">
        <v>85312000000</v>
      </c>
      <c r="B41763" t="s">
        <v>13361</v>
      </c>
    </row>
    <row r="41764" spans="1:2" x14ac:dyDescent="0.25">
      <c r="A41764">
        <v>85318000</v>
      </c>
      <c r="B41764" t="e">
        <f>- Los demas aparatos</f>
        <v>#NAME?</v>
      </c>
    </row>
    <row r="41765" spans="1:2" x14ac:dyDescent="0.25">
      <c r="A41765">
        <v>853180001</v>
      </c>
      <c r="B41765" t="s">
        <v>13362</v>
      </c>
    </row>
    <row r="41766" spans="1:2" x14ac:dyDescent="0.25">
      <c r="A41766">
        <v>85318000110</v>
      </c>
      <c r="B41766" t="s">
        <v>13363</v>
      </c>
    </row>
    <row r="41767" spans="1:2" x14ac:dyDescent="0.25">
      <c r="A41767">
        <v>8531800012</v>
      </c>
      <c r="B41767" t="s">
        <v>13364</v>
      </c>
    </row>
    <row r="41768" spans="1:2" x14ac:dyDescent="0.25">
      <c r="A41768">
        <v>85318000121</v>
      </c>
      <c r="B41768" t="s">
        <v>13365</v>
      </c>
    </row>
    <row r="41769" spans="1:2" x14ac:dyDescent="0.25">
      <c r="A41769">
        <v>85318000129</v>
      </c>
      <c r="B41769" t="s">
        <v>57</v>
      </c>
    </row>
    <row r="41770" spans="1:2" x14ac:dyDescent="0.25">
      <c r="A41770">
        <v>85318000900</v>
      </c>
      <c r="B41770" t="s">
        <v>10</v>
      </c>
    </row>
    <row r="41771" spans="1:2" x14ac:dyDescent="0.25">
      <c r="A41771">
        <v>85319000000</v>
      </c>
      <c r="B41771" t="e">
        <f>-partes</f>
        <v>#NAME?</v>
      </c>
    </row>
    <row r="41772" spans="1:2" x14ac:dyDescent="0.25">
      <c r="A41772">
        <v>8532</v>
      </c>
      <c r="B41772" t="s">
        <v>13366</v>
      </c>
    </row>
    <row r="41773" spans="1:2" x14ac:dyDescent="0.25">
      <c r="A41773">
        <v>85321000</v>
      </c>
      <c r="B41773" t="s">
        <v>13367</v>
      </c>
    </row>
    <row r="41774" spans="1:2" x14ac:dyDescent="0.25">
      <c r="A41774">
        <v>853210001</v>
      </c>
      <c r="B41774" t="s">
        <v>13368</v>
      </c>
    </row>
    <row r="41775" spans="1:2" x14ac:dyDescent="0.25">
      <c r="A41775">
        <v>85321000110</v>
      </c>
      <c r="B41775" t="s">
        <v>13369</v>
      </c>
    </row>
    <row r="41776" spans="1:2" x14ac:dyDescent="0.25">
      <c r="A41776">
        <v>85321000190</v>
      </c>
      <c r="B41776" t="s">
        <v>10</v>
      </c>
    </row>
    <row r="41777" spans="1:2" x14ac:dyDescent="0.25">
      <c r="A41777">
        <v>853210009</v>
      </c>
      <c r="B41777" t="s">
        <v>823</v>
      </c>
    </row>
    <row r="41778" spans="1:2" x14ac:dyDescent="0.25">
      <c r="A41778">
        <v>85321000910</v>
      </c>
      <c r="B41778" t="s">
        <v>13370</v>
      </c>
    </row>
    <row r="41779" spans="1:2" x14ac:dyDescent="0.25">
      <c r="A41779">
        <v>85321000920</v>
      </c>
      <c r="B41779" t="s">
        <v>13371</v>
      </c>
    </row>
    <row r="41780" spans="1:2" x14ac:dyDescent="0.25">
      <c r="A41780">
        <v>85321000990</v>
      </c>
      <c r="B41780" t="s">
        <v>10</v>
      </c>
    </row>
    <row r="41781" spans="1:2" x14ac:dyDescent="0.25">
      <c r="A41781">
        <v>85322</v>
      </c>
      <c r="B41781" t="s">
        <v>13372</v>
      </c>
    </row>
    <row r="41782" spans="1:2" x14ac:dyDescent="0.25">
      <c r="A41782">
        <v>853221</v>
      </c>
      <c r="B41782" t="e">
        <f>- - de Tantalio</f>
        <v>#NAME?</v>
      </c>
    </row>
    <row r="41783" spans="1:2" x14ac:dyDescent="0.25">
      <c r="A41783">
        <v>8532211</v>
      </c>
      <c r="B41783" t="s">
        <v>13373</v>
      </c>
    </row>
    <row r="41784" spans="1:2" x14ac:dyDescent="0.25">
      <c r="A41784">
        <v>85322111000</v>
      </c>
      <c r="B41784" t="s">
        <v>13374</v>
      </c>
    </row>
    <row r="41785" spans="1:2" x14ac:dyDescent="0.25">
      <c r="A41785">
        <v>85322119000</v>
      </c>
      <c r="B41785" t="s">
        <v>10</v>
      </c>
    </row>
    <row r="41786" spans="1:2" x14ac:dyDescent="0.25">
      <c r="A41786">
        <v>85322120000</v>
      </c>
      <c r="B41786" t="s">
        <v>13375</v>
      </c>
    </row>
    <row r="41787" spans="1:2" x14ac:dyDescent="0.25">
      <c r="A41787">
        <v>85322190000</v>
      </c>
      <c r="B41787" t="s">
        <v>10</v>
      </c>
    </row>
    <row r="41788" spans="1:2" x14ac:dyDescent="0.25">
      <c r="A41788">
        <v>85322200</v>
      </c>
      <c r="B41788" t="e">
        <f>- - Electroliticos de aluminio</f>
        <v>#NAME?</v>
      </c>
    </row>
    <row r="41789" spans="1:2" x14ac:dyDescent="0.25">
      <c r="A41789">
        <v>85322200100</v>
      </c>
      <c r="B41789" t="s">
        <v>13376</v>
      </c>
    </row>
    <row r="41790" spans="1:2" x14ac:dyDescent="0.25">
      <c r="A41790">
        <v>85322200900</v>
      </c>
      <c r="B41790" t="s">
        <v>10</v>
      </c>
    </row>
    <row r="41791" spans="1:2" x14ac:dyDescent="0.25">
      <c r="A41791">
        <v>853223</v>
      </c>
      <c r="B41791" t="e">
        <f>- - Con dielectrico de ceramica de una sola capa</f>
        <v>#NAME?</v>
      </c>
    </row>
    <row r="41792" spans="1:2" x14ac:dyDescent="0.25">
      <c r="A41792">
        <v>85322310000</v>
      </c>
      <c r="B41792" t="s">
        <v>13377</v>
      </c>
    </row>
    <row r="41793" spans="1:2" x14ac:dyDescent="0.25">
      <c r="A41793">
        <v>85322390000</v>
      </c>
      <c r="B41793" t="s">
        <v>10</v>
      </c>
    </row>
    <row r="41794" spans="1:2" x14ac:dyDescent="0.25">
      <c r="A41794">
        <v>853224</v>
      </c>
      <c r="B41794" t="e">
        <f>- - Con dielectrico de ceramica. multicapas</f>
        <v>#NAME?</v>
      </c>
    </row>
    <row r="41795" spans="1:2" x14ac:dyDescent="0.25">
      <c r="A41795">
        <v>85322410000</v>
      </c>
      <c r="B41795" t="s">
        <v>13377</v>
      </c>
    </row>
    <row r="41796" spans="1:2" x14ac:dyDescent="0.25">
      <c r="A41796">
        <v>85322420000</v>
      </c>
      <c r="B41796" t="s">
        <v>13375</v>
      </c>
    </row>
    <row r="41797" spans="1:2" x14ac:dyDescent="0.25">
      <c r="A41797">
        <v>85322490000</v>
      </c>
      <c r="B41797" t="s">
        <v>10</v>
      </c>
    </row>
    <row r="41798" spans="1:2" x14ac:dyDescent="0.25">
      <c r="A41798">
        <v>853225</v>
      </c>
      <c r="B41798" t="e">
        <f>- - Con dielectrico de papel o plastico</f>
        <v>#NAME?</v>
      </c>
    </row>
    <row r="41799" spans="1:2" x14ac:dyDescent="0.25">
      <c r="A41799">
        <v>85322510000</v>
      </c>
      <c r="B41799" t="s">
        <v>13377</v>
      </c>
    </row>
    <row r="41800" spans="1:2" x14ac:dyDescent="0.25">
      <c r="A41800">
        <v>85322590</v>
      </c>
      <c r="B41800" t="s">
        <v>10</v>
      </c>
    </row>
    <row r="41801" spans="1:2" x14ac:dyDescent="0.25">
      <c r="A41801">
        <v>85322590100</v>
      </c>
      <c r="B41801" t="s">
        <v>13370</v>
      </c>
    </row>
    <row r="41802" spans="1:2" x14ac:dyDescent="0.25">
      <c r="A41802">
        <v>85322590900</v>
      </c>
      <c r="B41802" t="s">
        <v>10</v>
      </c>
    </row>
    <row r="41803" spans="1:2" x14ac:dyDescent="0.25">
      <c r="A41803">
        <v>853229</v>
      </c>
      <c r="B41803" t="e">
        <f>- - Los demas</f>
        <v>#NAME?</v>
      </c>
    </row>
    <row r="41804" spans="1:2" x14ac:dyDescent="0.25">
      <c r="A41804">
        <v>85322910000</v>
      </c>
      <c r="B41804" t="s">
        <v>13377</v>
      </c>
    </row>
    <row r="41805" spans="1:2" x14ac:dyDescent="0.25">
      <c r="A41805">
        <v>85322990000</v>
      </c>
      <c r="B41805" t="s">
        <v>10</v>
      </c>
    </row>
    <row r="41806" spans="1:2" x14ac:dyDescent="0.25">
      <c r="A41806">
        <v>853230</v>
      </c>
      <c r="B41806" t="e">
        <f>- Condensadores variables o ajustables</f>
        <v>#NAME?</v>
      </c>
    </row>
    <row r="41807" spans="1:2" x14ac:dyDescent="0.25">
      <c r="A41807">
        <v>85323010000</v>
      </c>
      <c r="B41807" t="s">
        <v>13377</v>
      </c>
    </row>
    <row r="41808" spans="1:2" x14ac:dyDescent="0.25">
      <c r="A41808">
        <v>85323090000</v>
      </c>
      <c r="B41808" t="s">
        <v>10</v>
      </c>
    </row>
    <row r="41809" spans="1:2" x14ac:dyDescent="0.25">
      <c r="A41809">
        <v>85329000000</v>
      </c>
      <c r="B41809" t="e">
        <f>-partes</f>
        <v>#NAME?</v>
      </c>
    </row>
    <row r="41810" spans="1:2" x14ac:dyDescent="0.25">
      <c r="A41810">
        <v>8533</v>
      </c>
      <c r="B41810" t="s">
        <v>13378</v>
      </c>
    </row>
    <row r="41811" spans="1:2" x14ac:dyDescent="0.25">
      <c r="A41811">
        <v>85331000000</v>
      </c>
      <c r="B41811" t="e">
        <f>-Resistencias fijas de carbono. aglomeradas o de capa</f>
        <v>#NAME?</v>
      </c>
    </row>
    <row r="41812" spans="1:2" x14ac:dyDescent="0.25">
      <c r="A41812">
        <v>85332</v>
      </c>
      <c r="B41812" t="s">
        <v>13379</v>
      </c>
    </row>
    <row r="41813" spans="1:2" x14ac:dyDescent="0.25">
      <c r="A41813">
        <v>853321</v>
      </c>
      <c r="B41813" t="s">
        <v>13380</v>
      </c>
    </row>
    <row r="41814" spans="1:2" x14ac:dyDescent="0.25">
      <c r="A41814">
        <v>85332110000</v>
      </c>
      <c r="B41814" t="s">
        <v>13381</v>
      </c>
    </row>
    <row r="41815" spans="1:2" x14ac:dyDescent="0.25">
      <c r="A41815">
        <v>85332120000</v>
      </c>
      <c r="B41815" t="s">
        <v>13382</v>
      </c>
    </row>
    <row r="41816" spans="1:2" x14ac:dyDescent="0.25">
      <c r="A41816">
        <v>85332190000</v>
      </c>
      <c r="B41816" t="s">
        <v>57</v>
      </c>
    </row>
    <row r="41817" spans="1:2" x14ac:dyDescent="0.25">
      <c r="A41817">
        <v>85332900000</v>
      </c>
      <c r="B41817" t="e">
        <f>--las demas</f>
        <v>#NAME?</v>
      </c>
    </row>
    <row r="41818" spans="1:2" x14ac:dyDescent="0.25">
      <c r="A41818">
        <v>85333</v>
      </c>
      <c r="B41818" t="s">
        <v>13383</v>
      </c>
    </row>
    <row r="41819" spans="1:2" x14ac:dyDescent="0.25">
      <c r="A41819">
        <v>853331</v>
      </c>
      <c r="B41819" t="s">
        <v>13380</v>
      </c>
    </row>
    <row r="41820" spans="1:2" x14ac:dyDescent="0.25">
      <c r="A41820">
        <v>85333110000</v>
      </c>
      <c r="B41820" t="s">
        <v>13384</v>
      </c>
    </row>
    <row r="41821" spans="1:2" x14ac:dyDescent="0.25">
      <c r="A41821">
        <v>85333190000</v>
      </c>
      <c r="B41821" t="s">
        <v>57</v>
      </c>
    </row>
    <row r="41822" spans="1:2" x14ac:dyDescent="0.25">
      <c r="A41822">
        <v>853339</v>
      </c>
      <c r="B41822" t="e">
        <f>- - las demas</f>
        <v>#NAME?</v>
      </c>
    </row>
    <row r="41823" spans="1:2" x14ac:dyDescent="0.25">
      <c r="A41823">
        <v>85333910000</v>
      </c>
      <c r="B41823" t="s">
        <v>13384</v>
      </c>
    </row>
    <row r="41824" spans="1:2" x14ac:dyDescent="0.25">
      <c r="A41824">
        <v>85333990000</v>
      </c>
      <c r="B41824" t="s">
        <v>57</v>
      </c>
    </row>
    <row r="41825" spans="1:2" x14ac:dyDescent="0.25">
      <c r="A41825">
        <v>853340</v>
      </c>
      <c r="B41825" t="e">
        <f>- las demas Resistencias variables (incluidos reostatos y potenciometros)</f>
        <v>#NAME?</v>
      </c>
    </row>
    <row r="41826" spans="1:2" x14ac:dyDescent="0.25">
      <c r="A41826">
        <v>8533401</v>
      </c>
      <c r="B41826" t="s">
        <v>13385</v>
      </c>
    </row>
    <row r="41827" spans="1:2" x14ac:dyDescent="0.25">
      <c r="A41827">
        <v>85334011000</v>
      </c>
      <c r="B41827" t="s">
        <v>13386</v>
      </c>
    </row>
    <row r="41828" spans="1:2" x14ac:dyDescent="0.25">
      <c r="A41828">
        <v>85334012000</v>
      </c>
      <c r="B41828" t="s">
        <v>13387</v>
      </c>
    </row>
    <row r="41829" spans="1:2" x14ac:dyDescent="0.25">
      <c r="A41829">
        <v>85334013000</v>
      </c>
      <c r="B41829" t="s">
        <v>13388</v>
      </c>
    </row>
    <row r="41830" spans="1:2" x14ac:dyDescent="0.25">
      <c r="A41830">
        <v>85334019000</v>
      </c>
      <c r="B41830" t="s">
        <v>57</v>
      </c>
    </row>
    <row r="41831" spans="1:2" x14ac:dyDescent="0.25">
      <c r="A41831">
        <v>8533409</v>
      </c>
      <c r="B41831" t="s">
        <v>57</v>
      </c>
    </row>
    <row r="41832" spans="1:2" x14ac:dyDescent="0.25">
      <c r="A41832">
        <v>85334091000</v>
      </c>
      <c r="B41832" t="s">
        <v>13389</v>
      </c>
    </row>
    <row r="41833" spans="1:2" x14ac:dyDescent="0.25">
      <c r="A41833">
        <v>85334092</v>
      </c>
      <c r="B41833" t="s">
        <v>13390</v>
      </c>
    </row>
    <row r="41834" spans="1:2" x14ac:dyDescent="0.25">
      <c r="A41834">
        <v>85334092100</v>
      </c>
      <c r="B41834" t="s">
        <v>13391</v>
      </c>
    </row>
    <row r="41835" spans="1:2" x14ac:dyDescent="0.25">
      <c r="A41835">
        <v>85334092900</v>
      </c>
      <c r="B41835" t="s">
        <v>10</v>
      </c>
    </row>
    <row r="41836" spans="1:2" x14ac:dyDescent="0.25">
      <c r="A41836">
        <v>85334099</v>
      </c>
      <c r="B41836" t="s">
        <v>6724</v>
      </c>
    </row>
    <row r="41837" spans="1:2" x14ac:dyDescent="0.25">
      <c r="A41837">
        <v>85334099100</v>
      </c>
      <c r="B41837" t="s">
        <v>13392</v>
      </c>
    </row>
    <row r="41838" spans="1:2" x14ac:dyDescent="0.25">
      <c r="A41838">
        <v>85334099900</v>
      </c>
      <c r="B41838" t="s">
        <v>823</v>
      </c>
    </row>
    <row r="41839" spans="1:2" x14ac:dyDescent="0.25">
      <c r="A41839">
        <v>85339000000</v>
      </c>
      <c r="B41839" t="e">
        <f>-partes</f>
        <v>#NAME?</v>
      </c>
    </row>
    <row r="41840" spans="1:2" x14ac:dyDescent="0.25">
      <c r="A41840">
        <v>853400</v>
      </c>
      <c r="B41840" t="s">
        <v>13393</v>
      </c>
    </row>
    <row r="41841" spans="1:2" x14ac:dyDescent="0.25">
      <c r="A41841">
        <v>8534001</v>
      </c>
      <c r="B41841" t="s">
        <v>13394</v>
      </c>
    </row>
    <row r="41842" spans="1:2" x14ac:dyDescent="0.25">
      <c r="A41842">
        <v>85340011</v>
      </c>
      <c r="B41842" t="s">
        <v>13395</v>
      </c>
    </row>
    <row r="41843" spans="1:2" x14ac:dyDescent="0.25">
      <c r="A41843">
        <v>85340011100</v>
      </c>
      <c r="B41843" t="s">
        <v>13396</v>
      </c>
    </row>
    <row r="41844" spans="1:2" x14ac:dyDescent="0.25">
      <c r="A41844">
        <v>85340011900</v>
      </c>
      <c r="B41844" t="s">
        <v>10</v>
      </c>
    </row>
    <row r="41845" spans="1:2" x14ac:dyDescent="0.25">
      <c r="A41845">
        <v>85340012</v>
      </c>
      <c r="B41845" t="s">
        <v>13397</v>
      </c>
    </row>
    <row r="41846" spans="1:2" x14ac:dyDescent="0.25">
      <c r="A41846">
        <v>85340012100</v>
      </c>
      <c r="B41846" t="s">
        <v>13396</v>
      </c>
    </row>
    <row r="41847" spans="1:2" x14ac:dyDescent="0.25">
      <c r="A41847">
        <v>85340012900</v>
      </c>
      <c r="B41847" t="s">
        <v>10</v>
      </c>
    </row>
    <row r="41848" spans="1:2" x14ac:dyDescent="0.25">
      <c r="A41848">
        <v>85340013</v>
      </c>
      <c r="B41848" t="s">
        <v>13398</v>
      </c>
    </row>
    <row r="41849" spans="1:2" x14ac:dyDescent="0.25">
      <c r="A41849">
        <v>85340013100</v>
      </c>
      <c r="B41849" t="s">
        <v>13396</v>
      </c>
    </row>
    <row r="41850" spans="1:2" x14ac:dyDescent="0.25">
      <c r="A41850">
        <v>85340013900</v>
      </c>
      <c r="B41850" t="s">
        <v>10</v>
      </c>
    </row>
    <row r="41851" spans="1:2" x14ac:dyDescent="0.25">
      <c r="A41851">
        <v>85340019000</v>
      </c>
      <c r="B41851" t="s">
        <v>10</v>
      </c>
    </row>
    <row r="41852" spans="1:2" x14ac:dyDescent="0.25">
      <c r="A41852">
        <v>85340020000</v>
      </c>
      <c r="B41852" t="s">
        <v>13399</v>
      </c>
    </row>
    <row r="41853" spans="1:2" x14ac:dyDescent="0.25">
      <c r="A41853">
        <v>8534003</v>
      </c>
      <c r="B41853" t="s">
        <v>13400</v>
      </c>
    </row>
    <row r="41854" spans="1:2" x14ac:dyDescent="0.25">
      <c r="A41854">
        <v>85340031</v>
      </c>
      <c r="B41854" t="s">
        <v>13395</v>
      </c>
    </row>
    <row r="41855" spans="1:2" x14ac:dyDescent="0.25">
      <c r="A41855">
        <v>85340031100</v>
      </c>
      <c r="B41855" t="s">
        <v>13401</v>
      </c>
    </row>
    <row r="41856" spans="1:2" x14ac:dyDescent="0.25">
      <c r="A41856">
        <v>85340031200</v>
      </c>
      <c r="B41856" t="s">
        <v>13402</v>
      </c>
    </row>
    <row r="41857" spans="1:2" x14ac:dyDescent="0.25">
      <c r="A41857">
        <v>85340031900</v>
      </c>
      <c r="B41857" t="s">
        <v>10</v>
      </c>
    </row>
    <row r="41858" spans="1:2" x14ac:dyDescent="0.25">
      <c r="A41858">
        <v>85340032</v>
      </c>
      <c r="B41858" t="s">
        <v>13397</v>
      </c>
    </row>
    <row r="41859" spans="1:2" x14ac:dyDescent="0.25">
      <c r="A41859">
        <v>85340032100</v>
      </c>
      <c r="B41859" t="s">
        <v>13401</v>
      </c>
    </row>
    <row r="41860" spans="1:2" x14ac:dyDescent="0.25">
      <c r="A41860">
        <v>85340032200</v>
      </c>
      <c r="B41860" t="s">
        <v>13402</v>
      </c>
    </row>
    <row r="41861" spans="1:2" x14ac:dyDescent="0.25">
      <c r="A41861">
        <v>85340032900</v>
      </c>
      <c r="B41861" t="s">
        <v>10</v>
      </c>
    </row>
    <row r="41862" spans="1:2" x14ac:dyDescent="0.25">
      <c r="A41862">
        <v>85340033</v>
      </c>
      <c r="B41862" t="s">
        <v>13398</v>
      </c>
    </row>
    <row r="41863" spans="1:2" x14ac:dyDescent="0.25">
      <c r="A41863">
        <v>85340033100</v>
      </c>
      <c r="B41863" t="s">
        <v>13401</v>
      </c>
    </row>
    <row r="41864" spans="1:2" x14ac:dyDescent="0.25">
      <c r="A41864">
        <v>85340033200</v>
      </c>
      <c r="B41864" t="s">
        <v>13402</v>
      </c>
    </row>
    <row r="41865" spans="1:2" x14ac:dyDescent="0.25">
      <c r="A41865">
        <v>85340033900</v>
      </c>
      <c r="B41865" t="s">
        <v>10</v>
      </c>
    </row>
    <row r="41866" spans="1:2" x14ac:dyDescent="0.25">
      <c r="A41866">
        <v>85340039000</v>
      </c>
      <c r="B41866" t="s">
        <v>10</v>
      </c>
    </row>
    <row r="41867" spans="1:2" x14ac:dyDescent="0.25">
      <c r="A41867">
        <v>85340040000</v>
      </c>
      <c r="B41867" t="s">
        <v>13403</v>
      </c>
    </row>
    <row r="41868" spans="1:2" x14ac:dyDescent="0.25">
      <c r="A41868">
        <v>8534005</v>
      </c>
      <c r="B41868" t="s">
        <v>13404</v>
      </c>
    </row>
    <row r="41869" spans="1:2" x14ac:dyDescent="0.25">
      <c r="A41869">
        <v>85340051</v>
      </c>
      <c r="B41869" t="s">
        <v>13398</v>
      </c>
    </row>
    <row r="41870" spans="1:2" x14ac:dyDescent="0.25">
      <c r="A41870">
        <v>85340051100</v>
      </c>
      <c r="B41870" t="s">
        <v>13396</v>
      </c>
    </row>
    <row r="41871" spans="1:2" x14ac:dyDescent="0.25">
      <c r="A41871">
        <v>85340051900</v>
      </c>
      <c r="B41871" t="s">
        <v>10</v>
      </c>
    </row>
    <row r="41872" spans="1:2" x14ac:dyDescent="0.25">
      <c r="A41872">
        <v>85340059000</v>
      </c>
      <c r="B41872" t="s">
        <v>10</v>
      </c>
    </row>
    <row r="41873" spans="1:2" x14ac:dyDescent="0.25">
      <c r="A41873">
        <v>8535</v>
      </c>
      <c r="B41873" t="s">
        <v>13405</v>
      </c>
    </row>
    <row r="41874" spans="1:2" x14ac:dyDescent="0.25">
      <c r="A41874">
        <v>85351000</v>
      </c>
      <c r="B41874" t="e">
        <f>- Fusibles y cortacircuitos de fusible</f>
        <v>#NAME?</v>
      </c>
    </row>
    <row r="41875" spans="1:2" x14ac:dyDescent="0.25">
      <c r="A41875">
        <v>853510001</v>
      </c>
      <c r="B41875" t="s">
        <v>13406</v>
      </c>
    </row>
    <row r="41876" spans="1:2" x14ac:dyDescent="0.25">
      <c r="A41876">
        <v>85351000110</v>
      </c>
      <c r="B41876" t="s">
        <v>13407</v>
      </c>
    </row>
    <row r="41877" spans="1:2" x14ac:dyDescent="0.25">
      <c r="A41877">
        <v>85351000190</v>
      </c>
      <c r="B41877" t="s">
        <v>10</v>
      </c>
    </row>
    <row r="41878" spans="1:2" x14ac:dyDescent="0.25">
      <c r="A41878">
        <v>85351000200</v>
      </c>
      <c r="B41878" t="s">
        <v>13408</v>
      </c>
    </row>
    <row r="41879" spans="1:2" x14ac:dyDescent="0.25">
      <c r="A41879">
        <v>85352</v>
      </c>
      <c r="B41879" t="s">
        <v>13409</v>
      </c>
    </row>
    <row r="41880" spans="1:2" x14ac:dyDescent="0.25">
      <c r="A41880">
        <v>85352100000</v>
      </c>
      <c r="B41880" t="s">
        <v>13410</v>
      </c>
    </row>
    <row r="41881" spans="1:2" x14ac:dyDescent="0.25">
      <c r="A41881">
        <v>85352900000</v>
      </c>
      <c r="B41881" t="e">
        <f>--Los demas</f>
        <v>#NAME?</v>
      </c>
    </row>
    <row r="41882" spans="1:2" x14ac:dyDescent="0.25">
      <c r="A41882">
        <v>853530</v>
      </c>
      <c r="B41882" t="e">
        <f>- Seccionadores e interruptores</f>
        <v>#NAME?</v>
      </c>
    </row>
    <row r="41883" spans="1:2" x14ac:dyDescent="0.25">
      <c r="A41883">
        <v>8535301</v>
      </c>
      <c r="B41883" t="s">
        <v>13411</v>
      </c>
    </row>
    <row r="41884" spans="1:2" x14ac:dyDescent="0.25">
      <c r="A41884">
        <v>85353013000</v>
      </c>
      <c r="B41884" t="s">
        <v>13412</v>
      </c>
    </row>
    <row r="41885" spans="1:2" x14ac:dyDescent="0.25">
      <c r="A41885">
        <v>85353017000</v>
      </c>
      <c r="B41885" t="s">
        <v>13413</v>
      </c>
    </row>
    <row r="41886" spans="1:2" x14ac:dyDescent="0.25">
      <c r="A41886">
        <v>85353018000</v>
      </c>
      <c r="B41886" t="s">
        <v>13414</v>
      </c>
    </row>
    <row r="41887" spans="1:2" x14ac:dyDescent="0.25">
      <c r="A41887">
        <v>85353019000</v>
      </c>
      <c r="B41887" t="s">
        <v>10</v>
      </c>
    </row>
    <row r="41888" spans="1:2" x14ac:dyDescent="0.25">
      <c r="A41888">
        <v>8535302</v>
      </c>
      <c r="B41888" t="s">
        <v>13415</v>
      </c>
    </row>
    <row r="41889" spans="1:2" x14ac:dyDescent="0.25">
      <c r="A41889">
        <v>85353023000</v>
      </c>
      <c r="B41889" t="s">
        <v>13412</v>
      </c>
    </row>
    <row r="41890" spans="1:2" x14ac:dyDescent="0.25">
      <c r="A41890">
        <v>85353027000</v>
      </c>
      <c r="B41890" t="s">
        <v>13413</v>
      </c>
    </row>
    <row r="41891" spans="1:2" x14ac:dyDescent="0.25">
      <c r="A41891">
        <v>85353028000</v>
      </c>
      <c r="B41891" t="s">
        <v>13414</v>
      </c>
    </row>
    <row r="41892" spans="1:2" x14ac:dyDescent="0.25">
      <c r="A41892">
        <v>85353029000</v>
      </c>
      <c r="B41892" t="s">
        <v>10</v>
      </c>
    </row>
    <row r="41893" spans="1:2" x14ac:dyDescent="0.25">
      <c r="A41893">
        <v>853540</v>
      </c>
      <c r="B41893" t="e">
        <f>- Pararrayos. limitadores de tension y supresores de sobretension transitoria</f>
        <v>#NAME?</v>
      </c>
    </row>
    <row r="41894" spans="1:2" x14ac:dyDescent="0.25">
      <c r="A41894">
        <v>85354010000</v>
      </c>
      <c r="B41894" t="s">
        <v>13416</v>
      </c>
    </row>
    <row r="41895" spans="1:2" x14ac:dyDescent="0.25">
      <c r="A41895">
        <v>85354090000</v>
      </c>
      <c r="B41895" t="s">
        <v>10</v>
      </c>
    </row>
    <row r="41896" spans="1:2" x14ac:dyDescent="0.25">
      <c r="A41896">
        <v>85359000</v>
      </c>
      <c r="B41896" t="e">
        <f>- Los demas</f>
        <v>#NAME?</v>
      </c>
    </row>
    <row r="41897" spans="1:2" x14ac:dyDescent="0.25">
      <c r="A41897">
        <v>853590001</v>
      </c>
      <c r="B41897" t="s">
        <v>13417</v>
      </c>
    </row>
    <row r="41898" spans="1:2" x14ac:dyDescent="0.25">
      <c r="A41898">
        <v>85359000110</v>
      </c>
      <c r="B41898" t="s">
        <v>13418</v>
      </c>
    </row>
    <row r="41899" spans="1:2" x14ac:dyDescent="0.25">
      <c r="A41899">
        <v>85359000120</v>
      </c>
      <c r="B41899" t="s">
        <v>13419</v>
      </c>
    </row>
    <row r="41900" spans="1:2" x14ac:dyDescent="0.25">
      <c r="A41900">
        <v>85359000130</v>
      </c>
      <c r="B41900" t="s">
        <v>13420</v>
      </c>
    </row>
    <row r="41901" spans="1:2" x14ac:dyDescent="0.25">
      <c r="A41901">
        <v>85359000140</v>
      </c>
      <c r="B41901" t="s">
        <v>13421</v>
      </c>
    </row>
    <row r="41902" spans="1:2" x14ac:dyDescent="0.25">
      <c r="A41902">
        <v>85359000190</v>
      </c>
      <c r="B41902" t="s">
        <v>57</v>
      </c>
    </row>
    <row r="41903" spans="1:2" x14ac:dyDescent="0.25">
      <c r="A41903">
        <v>853590009</v>
      </c>
      <c r="B41903" t="s">
        <v>10</v>
      </c>
    </row>
    <row r="41904" spans="1:2" x14ac:dyDescent="0.25">
      <c r="A41904">
        <v>85359000910</v>
      </c>
      <c r="B41904" t="s">
        <v>13422</v>
      </c>
    </row>
    <row r="41905" spans="1:2" x14ac:dyDescent="0.25">
      <c r="A41905">
        <v>85359000990</v>
      </c>
      <c r="B41905" t="s">
        <v>10</v>
      </c>
    </row>
    <row r="41906" spans="1:2" x14ac:dyDescent="0.25">
      <c r="A41906">
        <v>8536</v>
      </c>
      <c r="B41906" t="s">
        <v>13423</v>
      </c>
    </row>
    <row r="41907" spans="1:2" x14ac:dyDescent="0.25">
      <c r="A41907">
        <v>85361000</v>
      </c>
      <c r="B41907" t="e">
        <f>- Fusibles y cortacircuitos de fusible</f>
        <v>#NAME?</v>
      </c>
    </row>
    <row r="41908" spans="1:2" x14ac:dyDescent="0.25">
      <c r="A41908">
        <v>853610001</v>
      </c>
      <c r="B41908" t="s">
        <v>13424</v>
      </c>
    </row>
    <row r="41909" spans="1:2" x14ac:dyDescent="0.25">
      <c r="A41909">
        <v>85361000110</v>
      </c>
      <c r="B41909" t="s">
        <v>13425</v>
      </c>
    </row>
    <row r="41910" spans="1:2" x14ac:dyDescent="0.25">
      <c r="A41910">
        <v>85361000120</v>
      </c>
      <c r="B41910" t="s">
        <v>13426</v>
      </c>
    </row>
    <row r="41911" spans="1:2" x14ac:dyDescent="0.25">
      <c r="A41911">
        <v>85361000130</v>
      </c>
      <c r="B41911" t="s">
        <v>13427</v>
      </c>
    </row>
    <row r="41912" spans="1:2" x14ac:dyDescent="0.25">
      <c r="A41912">
        <v>85361000140</v>
      </c>
      <c r="B41912" t="s">
        <v>6673</v>
      </c>
    </row>
    <row r="41913" spans="1:2" x14ac:dyDescent="0.25">
      <c r="A41913">
        <v>85361000190</v>
      </c>
      <c r="B41913" t="s">
        <v>10</v>
      </c>
    </row>
    <row r="41914" spans="1:2" x14ac:dyDescent="0.25">
      <c r="A41914">
        <v>853610002</v>
      </c>
      <c r="B41914" t="s">
        <v>13428</v>
      </c>
    </row>
    <row r="41915" spans="1:2" x14ac:dyDescent="0.25">
      <c r="A41915">
        <v>8536100021</v>
      </c>
      <c r="B41915" t="s">
        <v>13429</v>
      </c>
    </row>
    <row r="41916" spans="1:2" x14ac:dyDescent="0.25">
      <c r="A41916">
        <v>85361000211</v>
      </c>
      <c r="B41916" t="s">
        <v>13430</v>
      </c>
    </row>
    <row r="41917" spans="1:2" x14ac:dyDescent="0.25">
      <c r="A41917">
        <v>85361000219</v>
      </c>
      <c r="B41917" t="s">
        <v>6724</v>
      </c>
    </row>
    <row r="41918" spans="1:2" x14ac:dyDescent="0.25">
      <c r="A41918">
        <v>85361000220</v>
      </c>
      <c r="B41918" t="s">
        <v>6673</v>
      </c>
    </row>
    <row r="41919" spans="1:2" x14ac:dyDescent="0.25">
      <c r="A41919">
        <v>85361000290</v>
      </c>
      <c r="B41919" t="s">
        <v>10</v>
      </c>
    </row>
    <row r="41920" spans="1:2" x14ac:dyDescent="0.25">
      <c r="A41920">
        <v>85361000900</v>
      </c>
      <c r="B41920" t="s">
        <v>823</v>
      </c>
    </row>
    <row r="41921" spans="1:2" x14ac:dyDescent="0.25">
      <c r="A41921">
        <v>85362000</v>
      </c>
      <c r="B41921" t="e">
        <f>- Disyuntores</f>
        <v>#NAME?</v>
      </c>
    </row>
    <row r="41922" spans="1:2" x14ac:dyDescent="0.25">
      <c r="A41922">
        <v>85362000100</v>
      </c>
      <c r="B41922" t="s">
        <v>13431</v>
      </c>
    </row>
    <row r="41923" spans="1:2" x14ac:dyDescent="0.25">
      <c r="A41923">
        <v>853620002</v>
      </c>
      <c r="B41923" t="s">
        <v>13432</v>
      </c>
    </row>
    <row r="41924" spans="1:2" x14ac:dyDescent="0.25">
      <c r="A41924">
        <v>85362000210</v>
      </c>
      <c r="B41924" t="s">
        <v>13433</v>
      </c>
    </row>
    <row r="41925" spans="1:2" x14ac:dyDescent="0.25">
      <c r="A41925">
        <v>85362000220</v>
      </c>
      <c r="B41925" t="s">
        <v>13434</v>
      </c>
    </row>
    <row r="41926" spans="1:2" x14ac:dyDescent="0.25">
      <c r="A41926">
        <v>85362000230</v>
      </c>
      <c r="B41926" t="s">
        <v>13435</v>
      </c>
    </row>
    <row r="41927" spans="1:2" x14ac:dyDescent="0.25">
      <c r="A41927">
        <v>85362000240</v>
      </c>
      <c r="B41927" t="s">
        <v>13436</v>
      </c>
    </row>
    <row r="41928" spans="1:2" x14ac:dyDescent="0.25">
      <c r="A41928">
        <v>85362000290</v>
      </c>
      <c r="B41928" t="s">
        <v>10</v>
      </c>
    </row>
    <row r="41929" spans="1:2" x14ac:dyDescent="0.25">
      <c r="A41929">
        <v>85362000300</v>
      </c>
      <c r="B41929" t="s">
        <v>13437</v>
      </c>
    </row>
    <row r="41930" spans="1:2" x14ac:dyDescent="0.25">
      <c r="A41930">
        <v>853620008</v>
      </c>
      <c r="B41930" t="s">
        <v>13438</v>
      </c>
    </row>
    <row r="41931" spans="1:2" x14ac:dyDescent="0.25">
      <c r="A41931">
        <v>85362000810</v>
      </c>
      <c r="B41931" t="s">
        <v>13435</v>
      </c>
    </row>
    <row r="41932" spans="1:2" x14ac:dyDescent="0.25">
      <c r="A41932">
        <v>85362000890</v>
      </c>
      <c r="B41932" t="s">
        <v>10</v>
      </c>
    </row>
    <row r="41933" spans="1:2" x14ac:dyDescent="0.25">
      <c r="A41933">
        <v>85362000900</v>
      </c>
      <c r="B41933" t="s">
        <v>10</v>
      </c>
    </row>
    <row r="41934" spans="1:2" x14ac:dyDescent="0.25">
      <c r="A41934">
        <v>853630</v>
      </c>
      <c r="B41934" t="e">
        <f>- Los demas aparatos para proteccion de circuitos electricos</f>
        <v>#NAME?</v>
      </c>
    </row>
    <row r="41935" spans="1:2" x14ac:dyDescent="0.25">
      <c r="A41935">
        <v>85363010000</v>
      </c>
      <c r="B41935" t="s">
        <v>13439</v>
      </c>
    </row>
    <row r="41936" spans="1:2" x14ac:dyDescent="0.25">
      <c r="A41936">
        <v>85363090</v>
      </c>
      <c r="B41936" t="s">
        <v>10</v>
      </c>
    </row>
    <row r="41937" spans="1:2" x14ac:dyDescent="0.25">
      <c r="A41937">
        <v>85363090100</v>
      </c>
      <c r="B41937" t="s">
        <v>13440</v>
      </c>
    </row>
    <row r="41938" spans="1:2" x14ac:dyDescent="0.25">
      <c r="A41938">
        <v>85363090900</v>
      </c>
      <c r="B41938" t="s">
        <v>10</v>
      </c>
    </row>
    <row r="41939" spans="1:2" x14ac:dyDescent="0.25">
      <c r="A41939">
        <v>85364</v>
      </c>
      <c r="B41939" t="s">
        <v>13441</v>
      </c>
    </row>
    <row r="41940" spans="1:2" x14ac:dyDescent="0.25">
      <c r="A41940">
        <v>85364100</v>
      </c>
      <c r="B41940" t="s">
        <v>13442</v>
      </c>
    </row>
    <row r="41941" spans="1:2" x14ac:dyDescent="0.25">
      <c r="A41941">
        <v>85364100100</v>
      </c>
      <c r="B41941" t="s">
        <v>13443</v>
      </c>
    </row>
    <row r="41942" spans="1:2" x14ac:dyDescent="0.25">
      <c r="A41942">
        <v>85364100200</v>
      </c>
      <c r="B41942" t="s">
        <v>13431</v>
      </c>
    </row>
    <row r="41943" spans="1:2" x14ac:dyDescent="0.25">
      <c r="A41943">
        <v>85364100300</v>
      </c>
      <c r="B41943" t="s">
        <v>13444</v>
      </c>
    </row>
    <row r="41944" spans="1:2" x14ac:dyDescent="0.25">
      <c r="A41944">
        <v>853641009</v>
      </c>
      <c r="B41944" t="s">
        <v>10</v>
      </c>
    </row>
    <row r="41945" spans="1:2" x14ac:dyDescent="0.25">
      <c r="A41945">
        <v>8536410091</v>
      </c>
      <c r="B41945" t="s">
        <v>13445</v>
      </c>
    </row>
    <row r="41946" spans="1:2" x14ac:dyDescent="0.25">
      <c r="A41946">
        <v>85364100911</v>
      </c>
      <c r="B41946" t="s">
        <v>13446</v>
      </c>
    </row>
    <row r="41947" spans="1:2" x14ac:dyDescent="0.25">
      <c r="A41947">
        <v>85364100912</v>
      </c>
      <c r="B41947" t="s">
        <v>13447</v>
      </c>
    </row>
    <row r="41948" spans="1:2" x14ac:dyDescent="0.25">
      <c r="A41948">
        <v>85364100919</v>
      </c>
      <c r="B41948" t="s">
        <v>10</v>
      </c>
    </row>
    <row r="41949" spans="1:2" x14ac:dyDescent="0.25">
      <c r="A41949">
        <v>85364100990</v>
      </c>
      <c r="B41949" t="s">
        <v>10</v>
      </c>
    </row>
    <row r="41950" spans="1:2" x14ac:dyDescent="0.25">
      <c r="A41950">
        <v>85364900</v>
      </c>
      <c r="B41950" t="e">
        <f>- - Los demas</f>
        <v>#NAME?</v>
      </c>
    </row>
    <row r="41951" spans="1:2" x14ac:dyDescent="0.25">
      <c r="A41951">
        <v>85364900100</v>
      </c>
      <c r="B41951" t="s">
        <v>13443</v>
      </c>
    </row>
    <row r="41952" spans="1:2" x14ac:dyDescent="0.25">
      <c r="A41952">
        <v>85364900200</v>
      </c>
      <c r="B41952" t="s">
        <v>13431</v>
      </c>
    </row>
    <row r="41953" spans="1:2" x14ac:dyDescent="0.25">
      <c r="A41953">
        <v>85364900900</v>
      </c>
      <c r="B41953" t="s">
        <v>10</v>
      </c>
    </row>
    <row r="41954" spans="1:2" x14ac:dyDescent="0.25">
      <c r="A41954">
        <v>853650</v>
      </c>
      <c r="B41954" t="e">
        <f>- Los demas interruptores. Seccionadores y conmutadores</f>
        <v>#NAME?</v>
      </c>
    </row>
    <row r="41955" spans="1:2" x14ac:dyDescent="0.25">
      <c r="A41955">
        <v>85365010000</v>
      </c>
      <c r="B41955" t="s">
        <v>13448</v>
      </c>
    </row>
    <row r="41956" spans="1:2" x14ac:dyDescent="0.25">
      <c r="A41956">
        <v>85365020000</v>
      </c>
      <c r="B41956" t="s">
        <v>13449</v>
      </c>
    </row>
    <row r="41957" spans="1:2" x14ac:dyDescent="0.25">
      <c r="A41957">
        <v>85365030000</v>
      </c>
      <c r="B41957" t="s">
        <v>13450</v>
      </c>
    </row>
    <row r="41958" spans="1:2" x14ac:dyDescent="0.25">
      <c r="A41958">
        <v>85365090</v>
      </c>
      <c r="B41958" t="s">
        <v>10</v>
      </c>
    </row>
    <row r="41959" spans="1:2" x14ac:dyDescent="0.25">
      <c r="A41959">
        <v>85365090100</v>
      </c>
      <c r="B41959" t="s">
        <v>13451</v>
      </c>
    </row>
    <row r="41960" spans="1:2" x14ac:dyDescent="0.25">
      <c r="A41960">
        <v>85365090200</v>
      </c>
      <c r="B41960" t="s">
        <v>13452</v>
      </c>
    </row>
    <row r="41961" spans="1:2" x14ac:dyDescent="0.25">
      <c r="A41961">
        <v>853650903</v>
      </c>
      <c r="B41961" t="s">
        <v>13453</v>
      </c>
    </row>
    <row r="41962" spans="1:2" x14ac:dyDescent="0.25">
      <c r="A41962">
        <v>85365090310</v>
      </c>
      <c r="B41962" t="s">
        <v>13454</v>
      </c>
    </row>
    <row r="41963" spans="1:2" x14ac:dyDescent="0.25">
      <c r="A41963">
        <v>85365090320</v>
      </c>
      <c r="B41963" t="s">
        <v>13455</v>
      </c>
    </row>
    <row r="41964" spans="1:2" x14ac:dyDescent="0.25">
      <c r="A41964">
        <v>85365090330</v>
      </c>
      <c r="B41964" t="s">
        <v>13456</v>
      </c>
    </row>
    <row r="41965" spans="1:2" x14ac:dyDescent="0.25">
      <c r="A41965">
        <v>85365090340</v>
      </c>
      <c r="B41965" t="s">
        <v>13457</v>
      </c>
    </row>
    <row r="41966" spans="1:2" x14ac:dyDescent="0.25">
      <c r="A41966">
        <v>85365090350</v>
      </c>
      <c r="B41966" t="s">
        <v>13458</v>
      </c>
    </row>
    <row r="41967" spans="1:2" x14ac:dyDescent="0.25">
      <c r="A41967">
        <v>85365090360</v>
      </c>
      <c r="B41967" t="s">
        <v>13459</v>
      </c>
    </row>
    <row r="41968" spans="1:2" x14ac:dyDescent="0.25">
      <c r="A41968">
        <v>85365090370</v>
      </c>
      <c r="B41968" t="s">
        <v>13460</v>
      </c>
    </row>
    <row r="41969" spans="1:2" x14ac:dyDescent="0.25">
      <c r="A41969">
        <v>85365090380</v>
      </c>
      <c r="B41969" t="s">
        <v>13461</v>
      </c>
    </row>
    <row r="41970" spans="1:2" x14ac:dyDescent="0.25">
      <c r="A41970">
        <v>8536509039</v>
      </c>
      <c r="B41970" t="s">
        <v>10</v>
      </c>
    </row>
    <row r="41971" spans="1:2" x14ac:dyDescent="0.25">
      <c r="A41971">
        <v>85365090391</v>
      </c>
      <c r="B41971" t="s">
        <v>13462</v>
      </c>
    </row>
    <row r="41972" spans="1:2" x14ac:dyDescent="0.25">
      <c r="A41972">
        <v>85365090392</v>
      </c>
      <c r="B41972" t="s">
        <v>13463</v>
      </c>
    </row>
    <row r="41973" spans="1:2" x14ac:dyDescent="0.25">
      <c r="A41973">
        <v>85365090399</v>
      </c>
      <c r="B41973" t="s">
        <v>10</v>
      </c>
    </row>
    <row r="41974" spans="1:2" x14ac:dyDescent="0.25">
      <c r="A41974">
        <v>853650904</v>
      </c>
      <c r="B41974" t="s">
        <v>13464</v>
      </c>
    </row>
    <row r="41975" spans="1:2" x14ac:dyDescent="0.25">
      <c r="A41975">
        <v>85365090410</v>
      </c>
      <c r="B41975" t="s">
        <v>13465</v>
      </c>
    </row>
    <row r="41976" spans="1:2" x14ac:dyDescent="0.25">
      <c r="A41976">
        <v>85365090420</v>
      </c>
      <c r="B41976" t="s">
        <v>13466</v>
      </c>
    </row>
    <row r="41977" spans="1:2" x14ac:dyDescent="0.25">
      <c r="A41977">
        <v>85365090490</v>
      </c>
      <c r="B41977" t="s">
        <v>10</v>
      </c>
    </row>
    <row r="41978" spans="1:2" x14ac:dyDescent="0.25">
      <c r="A41978">
        <v>853650905</v>
      </c>
      <c r="B41978" t="s">
        <v>13467</v>
      </c>
    </row>
    <row r="41979" spans="1:2" x14ac:dyDescent="0.25">
      <c r="A41979">
        <v>8536509051</v>
      </c>
      <c r="B41979" t="s">
        <v>13468</v>
      </c>
    </row>
    <row r="41980" spans="1:2" x14ac:dyDescent="0.25">
      <c r="A41980">
        <v>85365090511</v>
      </c>
      <c r="B41980" t="s">
        <v>13469</v>
      </c>
    </row>
    <row r="41981" spans="1:2" x14ac:dyDescent="0.25">
      <c r="A41981">
        <v>85365090519</v>
      </c>
      <c r="B41981" t="s">
        <v>10</v>
      </c>
    </row>
    <row r="41982" spans="1:2" x14ac:dyDescent="0.25">
      <c r="A41982">
        <v>8536509052</v>
      </c>
      <c r="B41982" t="s">
        <v>13470</v>
      </c>
    </row>
    <row r="41983" spans="1:2" x14ac:dyDescent="0.25">
      <c r="A41983">
        <v>85365090521</v>
      </c>
      <c r="B41983" t="s">
        <v>13469</v>
      </c>
    </row>
    <row r="41984" spans="1:2" x14ac:dyDescent="0.25">
      <c r="A41984">
        <v>85365090529</v>
      </c>
      <c r="B41984" t="s">
        <v>10</v>
      </c>
    </row>
    <row r="41985" spans="1:2" x14ac:dyDescent="0.25">
      <c r="A41985">
        <v>853650906</v>
      </c>
      <c r="B41985" t="s">
        <v>13471</v>
      </c>
    </row>
    <row r="41986" spans="1:2" x14ac:dyDescent="0.25">
      <c r="A41986">
        <v>8536509061</v>
      </c>
      <c r="B41986" t="s">
        <v>13472</v>
      </c>
    </row>
    <row r="41987" spans="1:2" x14ac:dyDescent="0.25">
      <c r="A41987">
        <v>85365090611</v>
      </c>
      <c r="B41987" t="s">
        <v>13473</v>
      </c>
    </row>
    <row r="41988" spans="1:2" x14ac:dyDescent="0.25">
      <c r="A41988">
        <v>85365090612</v>
      </c>
      <c r="B41988" t="s">
        <v>13474</v>
      </c>
    </row>
    <row r="41989" spans="1:2" x14ac:dyDescent="0.25">
      <c r="A41989">
        <v>85365090619</v>
      </c>
      <c r="B41989" t="s">
        <v>10</v>
      </c>
    </row>
    <row r="41990" spans="1:2" x14ac:dyDescent="0.25">
      <c r="A41990">
        <v>8536509062</v>
      </c>
      <c r="B41990" t="s">
        <v>13475</v>
      </c>
    </row>
    <row r="41991" spans="1:2" x14ac:dyDescent="0.25">
      <c r="A41991">
        <v>85365090621</v>
      </c>
      <c r="B41991" t="s">
        <v>13473</v>
      </c>
    </row>
    <row r="41992" spans="1:2" x14ac:dyDescent="0.25">
      <c r="A41992">
        <v>85365090622</v>
      </c>
      <c r="B41992" t="s">
        <v>13474</v>
      </c>
    </row>
    <row r="41993" spans="1:2" x14ac:dyDescent="0.25">
      <c r="A41993">
        <v>85365090629</v>
      </c>
      <c r="B41993" t="s">
        <v>10</v>
      </c>
    </row>
    <row r="41994" spans="1:2" x14ac:dyDescent="0.25">
      <c r="A41994">
        <v>85365090690</v>
      </c>
      <c r="B41994" t="s">
        <v>10</v>
      </c>
    </row>
    <row r="41995" spans="1:2" x14ac:dyDescent="0.25">
      <c r="A41995">
        <v>853650909</v>
      </c>
      <c r="B41995" t="s">
        <v>10</v>
      </c>
    </row>
    <row r="41996" spans="1:2" x14ac:dyDescent="0.25">
      <c r="A41996">
        <v>85365090910</v>
      </c>
      <c r="B41996" t="s">
        <v>13476</v>
      </c>
    </row>
    <row r="41997" spans="1:2" x14ac:dyDescent="0.25">
      <c r="A41997">
        <v>85365090920</v>
      </c>
      <c r="B41997" t="s">
        <v>13477</v>
      </c>
    </row>
    <row r="41998" spans="1:2" x14ac:dyDescent="0.25">
      <c r="A41998">
        <v>85365090990</v>
      </c>
      <c r="B41998" t="s">
        <v>10</v>
      </c>
    </row>
    <row r="41999" spans="1:2" x14ac:dyDescent="0.25">
      <c r="A41999">
        <v>85366</v>
      </c>
      <c r="B41999" t="s">
        <v>13478</v>
      </c>
    </row>
    <row r="42000" spans="1:2" x14ac:dyDescent="0.25">
      <c r="A42000">
        <v>85366100</v>
      </c>
      <c r="B42000" t="e">
        <f>- - Portalamparas</f>
        <v>#NAME?</v>
      </c>
    </row>
    <row r="42001" spans="1:2" x14ac:dyDescent="0.25">
      <c r="A42001">
        <v>85366100100</v>
      </c>
      <c r="B42001" t="s">
        <v>13479</v>
      </c>
    </row>
    <row r="42002" spans="1:2" x14ac:dyDescent="0.25">
      <c r="A42002">
        <v>85366100200</v>
      </c>
      <c r="B42002" t="s">
        <v>13480</v>
      </c>
    </row>
    <row r="42003" spans="1:2" x14ac:dyDescent="0.25">
      <c r="A42003">
        <v>85366100900</v>
      </c>
      <c r="B42003" t="s">
        <v>10</v>
      </c>
    </row>
    <row r="42004" spans="1:2" x14ac:dyDescent="0.25">
      <c r="A42004">
        <v>853669</v>
      </c>
      <c r="B42004" t="e">
        <f>- - Los demas</f>
        <v>#NAME?</v>
      </c>
    </row>
    <row r="42005" spans="1:2" x14ac:dyDescent="0.25">
      <c r="A42005">
        <v>85366910</v>
      </c>
      <c r="B42005" t="s">
        <v>13481</v>
      </c>
    </row>
    <row r="42006" spans="1:2" x14ac:dyDescent="0.25">
      <c r="A42006">
        <v>85366910100</v>
      </c>
      <c r="B42006" t="s">
        <v>13482</v>
      </c>
    </row>
    <row r="42007" spans="1:2" x14ac:dyDescent="0.25">
      <c r="A42007">
        <v>85366910900</v>
      </c>
      <c r="B42007" t="s">
        <v>10</v>
      </c>
    </row>
    <row r="42008" spans="1:2" x14ac:dyDescent="0.25">
      <c r="A42008">
        <v>85366990</v>
      </c>
      <c r="B42008" t="s">
        <v>10</v>
      </c>
    </row>
    <row r="42009" spans="1:2" x14ac:dyDescent="0.25">
      <c r="A42009">
        <v>85366990100</v>
      </c>
      <c r="B42009" t="s">
        <v>13482</v>
      </c>
    </row>
    <row r="42010" spans="1:2" x14ac:dyDescent="0.25">
      <c r="A42010">
        <v>85366990900</v>
      </c>
      <c r="B42010" t="s">
        <v>10</v>
      </c>
    </row>
    <row r="42011" spans="1:2" x14ac:dyDescent="0.25">
      <c r="A42011">
        <v>85367000000</v>
      </c>
      <c r="B42011" t="e">
        <f>-Conectores de fibras opticas. haces o cables de fibras opticas</f>
        <v>#NAME?</v>
      </c>
    </row>
    <row r="42012" spans="1:2" x14ac:dyDescent="0.25">
      <c r="A42012">
        <v>853690</v>
      </c>
      <c r="B42012" t="e">
        <f>- Los demas aparatos</f>
        <v>#NAME?</v>
      </c>
    </row>
    <row r="42013" spans="1:2" x14ac:dyDescent="0.25">
      <c r="A42013">
        <v>85369010000</v>
      </c>
      <c r="B42013" t="s">
        <v>13483</v>
      </c>
    </row>
    <row r="42014" spans="1:2" x14ac:dyDescent="0.25">
      <c r="A42014">
        <v>85369020000</v>
      </c>
      <c r="B42014" t="s">
        <v>13484</v>
      </c>
    </row>
    <row r="42015" spans="1:2" x14ac:dyDescent="0.25">
      <c r="A42015">
        <v>85369030000</v>
      </c>
      <c r="B42015" t="s">
        <v>13485</v>
      </c>
    </row>
    <row r="42016" spans="1:2" x14ac:dyDescent="0.25">
      <c r="A42016">
        <v>85369040000</v>
      </c>
      <c r="B42016" t="s">
        <v>13486</v>
      </c>
    </row>
    <row r="42017" spans="1:2" x14ac:dyDescent="0.25">
      <c r="A42017">
        <v>85369050000</v>
      </c>
      <c r="B42017" t="s">
        <v>13487</v>
      </c>
    </row>
    <row r="42018" spans="1:2" x14ac:dyDescent="0.25">
      <c r="A42018">
        <v>85369060000</v>
      </c>
      <c r="B42018" t="s">
        <v>13488</v>
      </c>
    </row>
    <row r="42019" spans="1:2" x14ac:dyDescent="0.25">
      <c r="A42019">
        <v>85369090</v>
      </c>
      <c r="B42019" t="s">
        <v>10</v>
      </c>
    </row>
    <row r="42020" spans="1:2" x14ac:dyDescent="0.25">
      <c r="A42020">
        <v>853690901</v>
      </c>
      <c r="B42020" t="s">
        <v>13489</v>
      </c>
    </row>
    <row r="42021" spans="1:2" x14ac:dyDescent="0.25">
      <c r="A42021">
        <v>85369090110</v>
      </c>
      <c r="B42021" t="s">
        <v>13418</v>
      </c>
    </row>
    <row r="42022" spans="1:2" x14ac:dyDescent="0.25">
      <c r="A42022">
        <v>85369090120</v>
      </c>
      <c r="B42022" t="s">
        <v>13490</v>
      </c>
    </row>
    <row r="42023" spans="1:2" x14ac:dyDescent="0.25">
      <c r="A42023">
        <v>85369090130</v>
      </c>
      <c r="B42023" t="s">
        <v>13491</v>
      </c>
    </row>
    <row r="42024" spans="1:2" x14ac:dyDescent="0.25">
      <c r="A42024">
        <v>85369090140</v>
      </c>
      <c r="B42024" t="s">
        <v>13492</v>
      </c>
    </row>
    <row r="42025" spans="1:2" x14ac:dyDescent="0.25">
      <c r="A42025">
        <v>85369090190</v>
      </c>
      <c r="B42025" t="s">
        <v>823</v>
      </c>
    </row>
    <row r="42026" spans="1:2" x14ac:dyDescent="0.25">
      <c r="A42026">
        <v>853690902</v>
      </c>
      <c r="B42026" t="s">
        <v>13493</v>
      </c>
    </row>
    <row r="42027" spans="1:2" x14ac:dyDescent="0.25">
      <c r="A42027">
        <v>8536909021</v>
      </c>
      <c r="B42027" t="s">
        <v>13494</v>
      </c>
    </row>
    <row r="42028" spans="1:2" x14ac:dyDescent="0.25">
      <c r="A42028">
        <v>85369090211</v>
      </c>
      <c r="B42028" t="s">
        <v>13495</v>
      </c>
    </row>
    <row r="42029" spans="1:2" x14ac:dyDescent="0.25">
      <c r="A42029">
        <v>85369090212</v>
      </c>
      <c r="B42029" t="s">
        <v>13496</v>
      </c>
    </row>
    <row r="42030" spans="1:2" x14ac:dyDescent="0.25">
      <c r="A42030">
        <v>85369090213</v>
      </c>
      <c r="B42030" t="s">
        <v>13497</v>
      </c>
    </row>
    <row r="42031" spans="1:2" x14ac:dyDescent="0.25">
      <c r="A42031">
        <v>85369090214</v>
      </c>
      <c r="B42031" t="s">
        <v>13498</v>
      </c>
    </row>
    <row r="42032" spans="1:2" x14ac:dyDescent="0.25">
      <c r="A42032">
        <v>85369090215</v>
      </c>
      <c r="B42032" t="s">
        <v>13499</v>
      </c>
    </row>
    <row r="42033" spans="1:2" x14ac:dyDescent="0.25">
      <c r="A42033">
        <v>85369090216</v>
      </c>
      <c r="B42033" t="s">
        <v>13500</v>
      </c>
    </row>
    <row r="42034" spans="1:2" x14ac:dyDescent="0.25">
      <c r="A42034">
        <v>85369090217</v>
      </c>
      <c r="B42034" t="s">
        <v>13501</v>
      </c>
    </row>
    <row r="42035" spans="1:2" x14ac:dyDescent="0.25">
      <c r="A42035">
        <v>85369090218</v>
      </c>
      <c r="B42035" t="s">
        <v>13502</v>
      </c>
    </row>
    <row r="42036" spans="1:2" x14ac:dyDescent="0.25">
      <c r="A42036">
        <v>85369090219</v>
      </c>
      <c r="B42036" t="s">
        <v>10</v>
      </c>
    </row>
    <row r="42037" spans="1:2" x14ac:dyDescent="0.25">
      <c r="A42037">
        <v>8536909022</v>
      </c>
      <c r="B42037" t="s">
        <v>13503</v>
      </c>
    </row>
    <row r="42038" spans="1:2" x14ac:dyDescent="0.25">
      <c r="A42038">
        <v>85369090221</v>
      </c>
      <c r="B42038" t="s">
        <v>13504</v>
      </c>
    </row>
    <row r="42039" spans="1:2" x14ac:dyDescent="0.25">
      <c r="A42039">
        <v>85369090222</v>
      </c>
      <c r="B42039" t="s">
        <v>13496</v>
      </c>
    </row>
    <row r="42040" spans="1:2" x14ac:dyDescent="0.25">
      <c r="A42040">
        <v>85369090223</v>
      </c>
      <c r="B42040" t="s">
        <v>13497</v>
      </c>
    </row>
    <row r="42041" spans="1:2" x14ac:dyDescent="0.25">
      <c r="A42041">
        <v>85369090224</v>
      </c>
      <c r="B42041" t="s">
        <v>13505</v>
      </c>
    </row>
    <row r="42042" spans="1:2" x14ac:dyDescent="0.25">
      <c r="A42042">
        <v>85369090225</v>
      </c>
      <c r="B42042" t="s">
        <v>13506</v>
      </c>
    </row>
    <row r="42043" spans="1:2" x14ac:dyDescent="0.25">
      <c r="A42043">
        <v>85369090226</v>
      </c>
      <c r="B42043" t="s">
        <v>13507</v>
      </c>
    </row>
    <row r="42044" spans="1:2" x14ac:dyDescent="0.25">
      <c r="A42044">
        <v>85369090229</v>
      </c>
      <c r="B42044" t="s">
        <v>10</v>
      </c>
    </row>
    <row r="42045" spans="1:2" x14ac:dyDescent="0.25">
      <c r="A42045">
        <v>8536909023</v>
      </c>
      <c r="B42045" t="s">
        <v>13508</v>
      </c>
    </row>
    <row r="42046" spans="1:2" x14ac:dyDescent="0.25">
      <c r="A42046">
        <v>85369090231</v>
      </c>
      <c r="B42046" t="s">
        <v>13504</v>
      </c>
    </row>
    <row r="42047" spans="1:2" x14ac:dyDescent="0.25">
      <c r="A42047">
        <v>85369090232</v>
      </c>
      <c r="B42047" t="s">
        <v>13496</v>
      </c>
    </row>
    <row r="42048" spans="1:2" x14ac:dyDescent="0.25">
      <c r="A42048">
        <v>85369090233</v>
      </c>
      <c r="B42048" t="s">
        <v>13497</v>
      </c>
    </row>
    <row r="42049" spans="1:2" x14ac:dyDescent="0.25">
      <c r="A42049">
        <v>85369090234</v>
      </c>
      <c r="B42049" t="s">
        <v>13505</v>
      </c>
    </row>
    <row r="42050" spans="1:2" x14ac:dyDescent="0.25">
      <c r="A42050">
        <v>85369090235</v>
      </c>
      <c r="B42050" t="s">
        <v>13506</v>
      </c>
    </row>
    <row r="42051" spans="1:2" x14ac:dyDescent="0.25">
      <c r="A42051">
        <v>85369090236</v>
      </c>
      <c r="B42051" t="s">
        <v>13507</v>
      </c>
    </row>
    <row r="42052" spans="1:2" x14ac:dyDescent="0.25">
      <c r="A42052">
        <v>85369090239</v>
      </c>
      <c r="B42052" t="s">
        <v>823</v>
      </c>
    </row>
    <row r="42053" spans="1:2" x14ac:dyDescent="0.25">
      <c r="A42053">
        <v>853690903</v>
      </c>
      <c r="B42053" t="s">
        <v>13509</v>
      </c>
    </row>
    <row r="42054" spans="1:2" x14ac:dyDescent="0.25">
      <c r="A42054">
        <v>85369090310</v>
      </c>
      <c r="B42054" t="s">
        <v>13504</v>
      </c>
    </row>
    <row r="42055" spans="1:2" x14ac:dyDescent="0.25">
      <c r="A42055">
        <v>85369090320</v>
      </c>
      <c r="B42055" t="s">
        <v>13496</v>
      </c>
    </row>
    <row r="42056" spans="1:2" x14ac:dyDescent="0.25">
      <c r="A42056">
        <v>85369090330</v>
      </c>
      <c r="B42056" t="s">
        <v>13497</v>
      </c>
    </row>
    <row r="42057" spans="1:2" x14ac:dyDescent="0.25">
      <c r="A42057">
        <v>85369090340</v>
      </c>
      <c r="B42057" t="s">
        <v>13498</v>
      </c>
    </row>
    <row r="42058" spans="1:2" x14ac:dyDescent="0.25">
      <c r="A42058">
        <v>85369090350</v>
      </c>
      <c r="B42058" t="s">
        <v>13499</v>
      </c>
    </row>
    <row r="42059" spans="1:2" x14ac:dyDescent="0.25">
      <c r="A42059">
        <v>85369090360</v>
      </c>
      <c r="B42059" t="s">
        <v>13500</v>
      </c>
    </row>
    <row r="42060" spans="1:2" x14ac:dyDescent="0.25">
      <c r="A42060">
        <v>85369090370</v>
      </c>
      <c r="B42060" t="s">
        <v>13510</v>
      </c>
    </row>
    <row r="42061" spans="1:2" x14ac:dyDescent="0.25">
      <c r="A42061">
        <v>85369090380</v>
      </c>
      <c r="B42061" t="s">
        <v>13502</v>
      </c>
    </row>
    <row r="42062" spans="1:2" x14ac:dyDescent="0.25">
      <c r="A42062">
        <v>85369090390</v>
      </c>
      <c r="B42062" t="s">
        <v>10</v>
      </c>
    </row>
    <row r="42063" spans="1:2" x14ac:dyDescent="0.25">
      <c r="A42063">
        <v>853690904</v>
      </c>
      <c r="B42063" t="s">
        <v>13511</v>
      </c>
    </row>
    <row r="42064" spans="1:2" x14ac:dyDescent="0.25">
      <c r="A42064">
        <v>85369090410</v>
      </c>
      <c r="B42064" t="s">
        <v>13512</v>
      </c>
    </row>
    <row r="42065" spans="1:2" x14ac:dyDescent="0.25">
      <c r="A42065">
        <v>85369090490</v>
      </c>
      <c r="B42065" t="s">
        <v>10</v>
      </c>
    </row>
    <row r="42066" spans="1:2" x14ac:dyDescent="0.25">
      <c r="A42066">
        <v>853690909</v>
      </c>
      <c r="B42066" t="s">
        <v>823</v>
      </c>
    </row>
    <row r="42067" spans="1:2" x14ac:dyDescent="0.25">
      <c r="A42067">
        <v>85369090910</v>
      </c>
      <c r="B42067" t="s">
        <v>13513</v>
      </c>
    </row>
    <row r="42068" spans="1:2" x14ac:dyDescent="0.25">
      <c r="A42068">
        <v>85369090920</v>
      </c>
      <c r="B42068" t="s">
        <v>13514</v>
      </c>
    </row>
    <row r="42069" spans="1:2" x14ac:dyDescent="0.25">
      <c r="A42069">
        <v>85369090930</v>
      </c>
      <c r="B42069" t="s">
        <v>13515</v>
      </c>
    </row>
    <row r="42070" spans="1:2" x14ac:dyDescent="0.25">
      <c r="A42070">
        <v>85369090940</v>
      </c>
      <c r="B42070" t="s">
        <v>13516</v>
      </c>
    </row>
    <row r="42071" spans="1:2" x14ac:dyDescent="0.25">
      <c r="A42071">
        <v>85369090950</v>
      </c>
      <c r="B42071" t="s">
        <v>13517</v>
      </c>
    </row>
    <row r="42072" spans="1:2" x14ac:dyDescent="0.25">
      <c r="A42072">
        <v>85369090960</v>
      </c>
      <c r="B42072" t="s">
        <v>13518</v>
      </c>
    </row>
    <row r="42073" spans="1:2" x14ac:dyDescent="0.25">
      <c r="A42073">
        <v>85369090990</v>
      </c>
      <c r="B42073" t="s">
        <v>10</v>
      </c>
    </row>
    <row r="42074" spans="1:2" x14ac:dyDescent="0.25">
      <c r="A42074">
        <v>8537</v>
      </c>
      <c r="B42074" t="s">
        <v>13519</v>
      </c>
    </row>
    <row r="42075" spans="1:2" x14ac:dyDescent="0.25">
      <c r="A42075">
        <v>853710</v>
      </c>
      <c r="B42075" t="s">
        <v>13520</v>
      </c>
    </row>
    <row r="42076" spans="1:2" x14ac:dyDescent="0.25">
      <c r="A42076">
        <v>8537101</v>
      </c>
      <c r="B42076" t="s">
        <v>13521</v>
      </c>
    </row>
    <row r="42077" spans="1:2" x14ac:dyDescent="0.25">
      <c r="A42077">
        <v>85371011000</v>
      </c>
      <c r="B42077" t="s">
        <v>13522</v>
      </c>
    </row>
    <row r="42078" spans="1:2" x14ac:dyDescent="0.25">
      <c r="A42078">
        <v>85371019000</v>
      </c>
      <c r="B42078" t="s">
        <v>10</v>
      </c>
    </row>
    <row r="42079" spans="1:2" x14ac:dyDescent="0.25">
      <c r="A42079">
        <v>85371020000</v>
      </c>
      <c r="B42079" t="s">
        <v>13523</v>
      </c>
    </row>
    <row r="42080" spans="1:2" x14ac:dyDescent="0.25">
      <c r="A42080">
        <v>85371030000</v>
      </c>
      <c r="B42080" t="s">
        <v>13524</v>
      </c>
    </row>
    <row r="42081" spans="1:2" x14ac:dyDescent="0.25">
      <c r="A42081">
        <v>85371090</v>
      </c>
      <c r="B42081" t="s">
        <v>10</v>
      </c>
    </row>
    <row r="42082" spans="1:2" x14ac:dyDescent="0.25">
      <c r="A42082">
        <v>85371090200</v>
      </c>
      <c r="B42082" t="s">
        <v>13525</v>
      </c>
    </row>
    <row r="42083" spans="1:2" x14ac:dyDescent="0.25">
      <c r="A42083">
        <v>85371090300</v>
      </c>
      <c r="B42083" t="s">
        <v>13526</v>
      </c>
    </row>
    <row r="42084" spans="1:2" x14ac:dyDescent="0.25">
      <c r="A42084">
        <v>85371090400</v>
      </c>
      <c r="B42084" t="s">
        <v>13527</v>
      </c>
    </row>
    <row r="42085" spans="1:2" x14ac:dyDescent="0.25">
      <c r="A42085">
        <v>853710909</v>
      </c>
      <c r="B42085" t="s">
        <v>10</v>
      </c>
    </row>
    <row r="42086" spans="1:2" x14ac:dyDescent="0.25">
      <c r="A42086">
        <v>85371090910</v>
      </c>
      <c r="B42086" t="s">
        <v>13528</v>
      </c>
    </row>
    <row r="42087" spans="1:2" x14ac:dyDescent="0.25">
      <c r="A42087">
        <v>85371090990</v>
      </c>
      <c r="B42087" t="s">
        <v>10</v>
      </c>
    </row>
    <row r="42088" spans="1:2" x14ac:dyDescent="0.25">
      <c r="A42088">
        <v>853720</v>
      </c>
      <c r="B42088" t="s">
        <v>13529</v>
      </c>
    </row>
    <row r="42089" spans="1:2" x14ac:dyDescent="0.25">
      <c r="A42089">
        <v>85372010000</v>
      </c>
      <c r="B42089" t="s">
        <v>13530</v>
      </c>
    </row>
    <row r="42090" spans="1:2" x14ac:dyDescent="0.25">
      <c r="A42090">
        <v>85372090</v>
      </c>
      <c r="B42090" t="s">
        <v>10</v>
      </c>
    </row>
    <row r="42091" spans="1:2" x14ac:dyDescent="0.25">
      <c r="A42091">
        <v>85372090100</v>
      </c>
      <c r="B42091" t="s">
        <v>13526</v>
      </c>
    </row>
    <row r="42092" spans="1:2" x14ac:dyDescent="0.25">
      <c r="A42092">
        <v>85372090900</v>
      </c>
      <c r="B42092" t="s">
        <v>10</v>
      </c>
    </row>
    <row r="42093" spans="1:2" x14ac:dyDescent="0.25">
      <c r="A42093">
        <v>8538</v>
      </c>
      <c r="B42093" t="s">
        <v>13531</v>
      </c>
    </row>
    <row r="42094" spans="1:2" x14ac:dyDescent="0.25">
      <c r="A42094">
        <v>85381000000</v>
      </c>
      <c r="B42094" t="s">
        <v>13532</v>
      </c>
    </row>
    <row r="42095" spans="1:2" x14ac:dyDescent="0.25">
      <c r="A42095">
        <v>853890</v>
      </c>
      <c r="B42095" t="e">
        <f>- las demas</f>
        <v>#NAME?</v>
      </c>
    </row>
    <row r="42096" spans="1:2" x14ac:dyDescent="0.25">
      <c r="A42096">
        <v>85389010000</v>
      </c>
      <c r="B42096" t="s">
        <v>12439</v>
      </c>
    </row>
    <row r="42097" spans="1:2" x14ac:dyDescent="0.25">
      <c r="A42097">
        <v>85389020000</v>
      </c>
      <c r="B42097" t="s">
        <v>13533</v>
      </c>
    </row>
    <row r="42098" spans="1:2" x14ac:dyDescent="0.25">
      <c r="A42098">
        <v>85389090000</v>
      </c>
      <c r="B42098" t="s">
        <v>57</v>
      </c>
    </row>
    <row r="42099" spans="1:2" x14ac:dyDescent="0.25">
      <c r="A42099">
        <v>8539</v>
      </c>
      <c r="B42099" t="s">
        <v>13534</v>
      </c>
    </row>
    <row r="42100" spans="1:2" x14ac:dyDescent="0.25">
      <c r="A42100">
        <v>853910</v>
      </c>
      <c r="B42100" t="s">
        <v>13535</v>
      </c>
    </row>
    <row r="42101" spans="1:2" x14ac:dyDescent="0.25">
      <c r="A42101">
        <v>85391010</v>
      </c>
      <c r="B42101" t="s">
        <v>13536</v>
      </c>
    </row>
    <row r="42102" spans="1:2" x14ac:dyDescent="0.25">
      <c r="A42102">
        <v>85391010100</v>
      </c>
      <c r="B42102" t="s">
        <v>6673</v>
      </c>
    </row>
    <row r="42103" spans="1:2" x14ac:dyDescent="0.25">
      <c r="A42103">
        <v>85391010900</v>
      </c>
      <c r="B42103" t="s">
        <v>10</v>
      </c>
    </row>
    <row r="42104" spans="1:2" x14ac:dyDescent="0.25">
      <c r="A42104">
        <v>85391090</v>
      </c>
      <c r="B42104" t="s">
        <v>10</v>
      </c>
    </row>
    <row r="42105" spans="1:2" x14ac:dyDescent="0.25">
      <c r="A42105">
        <v>85391090100</v>
      </c>
      <c r="B42105" t="s">
        <v>6673</v>
      </c>
    </row>
    <row r="42106" spans="1:2" x14ac:dyDescent="0.25">
      <c r="A42106">
        <v>85391090200</v>
      </c>
      <c r="B42106" t="s">
        <v>13537</v>
      </c>
    </row>
    <row r="42107" spans="1:2" x14ac:dyDescent="0.25">
      <c r="A42107">
        <v>85391090900</v>
      </c>
      <c r="B42107" t="s">
        <v>57</v>
      </c>
    </row>
    <row r="42108" spans="1:2" x14ac:dyDescent="0.25">
      <c r="A42108">
        <v>85392</v>
      </c>
      <c r="B42108" t="s">
        <v>13538</v>
      </c>
    </row>
    <row r="42109" spans="1:2" x14ac:dyDescent="0.25">
      <c r="A42109">
        <v>853921</v>
      </c>
      <c r="B42109" t="e">
        <f>- - Halogenos. de volframio (tungsteno)</f>
        <v>#NAME?</v>
      </c>
    </row>
    <row r="42110" spans="1:2" x14ac:dyDescent="0.25">
      <c r="A42110">
        <v>85392110</v>
      </c>
      <c r="B42110" t="s">
        <v>13536</v>
      </c>
    </row>
    <row r="42111" spans="1:2" x14ac:dyDescent="0.25">
      <c r="A42111">
        <v>85392110100</v>
      </c>
      <c r="B42111" t="s">
        <v>13539</v>
      </c>
    </row>
    <row r="42112" spans="1:2" x14ac:dyDescent="0.25">
      <c r="A42112">
        <v>853921102</v>
      </c>
      <c r="B42112" t="s">
        <v>6673</v>
      </c>
    </row>
    <row r="42113" spans="1:2" x14ac:dyDescent="0.25">
      <c r="A42113">
        <v>85392110210</v>
      </c>
      <c r="B42113" t="s">
        <v>13540</v>
      </c>
    </row>
    <row r="42114" spans="1:2" x14ac:dyDescent="0.25">
      <c r="A42114">
        <v>85392110290</v>
      </c>
      <c r="B42114" t="s">
        <v>10</v>
      </c>
    </row>
    <row r="42115" spans="1:2" x14ac:dyDescent="0.25">
      <c r="A42115">
        <v>85392110900</v>
      </c>
      <c r="B42115" t="s">
        <v>57</v>
      </c>
    </row>
    <row r="42116" spans="1:2" x14ac:dyDescent="0.25">
      <c r="A42116">
        <v>85392190</v>
      </c>
      <c r="B42116" t="s">
        <v>10</v>
      </c>
    </row>
    <row r="42117" spans="1:2" x14ac:dyDescent="0.25">
      <c r="A42117">
        <v>85392190100</v>
      </c>
      <c r="B42117" t="s">
        <v>13541</v>
      </c>
    </row>
    <row r="42118" spans="1:2" x14ac:dyDescent="0.25">
      <c r="A42118">
        <v>853921909</v>
      </c>
      <c r="B42118" t="s">
        <v>10</v>
      </c>
    </row>
    <row r="42119" spans="1:2" x14ac:dyDescent="0.25">
      <c r="A42119">
        <v>85392190910</v>
      </c>
      <c r="B42119" t="s">
        <v>13539</v>
      </c>
    </row>
    <row r="42120" spans="1:2" x14ac:dyDescent="0.25">
      <c r="A42120">
        <v>85392190920</v>
      </c>
      <c r="B42120" t="s">
        <v>6673</v>
      </c>
    </row>
    <row r="42121" spans="1:2" x14ac:dyDescent="0.25">
      <c r="A42121">
        <v>85392190990</v>
      </c>
      <c r="B42121" t="s">
        <v>57</v>
      </c>
    </row>
    <row r="42122" spans="1:2" x14ac:dyDescent="0.25">
      <c r="A42122">
        <v>85392200</v>
      </c>
      <c r="B42122" t="s">
        <v>13542</v>
      </c>
    </row>
    <row r="42123" spans="1:2" x14ac:dyDescent="0.25">
      <c r="A42123">
        <v>853922001</v>
      </c>
      <c r="B42123" t="s">
        <v>13543</v>
      </c>
    </row>
    <row r="42124" spans="1:2" x14ac:dyDescent="0.25">
      <c r="A42124">
        <v>8539220011</v>
      </c>
      <c r="B42124" t="s">
        <v>13544</v>
      </c>
    </row>
    <row r="42125" spans="1:2" x14ac:dyDescent="0.25">
      <c r="A42125">
        <v>85392200111</v>
      </c>
      <c r="B42125" t="s">
        <v>13545</v>
      </c>
    </row>
    <row r="42126" spans="1:2" x14ac:dyDescent="0.25">
      <c r="A42126">
        <v>85392200119</v>
      </c>
      <c r="B42126" t="s">
        <v>57</v>
      </c>
    </row>
    <row r="42127" spans="1:2" x14ac:dyDescent="0.25">
      <c r="A42127">
        <v>8539220012</v>
      </c>
      <c r="B42127" t="s">
        <v>13546</v>
      </c>
    </row>
    <row r="42128" spans="1:2" x14ac:dyDescent="0.25">
      <c r="A42128">
        <v>85392200121</v>
      </c>
      <c r="B42128" t="s">
        <v>13545</v>
      </c>
    </row>
    <row r="42129" spans="1:2" x14ac:dyDescent="0.25">
      <c r="A42129">
        <v>85392200129</v>
      </c>
      <c r="B42129" t="s">
        <v>57</v>
      </c>
    </row>
    <row r="42130" spans="1:2" x14ac:dyDescent="0.25">
      <c r="A42130">
        <v>8539220019</v>
      </c>
      <c r="B42130" t="s">
        <v>57</v>
      </c>
    </row>
    <row r="42131" spans="1:2" x14ac:dyDescent="0.25">
      <c r="A42131">
        <v>85392200191</v>
      </c>
      <c r="B42131" t="s">
        <v>13547</v>
      </c>
    </row>
    <row r="42132" spans="1:2" x14ac:dyDescent="0.25">
      <c r="A42132">
        <v>85392200199</v>
      </c>
      <c r="B42132" t="s">
        <v>57</v>
      </c>
    </row>
    <row r="42133" spans="1:2" x14ac:dyDescent="0.25">
      <c r="A42133">
        <v>853922002</v>
      </c>
      <c r="B42133" t="s">
        <v>13548</v>
      </c>
    </row>
    <row r="42134" spans="1:2" x14ac:dyDescent="0.25">
      <c r="A42134">
        <v>8539220021</v>
      </c>
      <c r="B42134" t="s">
        <v>13549</v>
      </c>
    </row>
    <row r="42135" spans="1:2" x14ac:dyDescent="0.25">
      <c r="A42135">
        <v>85392200211</v>
      </c>
      <c r="B42135" t="s">
        <v>13550</v>
      </c>
    </row>
    <row r="42136" spans="1:2" x14ac:dyDescent="0.25">
      <c r="A42136">
        <v>85392200219</v>
      </c>
      <c r="B42136" t="s">
        <v>57</v>
      </c>
    </row>
    <row r="42137" spans="1:2" x14ac:dyDescent="0.25">
      <c r="A42137">
        <v>8539220022</v>
      </c>
      <c r="B42137" t="s">
        <v>13551</v>
      </c>
    </row>
    <row r="42138" spans="1:2" x14ac:dyDescent="0.25">
      <c r="A42138">
        <v>85392200221</v>
      </c>
      <c r="B42138" t="s">
        <v>13552</v>
      </c>
    </row>
    <row r="42139" spans="1:2" x14ac:dyDescent="0.25">
      <c r="A42139">
        <v>85392200229</v>
      </c>
      <c r="B42139" t="s">
        <v>57</v>
      </c>
    </row>
    <row r="42140" spans="1:2" x14ac:dyDescent="0.25">
      <c r="A42140">
        <v>8539220029</v>
      </c>
      <c r="B42140" t="s">
        <v>57</v>
      </c>
    </row>
    <row r="42141" spans="1:2" x14ac:dyDescent="0.25">
      <c r="A42141">
        <v>85392200291</v>
      </c>
      <c r="B42141" t="s">
        <v>13553</v>
      </c>
    </row>
    <row r="42142" spans="1:2" x14ac:dyDescent="0.25">
      <c r="A42142">
        <v>85392200299</v>
      </c>
      <c r="B42142" t="s">
        <v>57</v>
      </c>
    </row>
    <row r="42143" spans="1:2" x14ac:dyDescent="0.25">
      <c r="A42143">
        <v>853922003</v>
      </c>
      <c r="B42143" t="s">
        <v>13554</v>
      </c>
    </row>
    <row r="42144" spans="1:2" x14ac:dyDescent="0.25">
      <c r="A42144">
        <v>85392200310</v>
      </c>
      <c r="B42144" t="s">
        <v>13555</v>
      </c>
    </row>
    <row r="42145" spans="1:2" x14ac:dyDescent="0.25">
      <c r="A42145">
        <v>8539220032</v>
      </c>
      <c r="B42145" t="s">
        <v>13556</v>
      </c>
    </row>
    <row r="42146" spans="1:2" x14ac:dyDescent="0.25">
      <c r="A42146">
        <v>85392200321</v>
      </c>
      <c r="B42146" t="s">
        <v>13557</v>
      </c>
    </row>
    <row r="42147" spans="1:2" x14ac:dyDescent="0.25">
      <c r="A42147">
        <v>85392200329</v>
      </c>
      <c r="B42147" t="s">
        <v>10</v>
      </c>
    </row>
    <row r="42148" spans="1:2" x14ac:dyDescent="0.25">
      <c r="A42148">
        <v>8539220039</v>
      </c>
      <c r="B42148" t="s">
        <v>57</v>
      </c>
    </row>
    <row r="42149" spans="1:2" x14ac:dyDescent="0.25">
      <c r="A42149">
        <v>85392200391</v>
      </c>
      <c r="B42149" t="s">
        <v>13557</v>
      </c>
    </row>
    <row r="42150" spans="1:2" x14ac:dyDescent="0.25">
      <c r="A42150">
        <v>85392200399</v>
      </c>
      <c r="B42150" t="s">
        <v>10</v>
      </c>
    </row>
    <row r="42151" spans="1:2" x14ac:dyDescent="0.25">
      <c r="A42151">
        <v>85392200400</v>
      </c>
      <c r="B42151" t="s">
        <v>13558</v>
      </c>
    </row>
    <row r="42152" spans="1:2" x14ac:dyDescent="0.25">
      <c r="A42152">
        <v>853922009</v>
      </c>
      <c r="B42152" t="s">
        <v>57</v>
      </c>
    </row>
    <row r="42153" spans="1:2" x14ac:dyDescent="0.25">
      <c r="A42153">
        <v>85392200910</v>
      </c>
      <c r="B42153" t="s">
        <v>13557</v>
      </c>
    </row>
    <row r="42154" spans="1:2" x14ac:dyDescent="0.25">
      <c r="A42154">
        <v>85392200990</v>
      </c>
      <c r="B42154" t="s">
        <v>10</v>
      </c>
    </row>
    <row r="42155" spans="1:2" x14ac:dyDescent="0.25">
      <c r="A42155">
        <v>853929</v>
      </c>
      <c r="B42155" t="e">
        <f>- - Los demas</f>
        <v>#NAME?</v>
      </c>
    </row>
    <row r="42156" spans="1:2" x14ac:dyDescent="0.25">
      <c r="A42156">
        <v>85392910</v>
      </c>
      <c r="B42156" t="s">
        <v>13536</v>
      </c>
    </row>
    <row r="42157" spans="1:2" x14ac:dyDescent="0.25">
      <c r="A42157">
        <v>85392910100</v>
      </c>
      <c r="B42157" t="s">
        <v>13559</v>
      </c>
    </row>
    <row r="42158" spans="1:2" x14ac:dyDescent="0.25">
      <c r="A42158">
        <v>85392910200</v>
      </c>
      <c r="B42158" t="s">
        <v>13560</v>
      </c>
    </row>
    <row r="42159" spans="1:2" x14ac:dyDescent="0.25">
      <c r="A42159">
        <v>853929109</v>
      </c>
      <c r="B42159" t="s">
        <v>57</v>
      </c>
    </row>
    <row r="42160" spans="1:2" x14ac:dyDescent="0.25">
      <c r="A42160">
        <v>8539291091</v>
      </c>
      <c r="B42160" t="s">
        <v>6673</v>
      </c>
    </row>
    <row r="42161" spans="1:2" x14ac:dyDescent="0.25">
      <c r="A42161">
        <v>85392910911</v>
      </c>
      <c r="B42161" t="s">
        <v>13561</v>
      </c>
    </row>
    <row r="42162" spans="1:2" x14ac:dyDescent="0.25">
      <c r="A42162">
        <v>85392910919</v>
      </c>
      <c r="B42162" t="s">
        <v>57</v>
      </c>
    </row>
    <row r="42163" spans="1:2" x14ac:dyDescent="0.25">
      <c r="A42163">
        <v>85392910990</v>
      </c>
      <c r="B42163" t="s">
        <v>57</v>
      </c>
    </row>
    <row r="42164" spans="1:2" x14ac:dyDescent="0.25">
      <c r="A42164">
        <v>85392990</v>
      </c>
      <c r="B42164" t="s">
        <v>10</v>
      </c>
    </row>
    <row r="42165" spans="1:2" x14ac:dyDescent="0.25">
      <c r="A42165">
        <v>85392990100</v>
      </c>
      <c r="B42165" t="s">
        <v>13562</v>
      </c>
    </row>
    <row r="42166" spans="1:2" x14ac:dyDescent="0.25">
      <c r="A42166">
        <v>853929902</v>
      </c>
      <c r="B42166" t="s">
        <v>6673</v>
      </c>
    </row>
    <row r="42167" spans="1:2" x14ac:dyDescent="0.25">
      <c r="A42167">
        <v>85392990210</v>
      </c>
      <c r="B42167" t="s">
        <v>13561</v>
      </c>
    </row>
    <row r="42168" spans="1:2" x14ac:dyDescent="0.25">
      <c r="A42168">
        <v>85392990290</v>
      </c>
      <c r="B42168" t="s">
        <v>57</v>
      </c>
    </row>
    <row r="42169" spans="1:2" x14ac:dyDescent="0.25">
      <c r="A42169">
        <v>85392990900</v>
      </c>
      <c r="B42169" t="s">
        <v>10</v>
      </c>
    </row>
    <row r="42170" spans="1:2" x14ac:dyDescent="0.25">
      <c r="A42170">
        <v>85393</v>
      </c>
      <c r="B42170" t="s">
        <v>13563</v>
      </c>
    </row>
    <row r="42171" spans="1:2" x14ac:dyDescent="0.25">
      <c r="A42171">
        <v>85393100</v>
      </c>
      <c r="B42171" t="e">
        <f>- - Fluorescentes. de catodo caliente</f>
        <v>#NAME?</v>
      </c>
    </row>
    <row r="42172" spans="1:2" x14ac:dyDescent="0.25">
      <c r="A42172">
        <v>853931001</v>
      </c>
      <c r="B42172" t="s">
        <v>13564</v>
      </c>
    </row>
    <row r="42173" spans="1:2" x14ac:dyDescent="0.25">
      <c r="A42173">
        <v>8539310011</v>
      </c>
      <c r="B42173" t="s">
        <v>13565</v>
      </c>
    </row>
    <row r="42174" spans="1:2" x14ac:dyDescent="0.25">
      <c r="A42174">
        <v>85393100111</v>
      </c>
      <c r="B42174" t="s">
        <v>13566</v>
      </c>
    </row>
    <row r="42175" spans="1:2" x14ac:dyDescent="0.25">
      <c r="A42175">
        <v>85393100119</v>
      </c>
      <c r="B42175" t="s">
        <v>57</v>
      </c>
    </row>
    <row r="42176" spans="1:2" x14ac:dyDescent="0.25">
      <c r="A42176">
        <v>85393100120</v>
      </c>
      <c r="B42176" t="s">
        <v>13567</v>
      </c>
    </row>
    <row r="42177" spans="1:2" x14ac:dyDescent="0.25">
      <c r="A42177">
        <v>85393100190</v>
      </c>
      <c r="B42177" t="s">
        <v>57</v>
      </c>
    </row>
    <row r="42178" spans="1:2" x14ac:dyDescent="0.25">
      <c r="A42178">
        <v>85393100900</v>
      </c>
      <c r="B42178" t="s">
        <v>10</v>
      </c>
    </row>
    <row r="42179" spans="1:2" x14ac:dyDescent="0.25">
      <c r="A42179">
        <v>85393200000</v>
      </c>
      <c r="B42179" t="e">
        <f>--Lamparas de vapor de Mercurio o Sodio, Lamparas de halogenuro metalico</f>
        <v>#NAME?</v>
      </c>
    </row>
    <row r="42180" spans="1:2" x14ac:dyDescent="0.25">
      <c r="A42180">
        <v>85393900</v>
      </c>
      <c r="B42180" t="e">
        <f>- - Los demas</f>
        <v>#NAME?</v>
      </c>
    </row>
    <row r="42181" spans="1:2" x14ac:dyDescent="0.25">
      <c r="A42181">
        <v>85393900100</v>
      </c>
      <c r="B42181" t="s">
        <v>6673</v>
      </c>
    </row>
    <row r="42182" spans="1:2" x14ac:dyDescent="0.25">
      <c r="A42182">
        <v>85393900900</v>
      </c>
      <c r="B42182" t="s">
        <v>57</v>
      </c>
    </row>
    <row r="42183" spans="1:2" x14ac:dyDescent="0.25">
      <c r="A42183">
        <v>85394</v>
      </c>
      <c r="B42183" t="s">
        <v>13568</v>
      </c>
    </row>
    <row r="42184" spans="1:2" x14ac:dyDescent="0.25">
      <c r="A42184">
        <v>853941</v>
      </c>
      <c r="B42184" t="e">
        <f>- - Lamparas de arco</f>
        <v>#NAME?</v>
      </c>
    </row>
    <row r="42185" spans="1:2" x14ac:dyDescent="0.25">
      <c r="A42185">
        <v>85394110000</v>
      </c>
      <c r="B42185" t="s">
        <v>13569</v>
      </c>
    </row>
    <row r="42186" spans="1:2" x14ac:dyDescent="0.25">
      <c r="A42186">
        <v>85394190000</v>
      </c>
      <c r="B42186" t="s">
        <v>57</v>
      </c>
    </row>
    <row r="42187" spans="1:2" x14ac:dyDescent="0.25">
      <c r="A42187">
        <v>85394900000</v>
      </c>
      <c r="B42187" t="e">
        <f>--Los demas</f>
        <v>#NAME?</v>
      </c>
    </row>
    <row r="42188" spans="1:2" x14ac:dyDescent="0.25">
      <c r="A42188">
        <v>85395000</v>
      </c>
      <c r="B42188" t="e">
        <f>- Lamparas y Tubos de diodos emisores de luz (LED)</f>
        <v>#NAME?</v>
      </c>
    </row>
    <row r="42189" spans="1:2" x14ac:dyDescent="0.25">
      <c r="A42189">
        <v>85395000100</v>
      </c>
      <c r="B42189" t="s">
        <v>6673</v>
      </c>
    </row>
    <row r="42190" spans="1:2" x14ac:dyDescent="0.25">
      <c r="A42190">
        <v>85395000900</v>
      </c>
      <c r="B42190" t="s">
        <v>57</v>
      </c>
    </row>
    <row r="42191" spans="1:2" x14ac:dyDescent="0.25">
      <c r="A42191">
        <v>853990</v>
      </c>
      <c r="B42191" t="e">
        <f>- partes</f>
        <v>#NAME?</v>
      </c>
    </row>
    <row r="42192" spans="1:2" x14ac:dyDescent="0.25">
      <c r="A42192">
        <v>85399010000</v>
      </c>
      <c r="B42192" t="s">
        <v>13570</v>
      </c>
    </row>
    <row r="42193" spans="1:2" x14ac:dyDescent="0.25">
      <c r="A42193">
        <v>85399020000</v>
      </c>
      <c r="B42193" t="s">
        <v>13571</v>
      </c>
    </row>
    <row r="42194" spans="1:2" x14ac:dyDescent="0.25">
      <c r="A42194">
        <v>85399090000</v>
      </c>
      <c r="B42194" t="s">
        <v>57</v>
      </c>
    </row>
    <row r="42195" spans="1:2" x14ac:dyDescent="0.25">
      <c r="A42195">
        <v>8540</v>
      </c>
      <c r="B42195" t="s">
        <v>13572</v>
      </c>
    </row>
    <row r="42196" spans="1:2" x14ac:dyDescent="0.25">
      <c r="A42196">
        <v>85401</v>
      </c>
      <c r="B42196" t="s">
        <v>13573</v>
      </c>
    </row>
    <row r="42197" spans="1:2" x14ac:dyDescent="0.25">
      <c r="A42197">
        <v>85401100000</v>
      </c>
      <c r="B42197" t="e">
        <f>--En colores</f>
        <v>#NAME?</v>
      </c>
    </row>
    <row r="42198" spans="1:2" x14ac:dyDescent="0.25">
      <c r="A42198">
        <v>85401200000</v>
      </c>
      <c r="B42198" t="e">
        <f>--monocromos</f>
        <v>#NAME?</v>
      </c>
    </row>
    <row r="42199" spans="1:2" x14ac:dyDescent="0.25">
      <c r="A42199">
        <v>854020</v>
      </c>
      <c r="B42199" t="e">
        <f>- Tubos para camaras de television, Tubos Convertidores o intensificadores de imagen, Los demas Tubos de fotocatodo</f>
        <v>#NAME?</v>
      </c>
    </row>
    <row r="42200" spans="1:2" x14ac:dyDescent="0.25">
      <c r="A42200">
        <v>8540201</v>
      </c>
      <c r="B42200" t="s">
        <v>13574</v>
      </c>
    </row>
    <row r="42201" spans="1:2" x14ac:dyDescent="0.25">
      <c r="A42201">
        <v>85402011000</v>
      </c>
      <c r="B42201" t="s">
        <v>13575</v>
      </c>
    </row>
    <row r="42202" spans="1:2" x14ac:dyDescent="0.25">
      <c r="A42202">
        <v>85402019000</v>
      </c>
      <c r="B42202" t="s">
        <v>10</v>
      </c>
    </row>
    <row r="42203" spans="1:2" x14ac:dyDescent="0.25">
      <c r="A42203">
        <v>85402020000</v>
      </c>
      <c r="B42203" t="s">
        <v>13576</v>
      </c>
    </row>
    <row r="42204" spans="1:2" x14ac:dyDescent="0.25">
      <c r="A42204">
        <v>85402090000</v>
      </c>
      <c r="B42204" t="s">
        <v>10</v>
      </c>
    </row>
    <row r="42205" spans="1:2" x14ac:dyDescent="0.25">
      <c r="A42205">
        <v>85404000000</v>
      </c>
      <c r="B42205" t="s">
        <v>13577</v>
      </c>
    </row>
    <row r="42206" spans="1:2" x14ac:dyDescent="0.25">
      <c r="A42206">
        <v>854060</v>
      </c>
      <c r="B42206" t="e">
        <f>- Los demas Tubos catodicos</f>
        <v>#NAME?</v>
      </c>
    </row>
    <row r="42207" spans="1:2" x14ac:dyDescent="0.25">
      <c r="A42207">
        <v>85406010000</v>
      </c>
      <c r="B42207" t="s">
        <v>13578</v>
      </c>
    </row>
    <row r="42208" spans="1:2" x14ac:dyDescent="0.25">
      <c r="A42208">
        <v>85406090000</v>
      </c>
      <c r="B42208" t="s">
        <v>10</v>
      </c>
    </row>
    <row r="42209" spans="1:2" x14ac:dyDescent="0.25">
      <c r="A42209">
        <v>85407</v>
      </c>
      <c r="B42209" t="s">
        <v>13579</v>
      </c>
    </row>
    <row r="42210" spans="1:2" x14ac:dyDescent="0.25">
      <c r="A42210">
        <v>85407100</v>
      </c>
      <c r="B42210" t="e">
        <f>- - Magnetrones</f>
        <v>#NAME?</v>
      </c>
    </row>
    <row r="42211" spans="1:2" x14ac:dyDescent="0.25">
      <c r="A42211">
        <v>85407100100</v>
      </c>
      <c r="B42211" t="s">
        <v>13580</v>
      </c>
    </row>
    <row r="42212" spans="1:2" x14ac:dyDescent="0.25">
      <c r="A42212">
        <v>85407100900</v>
      </c>
      <c r="B42212" t="s">
        <v>10</v>
      </c>
    </row>
    <row r="42213" spans="1:2" x14ac:dyDescent="0.25">
      <c r="A42213">
        <v>85407900000</v>
      </c>
      <c r="B42213" t="e">
        <f>--Los demas</f>
        <v>#NAME?</v>
      </c>
    </row>
    <row r="42214" spans="1:2" x14ac:dyDescent="0.25">
      <c r="A42214">
        <v>85408</v>
      </c>
      <c r="B42214" t="s">
        <v>13581</v>
      </c>
    </row>
    <row r="42215" spans="1:2" x14ac:dyDescent="0.25">
      <c r="A42215">
        <v>85408100000</v>
      </c>
      <c r="B42215" t="e">
        <f>--Tubos receptores o Amplificadores</f>
        <v>#NAME?</v>
      </c>
    </row>
    <row r="42216" spans="1:2" x14ac:dyDescent="0.25">
      <c r="A42216">
        <v>854089</v>
      </c>
      <c r="B42216" t="e">
        <f>- - Los demas</f>
        <v>#NAME?</v>
      </c>
    </row>
    <row r="42217" spans="1:2" x14ac:dyDescent="0.25">
      <c r="A42217">
        <v>85408910000</v>
      </c>
      <c r="B42217" t="s">
        <v>13582</v>
      </c>
    </row>
    <row r="42218" spans="1:2" x14ac:dyDescent="0.25">
      <c r="A42218">
        <v>85408990000</v>
      </c>
      <c r="B42218" t="s">
        <v>10</v>
      </c>
    </row>
    <row r="42219" spans="1:2" x14ac:dyDescent="0.25">
      <c r="A42219">
        <v>85409</v>
      </c>
      <c r="B42219" t="s">
        <v>11167</v>
      </c>
    </row>
    <row r="42220" spans="1:2" x14ac:dyDescent="0.25">
      <c r="A42220">
        <v>854091</v>
      </c>
      <c r="B42220" t="e">
        <f>- - de Tubos catodicos</f>
        <v>#NAME?</v>
      </c>
    </row>
    <row r="42221" spans="1:2" x14ac:dyDescent="0.25">
      <c r="A42221">
        <v>85409110000</v>
      </c>
      <c r="B42221" t="s">
        <v>13583</v>
      </c>
    </row>
    <row r="42222" spans="1:2" x14ac:dyDescent="0.25">
      <c r="A42222">
        <v>85409120000</v>
      </c>
      <c r="B42222" t="s">
        <v>13584</v>
      </c>
    </row>
    <row r="42223" spans="1:2" x14ac:dyDescent="0.25">
      <c r="A42223">
        <v>85409130000</v>
      </c>
      <c r="B42223" t="s">
        <v>13585</v>
      </c>
    </row>
    <row r="42224" spans="1:2" x14ac:dyDescent="0.25">
      <c r="A42224">
        <v>85409140000</v>
      </c>
      <c r="B42224" t="s">
        <v>13586</v>
      </c>
    </row>
    <row r="42225" spans="1:2" x14ac:dyDescent="0.25">
      <c r="A42225">
        <v>85409190000</v>
      </c>
      <c r="B42225" t="s">
        <v>57</v>
      </c>
    </row>
    <row r="42226" spans="1:2" x14ac:dyDescent="0.25">
      <c r="A42226">
        <v>85409900000</v>
      </c>
      <c r="B42226" t="e">
        <f>--las demas</f>
        <v>#NAME?</v>
      </c>
    </row>
    <row r="42227" spans="1:2" x14ac:dyDescent="0.25">
      <c r="A42227">
        <v>8541</v>
      </c>
      <c r="B42227" t="s">
        <v>13587</v>
      </c>
    </row>
    <row r="42228" spans="1:2" x14ac:dyDescent="0.25">
      <c r="A42228">
        <v>854110</v>
      </c>
      <c r="B42228" t="e">
        <f>- Diodos. excepto Los fotodiodos y Los diodos emisores de luz (LED)</f>
        <v>#NAME?</v>
      </c>
    </row>
    <row r="42229" spans="1:2" x14ac:dyDescent="0.25">
      <c r="A42229">
        <v>8541101</v>
      </c>
      <c r="B42229" t="s">
        <v>13588</v>
      </c>
    </row>
    <row r="42230" spans="1:2" x14ac:dyDescent="0.25">
      <c r="A42230">
        <v>85411011000</v>
      </c>
      <c r="B42230" t="s">
        <v>13589</v>
      </c>
    </row>
    <row r="42231" spans="1:2" x14ac:dyDescent="0.25">
      <c r="A42231">
        <v>85411012000</v>
      </c>
      <c r="B42231" t="s">
        <v>13590</v>
      </c>
    </row>
    <row r="42232" spans="1:2" x14ac:dyDescent="0.25">
      <c r="A42232">
        <v>85411019000</v>
      </c>
      <c r="B42232" t="s">
        <v>10</v>
      </c>
    </row>
    <row r="42233" spans="1:2" x14ac:dyDescent="0.25">
      <c r="A42233">
        <v>8541102</v>
      </c>
      <c r="B42233" t="s">
        <v>13591</v>
      </c>
    </row>
    <row r="42234" spans="1:2" x14ac:dyDescent="0.25">
      <c r="A42234">
        <v>85411021000</v>
      </c>
      <c r="B42234" t="s">
        <v>13589</v>
      </c>
    </row>
    <row r="42235" spans="1:2" x14ac:dyDescent="0.25">
      <c r="A42235">
        <v>85411022000</v>
      </c>
      <c r="B42235" t="s">
        <v>13590</v>
      </c>
    </row>
    <row r="42236" spans="1:2" x14ac:dyDescent="0.25">
      <c r="A42236">
        <v>85411029000</v>
      </c>
      <c r="B42236" t="s">
        <v>10</v>
      </c>
    </row>
    <row r="42237" spans="1:2" x14ac:dyDescent="0.25">
      <c r="A42237">
        <v>8541103</v>
      </c>
      <c r="B42237" t="s">
        <v>13592</v>
      </c>
    </row>
    <row r="42238" spans="1:2" x14ac:dyDescent="0.25">
      <c r="A42238">
        <v>85411031000</v>
      </c>
      <c r="B42238" t="s">
        <v>13589</v>
      </c>
    </row>
    <row r="42239" spans="1:2" x14ac:dyDescent="0.25">
      <c r="A42239">
        <v>85411032000</v>
      </c>
      <c r="B42239" t="s">
        <v>13590</v>
      </c>
    </row>
    <row r="42240" spans="1:2" x14ac:dyDescent="0.25">
      <c r="A42240">
        <v>85411039000</v>
      </c>
      <c r="B42240" t="s">
        <v>10</v>
      </c>
    </row>
    <row r="42241" spans="1:2" x14ac:dyDescent="0.25">
      <c r="A42241">
        <v>8541109</v>
      </c>
      <c r="B42241" t="s">
        <v>10</v>
      </c>
    </row>
    <row r="42242" spans="1:2" x14ac:dyDescent="0.25">
      <c r="A42242">
        <v>85411091000</v>
      </c>
      <c r="B42242" t="s">
        <v>13589</v>
      </c>
    </row>
    <row r="42243" spans="1:2" x14ac:dyDescent="0.25">
      <c r="A42243">
        <v>85411092000</v>
      </c>
      <c r="B42243" t="s">
        <v>13590</v>
      </c>
    </row>
    <row r="42244" spans="1:2" x14ac:dyDescent="0.25">
      <c r="A42244">
        <v>85411099000</v>
      </c>
      <c r="B42244" t="s">
        <v>10</v>
      </c>
    </row>
    <row r="42245" spans="1:2" x14ac:dyDescent="0.25">
      <c r="A42245">
        <v>85412</v>
      </c>
      <c r="B42245" t="s">
        <v>13593</v>
      </c>
    </row>
    <row r="42246" spans="1:2" x14ac:dyDescent="0.25">
      <c r="A42246">
        <v>854121</v>
      </c>
      <c r="B42246" t="s">
        <v>13594</v>
      </c>
    </row>
    <row r="42247" spans="1:2" x14ac:dyDescent="0.25">
      <c r="A42247">
        <v>85412110000</v>
      </c>
      <c r="B42247" t="s">
        <v>13588</v>
      </c>
    </row>
    <row r="42248" spans="1:2" x14ac:dyDescent="0.25">
      <c r="A42248">
        <v>85412120000</v>
      </c>
      <c r="B42248" t="s">
        <v>13591</v>
      </c>
    </row>
    <row r="42249" spans="1:2" x14ac:dyDescent="0.25">
      <c r="A42249">
        <v>8541219</v>
      </c>
      <c r="B42249" t="s">
        <v>10</v>
      </c>
    </row>
    <row r="42250" spans="1:2" x14ac:dyDescent="0.25">
      <c r="A42250">
        <v>85412191000</v>
      </c>
      <c r="B42250" t="s">
        <v>13595</v>
      </c>
    </row>
    <row r="42251" spans="1:2" x14ac:dyDescent="0.25">
      <c r="A42251">
        <v>85412199000</v>
      </c>
      <c r="B42251" t="s">
        <v>10</v>
      </c>
    </row>
    <row r="42252" spans="1:2" x14ac:dyDescent="0.25">
      <c r="A42252">
        <v>854129</v>
      </c>
      <c r="B42252" t="e">
        <f>- - Los demas</f>
        <v>#NAME?</v>
      </c>
    </row>
    <row r="42253" spans="1:2" x14ac:dyDescent="0.25">
      <c r="A42253">
        <v>85412910000</v>
      </c>
      <c r="B42253" t="s">
        <v>13588</v>
      </c>
    </row>
    <row r="42254" spans="1:2" x14ac:dyDescent="0.25">
      <c r="A42254">
        <v>85412920000</v>
      </c>
      <c r="B42254" t="s">
        <v>13596</v>
      </c>
    </row>
    <row r="42255" spans="1:2" x14ac:dyDescent="0.25">
      <c r="A42255">
        <v>854130</v>
      </c>
      <c r="B42255" t="e">
        <f>- Tiristores. diacs y triacs. excepto Los Dispositivos fotosensibles</f>
        <v>#NAME?</v>
      </c>
    </row>
    <row r="42256" spans="1:2" x14ac:dyDescent="0.25">
      <c r="A42256">
        <v>8541301</v>
      </c>
      <c r="B42256" t="s">
        <v>13588</v>
      </c>
    </row>
    <row r="42257" spans="1:2" x14ac:dyDescent="0.25">
      <c r="A42257">
        <v>85413011000</v>
      </c>
      <c r="B42257" t="s">
        <v>13597</v>
      </c>
    </row>
    <row r="42258" spans="1:2" x14ac:dyDescent="0.25">
      <c r="A42258">
        <v>85413019000</v>
      </c>
      <c r="B42258" t="s">
        <v>10</v>
      </c>
    </row>
    <row r="42259" spans="1:2" x14ac:dyDescent="0.25">
      <c r="A42259">
        <v>8541302</v>
      </c>
      <c r="B42259" t="s">
        <v>13596</v>
      </c>
    </row>
    <row r="42260" spans="1:2" x14ac:dyDescent="0.25">
      <c r="A42260">
        <v>85413021000</v>
      </c>
      <c r="B42260" t="s">
        <v>13597</v>
      </c>
    </row>
    <row r="42261" spans="1:2" x14ac:dyDescent="0.25">
      <c r="A42261">
        <v>85413029</v>
      </c>
      <c r="B42261" t="s">
        <v>10</v>
      </c>
    </row>
    <row r="42262" spans="1:2" x14ac:dyDescent="0.25">
      <c r="A42262">
        <v>85413029100</v>
      </c>
      <c r="B42262" t="s">
        <v>13598</v>
      </c>
    </row>
    <row r="42263" spans="1:2" x14ac:dyDescent="0.25">
      <c r="A42263">
        <v>85413029900</v>
      </c>
      <c r="B42263" t="s">
        <v>10</v>
      </c>
    </row>
    <row r="42264" spans="1:2" x14ac:dyDescent="0.25">
      <c r="A42264">
        <v>854140</v>
      </c>
      <c r="B42264" t="e">
        <f>- Dispositivos semiconductores fotosensibles. incluidas las celulas fotovoltaicas. aunque esten ensambladas En modulos o paneles, diodos emisores de luz (LED)</f>
        <v>#NAME?</v>
      </c>
    </row>
    <row r="42265" spans="1:2" x14ac:dyDescent="0.25">
      <c r="A42265">
        <v>8541401</v>
      </c>
      <c r="B42265" t="s">
        <v>13588</v>
      </c>
    </row>
    <row r="42266" spans="1:2" x14ac:dyDescent="0.25">
      <c r="A42266">
        <v>85414011000</v>
      </c>
      <c r="B42266" t="s">
        <v>13599</v>
      </c>
    </row>
    <row r="42267" spans="1:2" x14ac:dyDescent="0.25">
      <c r="A42267">
        <v>85414012000</v>
      </c>
      <c r="B42267" t="s">
        <v>13600</v>
      </c>
    </row>
    <row r="42268" spans="1:2" x14ac:dyDescent="0.25">
      <c r="A42268">
        <v>85414013000</v>
      </c>
      <c r="B42268" t="s">
        <v>13601</v>
      </c>
    </row>
    <row r="42269" spans="1:2" x14ac:dyDescent="0.25">
      <c r="A42269">
        <v>85414014000</v>
      </c>
      <c r="B42269" t="s">
        <v>13602</v>
      </c>
    </row>
    <row r="42270" spans="1:2" x14ac:dyDescent="0.25">
      <c r="A42270">
        <v>85414015000</v>
      </c>
      <c r="B42270" t="s">
        <v>13603</v>
      </c>
    </row>
    <row r="42271" spans="1:2" x14ac:dyDescent="0.25">
      <c r="A42271">
        <v>85414016000</v>
      </c>
      <c r="B42271" t="s">
        <v>13604</v>
      </c>
    </row>
    <row r="42272" spans="1:2" x14ac:dyDescent="0.25">
      <c r="A42272">
        <v>85414019000</v>
      </c>
      <c r="B42272" t="s">
        <v>10</v>
      </c>
    </row>
    <row r="42273" spans="1:2" x14ac:dyDescent="0.25">
      <c r="A42273">
        <v>8541402</v>
      </c>
      <c r="B42273" t="s">
        <v>13605</v>
      </c>
    </row>
    <row r="42274" spans="1:2" x14ac:dyDescent="0.25">
      <c r="A42274">
        <v>85414021000</v>
      </c>
      <c r="B42274" t="s">
        <v>13606</v>
      </c>
    </row>
    <row r="42275" spans="1:2" x14ac:dyDescent="0.25">
      <c r="A42275">
        <v>85414022000</v>
      </c>
      <c r="B42275" t="s">
        <v>13607</v>
      </c>
    </row>
    <row r="42276" spans="1:2" x14ac:dyDescent="0.25">
      <c r="A42276">
        <v>85414023000</v>
      </c>
      <c r="B42276" t="s">
        <v>13608</v>
      </c>
    </row>
    <row r="42277" spans="1:2" x14ac:dyDescent="0.25">
      <c r="A42277">
        <v>85414024000</v>
      </c>
      <c r="B42277" t="s">
        <v>13609</v>
      </c>
    </row>
    <row r="42278" spans="1:2" x14ac:dyDescent="0.25">
      <c r="A42278">
        <v>85414025000</v>
      </c>
      <c r="B42278" t="s">
        <v>13610</v>
      </c>
    </row>
    <row r="42279" spans="1:2" x14ac:dyDescent="0.25">
      <c r="A42279">
        <v>85414026000</v>
      </c>
      <c r="B42279" t="s">
        <v>13611</v>
      </c>
    </row>
    <row r="42280" spans="1:2" x14ac:dyDescent="0.25">
      <c r="A42280">
        <v>85414027000</v>
      </c>
      <c r="B42280" t="s">
        <v>13612</v>
      </c>
    </row>
    <row r="42281" spans="1:2" x14ac:dyDescent="0.25">
      <c r="A42281">
        <v>85414029000</v>
      </c>
      <c r="B42281" t="s">
        <v>10</v>
      </c>
    </row>
    <row r="42282" spans="1:2" x14ac:dyDescent="0.25">
      <c r="A42282">
        <v>8541403</v>
      </c>
      <c r="B42282" t="s">
        <v>13613</v>
      </c>
    </row>
    <row r="42283" spans="1:2" x14ac:dyDescent="0.25">
      <c r="A42283">
        <v>85414031000</v>
      </c>
      <c r="B42283" t="s">
        <v>13601</v>
      </c>
    </row>
    <row r="42284" spans="1:2" x14ac:dyDescent="0.25">
      <c r="A42284">
        <v>85414032</v>
      </c>
      <c r="B42284" t="s">
        <v>13604</v>
      </c>
    </row>
    <row r="42285" spans="1:2" x14ac:dyDescent="0.25">
      <c r="A42285">
        <v>85414032100</v>
      </c>
      <c r="B42285" t="s">
        <v>12735</v>
      </c>
    </row>
    <row r="42286" spans="1:2" x14ac:dyDescent="0.25">
      <c r="A42286">
        <v>85414032200</v>
      </c>
      <c r="B42286" t="s">
        <v>12736</v>
      </c>
    </row>
    <row r="42287" spans="1:2" x14ac:dyDescent="0.25">
      <c r="A42287">
        <v>85414032300</v>
      </c>
      <c r="B42287" t="s">
        <v>12737</v>
      </c>
    </row>
    <row r="42288" spans="1:2" x14ac:dyDescent="0.25">
      <c r="A42288">
        <v>85414032400</v>
      </c>
      <c r="B42288" t="s">
        <v>12738</v>
      </c>
    </row>
    <row r="42289" spans="1:2" x14ac:dyDescent="0.25">
      <c r="A42289">
        <v>85414032500</v>
      </c>
      <c r="B42289" t="s">
        <v>12739</v>
      </c>
    </row>
    <row r="42290" spans="1:2" x14ac:dyDescent="0.25">
      <c r="A42290">
        <v>854140329</v>
      </c>
      <c r="B42290" t="s">
        <v>57</v>
      </c>
    </row>
    <row r="42291" spans="1:2" x14ac:dyDescent="0.25">
      <c r="A42291">
        <v>85414032910</v>
      </c>
      <c r="B42291" t="s">
        <v>13614</v>
      </c>
    </row>
    <row r="42292" spans="1:2" x14ac:dyDescent="0.25">
      <c r="A42292">
        <v>85414032990</v>
      </c>
      <c r="B42292" t="s">
        <v>10</v>
      </c>
    </row>
    <row r="42293" spans="1:2" x14ac:dyDescent="0.25">
      <c r="A42293">
        <v>85414039000</v>
      </c>
      <c r="B42293" t="s">
        <v>57</v>
      </c>
    </row>
    <row r="42294" spans="1:2" x14ac:dyDescent="0.25">
      <c r="A42294">
        <v>854150</v>
      </c>
      <c r="B42294" t="e">
        <f>- Los demas Dispositivos semiconductores</f>
        <v>#NAME?</v>
      </c>
    </row>
    <row r="42295" spans="1:2" x14ac:dyDescent="0.25">
      <c r="A42295">
        <v>85415010000</v>
      </c>
      <c r="B42295" t="s">
        <v>13588</v>
      </c>
    </row>
    <row r="42296" spans="1:2" x14ac:dyDescent="0.25">
      <c r="A42296">
        <v>85415020000</v>
      </c>
      <c r="B42296" t="s">
        <v>13596</v>
      </c>
    </row>
    <row r="42297" spans="1:2" x14ac:dyDescent="0.25">
      <c r="A42297">
        <v>854160</v>
      </c>
      <c r="B42297" t="e">
        <f>- Cristales piezoelectricos montados</f>
        <v>#NAME?</v>
      </c>
    </row>
    <row r="42298" spans="1:2" x14ac:dyDescent="0.25">
      <c r="A42298">
        <v>85416010000</v>
      </c>
      <c r="B42298" t="s">
        <v>13615</v>
      </c>
    </row>
    <row r="42299" spans="1:2" x14ac:dyDescent="0.25">
      <c r="A42299">
        <v>85416090000</v>
      </c>
      <c r="B42299" t="s">
        <v>10</v>
      </c>
    </row>
    <row r="42300" spans="1:2" x14ac:dyDescent="0.25">
      <c r="A42300">
        <v>854190</v>
      </c>
      <c r="B42300" t="e">
        <f>- partes</f>
        <v>#NAME?</v>
      </c>
    </row>
    <row r="42301" spans="1:2" x14ac:dyDescent="0.25">
      <c r="A42301">
        <v>85419010000</v>
      </c>
      <c r="B42301" t="s">
        <v>13616</v>
      </c>
    </row>
    <row r="42302" spans="1:2" x14ac:dyDescent="0.25">
      <c r="A42302">
        <v>85419020000</v>
      </c>
      <c r="B42302" t="s">
        <v>13617</v>
      </c>
    </row>
    <row r="42303" spans="1:2" x14ac:dyDescent="0.25">
      <c r="A42303">
        <v>85419090000</v>
      </c>
      <c r="B42303" t="s">
        <v>57</v>
      </c>
    </row>
    <row r="42304" spans="1:2" x14ac:dyDescent="0.25">
      <c r="A42304">
        <v>8542</v>
      </c>
      <c r="B42304" t="s">
        <v>13618</v>
      </c>
    </row>
    <row r="42305" spans="1:2" x14ac:dyDescent="0.25">
      <c r="A42305">
        <v>85423</v>
      </c>
      <c r="B42305" t="s">
        <v>13619</v>
      </c>
    </row>
    <row r="42306" spans="1:2" x14ac:dyDescent="0.25">
      <c r="A42306">
        <v>854231</v>
      </c>
      <c r="B42306" t="e">
        <f>- - Procesadores y controladores. incluso combinados Con memorias. convertidores. circuitos logicos. amplificadores. relojes y circuitos de sincronizacion. u otros circuitos</f>
        <v>#NAME?</v>
      </c>
    </row>
    <row r="42307" spans="1:2" x14ac:dyDescent="0.25">
      <c r="A42307">
        <v>85423110000</v>
      </c>
      <c r="B42307" t="s">
        <v>13588</v>
      </c>
    </row>
    <row r="42308" spans="1:2" x14ac:dyDescent="0.25">
      <c r="A42308">
        <v>85423120000</v>
      </c>
      <c r="B42308" t="s">
        <v>13591</v>
      </c>
    </row>
    <row r="42309" spans="1:2" x14ac:dyDescent="0.25">
      <c r="A42309">
        <v>85423190000</v>
      </c>
      <c r="B42309" t="s">
        <v>10</v>
      </c>
    </row>
    <row r="42310" spans="1:2" x14ac:dyDescent="0.25">
      <c r="A42310">
        <v>854232</v>
      </c>
      <c r="B42310" t="e">
        <f>- - Memorias</f>
        <v>#NAME?</v>
      </c>
    </row>
    <row r="42311" spans="1:2" x14ac:dyDescent="0.25">
      <c r="A42311">
        <v>85423210000</v>
      </c>
      <c r="B42311" t="s">
        <v>13588</v>
      </c>
    </row>
    <row r="42312" spans="1:2" x14ac:dyDescent="0.25">
      <c r="A42312">
        <v>8542322</v>
      </c>
      <c r="B42312" t="s">
        <v>13620</v>
      </c>
    </row>
    <row r="42313" spans="1:2" x14ac:dyDescent="0.25">
      <c r="A42313">
        <v>85423221</v>
      </c>
      <c r="B42313" t="s">
        <v>13621</v>
      </c>
    </row>
    <row r="42314" spans="1:2" x14ac:dyDescent="0.25">
      <c r="A42314">
        <v>85423221100</v>
      </c>
      <c r="B42314" t="s">
        <v>13622</v>
      </c>
    </row>
    <row r="42315" spans="1:2" x14ac:dyDescent="0.25">
      <c r="A42315">
        <v>85423221900</v>
      </c>
      <c r="B42315" t="s">
        <v>57</v>
      </c>
    </row>
    <row r="42316" spans="1:2" x14ac:dyDescent="0.25">
      <c r="A42316">
        <v>85423229</v>
      </c>
      <c r="B42316" t="s">
        <v>57</v>
      </c>
    </row>
    <row r="42317" spans="1:2" x14ac:dyDescent="0.25">
      <c r="A42317">
        <v>85423229100</v>
      </c>
      <c r="B42317" t="s">
        <v>13622</v>
      </c>
    </row>
    <row r="42318" spans="1:2" x14ac:dyDescent="0.25">
      <c r="A42318">
        <v>85423229900</v>
      </c>
      <c r="B42318" t="s">
        <v>57</v>
      </c>
    </row>
    <row r="42319" spans="1:2" x14ac:dyDescent="0.25">
      <c r="A42319">
        <v>8542329</v>
      </c>
      <c r="B42319" t="s">
        <v>57</v>
      </c>
    </row>
    <row r="42320" spans="1:2" x14ac:dyDescent="0.25">
      <c r="A42320">
        <v>85423291</v>
      </c>
      <c r="B42320" t="s">
        <v>13621</v>
      </c>
    </row>
    <row r="42321" spans="1:2" x14ac:dyDescent="0.25">
      <c r="A42321">
        <v>85423291100</v>
      </c>
      <c r="B42321" t="s">
        <v>13622</v>
      </c>
    </row>
    <row r="42322" spans="1:2" x14ac:dyDescent="0.25">
      <c r="A42322">
        <v>85423291900</v>
      </c>
      <c r="B42322" t="s">
        <v>57</v>
      </c>
    </row>
    <row r="42323" spans="1:2" x14ac:dyDescent="0.25">
      <c r="A42323">
        <v>85423299</v>
      </c>
      <c r="B42323" t="s">
        <v>57</v>
      </c>
    </row>
    <row r="42324" spans="1:2" x14ac:dyDescent="0.25">
      <c r="A42324">
        <v>85423299100</v>
      </c>
      <c r="B42324" t="s">
        <v>13622</v>
      </c>
    </row>
    <row r="42325" spans="1:2" x14ac:dyDescent="0.25">
      <c r="A42325">
        <v>85423299900</v>
      </c>
      <c r="B42325" t="s">
        <v>57</v>
      </c>
    </row>
    <row r="42326" spans="1:2" x14ac:dyDescent="0.25">
      <c r="A42326">
        <v>854233</v>
      </c>
      <c r="B42326" t="e">
        <f>- - Amplificadores</f>
        <v>#NAME?</v>
      </c>
    </row>
    <row r="42327" spans="1:2" x14ac:dyDescent="0.25">
      <c r="A42327">
        <v>8542331</v>
      </c>
      <c r="B42327" t="s">
        <v>13623</v>
      </c>
    </row>
    <row r="42328" spans="1:2" x14ac:dyDescent="0.25">
      <c r="A42328">
        <v>85423311000</v>
      </c>
      <c r="B42328" t="s">
        <v>13624</v>
      </c>
    </row>
    <row r="42329" spans="1:2" x14ac:dyDescent="0.25">
      <c r="A42329">
        <v>85423319000</v>
      </c>
      <c r="B42329" t="s">
        <v>10</v>
      </c>
    </row>
    <row r="42330" spans="1:2" x14ac:dyDescent="0.25">
      <c r="A42330">
        <v>85423320000</v>
      </c>
      <c r="B42330" t="s">
        <v>13625</v>
      </c>
    </row>
    <row r="42331" spans="1:2" x14ac:dyDescent="0.25">
      <c r="A42331">
        <v>85423390000</v>
      </c>
      <c r="B42331" t="s">
        <v>10</v>
      </c>
    </row>
    <row r="42332" spans="1:2" x14ac:dyDescent="0.25">
      <c r="A42332">
        <v>854239</v>
      </c>
      <c r="B42332" t="e">
        <f>- - Los demas</f>
        <v>#NAME?</v>
      </c>
    </row>
    <row r="42333" spans="1:2" x14ac:dyDescent="0.25">
      <c r="A42333">
        <v>8542391</v>
      </c>
      <c r="B42333" t="s">
        <v>13623</v>
      </c>
    </row>
    <row r="42334" spans="1:2" x14ac:dyDescent="0.25">
      <c r="A42334">
        <v>85423911000</v>
      </c>
      <c r="B42334" t="s">
        <v>13624</v>
      </c>
    </row>
    <row r="42335" spans="1:2" x14ac:dyDescent="0.25">
      <c r="A42335">
        <v>85423919000</v>
      </c>
      <c r="B42335" t="s">
        <v>10</v>
      </c>
    </row>
    <row r="42336" spans="1:2" x14ac:dyDescent="0.25">
      <c r="A42336">
        <v>85423920000</v>
      </c>
      <c r="B42336" t="s">
        <v>13625</v>
      </c>
    </row>
    <row r="42337" spans="1:2" x14ac:dyDescent="0.25">
      <c r="A42337">
        <v>8542393</v>
      </c>
      <c r="B42337" t="s">
        <v>13626</v>
      </c>
    </row>
    <row r="42338" spans="1:2" x14ac:dyDescent="0.25">
      <c r="A42338">
        <v>85423931000</v>
      </c>
      <c r="B42338" t="s">
        <v>13627</v>
      </c>
    </row>
    <row r="42339" spans="1:2" x14ac:dyDescent="0.25">
      <c r="A42339">
        <v>85423939000</v>
      </c>
      <c r="B42339" t="s">
        <v>10</v>
      </c>
    </row>
    <row r="42340" spans="1:2" x14ac:dyDescent="0.25">
      <c r="A42340">
        <v>8542399</v>
      </c>
      <c r="B42340" t="s">
        <v>10</v>
      </c>
    </row>
    <row r="42341" spans="1:2" x14ac:dyDescent="0.25">
      <c r="A42341">
        <v>85423991000</v>
      </c>
      <c r="B42341" t="s">
        <v>13627</v>
      </c>
    </row>
    <row r="42342" spans="1:2" x14ac:dyDescent="0.25">
      <c r="A42342">
        <v>85423999000</v>
      </c>
      <c r="B42342" t="s">
        <v>10</v>
      </c>
    </row>
    <row r="42343" spans="1:2" x14ac:dyDescent="0.25">
      <c r="A42343">
        <v>854290</v>
      </c>
      <c r="B42343" t="e">
        <f>- partes</f>
        <v>#NAME?</v>
      </c>
    </row>
    <row r="42344" spans="1:2" x14ac:dyDescent="0.25">
      <c r="A42344">
        <v>85429010000</v>
      </c>
      <c r="B42344" t="s">
        <v>13628</v>
      </c>
    </row>
    <row r="42345" spans="1:2" x14ac:dyDescent="0.25">
      <c r="A42345">
        <v>85429020000</v>
      </c>
      <c r="B42345" t="s">
        <v>13617</v>
      </c>
    </row>
    <row r="42346" spans="1:2" x14ac:dyDescent="0.25">
      <c r="A42346">
        <v>85429090000</v>
      </c>
      <c r="B42346" t="s">
        <v>57</v>
      </c>
    </row>
    <row r="42347" spans="1:2" x14ac:dyDescent="0.25">
      <c r="A42347">
        <v>8543</v>
      </c>
      <c r="B42347" t="s">
        <v>13629</v>
      </c>
    </row>
    <row r="42348" spans="1:2" x14ac:dyDescent="0.25">
      <c r="A42348">
        <v>85431000000</v>
      </c>
      <c r="B42348" t="e">
        <f>-Aceleradores de particulas</f>
        <v>#NAME?</v>
      </c>
    </row>
    <row r="42349" spans="1:2" x14ac:dyDescent="0.25">
      <c r="A42349">
        <v>85432000000</v>
      </c>
      <c r="B42349" t="e">
        <f>-Generadores de señales</f>
        <v>#NAME?</v>
      </c>
    </row>
    <row r="42350" spans="1:2" x14ac:dyDescent="0.25">
      <c r="A42350">
        <v>854330</v>
      </c>
      <c r="B42350" t="e">
        <f>- maquinas y aparatos de galvanoplastia. electrolisis o electroforesis</f>
        <v>#NAME?</v>
      </c>
    </row>
    <row r="42351" spans="1:2" x14ac:dyDescent="0.25">
      <c r="A42351">
        <v>85433010000</v>
      </c>
      <c r="B42351" t="s">
        <v>13630</v>
      </c>
    </row>
    <row r="42352" spans="1:2" x14ac:dyDescent="0.25">
      <c r="A42352">
        <v>85433090000</v>
      </c>
      <c r="B42352" t="s">
        <v>10</v>
      </c>
    </row>
    <row r="42353" spans="1:2" x14ac:dyDescent="0.25">
      <c r="A42353">
        <v>854370</v>
      </c>
      <c r="B42353" t="e">
        <f>- las demas maquinas y aparatos</f>
        <v>#NAME?</v>
      </c>
    </row>
    <row r="42354" spans="1:2" x14ac:dyDescent="0.25">
      <c r="A42354">
        <v>8543701</v>
      </c>
      <c r="B42354" t="s">
        <v>13631</v>
      </c>
    </row>
    <row r="42355" spans="1:2" x14ac:dyDescent="0.25">
      <c r="A42355">
        <v>85437011000</v>
      </c>
      <c r="B42355" t="s">
        <v>13632</v>
      </c>
    </row>
    <row r="42356" spans="1:2" x14ac:dyDescent="0.25">
      <c r="A42356">
        <v>85437012000</v>
      </c>
      <c r="B42356" t="s">
        <v>13633</v>
      </c>
    </row>
    <row r="42357" spans="1:2" x14ac:dyDescent="0.25">
      <c r="A42357">
        <v>85437013000</v>
      </c>
      <c r="B42357" t="s">
        <v>13634</v>
      </c>
    </row>
    <row r="42358" spans="1:2" x14ac:dyDescent="0.25">
      <c r="A42358">
        <v>85437014000</v>
      </c>
      <c r="B42358" t="s">
        <v>13635</v>
      </c>
    </row>
    <row r="42359" spans="1:2" x14ac:dyDescent="0.25">
      <c r="A42359">
        <v>85437015000</v>
      </c>
      <c r="B42359" t="s">
        <v>13636</v>
      </c>
    </row>
    <row r="42360" spans="1:2" x14ac:dyDescent="0.25">
      <c r="A42360">
        <v>85437019</v>
      </c>
      <c r="B42360" t="s">
        <v>10</v>
      </c>
    </row>
    <row r="42361" spans="1:2" x14ac:dyDescent="0.25">
      <c r="A42361">
        <v>85437019100</v>
      </c>
      <c r="B42361" t="s">
        <v>13637</v>
      </c>
    </row>
    <row r="42362" spans="1:2" x14ac:dyDescent="0.25">
      <c r="A42362">
        <v>85437019900</v>
      </c>
      <c r="B42362" t="s">
        <v>10</v>
      </c>
    </row>
    <row r="42363" spans="1:2" x14ac:dyDescent="0.25">
      <c r="A42363">
        <v>85437020000</v>
      </c>
      <c r="B42363" t="s">
        <v>13638</v>
      </c>
    </row>
    <row r="42364" spans="1:2" x14ac:dyDescent="0.25">
      <c r="A42364">
        <v>8543703</v>
      </c>
      <c r="B42364" t="s">
        <v>13639</v>
      </c>
    </row>
    <row r="42365" spans="1:2" x14ac:dyDescent="0.25">
      <c r="A42365">
        <v>85437031000</v>
      </c>
      <c r="B42365" t="s">
        <v>13640</v>
      </c>
    </row>
    <row r="42366" spans="1:2" x14ac:dyDescent="0.25">
      <c r="A42366">
        <v>85437032000</v>
      </c>
      <c r="B42366" t="s">
        <v>13641</v>
      </c>
    </row>
    <row r="42367" spans="1:2" x14ac:dyDescent="0.25">
      <c r="A42367">
        <v>85437033000</v>
      </c>
      <c r="B42367" t="s">
        <v>13642</v>
      </c>
    </row>
    <row r="42368" spans="1:2" x14ac:dyDescent="0.25">
      <c r="A42368">
        <v>85437034000</v>
      </c>
      <c r="B42368" t="s">
        <v>13643</v>
      </c>
    </row>
    <row r="42369" spans="1:2" x14ac:dyDescent="0.25">
      <c r="A42369">
        <v>85437035000</v>
      </c>
      <c r="B42369" t="s">
        <v>13644</v>
      </c>
    </row>
    <row r="42370" spans="1:2" x14ac:dyDescent="0.25">
      <c r="A42370">
        <v>85437036000</v>
      </c>
      <c r="B42370" t="s">
        <v>13645</v>
      </c>
    </row>
    <row r="42371" spans="1:2" x14ac:dyDescent="0.25">
      <c r="A42371">
        <v>85437039</v>
      </c>
      <c r="B42371" t="s">
        <v>10</v>
      </c>
    </row>
    <row r="42372" spans="1:2" x14ac:dyDescent="0.25">
      <c r="A42372">
        <v>854370391</v>
      </c>
      <c r="B42372" t="s">
        <v>13646</v>
      </c>
    </row>
    <row r="42373" spans="1:2" x14ac:dyDescent="0.25">
      <c r="A42373">
        <v>85437039110</v>
      </c>
      <c r="B42373" t="s">
        <v>13647</v>
      </c>
    </row>
    <row r="42374" spans="1:2" x14ac:dyDescent="0.25">
      <c r="A42374">
        <v>85437039120</v>
      </c>
      <c r="B42374" t="s">
        <v>13648</v>
      </c>
    </row>
    <row r="42375" spans="1:2" x14ac:dyDescent="0.25">
      <c r="A42375">
        <v>85437039130</v>
      </c>
      <c r="B42375" t="s">
        <v>13649</v>
      </c>
    </row>
    <row r="42376" spans="1:2" x14ac:dyDescent="0.25">
      <c r="A42376">
        <v>85437039140</v>
      </c>
      <c r="B42376" t="s">
        <v>13650</v>
      </c>
    </row>
    <row r="42377" spans="1:2" x14ac:dyDescent="0.25">
      <c r="A42377">
        <v>85437039150</v>
      </c>
      <c r="B42377" t="s">
        <v>13651</v>
      </c>
    </row>
    <row r="42378" spans="1:2" x14ac:dyDescent="0.25">
      <c r="A42378">
        <v>85437039190</v>
      </c>
      <c r="B42378" t="s">
        <v>10</v>
      </c>
    </row>
    <row r="42379" spans="1:2" x14ac:dyDescent="0.25">
      <c r="A42379">
        <v>85437039900</v>
      </c>
      <c r="B42379" t="s">
        <v>10</v>
      </c>
    </row>
    <row r="42380" spans="1:2" x14ac:dyDescent="0.25">
      <c r="A42380">
        <v>85437040000</v>
      </c>
      <c r="B42380" t="s">
        <v>13652</v>
      </c>
    </row>
    <row r="42381" spans="1:2" x14ac:dyDescent="0.25">
      <c r="A42381">
        <v>85437050000</v>
      </c>
      <c r="B42381" t="s">
        <v>13653</v>
      </c>
    </row>
    <row r="42382" spans="1:2" x14ac:dyDescent="0.25">
      <c r="A42382">
        <v>8543709</v>
      </c>
      <c r="B42382" t="s">
        <v>10</v>
      </c>
    </row>
    <row r="42383" spans="1:2" x14ac:dyDescent="0.25">
      <c r="A42383">
        <v>85437091000</v>
      </c>
      <c r="B42383" t="s">
        <v>13654</v>
      </c>
    </row>
    <row r="42384" spans="1:2" x14ac:dyDescent="0.25">
      <c r="A42384">
        <v>85437092000</v>
      </c>
      <c r="B42384" t="e">
        <f>-Electrificadores de cercas</f>
        <v>#NAME?</v>
      </c>
    </row>
    <row r="42385" spans="1:2" x14ac:dyDescent="0.25">
      <c r="A42385">
        <v>85437099</v>
      </c>
      <c r="B42385" t="s">
        <v>10</v>
      </c>
    </row>
    <row r="42386" spans="1:2" x14ac:dyDescent="0.25">
      <c r="A42386">
        <v>85437099100</v>
      </c>
      <c r="B42386" t="s">
        <v>13655</v>
      </c>
    </row>
    <row r="42387" spans="1:2" x14ac:dyDescent="0.25">
      <c r="A42387">
        <v>854370992</v>
      </c>
      <c r="B42387" t="s">
        <v>13656</v>
      </c>
    </row>
    <row r="42388" spans="1:2" x14ac:dyDescent="0.25">
      <c r="A42388">
        <v>8543709921</v>
      </c>
      <c r="B42388" t="s">
        <v>13657</v>
      </c>
    </row>
    <row r="42389" spans="1:2" x14ac:dyDescent="0.25">
      <c r="A42389">
        <v>85437099211</v>
      </c>
      <c r="B42389" t="s">
        <v>13658</v>
      </c>
    </row>
    <row r="42390" spans="1:2" x14ac:dyDescent="0.25">
      <c r="A42390">
        <v>85437099212</v>
      </c>
      <c r="B42390" t="s">
        <v>13659</v>
      </c>
    </row>
    <row r="42391" spans="1:2" x14ac:dyDescent="0.25">
      <c r="A42391">
        <v>85437099219</v>
      </c>
      <c r="B42391" t="s">
        <v>10</v>
      </c>
    </row>
    <row r="42392" spans="1:2" x14ac:dyDescent="0.25">
      <c r="A42392">
        <v>85437099220</v>
      </c>
      <c r="B42392" t="s">
        <v>13660</v>
      </c>
    </row>
    <row r="42393" spans="1:2" x14ac:dyDescent="0.25">
      <c r="A42393">
        <v>85437099230</v>
      </c>
      <c r="B42393" t="s">
        <v>13661</v>
      </c>
    </row>
    <row r="42394" spans="1:2" x14ac:dyDescent="0.25">
      <c r="A42394">
        <v>85437099290</v>
      </c>
      <c r="B42394" t="s">
        <v>10</v>
      </c>
    </row>
    <row r="42395" spans="1:2" x14ac:dyDescent="0.25">
      <c r="A42395">
        <v>85437099300</v>
      </c>
      <c r="B42395" t="s">
        <v>13662</v>
      </c>
    </row>
    <row r="42396" spans="1:2" x14ac:dyDescent="0.25">
      <c r="A42396">
        <v>854370994</v>
      </c>
      <c r="B42396" t="s">
        <v>13663</v>
      </c>
    </row>
    <row r="42397" spans="1:2" x14ac:dyDescent="0.25">
      <c r="A42397">
        <v>85437099410</v>
      </c>
      <c r="B42397" t="s">
        <v>13664</v>
      </c>
    </row>
    <row r="42398" spans="1:2" x14ac:dyDescent="0.25">
      <c r="A42398">
        <v>85437099420</v>
      </c>
      <c r="B42398" t="s">
        <v>13665</v>
      </c>
    </row>
    <row r="42399" spans="1:2" x14ac:dyDescent="0.25">
      <c r="A42399">
        <v>85437099430</v>
      </c>
      <c r="B42399" t="s">
        <v>13666</v>
      </c>
    </row>
    <row r="42400" spans="1:2" x14ac:dyDescent="0.25">
      <c r="A42400">
        <v>85437099440</v>
      </c>
      <c r="B42400" t="s">
        <v>13667</v>
      </c>
    </row>
    <row r="42401" spans="1:2" x14ac:dyDescent="0.25">
      <c r="A42401">
        <v>85437099490</v>
      </c>
      <c r="B42401" t="s">
        <v>57</v>
      </c>
    </row>
    <row r="42402" spans="1:2" x14ac:dyDescent="0.25">
      <c r="A42402">
        <v>85437099500</v>
      </c>
      <c r="B42402" t="s">
        <v>13668</v>
      </c>
    </row>
    <row r="42403" spans="1:2" x14ac:dyDescent="0.25">
      <c r="A42403">
        <v>85437099600</v>
      </c>
      <c r="B42403" t="s">
        <v>13669</v>
      </c>
    </row>
    <row r="42404" spans="1:2" x14ac:dyDescent="0.25">
      <c r="A42404">
        <v>85437099700</v>
      </c>
      <c r="B42404" t="s">
        <v>13670</v>
      </c>
    </row>
    <row r="42405" spans="1:2" x14ac:dyDescent="0.25">
      <c r="A42405">
        <v>85437099800</v>
      </c>
      <c r="B42405" t="s">
        <v>13671</v>
      </c>
    </row>
    <row r="42406" spans="1:2" x14ac:dyDescent="0.25">
      <c r="A42406">
        <v>854370999</v>
      </c>
      <c r="B42406" t="s">
        <v>10</v>
      </c>
    </row>
    <row r="42407" spans="1:2" x14ac:dyDescent="0.25">
      <c r="A42407">
        <v>85437099910</v>
      </c>
      <c r="B42407" t="s">
        <v>13672</v>
      </c>
    </row>
    <row r="42408" spans="1:2" x14ac:dyDescent="0.25">
      <c r="A42408">
        <v>85437099920</v>
      </c>
      <c r="B42408" t="s">
        <v>13673</v>
      </c>
    </row>
    <row r="42409" spans="1:2" x14ac:dyDescent="0.25">
      <c r="A42409">
        <v>85437099940</v>
      </c>
      <c r="B42409" t="s">
        <v>13674</v>
      </c>
    </row>
    <row r="42410" spans="1:2" x14ac:dyDescent="0.25">
      <c r="A42410">
        <v>85437099950</v>
      </c>
      <c r="B42410" t="s">
        <v>13675</v>
      </c>
    </row>
    <row r="42411" spans="1:2" x14ac:dyDescent="0.25">
      <c r="A42411">
        <v>85437099990</v>
      </c>
      <c r="B42411" t="s">
        <v>10</v>
      </c>
    </row>
    <row r="42412" spans="1:2" x14ac:dyDescent="0.25">
      <c r="A42412">
        <v>854390</v>
      </c>
      <c r="B42412" t="e">
        <f>- partes</f>
        <v>#NAME?</v>
      </c>
    </row>
    <row r="42413" spans="1:2" x14ac:dyDescent="0.25">
      <c r="A42413">
        <v>85439010000</v>
      </c>
      <c r="B42413" t="s">
        <v>13676</v>
      </c>
    </row>
    <row r="42414" spans="1:2" x14ac:dyDescent="0.25">
      <c r="A42414">
        <v>85439090000</v>
      </c>
      <c r="B42414" t="s">
        <v>57</v>
      </c>
    </row>
    <row r="42415" spans="1:2" x14ac:dyDescent="0.25">
      <c r="A42415">
        <v>8544</v>
      </c>
      <c r="B42415" t="s">
        <v>13677</v>
      </c>
    </row>
    <row r="42416" spans="1:2" x14ac:dyDescent="0.25">
      <c r="A42416">
        <v>85441</v>
      </c>
      <c r="B42416" t="s">
        <v>13678</v>
      </c>
    </row>
    <row r="42417" spans="1:2" x14ac:dyDescent="0.25">
      <c r="A42417">
        <v>85441100</v>
      </c>
      <c r="B42417" t="e">
        <f>- - de cobre</f>
        <v>#NAME?</v>
      </c>
    </row>
    <row r="42418" spans="1:2" x14ac:dyDescent="0.25">
      <c r="A42418">
        <v>854411001</v>
      </c>
      <c r="B42418" t="s">
        <v>13679</v>
      </c>
    </row>
    <row r="42419" spans="1:2" x14ac:dyDescent="0.25">
      <c r="A42419">
        <v>85441100110</v>
      </c>
      <c r="B42419" t="s">
        <v>13680</v>
      </c>
    </row>
    <row r="42420" spans="1:2" x14ac:dyDescent="0.25">
      <c r="A42420">
        <v>85441100120</v>
      </c>
      <c r="B42420" t="s">
        <v>13681</v>
      </c>
    </row>
    <row r="42421" spans="1:2" x14ac:dyDescent="0.25">
      <c r="A42421">
        <v>85441100130</v>
      </c>
      <c r="B42421" t="s">
        <v>13682</v>
      </c>
    </row>
    <row r="42422" spans="1:2" x14ac:dyDescent="0.25">
      <c r="A42422">
        <v>85441100140</v>
      </c>
      <c r="B42422" t="s">
        <v>13683</v>
      </c>
    </row>
    <row r="42423" spans="1:2" x14ac:dyDescent="0.25">
      <c r="A42423">
        <v>85441100190</v>
      </c>
      <c r="B42423" t="s">
        <v>10</v>
      </c>
    </row>
    <row r="42424" spans="1:2" x14ac:dyDescent="0.25">
      <c r="A42424">
        <v>854411009</v>
      </c>
      <c r="B42424" t="s">
        <v>10</v>
      </c>
    </row>
    <row r="42425" spans="1:2" x14ac:dyDescent="0.25">
      <c r="A42425">
        <v>85441100910</v>
      </c>
      <c r="B42425" t="s">
        <v>13684</v>
      </c>
    </row>
    <row r="42426" spans="1:2" x14ac:dyDescent="0.25">
      <c r="A42426">
        <v>85441100990</v>
      </c>
      <c r="B42426" t="s">
        <v>10</v>
      </c>
    </row>
    <row r="42427" spans="1:2" x14ac:dyDescent="0.25">
      <c r="A42427">
        <v>854419</v>
      </c>
      <c r="B42427" t="e">
        <f>- - Los demas</f>
        <v>#NAME?</v>
      </c>
    </row>
    <row r="42428" spans="1:2" x14ac:dyDescent="0.25">
      <c r="A42428">
        <v>85441910000</v>
      </c>
      <c r="B42428" t="s">
        <v>2240</v>
      </c>
    </row>
    <row r="42429" spans="1:2" x14ac:dyDescent="0.25">
      <c r="A42429">
        <v>85441990000</v>
      </c>
      <c r="B42429" t="s">
        <v>10</v>
      </c>
    </row>
    <row r="42430" spans="1:2" x14ac:dyDescent="0.25">
      <c r="A42430">
        <v>85442000</v>
      </c>
      <c r="B42430" t="e">
        <f>- cables y demas conductores electricos. coaxiales</f>
        <v>#NAME?</v>
      </c>
    </row>
    <row r="42431" spans="1:2" x14ac:dyDescent="0.25">
      <c r="A42431">
        <v>85442000100</v>
      </c>
      <c r="B42431" t="s">
        <v>13685</v>
      </c>
    </row>
    <row r="42432" spans="1:2" x14ac:dyDescent="0.25">
      <c r="A42432">
        <v>85442000900</v>
      </c>
      <c r="B42432" t="s">
        <v>10</v>
      </c>
    </row>
    <row r="42433" spans="1:2" x14ac:dyDescent="0.25">
      <c r="A42433">
        <v>85443000</v>
      </c>
      <c r="B42433" t="e">
        <f>- juegos de cables para Bujias de encendido ydemas juegos de cables de Los tipos utilizados En Los medios de transporte</f>
        <v>#NAME?</v>
      </c>
    </row>
    <row r="42434" spans="1:2" x14ac:dyDescent="0.25">
      <c r="A42434">
        <v>85443000100</v>
      </c>
      <c r="B42434" t="s">
        <v>13686</v>
      </c>
    </row>
    <row r="42435" spans="1:2" x14ac:dyDescent="0.25">
      <c r="A42435">
        <v>85443000900</v>
      </c>
      <c r="B42435" t="s">
        <v>10</v>
      </c>
    </row>
    <row r="42436" spans="1:2" x14ac:dyDescent="0.25">
      <c r="A42436">
        <v>85444</v>
      </c>
      <c r="B42436" t="s">
        <v>13687</v>
      </c>
    </row>
    <row r="42437" spans="1:2" x14ac:dyDescent="0.25">
      <c r="A42437">
        <v>85444200</v>
      </c>
      <c r="B42437" t="e">
        <f>- - Provistos de piezas de conexion</f>
        <v>#NAME?</v>
      </c>
    </row>
    <row r="42438" spans="1:2" x14ac:dyDescent="0.25">
      <c r="A42438">
        <v>854442001</v>
      </c>
      <c r="B42438" t="s">
        <v>13688</v>
      </c>
    </row>
    <row r="42439" spans="1:2" x14ac:dyDescent="0.25">
      <c r="A42439">
        <v>85444200110</v>
      </c>
      <c r="B42439" t="s">
        <v>13689</v>
      </c>
    </row>
    <row r="42440" spans="1:2" x14ac:dyDescent="0.25">
      <c r="A42440">
        <v>85444200190</v>
      </c>
      <c r="B42440" t="s">
        <v>10</v>
      </c>
    </row>
    <row r="42441" spans="1:2" x14ac:dyDescent="0.25">
      <c r="A42441">
        <v>85444200200</v>
      </c>
      <c r="B42441" t="s">
        <v>13690</v>
      </c>
    </row>
    <row r="42442" spans="1:2" x14ac:dyDescent="0.25">
      <c r="A42442">
        <v>85444200900</v>
      </c>
      <c r="B42442" t="s">
        <v>10</v>
      </c>
    </row>
    <row r="42443" spans="1:2" x14ac:dyDescent="0.25">
      <c r="A42443">
        <v>85444900</v>
      </c>
      <c r="B42443" t="e">
        <f>- - Los demas</f>
        <v>#NAME?</v>
      </c>
    </row>
    <row r="42444" spans="1:2" x14ac:dyDescent="0.25">
      <c r="A42444">
        <v>854449001</v>
      </c>
      <c r="B42444" t="s">
        <v>13691</v>
      </c>
    </row>
    <row r="42445" spans="1:2" x14ac:dyDescent="0.25">
      <c r="A42445">
        <v>85444900110</v>
      </c>
      <c r="B42445" t="s">
        <v>13692</v>
      </c>
    </row>
    <row r="42446" spans="1:2" x14ac:dyDescent="0.25">
      <c r="A42446">
        <v>85444900120</v>
      </c>
      <c r="B42446" t="s">
        <v>13693</v>
      </c>
    </row>
    <row r="42447" spans="1:2" x14ac:dyDescent="0.25">
      <c r="A42447">
        <v>85444900130</v>
      </c>
      <c r="B42447" t="s">
        <v>13694</v>
      </c>
    </row>
    <row r="42448" spans="1:2" x14ac:dyDescent="0.25">
      <c r="A42448">
        <v>85444900140</v>
      </c>
      <c r="B42448" t="s">
        <v>13695</v>
      </c>
    </row>
    <row r="42449" spans="1:2" x14ac:dyDescent="0.25">
      <c r="A42449">
        <v>85444900190</v>
      </c>
      <c r="B42449" t="s">
        <v>10</v>
      </c>
    </row>
    <row r="42450" spans="1:2" x14ac:dyDescent="0.25">
      <c r="A42450">
        <v>854449009</v>
      </c>
      <c r="B42450" t="s">
        <v>10</v>
      </c>
    </row>
    <row r="42451" spans="1:2" x14ac:dyDescent="0.25">
      <c r="A42451">
        <v>85444900910</v>
      </c>
      <c r="B42451" t="s">
        <v>13696</v>
      </c>
    </row>
    <row r="42452" spans="1:2" x14ac:dyDescent="0.25">
      <c r="A42452">
        <v>85444900990</v>
      </c>
      <c r="B42452" t="s">
        <v>10</v>
      </c>
    </row>
    <row r="42453" spans="1:2" x14ac:dyDescent="0.25">
      <c r="A42453">
        <v>85446000</v>
      </c>
      <c r="B42453" t="s">
        <v>13697</v>
      </c>
    </row>
    <row r="42454" spans="1:2" x14ac:dyDescent="0.25">
      <c r="A42454">
        <v>854460001</v>
      </c>
      <c r="B42454" t="s">
        <v>13698</v>
      </c>
    </row>
    <row r="42455" spans="1:2" x14ac:dyDescent="0.25">
      <c r="A42455">
        <v>85446000110</v>
      </c>
      <c r="B42455" t="s">
        <v>13699</v>
      </c>
    </row>
    <row r="42456" spans="1:2" x14ac:dyDescent="0.25">
      <c r="A42456">
        <v>85446000190</v>
      </c>
      <c r="B42456" t="s">
        <v>10</v>
      </c>
    </row>
    <row r="42457" spans="1:2" x14ac:dyDescent="0.25">
      <c r="A42457">
        <v>85446000900</v>
      </c>
      <c r="B42457" t="s">
        <v>10</v>
      </c>
    </row>
    <row r="42458" spans="1:2" x14ac:dyDescent="0.25">
      <c r="A42458">
        <v>854470</v>
      </c>
      <c r="B42458" t="e">
        <f>- cables de fibras opticas</f>
        <v>#NAME?</v>
      </c>
    </row>
    <row r="42459" spans="1:2" x14ac:dyDescent="0.25">
      <c r="A42459">
        <v>85447010</v>
      </c>
      <c r="B42459" t="s">
        <v>13700</v>
      </c>
    </row>
    <row r="42460" spans="1:2" x14ac:dyDescent="0.25">
      <c r="A42460">
        <v>854470101</v>
      </c>
      <c r="B42460" t="s">
        <v>13701</v>
      </c>
    </row>
    <row r="42461" spans="1:2" x14ac:dyDescent="0.25">
      <c r="A42461">
        <v>85447010110</v>
      </c>
      <c r="B42461" t="s">
        <v>13702</v>
      </c>
    </row>
    <row r="42462" spans="1:2" x14ac:dyDescent="0.25">
      <c r="A42462">
        <v>85447010120</v>
      </c>
      <c r="B42462" t="s">
        <v>13703</v>
      </c>
    </row>
    <row r="42463" spans="1:2" x14ac:dyDescent="0.25">
      <c r="A42463">
        <v>85447010130</v>
      </c>
      <c r="B42463" t="s">
        <v>13704</v>
      </c>
    </row>
    <row r="42464" spans="1:2" x14ac:dyDescent="0.25">
      <c r="A42464">
        <v>85447010140</v>
      </c>
      <c r="B42464" t="s">
        <v>13705</v>
      </c>
    </row>
    <row r="42465" spans="1:2" x14ac:dyDescent="0.25">
      <c r="A42465">
        <v>85447010150</v>
      </c>
      <c r="B42465" t="s">
        <v>13706</v>
      </c>
    </row>
    <row r="42466" spans="1:2" x14ac:dyDescent="0.25">
      <c r="A42466">
        <v>85447010190</v>
      </c>
      <c r="B42466" t="s">
        <v>57</v>
      </c>
    </row>
    <row r="42467" spans="1:2" x14ac:dyDescent="0.25">
      <c r="A42467">
        <v>854470109</v>
      </c>
      <c r="B42467" t="s">
        <v>57</v>
      </c>
    </row>
    <row r="42468" spans="1:2" x14ac:dyDescent="0.25">
      <c r="A42468">
        <v>85447010910</v>
      </c>
      <c r="B42468" t="s">
        <v>13702</v>
      </c>
    </row>
    <row r="42469" spans="1:2" x14ac:dyDescent="0.25">
      <c r="A42469">
        <v>85447010920</v>
      </c>
      <c r="B42469" t="s">
        <v>13703</v>
      </c>
    </row>
    <row r="42470" spans="1:2" x14ac:dyDescent="0.25">
      <c r="A42470">
        <v>85447010930</v>
      </c>
      <c r="B42470" t="s">
        <v>13704</v>
      </c>
    </row>
    <row r="42471" spans="1:2" x14ac:dyDescent="0.25">
      <c r="A42471">
        <v>85447010940</v>
      </c>
      <c r="B42471" t="s">
        <v>13705</v>
      </c>
    </row>
    <row r="42472" spans="1:2" x14ac:dyDescent="0.25">
      <c r="A42472">
        <v>85447010950</v>
      </c>
      <c r="B42472" t="s">
        <v>13706</v>
      </c>
    </row>
    <row r="42473" spans="1:2" x14ac:dyDescent="0.25">
      <c r="A42473">
        <v>85447010990</v>
      </c>
      <c r="B42473" t="s">
        <v>57</v>
      </c>
    </row>
    <row r="42474" spans="1:2" x14ac:dyDescent="0.25">
      <c r="A42474">
        <v>85447020000</v>
      </c>
      <c r="B42474" t="s">
        <v>13707</v>
      </c>
    </row>
    <row r="42475" spans="1:2" x14ac:dyDescent="0.25">
      <c r="A42475">
        <v>85447030000</v>
      </c>
      <c r="B42475" t="s">
        <v>13708</v>
      </c>
    </row>
    <row r="42476" spans="1:2" x14ac:dyDescent="0.25">
      <c r="A42476">
        <v>85447090</v>
      </c>
      <c r="B42476" t="s">
        <v>10</v>
      </c>
    </row>
    <row r="42477" spans="1:2" x14ac:dyDescent="0.25">
      <c r="A42477">
        <v>85447090100</v>
      </c>
      <c r="B42477" t="s">
        <v>13709</v>
      </c>
    </row>
    <row r="42478" spans="1:2" x14ac:dyDescent="0.25">
      <c r="A42478">
        <v>85447090900</v>
      </c>
      <c r="B42478" t="s">
        <v>10</v>
      </c>
    </row>
    <row r="42479" spans="1:2" x14ac:dyDescent="0.25">
      <c r="A42479">
        <v>8545</v>
      </c>
      <c r="B42479" t="s">
        <v>13710</v>
      </c>
    </row>
    <row r="42480" spans="1:2" x14ac:dyDescent="0.25">
      <c r="A42480">
        <v>85451</v>
      </c>
      <c r="B42480" t="s">
        <v>13711</v>
      </c>
    </row>
    <row r="42481" spans="1:2" x14ac:dyDescent="0.25">
      <c r="A42481">
        <v>85451100000</v>
      </c>
      <c r="B42481" t="e">
        <f>--de Los tipos utilizados En hornos</f>
        <v>#NAME?</v>
      </c>
    </row>
    <row r="42482" spans="1:2" x14ac:dyDescent="0.25">
      <c r="A42482">
        <v>854519</v>
      </c>
      <c r="B42482" t="e">
        <f>- - Los demas</f>
        <v>#NAME?</v>
      </c>
    </row>
    <row r="42483" spans="1:2" x14ac:dyDescent="0.25">
      <c r="A42483">
        <v>85451910000</v>
      </c>
      <c r="B42483" t="s">
        <v>13712</v>
      </c>
    </row>
    <row r="42484" spans="1:2" x14ac:dyDescent="0.25">
      <c r="A42484">
        <v>85451920000</v>
      </c>
      <c r="B42484" t="s">
        <v>13713</v>
      </c>
    </row>
    <row r="42485" spans="1:2" x14ac:dyDescent="0.25">
      <c r="A42485">
        <v>85451990000</v>
      </c>
      <c r="B42485" t="s">
        <v>10</v>
      </c>
    </row>
    <row r="42486" spans="1:2" x14ac:dyDescent="0.25">
      <c r="A42486">
        <v>85452000000</v>
      </c>
      <c r="B42486" t="e">
        <f>-Escobillas</f>
        <v>#NAME?</v>
      </c>
    </row>
    <row r="42487" spans="1:2" x14ac:dyDescent="0.25">
      <c r="A42487">
        <v>854590</v>
      </c>
      <c r="B42487" t="e">
        <f>- Los demas</f>
        <v>#NAME?</v>
      </c>
    </row>
    <row r="42488" spans="1:2" x14ac:dyDescent="0.25">
      <c r="A42488">
        <v>85459010000</v>
      </c>
      <c r="B42488" t="s">
        <v>13714</v>
      </c>
    </row>
    <row r="42489" spans="1:2" x14ac:dyDescent="0.25">
      <c r="A42489">
        <v>85459020000</v>
      </c>
      <c r="B42489" t="s">
        <v>13715</v>
      </c>
    </row>
    <row r="42490" spans="1:2" x14ac:dyDescent="0.25">
      <c r="A42490">
        <v>85459030000</v>
      </c>
      <c r="B42490" t="s">
        <v>13716</v>
      </c>
    </row>
    <row r="42491" spans="1:2" x14ac:dyDescent="0.25">
      <c r="A42491">
        <v>85459090000</v>
      </c>
      <c r="B42491" t="s">
        <v>10</v>
      </c>
    </row>
    <row r="42492" spans="1:2" x14ac:dyDescent="0.25">
      <c r="A42492">
        <v>8546</v>
      </c>
      <c r="B42492" t="s">
        <v>13717</v>
      </c>
    </row>
    <row r="42493" spans="1:2" x14ac:dyDescent="0.25">
      <c r="A42493">
        <v>85461000000</v>
      </c>
      <c r="B42493" t="e">
        <f>-de vidrio</f>
        <v>#NAME?</v>
      </c>
    </row>
    <row r="42494" spans="1:2" x14ac:dyDescent="0.25">
      <c r="A42494">
        <v>85462000</v>
      </c>
      <c r="B42494" t="e">
        <f>- de ceramica</f>
        <v>#NAME?</v>
      </c>
    </row>
    <row r="42495" spans="1:2" x14ac:dyDescent="0.25">
      <c r="A42495">
        <v>854620001</v>
      </c>
      <c r="B42495" t="s">
        <v>13718</v>
      </c>
    </row>
    <row r="42496" spans="1:2" x14ac:dyDescent="0.25">
      <c r="A42496">
        <v>85462000110</v>
      </c>
      <c r="B42496" t="s">
        <v>13719</v>
      </c>
    </row>
    <row r="42497" spans="1:2" x14ac:dyDescent="0.25">
      <c r="A42497">
        <v>85462000120</v>
      </c>
      <c r="B42497" t="s">
        <v>13720</v>
      </c>
    </row>
    <row r="42498" spans="1:2" x14ac:dyDescent="0.25">
      <c r="A42498">
        <v>85462000130</v>
      </c>
      <c r="B42498" t="s">
        <v>13721</v>
      </c>
    </row>
    <row r="42499" spans="1:2" x14ac:dyDescent="0.25">
      <c r="A42499">
        <v>85462000190</v>
      </c>
      <c r="B42499" t="s">
        <v>10</v>
      </c>
    </row>
    <row r="42500" spans="1:2" x14ac:dyDescent="0.25">
      <c r="A42500">
        <v>854620009</v>
      </c>
      <c r="B42500" t="s">
        <v>10</v>
      </c>
    </row>
    <row r="42501" spans="1:2" x14ac:dyDescent="0.25">
      <c r="A42501">
        <v>85462000910</v>
      </c>
      <c r="B42501" t="s">
        <v>13722</v>
      </c>
    </row>
    <row r="42502" spans="1:2" x14ac:dyDescent="0.25">
      <c r="A42502">
        <v>85462000920</v>
      </c>
      <c r="B42502" t="s">
        <v>13723</v>
      </c>
    </row>
    <row r="42503" spans="1:2" x14ac:dyDescent="0.25">
      <c r="A42503">
        <v>85462000930</v>
      </c>
      <c r="B42503" t="s">
        <v>13724</v>
      </c>
    </row>
    <row r="42504" spans="1:2" x14ac:dyDescent="0.25">
      <c r="A42504">
        <v>85462000940</v>
      </c>
      <c r="B42504" t="s">
        <v>13725</v>
      </c>
    </row>
    <row r="42505" spans="1:2" x14ac:dyDescent="0.25">
      <c r="A42505">
        <v>85462000990</v>
      </c>
      <c r="B42505" t="s">
        <v>10</v>
      </c>
    </row>
    <row r="42506" spans="1:2" x14ac:dyDescent="0.25">
      <c r="A42506">
        <v>85469000000</v>
      </c>
      <c r="B42506" t="e">
        <f>-Los demas</f>
        <v>#NAME?</v>
      </c>
    </row>
    <row r="42507" spans="1:2" x14ac:dyDescent="0.25">
      <c r="A42507">
        <v>8547</v>
      </c>
      <c r="B42507" t="s">
        <v>13726</v>
      </c>
    </row>
    <row r="42508" spans="1:2" x14ac:dyDescent="0.25">
      <c r="A42508">
        <v>85471000000</v>
      </c>
      <c r="B42508" t="e">
        <f>-piezas aislantes de ceramica</f>
        <v>#NAME?</v>
      </c>
    </row>
    <row r="42509" spans="1:2" x14ac:dyDescent="0.25">
      <c r="A42509">
        <v>854720</v>
      </c>
      <c r="B42509" t="e">
        <f>- piezas aislantes de plastico</f>
        <v>#NAME?</v>
      </c>
    </row>
    <row r="42510" spans="1:2" x14ac:dyDescent="0.25">
      <c r="A42510">
        <v>85472010000</v>
      </c>
      <c r="B42510" t="s">
        <v>13727</v>
      </c>
    </row>
    <row r="42511" spans="1:2" x14ac:dyDescent="0.25">
      <c r="A42511">
        <v>85472090</v>
      </c>
      <c r="B42511" t="s">
        <v>57</v>
      </c>
    </row>
    <row r="42512" spans="1:2" x14ac:dyDescent="0.25">
      <c r="A42512">
        <v>85472090100</v>
      </c>
      <c r="B42512" t="s">
        <v>13728</v>
      </c>
    </row>
    <row r="42513" spans="1:2" x14ac:dyDescent="0.25">
      <c r="A42513">
        <v>85472090900</v>
      </c>
      <c r="B42513" t="s">
        <v>10</v>
      </c>
    </row>
    <row r="42514" spans="1:2" x14ac:dyDescent="0.25">
      <c r="A42514">
        <v>85479000000</v>
      </c>
      <c r="B42514" t="e">
        <f>-Los demas</f>
        <v>#NAME?</v>
      </c>
    </row>
    <row r="42515" spans="1:2" x14ac:dyDescent="0.25">
      <c r="A42515">
        <v>8548</v>
      </c>
      <c r="B42515" t="s">
        <v>13729</v>
      </c>
    </row>
    <row r="42516" spans="1:2" x14ac:dyDescent="0.25">
      <c r="A42516">
        <v>854810</v>
      </c>
      <c r="B42516" t="e">
        <f>- desperdicios y desechos de pilas. baterias de pilas o acumuladores. electricos, pilas. baterias de pilas y acumuladores. electricos. inservibles</f>
        <v>#NAME?</v>
      </c>
    </row>
    <row r="42517" spans="1:2" x14ac:dyDescent="0.25">
      <c r="A42517">
        <v>85481010000</v>
      </c>
      <c r="B42517" t="s">
        <v>13730</v>
      </c>
    </row>
    <row r="42518" spans="1:2" x14ac:dyDescent="0.25">
      <c r="A42518">
        <v>85481090000</v>
      </c>
      <c r="B42518" t="s">
        <v>10</v>
      </c>
    </row>
    <row r="42519" spans="1:2" x14ac:dyDescent="0.25">
      <c r="A42519">
        <v>854890</v>
      </c>
      <c r="B42519" t="e">
        <f>- Los demas</f>
        <v>#NAME?</v>
      </c>
    </row>
    <row r="42520" spans="1:2" x14ac:dyDescent="0.25">
      <c r="A42520">
        <v>85489010000</v>
      </c>
      <c r="B42520" t="s">
        <v>13731</v>
      </c>
    </row>
    <row r="42521" spans="1:2" x14ac:dyDescent="0.25">
      <c r="A42521">
        <v>85489090000</v>
      </c>
      <c r="B42521" t="s">
        <v>10</v>
      </c>
    </row>
    <row r="42522" spans="1:2" x14ac:dyDescent="0.25">
      <c r="A42522">
        <v>8601</v>
      </c>
      <c r="B42522" t="s">
        <v>13732</v>
      </c>
    </row>
    <row r="42523" spans="1:2" x14ac:dyDescent="0.25">
      <c r="A42523">
        <v>86011000000</v>
      </c>
      <c r="B42523" t="e">
        <f>-de fuente externa de electricidad</f>
        <v>#NAME?</v>
      </c>
    </row>
    <row r="42524" spans="1:2" x14ac:dyDescent="0.25">
      <c r="A42524">
        <v>86012000000</v>
      </c>
      <c r="B42524" t="e">
        <f>-de acumuladores electricos</f>
        <v>#NAME?</v>
      </c>
    </row>
    <row r="42525" spans="1:2" x14ac:dyDescent="0.25">
      <c r="A42525">
        <v>8602</v>
      </c>
      <c r="B42525" t="s">
        <v>13733</v>
      </c>
    </row>
    <row r="42526" spans="1:2" x14ac:dyDescent="0.25">
      <c r="A42526">
        <v>86021000000</v>
      </c>
      <c r="B42526" t="e">
        <f>-Locomotoras diesel-electricas</f>
        <v>#NAME?</v>
      </c>
    </row>
    <row r="42527" spans="1:2" x14ac:dyDescent="0.25">
      <c r="A42527">
        <v>86029000000</v>
      </c>
      <c r="B42527" t="e">
        <f>-Los demas</f>
        <v>#NAME?</v>
      </c>
    </row>
    <row r="42528" spans="1:2" x14ac:dyDescent="0.25">
      <c r="A42528">
        <v>8603</v>
      </c>
      <c r="B42528" t="s">
        <v>13734</v>
      </c>
    </row>
    <row r="42529" spans="1:2" x14ac:dyDescent="0.25">
      <c r="A42529">
        <v>86031000000</v>
      </c>
      <c r="B42529" t="e">
        <f>-de fuente externa de electricidad</f>
        <v>#NAME?</v>
      </c>
    </row>
    <row r="42530" spans="1:2" x14ac:dyDescent="0.25">
      <c r="A42530">
        <v>86039000000</v>
      </c>
      <c r="B42530" t="e">
        <f>-Los demas</f>
        <v>#NAME?</v>
      </c>
    </row>
    <row r="42531" spans="1:2" x14ac:dyDescent="0.25">
      <c r="A42531">
        <v>860400</v>
      </c>
      <c r="B42531" t="s">
        <v>13735</v>
      </c>
    </row>
    <row r="42532" spans="1:2" x14ac:dyDescent="0.25">
      <c r="A42532">
        <v>86040010000</v>
      </c>
      <c r="B42532" t="s">
        <v>13736</v>
      </c>
    </row>
    <row r="42533" spans="1:2" x14ac:dyDescent="0.25">
      <c r="A42533">
        <v>86040090000</v>
      </c>
      <c r="B42533" t="s">
        <v>10</v>
      </c>
    </row>
    <row r="42534" spans="1:2" x14ac:dyDescent="0.25">
      <c r="A42534">
        <v>860500</v>
      </c>
      <c r="B42534" t="s">
        <v>13737</v>
      </c>
    </row>
    <row r="42535" spans="1:2" x14ac:dyDescent="0.25">
      <c r="A42535">
        <v>86050010000</v>
      </c>
      <c r="B42535" t="s">
        <v>13738</v>
      </c>
    </row>
    <row r="42536" spans="1:2" x14ac:dyDescent="0.25">
      <c r="A42536">
        <v>86050090000</v>
      </c>
      <c r="B42536" t="s">
        <v>10</v>
      </c>
    </row>
    <row r="42537" spans="1:2" x14ac:dyDescent="0.25">
      <c r="A42537">
        <v>8606</v>
      </c>
      <c r="B42537" t="s">
        <v>13739</v>
      </c>
    </row>
    <row r="42538" spans="1:2" x14ac:dyDescent="0.25">
      <c r="A42538">
        <v>86061000000</v>
      </c>
      <c r="B42538" t="e">
        <f>-Vagones cisterna y similares</f>
        <v>#NAME?</v>
      </c>
    </row>
    <row r="42539" spans="1:2" x14ac:dyDescent="0.25">
      <c r="A42539">
        <v>86063000000</v>
      </c>
      <c r="B42539" t="s">
        <v>13740</v>
      </c>
    </row>
    <row r="42540" spans="1:2" x14ac:dyDescent="0.25">
      <c r="A42540">
        <v>86069</v>
      </c>
      <c r="B42540" t="s">
        <v>28</v>
      </c>
    </row>
    <row r="42541" spans="1:2" x14ac:dyDescent="0.25">
      <c r="A42541">
        <v>86069100000</v>
      </c>
      <c r="B42541" t="e">
        <f>--Cubiertos y cerrados</f>
        <v>#NAME?</v>
      </c>
    </row>
    <row r="42542" spans="1:2" x14ac:dyDescent="0.25">
      <c r="A42542">
        <v>86069200000</v>
      </c>
      <c r="B42542" t="s">
        <v>13741</v>
      </c>
    </row>
    <row r="42543" spans="1:2" x14ac:dyDescent="0.25">
      <c r="A42543">
        <v>86069900000</v>
      </c>
      <c r="B42543" t="e">
        <f>--Los demas</f>
        <v>#NAME?</v>
      </c>
    </row>
    <row r="42544" spans="1:2" x14ac:dyDescent="0.25">
      <c r="A42544">
        <v>8607</v>
      </c>
      <c r="B42544" t="s">
        <v>13742</v>
      </c>
    </row>
    <row r="42545" spans="1:2" x14ac:dyDescent="0.25">
      <c r="A42545">
        <v>86071</v>
      </c>
      <c r="B42545" t="s">
        <v>13743</v>
      </c>
    </row>
    <row r="42546" spans="1:2" x14ac:dyDescent="0.25">
      <c r="A42546">
        <v>860711</v>
      </c>
      <c r="B42546" t="s">
        <v>13744</v>
      </c>
    </row>
    <row r="42547" spans="1:2" x14ac:dyDescent="0.25">
      <c r="A42547">
        <v>86071110000</v>
      </c>
      <c r="B42547" t="s">
        <v>13745</v>
      </c>
    </row>
    <row r="42548" spans="1:2" x14ac:dyDescent="0.25">
      <c r="A42548">
        <v>86071120000</v>
      </c>
      <c r="B42548" t="s">
        <v>13746</v>
      </c>
    </row>
    <row r="42549" spans="1:2" x14ac:dyDescent="0.25">
      <c r="A42549">
        <v>86071200000</v>
      </c>
      <c r="B42549" t="s">
        <v>13747</v>
      </c>
    </row>
    <row r="42550" spans="1:2" x14ac:dyDescent="0.25">
      <c r="A42550">
        <v>860719</v>
      </c>
      <c r="B42550" t="e">
        <f>- - Los demas. incluidas las partes</f>
        <v>#NAME?</v>
      </c>
    </row>
    <row r="42551" spans="1:2" x14ac:dyDescent="0.25">
      <c r="A42551">
        <v>8607191</v>
      </c>
      <c r="B42551" t="s">
        <v>13748</v>
      </c>
    </row>
    <row r="42552" spans="1:2" x14ac:dyDescent="0.25">
      <c r="A42552">
        <v>86071911000</v>
      </c>
      <c r="B42552" t="s">
        <v>13749</v>
      </c>
    </row>
    <row r="42553" spans="1:2" x14ac:dyDescent="0.25">
      <c r="A42553">
        <v>86071919000</v>
      </c>
      <c r="B42553" t="s">
        <v>57</v>
      </c>
    </row>
    <row r="42554" spans="1:2" x14ac:dyDescent="0.25">
      <c r="A42554">
        <v>86071990000</v>
      </c>
      <c r="B42554" t="s">
        <v>10</v>
      </c>
    </row>
    <row r="42555" spans="1:2" x14ac:dyDescent="0.25">
      <c r="A42555">
        <v>86072</v>
      </c>
      <c r="B42555" t="s">
        <v>13750</v>
      </c>
    </row>
    <row r="42556" spans="1:2" x14ac:dyDescent="0.25">
      <c r="A42556">
        <v>86072100000</v>
      </c>
      <c r="B42556" t="e">
        <f>--frenos de aire comprimido y sus partes</f>
        <v>#NAME?</v>
      </c>
    </row>
    <row r="42557" spans="1:2" x14ac:dyDescent="0.25">
      <c r="A42557">
        <v>86072900000</v>
      </c>
      <c r="B42557" t="e">
        <f>--Los demas</f>
        <v>#NAME?</v>
      </c>
    </row>
    <row r="42558" spans="1:2" x14ac:dyDescent="0.25">
      <c r="A42558">
        <v>86073000000</v>
      </c>
      <c r="B42558" t="e">
        <f>-ganchos y demas sistemas de enganche. topes. y sus partes</f>
        <v>#NAME?</v>
      </c>
    </row>
    <row r="42559" spans="1:2" x14ac:dyDescent="0.25">
      <c r="A42559">
        <v>86079</v>
      </c>
      <c r="B42559" t="s">
        <v>567</v>
      </c>
    </row>
    <row r="42560" spans="1:2" x14ac:dyDescent="0.25">
      <c r="A42560">
        <v>86079100000</v>
      </c>
      <c r="B42560" t="e">
        <f>--para Locomotoras o locotractores</f>
        <v>#NAME?</v>
      </c>
    </row>
    <row r="42561" spans="1:2" x14ac:dyDescent="0.25">
      <c r="A42561">
        <v>86079900000</v>
      </c>
      <c r="B42561" t="e">
        <f>--las demas</f>
        <v>#NAME?</v>
      </c>
    </row>
    <row r="42562" spans="1:2" x14ac:dyDescent="0.25">
      <c r="A42562">
        <v>860800</v>
      </c>
      <c r="B42562" t="s">
        <v>13751</v>
      </c>
    </row>
    <row r="42563" spans="1:2" x14ac:dyDescent="0.25">
      <c r="A42563">
        <v>8608001</v>
      </c>
      <c r="B42563" t="s">
        <v>13752</v>
      </c>
    </row>
    <row r="42564" spans="1:2" x14ac:dyDescent="0.25">
      <c r="A42564">
        <v>86080011000</v>
      </c>
      <c r="B42564" t="s">
        <v>13753</v>
      </c>
    </row>
    <row r="42565" spans="1:2" x14ac:dyDescent="0.25">
      <c r="A42565">
        <v>86080012000</v>
      </c>
      <c r="B42565" t="s">
        <v>11695</v>
      </c>
    </row>
    <row r="42566" spans="1:2" x14ac:dyDescent="0.25">
      <c r="A42566">
        <v>86080090</v>
      </c>
      <c r="B42566" t="s">
        <v>10</v>
      </c>
    </row>
    <row r="42567" spans="1:2" x14ac:dyDescent="0.25">
      <c r="A42567">
        <v>86080090100</v>
      </c>
      <c r="B42567" t="s">
        <v>13754</v>
      </c>
    </row>
    <row r="42568" spans="1:2" x14ac:dyDescent="0.25">
      <c r="A42568">
        <v>86080090900</v>
      </c>
      <c r="B42568" t="s">
        <v>12037</v>
      </c>
    </row>
    <row r="42569" spans="1:2" x14ac:dyDescent="0.25">
      <c r="A42569">
        <v>86090000</v>
      </c>
      <c r="B42569" t="s">
        <v>13755</v>
      </c>
    </row>
    <row r="42570" spans="1:2" x14ac:dyDescent="0.25">
      <c r="A42570">
        <v>860900001</v>
      </c>
      <c r="B42570" t="s">
        <v>13756</v>
      </c>
    </row>
    <row r="42571" spans="1:2" x14ac:dyDescent="0.25">
      <c r="A42571">
        <v>8609000011</v>
      </c>
      <c r="B42571" t="s">
        <v>13757</v>
      </c>
    </row>
    <row r="42572" spans="1:2" x14ac:dyDescent="0.25">
      <c r="A42572">
        <v>86090000111</v>
      </c>
      <c r="B42572" t="s">
        <v>13758</v>
      </c>
    </row>
    <row r="42573" spans="1:2" x14ac:dyDescent="0.25">
      <c r="A42573">
        <v>86090000119</v>
      </c>
      <c r="B42573" t="s">
        <v>10</v>
      </c>
    </row>
    <row r="42574" spans="1:2" x14ac:dyDescent="0.25">
      <c r="A42574">
        <v>86090000120</v>
      </c>
      <c r="B42574" t="s">
        <v>13759</v>
      </c>
    </row>
    <row r="42575" spans="1:2" x14ac:dyDescent="0.25">
      <c r="A42575">
        <v>86090000130</v>
      </c>
      <c r="B42575" t="s">
        <v>13760</v>
      </c>
    </row>
    <row r="42576" spans="1:2" x14ac:dyDescent="0.25">
      <c r="A42576">
        <v>86090000140</v>
      </c>
      <c r="B42576" t="s">
        <v>13761</v>
      </c>
    </row>
    <row r="42577" spans="1:2" x14ac:dyDescent="0.25">
      <c r="A42577">
        <v>86090000190</v>
      </c>
      <c r="B42577" t="s">
        <v>10</v>
      </c>
    </row>
    <row r="42578" spans="1:2" x14ac:dyDescent="0.25">
      <c r="A42578">
        <v>860900009</v>
      </c>
      <c r="B42578" t="s">
        <v>10</v>
      </c>
    </row>
    <row r="42579" spans="1:2" x14ac:dyDescent="0.25">
      <c r="A42579">
        <v>8609000091</v>
      </c>
      <c r="B42579" t="s">
        <v>13757</v>
      </c>
    </row>
    <row r="42580" spans="1:2" x14ac:dyDescent="0.25">
      <c r="A42580">
        <v>86090000911</v>
      </c>
      <c r="B42580" t="s">
        <v>13758</v>
      </c>
    </row>
    <row r="42581" spans="1:2" x14ac:dyDescent="0.25">
      <c r="A42581">
        <v>86090000919</v>
      </c>
      <c r="B42581" t="s">
        <v>10</v>
      </c>
    </row>
    <row r="42582" spans="1:2" x14ac:dyDescent="0.25">
      <c r="A42582">
        <v>86090000920</v>
      </c>
      <c r="B42582" t="s">
        <v>13759</v>
      </c>
    </row>
    <row r="42583" spans="1:2" x14ac:dyDescent="0.25">
      <c r="A42583">
        <v>86090000930</v>
      </c>
      <c r="B42583" t="s">
        <v>13762</v>
      </c>
    </row>
    <row r="42584" spans="1:2" x14ac:dyDescent="0.25">
      <c r="A42584">
        <v>86090000940</v>
      </c>
      <c r="B42584" t="s">
        <v>13761</v>
      </c>
    </row>
    <row r="42585" spans="1:2" x14ac:dyDescent="0.25">
      <c r="A42585">
        <v>86090000950</v>
      </c>
      <c r="B42585" t="s">
        <v>13763</v>
      </c>
    </row>
    <row r="42586" spans="1:2" x14ac:dyDescent="0.25">
      <c r="A42586">
        <v>86090000990</v>
      </c>
      <c r="B42586" t="s">
        <v>10</v>
      </c>
    </row>
    <row r="42587" spans="1:2" x14ac:dyDescent="0.25">
      <c r="A42587">
        <v>8701</v>
      </c>
      <c r="B42587" t="s">
        <v>13764</v>
      </c>
    </row>
    <row r="42588" spans="1:2" x14ac:dyDescent="0.25">
      <c r="A42588">
        <v>87011000000</v>
      </c>
      <c r="B42588" t="e">
        <f>-Tractores de un solo eje</f>
        <v>#NAME?</v>
      </c>
    </row>
    <row r="42589" spans="1:2" x14ac:dyDescent="0.25">
      <c r="A42589">
        <v>87012000</v>
      </c>
      <c r="B42589" t="e">
        <f>- Tractores de carretera para semirremolques</f>
        <v>#NAME?</v>
      </c>
    </row>
    <row r="42590" spans="1:2" x14ac:dyDescent="0.25">
      <c r="A42590">
        <v>870120001</v>
      </c>
      <c r="B42590" t="s">
        <v>13765</v>
      </c>
    </row>
    <row r="42591" spans="1:2" x14ac:dyDescent="0.25">
      <c r="A42591">
        <v>87012000110</v>
      </c>
      <c r="B42591" t="s">
        <v>13766</v>
      </c>
    </row>
    <row r="42592" spans="1:2" x14ac:dyDescent="0.25">
      <c r="A42592">
        <v>87012000190</v>
      </c>
      <c r="B42592" t="s">
        <v>10</v>
      </c>
    </row>
    <row r="42593" spans="1:2" x14ac:dyDescent="0.25">
      <c r="A42593">
        <v>870120002</v>
      </c>
      <c r="B42593" t="s">
        <v>13767</v>
      </c>
    </row>
    <row r="42594" spans="1:2" x14ac:dyDescent="0.25">
      <c r="A42594">
        <v>87012000210</v>
      </c>
      <c r="B42594" t="s">
        <v>13766</v>
      </c>
    </row>
    <row r="42595" spans="1:2" x14ac:dyDescent="0.25">
      <c r="A42595">
        <v>87012000290</v>
      </c>
      <c r="B42595" t="s">
        <v>10</v>
      </c>
    </row>
    <row r="42596" spans="1:2" x14ac:dyDescent="0.25">
      <c r="A42596">
        <v>87013000000</v>
      </c>
      <c r="B42596" t="e">
        <f>-Tractores de orugas</f>
        <v>#NAME?</v>
      </c>
    </row>
    <row r="42597" spans="1:2" x14ac:dyDescent="0.25">
      <c r="A42597">
        <v>87019</v>
      </c>
      <c r="B42597" t="s">
        <v>13768</v>
      </c>
    </row>
    <row r="42598" spans="1:2" x14ac:dyDescent="0.25">
      <c r="A42598">
        <v>87019100000</v>
      </c>
      <c r="B42598" t="s">
        <v>13769</v>
      </c>
    </row>
    <row r="42599" spans="1:2" x14ac:dyDescent="0.25">
      <c r="A42599">
        <v>87019200000</v>
      </c>
      <c r="B42599" t="s">
        <v>13770</v>
      </c>
    </row>
    <row r="42600" spans="1:2" x14ac:dyDescent="0.25">
      <c r="A42600">
        <v>87019300000</v>
      </c>
      <c r="B42600" t="s">
        <v>13771</v>
      </c>
    </row>
    <row r="42601" spans="1:2" x14ac:dyDescent="0.25">
      <c r="A42601">
        <v>870194</v>
      </c>
      <c r="B42601" t="s">
        <v>13772</v>
      </c>
    </row>
    <row r="42602" spans="1:2" x14ac:dyDescent="0.25">
      <c r="A42602">
        <v>87019410000</v>
      </c>
      <c r="B42602" t="s">
        <v>13773</v>
      </c>
    </row>
    <row r="42603" spans="1:2" x14ac:dyDescent="0.25">
      <c r="A42603">
        <v>87019490</v>
      </c>
      <c r="B42603" t="s">
        <v>10</v>
      </c>
    </row>
    <row r="42604" spans="1:2" x14ac:dyDescent="0.25">
      <c r="A42604">
        <v>87019490100</v>
      </c>
      <c r="B42604" t="s">
        <v>13774</v>
      </c>
    </row>
    <row r="42605" spans="1:2" x14ac:dyDescent="0.25">
      <c r="A42605">
        <v>87019490900</v>
      </c>
      <c r="B42605" t="s">
        <v>10</v>
      </c>
    </row>
    <row r="42606" spans="1:2" x14ac:dyDescent="0.25">
      <c r="A42606">
        <v>870195</v>
      </c>
      <c r="B42606" t="s">
        <v>13775</v>
      </c>
    </row>
    <row r="42607" spans="1:2" x14ac:dyDescent="0.25">
      <c r="A42607">
        <v>87019510000</v>
      </c>
      <c r="B42607" t="s">
        <v>13773</v>
      </c>
    </row>
    <row r="42608" spans="1:2" x14ac:dyDescent="0.25">
      <c r="A42608">
        <v>87019590</v>
      </c>
      <c r="B42608" t="s">
        <v>10</v>
      </c>
    </row>
    <row r="42609" spans="1:2" x14ac:dyDescent="0.25">
      <c r="A42609">
        <v>87019590100</v>
      </c>
      <c r="B42609" t="s">
        <v>13774</v>
      </c>
    </row>
    <row r="42610" spans="1:2" x14ac:dyDescent="0.25">
      <c r="A42610">
        <v>87019590900</v>
      </c>
      <c r="B42610" t="s">
        <v>10</v>
      </c>
    </row>
    <row r="42611" spans="1:2" x14ac:dyDescent="0.25">
      <c r="A42611">
        <v>8702</v>
      </c>
      <c r="B42611" t="s">
        <v>13776</v>
      </c>
    </row>
    <row r="42612" spans="1:2" x14ac:dyDescent="0.25">
      <c r="A42612">
        <v>87021000</v>
      </c>
      <c r="B42612" t="s">
        <v>13777</v>
      </c>
    </row>
    <row r="42613" spans="1:2" x14ac:dyDescent="0.25">
      <c r="A42613">
        <v>87021000100</v>
      </c>
      <c r="B42613" t="s">
        <v>13778</v>
      </c>
    </row>
    <row r="42614" spans="1:2" x14ac:dyDescent="0.25">
      <c r="A42614">
        <v>87021000900</v>
      </c>
      <c r="B42614" t="s">
        <v>10</v>
      </c>
    </row>
    <row r="42615" spans="1:2" x14ac:dyDescent="0.25">
      <c r="A42615">
        <v>87022000000</v>
      </c>
      <c r="B42615" t="s">
        <v>13779</v>
      </c>
    </row>
    <row r="42616" spans="1:2" x14ac:dyDescent="0.25">
      <c r="A42616">
        <v>87023000000</v>
      </c>
      <c r="B42616" t="e">
        <f>-equipados para la propulsion. Con motor de embolo (piston) alternativo. de encendido por chispa y Con motor electrico</f>
        <v>#NAME?</v>
      </c>
    </row>
    <row r="42617" spans="1:2" x14ac:dyDescent="0.25">
      <c r="A42617">
        <v>870240</v>
      </c>
      <c r="B42617" t="e">
        <f>- Ãšnicamente propulsados Con motor electrico</f>
        <v>#NAME?</v>
      </c>
    </row>
    <row r="42618" spans="1:2" x14ac:dyDescent="0.25">
      <c r="A42618">
        <v>87024010000</v>
      </c>
      <c r="B42618" t="s">
        <v>13780</v>
      </c>
    </row>
    <row r="42619" spans="1:2" x14ac:dyDescent="0.25">
      <c r="A42619">
        <v>87024090000</v>
      </c>
      <c r="B42619" t="s">
        <v>10</v>
      </c>
    </row>
    <row r="42620" spans="1:2" x14ac:dyDescent="0.25">
      <c r="A42620">
        <v>87029000000</v>
      </c>
      <c r="B42620" t="s">
        <v>10</v>
      </c>
    </row>
    <row r="42621" spans="1:2" x14ac:dyDescent="0.25">
      <c r="A42621">
        <v>8703</v>
      </c>
      <c r="B42621" t="s">
        <v>13781</v>
      </c>
    </row>
    <row r="42622" spans="1:2" x14ac:dyDescent="0.25">
      <c r="A42622">
        <v>87031000000</v>
      </c>
      <c r="B42622" t="e">
        <f>-vehiculos especialmente concebidos para desplazarse sobre nieve, vehiculos especiales para el transporte de personas En campos de golf y vehiculos similares</f>
        <v>#NAME?</v>
      </c>
    </row>
    <row r="42623" spans="1:2" x14ac:dyDescent="0.25">
      <c r="A42623">
        <v>87032</v>
      </c>
      <c r="B42623" t="s">
        <v>13782</v>
      </c>
    </row>
    <row r="42624" spans="1:2" x14ac:dyDescent="0.25">
      <c r="A42624">
        <v>87032100</v>
      </c>
      <c r="B42624" t="s">
        <v>13783</v>
      </c>
    </row>
    <row r="42625" spans="1:2" x14ac:dyDescent="0.25">
      <c r="A42625">
        <v>870321001</v>
      </c>
      <c r="B42625" t="s">
        <v>13784</v>
      </c>
    </row>
    <row r="42626" spans="1:2" x14ac:dyDescent="0.25">
      <c r="A42626">
        <v>8703210011</v>
      </c>
      <c r="B42626" t="s">
        <v>13785</v>
      </c>
    </row>
    <row r="42627" spans="1:2" x14ac:dyDescent="0.25">
      <c r="A42627">
        <v>87032100111</v>
      </c>
      <c r="B42627" t="s">
        <v>13786</v>
      </c>
    </row>
    <row r="42628" spans="1:2" x14ac:dyDescent="0.25">
      <c r="A42628">
        <v>87032100112</v>
      </c>
      <c r="B42628" t="s">
        <v>13787</v>
      </c>
    </row>
    <row r="42629" spans="1:2" x14ac:dyDescent="0.25">
      <c r="A42629">
        <v>87032100113</v>
      </c>
      <c r="B42629" t="s">
        <v>13788</v>
      </c>
    </row>
    <row r="42630" spans="1:2" x14ac:dyDescent="0.25">
      <c r="A42630">
        <v>87032100114</v>
      </c>
      <c r="B42630" t="s">
        <v>13789</v>
      </c>
    </row>
    <row r="42631" spans="1:2" x14ac:dyDescent="0.25">
      <c r="A42631">
        <v>8703210012</v>
      </c>
      <c r="B42631" t="s">
        <v>13790</v>
      </c>
    </row>
    <row r="42632" spans="1:2" x14ac:dyDescent="0.25">
      <c r="A42632">
        <v>87032100121</v>
      </c>
      <c r="B42632" t="s">
        <v>13786</v>
      </c>
    </row>
    <row r="42633" spans="1:2" x14ac:dyDescent="0.25">
      <c r="A42633">
        <v>87032100122</v>
      </c>
      <c r="B42633" t="s">
        <v>13787</v>
      </c>
    </row>
    <row r="42634" spans="1:2" x14ac:dyDescent="0.25">
      <c r="A42634">
        <v>87032100123</v>
      </c>
      <c r="B42634" t="s">
        <v>13788</v>
      </c>
    </row>
    <row r="42635" spans="1:2" x14ac:dyDescent="0.25">
      <c r="A42635">
        <v>87032100124</v>
      </c>
      <c r="B42635" t="s">
        <v>13789</v>
      </c>
    </row>
    <row r="42636" spans="1:2" x14ac:dyDescent="0.25">
      <c r="A42636">
        <v>8703210013</v>
      </c>
      <c r="B42636" t="s">
        <v>13791</v>
      </c>
    </row>
    <row r="42637" spans="1:2" x14ac:dyDescent="0.25">
      <c r="A42637">
        <v>87032100131</v>
      </c>
      <c r="B42637" t="s">
        <v>13786</v>
      </c>
    </row>
    <row r="42638" spans="1:2" x14ac:dyDescent="0.25">
      <c r="A42638">
        <v>87032100132</v>
      </c>
      <c r="B42638" t="s">
        <v>13787</v>
      </c>
    </row>
    <row r="42639" spans="1:2" x14ac:dyDescent="0.25">
      <c r="A42639">
        <v>87032100133</v>
      </c>
      <c r="B42639" t="s">
        <v>13788</v>
      </c>
    </row>
    <row r="42640" spans="1:2" x14ac:dyDescent="0.25">
      <c r="A42640">
        <v>87032100134</v>
      </c>
      <c r="B42640" t="s">
        <v>13789</v>
      </c>
    </row>
    <row r="42641" spans="1:2" x14ac:dyDescent="0.25">
      <c r="A42641">
        <v>8703210014</v>
      </c>
      <c r="B42641" t="s">
        <v>13792</v>
      </c>
    </row>
    <row r="42642" spans="1:2" x14ac:dyDescent="0.25">
      <c r="A42642">
        <v>87032100141</v>
      </c>
      <c r="B42642" t="s">
        <v>13786</v>
      </c>
    </row>
    <row r="42643" spans="1:2" x14ac:dyDescent="0.25">
      <c r="A42643">
        <v>87032100142</v>
      </c>
      <c r="B42643" t="s">
        <v>13787</v>
      </c>
    </row>
    <row r="42644" spans="1:2" x14ac:dyDescent="0.25">
      <c r="A42644">
        <v>87032100143</v>
      </c>
      <c r="B42644" t="s">
        <v>13788</v>
      </c>
    </row>
    <row r="42645" spans="1:2" x14ac:dyDescent="0.25">
      <c r="A42645">
        <v>87032100144</v>
      </c>
      <c r="B42645" t="s">
        <v>13789</v>
      </c>
    </row>
    <row r="42646" spans="1:2" x14ac:dyDescent="0.25">
      <c r="A42646">
        <v>8703210015</v>
      </c>
      <c r="B42646" t="s">
        <v>13793</v>
      </c>
    </row>
    <row r="42647" spans="1:2" x14ac:dyDescent="0.25">
      <c r="A42647">
        <v>87032100151</v>
      </c>
      <c r="B42647" t="s">
        <v>13786</v>
      </c>
    </row>
    <row r="42648" spans="1:2" x14ac:dyDescent="0.25">
      <c r="A42648">
        <v>87032100152</v>
      </c>
      <c r="B42648" t="s">
        <v>13787</v>
      </c>
    </row>
    <row r="42649" spans="1:2" x14ac:dyDescent="0.25">
      <c r="A42649">
        <v>87032100153</v>
      </c>
      <c r="B42649" t="s">
        <v>13788</v>
      </c>
    </row>
    <row r="42650" spans="1:2" x14ac:dyDescent="0.25">
      <c r="A42650">
        <v>87032100154</v>
      </c>
      <c r="B42650" t="s">
        <v>13789</v>
      </c>
    </row>
    <row r="42651" spans="1:2" x14ac:dyDescent="0.25">
      <c r="A42651">
        <v>87032100190</v>
      </c>
      <c r="B42651" t="s">
        <v>10</v>
      </c>
    </row>
    <row r="42652" spans="1:2" x14ac:dyDescent="0.25">
      <c r="A42652">
        <v>87032100300</v>
      </c>
      <c r="B42652" t="s">
        <v>13794</v>
      </c>
    </row>
    <row r="42653" spans="1:2" x14ac:dyDescent="0.25">
      <c r="A42653">
        <v>87032100400</v>
      </c>
      <c r="B42653" t="s">
        <v>13795</v>
      </c>
    </row>
    <row r="42654" spans="1:2" x14ac:dyDescent="0.25">
      <c r="A42654">
        <v>870321009</v>
      </c>
      <c r="B42654" t="s">
        <v>10</v>
      </c>
    </row>
    <row r="42655" spans="1:2" x14ac:dyDescent="0.25">
      <c r="A42655">
        <v>8703210091</v>
      </c>
      <c r="B42655" t="s">
        <v>13796</v>
      </c>
    </row>
    <row r="42656" spans="1:2" x14ac:dyDescent="0.25">
      <c r="A42656">
        <v>87032100911</v>
      </c>
      <c r="B42656" t="s">
        <v>13797</v>
      </c>
    </row>
    <row r="42657" spans="1:2" x14ac:dyDescent="0.25">
      <c r="A42657">
        <v>87032100912</v>
      </c>
      <c r="B42657" t="s">
        <v>13798</v>
      </c>
    </row>
    <row r="42658" spans="1:2" x14ac:dyDescent="0.25">
      <c r="A42658">
        <v>87032100919</v>
      </c>
      <c r="B42658" t="s">
        <v>10</v>
      </c>
    </row>
    <row r="42659" spans="1:2" x14ac:dyDescent="0.25">
      <c r="A42659">
        <v>8703210092</v>
      </c>
      <c r="B42659" t="s">
        <v>13799</v>
      </c>
    </row>
    <row r="42660" spans="1:2" x14ac:dyDescent="0.25">
      <c r="A42660">
        <v>87032100921</v>
      </c>
      <c r="B42660" t="s">
        <v>13800</v>
      </c>
    </row>
    <row r="42661" spans="1:2" x14ac:dyDescent="0.25">
      <c r="A42661">
        <v>87032100929</v>
      </c>
      <c r="B42661" t="s">
        <v>10</v>
      </c>
    </row>
    <row r="42662" spans="1:2" x14ac:dyDescent="0.25">
      <c r="A42662">
        <v>87032100990</v>
      </c>
      <c r="B42662" t="s">
        <v>10</v>
      </c>
    </row>
    <row r="42663" spans="1:2" x14ac:dyDescent="0.25">
      <c r="A42663">
        <v>870322</v>
      </c>
      <c r="B42663" t="s">
        <v>13801</v>
      </c>
    </row>
    <row r="42664" spans="1:2" x14ac:dyDescent="0.25">
      <c r="A42664">
        <v>87032210</v>
      </c>
      <c r="B42664" t="s">
        <v>13802</v>
      </c>
    </row>
    <row r="42665" spans="1:2" x14ac:dyDescent="0.25">
      <c r="A42665">
        <v>87032210100</v>
      </c>
      <c r="B42665" t="s">
        <v>13795</v>
      </c>
    </row>
    <row r="42666" spans="1:2" x14ac:dyDescent="0.25">
      <c r="A42666">
        <v>87032210900</v>
      </c>
      <c r="B42666" t="s">
        <v>10</v>
      </c>
    </row>
    <row r="42667" spans="1:2" x14ac:dyDescent="0.25">
      <c r="A42667">
        <v>87032290</v>
      </c>
      <c r="B42667" t="s">
        <v>10</v>
      </c>
    </row>
    <row r="42668" spans="1:2" x14ac:dyDescent="0.25">
      <c r="A42668">
        <v>87032290100</v>
      </c>
      <c r="B42668" t="s">
        <v>13795</v>
      </c>
    </row>
    <row r="42669" spans="1:2" x14ac:dyDescent="0.25">
      <c r="A42669">
        <v>87032290900</v>
      </c>
      <c r="B42669" t="s">
        <v>10</v>
      </c>
    </row>
    <row r="42670" spans="1:2" x14ac:dyDescent="0.25">
      <c r="A42670">
        <v>870323</v>
      </c>
      <c r="B42670" t="s">
        <v>13803</v>
      </c>
    </row>
    <row r="42671" spans="1:2" x14ac:dyDescent="0.25">
      <c r="A42671">
        <v>87032310</v>
      </c>
      <c r="B42671" t="s">
        <v>13802</v>
      </c>
    </row>
    <row r="42672" spans="1:2" x14ac:dyDescent="0.25">
      <c r="A42672">
        <v>87032310100</v>
      </c>
      <c r="B42672" t="s">
        <v>13778</v>
      </c>
    </row>
    <row r="42673" spans="1:2" x14ac:dyDescent="0.25">
      <c r="A42673">
        <v>87032310900</v>
      </c>
      <c r="B42673" t="s">
        <v>10</v>
      </c>
    </row>
    <row r="42674" spans="1:2" x14ac:dyDescent="0.25">
      <c r="A42674">
        <v>87032390</v>
      </c>
      <c r="B42674" t="s">
        <v>10</v>
      </c>
    </row>
    <row r="42675" spans="1:2" x14ac:dyDescent="0.25">
      <c r="A42675">
        <v>87032390100</v>
      </c>
      <c r="B42675" t="s">
        <v>13778</v>
      </c>
    </row>
    <row r="42676" spans="1:2" x14ac:dyDescent="0.25">
      <c r="A42676">
        <v>87032390900</v>
      </c>
      <c r="B42676" t="s">
        <v>10</v>
      </c>
    </row>
    <row r="42677" spans="1:2" x14ac:dyDescent="0.25">
      <c r="A42677">
        <v>870324</v>
      </c>
      <c r="B42677" t="s">
        <v>13804</v>
      </c>
    </row>
    <row r="42678" spans="1:2" x14ac:dyDescent="0.25">
      <c r="A42678">
        <v>87032410</v>
      </c>
      <c r="B42678" t="s">
        <v>13802</v>
      </c>
    </row>
    <row r="42679" spans="1:2" x14ac:dyDescent="0.25">
      <c r="A42679">
        <v>87032410100</v>
      </c>
      <c r="B42679" t="s">
        <v>13795</v>
      </c>
    </row>
    <row r="42680" spans="1:2" x14ac:dyDescent="0.25">
      <c r="A42680">
        <v>87032410200</v>
      </c>
      <c r="B42680" t="s">
        <v>13805</v>
      </c>
    </row>
    <row r="42681" spans="1:2" x14ac:dyDescent="0.25">
      <c r="A42681">
        <v>87032410900</v>
      </c>
      <c r="B42681" t="s">
        <v>10</v>
      </c>
    </row>
    <row r="42682" spans="1:2" x14ac:dyDescent="0.25">
      <c r="A42682">
        <v>87032490</v>
      </c>
      <c r="B42682" t="s">
        <v>10</v>
      </c>
    </row>
    <row r="42683" spans="1:2" x14ac:dyDescent="0.25">
      <c r="A42683">
        <v>87032490100</v>
      </c>
      <c r="B42683" t="s">
        <v>13795</v>
      </c>
    </row>
    <row r="42684" spans="1:2" x14ac:dyDescent="0.25">
      <c r="A42684">
        <v>87032490200</v>
      </c>
      <c r="B42684" t="s">
        <v>13805</v>
      </c>
    </row>
    <row r="42685" spans="1:2" x14ac:dyDescent="0.25">
      <c r="A42685">
        <v>87032490900</v>
      </c>
      <c r="B42685" t="s">
        <v>10</v>
      </c>
    </row>
    <row r="42686" spans="1:2" x14ac:dyDescent="0.25">
      <c r="A42686">
        <v>87033</v>
      </c>
      <c r="B42686" t="s">
        <v>13806</v>
      </c>
    </row>
    <row r="42687" spans="1:2" x14ac:dyDescent="0.25">
      <c r="A42687">
        <v>870331</v>
      </c>
      <c r="B42687" t="s">
        <v>13807</v>
      </c>
    </row>
    <row r="42688" spans="1:2" x14ac:dyDescent="0.25">
      <c r="A42688">
        <v>87033110</v>
      </c>
      <c r="B42688" t="s">
        <v>13802</v>
      </c>
    </row>
    <row r="42689" spans="1:2" x14ac:dyDescent="0.25">
      <c r="A42689">
        <v>87033110100</v>
      </c>
      <c r="B42689" t="s">
        <v>13795</v>
      </c>
    </row>
    <row r="42690" spans="1:2" x14ac:dyDescent="0.25">
      <c r="A42690">
        <v>87033110900</v>
      </c>
      <c r="B42690" t="s">
        <v>10</v>
      </c>
    </row>
    <row r="42691" spans="1:2" x14ac:dyDescent="0.25">
      <c r="A42691">
        <v>87033190</v>
      </c>
      <c r="B42691" t="s">
        <v>10</v>
      </c>
    </row>
    <row r="42692" spans="1:2" x14ac:dyDescent="0.25">
      <c r="A42692">
        <v>87033190100</v>
      </c>
      <c r="B42692" t="s">
        <v>13795</v>
      </c>
    </row>
    <row r="42693" spans="1:2" x14ac:dyDescent="0.25">
      <c r="A42693">
        <v>87033190900</v>
      </c>
      <c r="B42693" t="s">
        <v>10</v>
      </c>
    </row>
    <row r="42694" spans="1:2" x14ac:dyDescent="0.25">
      <c r="A42694">
        <v>870332</v>
      </c>
      <c r="B42694" t="s">
        <v>13808</v>
      </c>
    </row>
    <row r="42695" spans="1:2" x14ac:dyDescent="0.25">
      <c r="A42695">
        <v>87033210</v>
      </c>
      <c r="B42695" t="s">
        <v>13802</v>
      </c>
    </row>
    <row r="42696" spans="1:2" x14ac:dyDescent="0.25">
      <c r="A42696">
        <v>87033210100</v>
      </c>
      <c r="B42696" t="s">
        <v>13795</v>
      </c>
    </row>
    <row r="42697" spans="1:2" x14ac:dyDescent="0.25">
      <c r="A42697">
        <v>87033210900</v>
      </c>
      <c r="B42697" t="s">
        <v>10</v>
      </c>
    </row>
    <row r="42698" spans="1:2" x14ac:dyDescent="0.25">
      <c r="A42698">
        <v>87033290</v>
      </c>
      <c r="B42698" t="s">
        <v>10</v>
      </c>
    </row>
    <row r="42699" spans="1:2" x14ac:dyDescent="0.25">
      <c r="A42699">
        <v>87033290100</v>
      </c>
      <c r="B42699" t="s">
        <v>13795</v>
      </c>
    </row>
    <row r="42700" spans="1:2" x14ac:dyDescent="0.25">
      <c r="A42700">
        <v>87033290900</v>
      </c>
      <c r="B42700" t="s">
        <v>10</v>
      </c>
    </row>
    <row r="42701" spans="1:2" x14ac:dyDescent="0.25">
      <c r="A42701">
        <v>870333</v>
      </c>
      <c r="B42701" t="s">
        <v>13809</v>
      </c>
    </row>
    <row r="42702" spans="1:2" x14ac:dyDescent="0.25">
      <c r="A42702">
        <v>87033310</v>
      </c>
      <c r="B42702" t="s">
        <v>13802</v>
      </c>
    </row>
    <row r="42703" spans="1:2" x14ac:dyDescent="0.25">
      <c r="A42703">
        <v>87033310100</v>
      </c>
      <c r="B42703" t="s">
        <v>13795</v>
      </c>
    </row>
    <row r="42704" spans="1:2" x14ac:dyDescent="0.25">
      <c r="A42704">
        <v>87033310200</v>
      </c>
      <c r="B42704" t="s">
        <v>13805</v>
      </c>
    </row>
    <row r="42705" spans="1:2" x14ac:dyDescent="0.25">
      <c r="A42705">
        <v>87033310900</v>
      </c>
      <c r="B42705" t="s">
        <v>10</v>
      </c>
    </row>
    <row r="42706" spans="1:2" x14ac:dyDescent="0.25">
      <c r="A42706">
        <v>87033390</v>
      </c>
      <c r="B42706" t="s">
        <v>10</v>
      </c>
    </row>
    <row r="42707" spans="1:2" x14ac:dyDescent="0.25">
      <c r="A42707">
        <v>87033390100</v>
      </c>
      <c r="B42707" t="s">
        <v>13795</v>
      </c>
    </row>
    <row r="42708" spans="1:2" x14ac:dyDescent="0.25">
      <c r="A42708">
        <v>87033390200</v>
      </c>
      <c r="B42708" t="s">
        <v>13805</v>
      </c>
    </row>
    <row r="42709" spans="1:2" x14ac:dyDescent="0.25">
      <c r="A42709">
        <v>87033390900</v>
      </c>
      <c r="B42709" t="s">
        <v>10</v>
      </c>
    </row>
    <row r="42710" spans="1:2" x14ac:dyDescent="0.25">
      <c r="A42710">
        <v>87034000</v>
      </c>
      <c r="B42710" t="e">
        <f>- Los demas vehiculos. equipados para la propulsion Con motor de embolo (piston) alternativo. de encendido por chispa y Con motor electrico. excepto Los que se puedan cargar mediante conexion a una fuente externa de alimentacion electrica.</f>
        <v>#NAME?</v>
      </c>
    </row>
    <row r="42711" spans="1:2" x14ac:dyDescent="0.25">
      <c r="A42711">
        <v>87034000100</v>
      </c>
      <c r="B42711" t="s">
        <v>13778</v>
      </c>
    </row>
    <row r="42712" spans="1:2" x14ac:dyDescent="0.25">
      <c r="A42712">
        <v>87034000900</v>
      </c>
      <c r="B42712" t="s">
        <v>10</v>
      </c>
    </row>
    <row r="42713" spans="1:2" x14ac:dyDescent="0.25">
      <c r="A42713">
        <v>87035000</v>
      </c>
      <c r="B42713" t="s">
        <v>13810</v>
      </c>
    </row>
    <row r="42714" spans="1:2" x14ac:dyDescent="0.25">
      <c r="A42714">
        <v>87035000100</v>
      </c>
      <c r="B42714" t="s">
        <v>13778</v>
      </c>
    </row>
    <row r="42715" spans="1:2" x14ac:dyDescent="0.25">
      <c r="A42715">
        <v>87035000900</v>
      </c>
      <c r="B42715" t="s">
        <v>10</v>
      </c>
    </row>
    <row r="42716" spans="1:2" x14ac:dyDescent="0.25">
      <c r="A42716">
        <v>87036000</v>
      </c>
      <c r="B42716" t="e">
        <f>- Los demas vehiculos. equipados para la propulsion Con motor de embolo (piston) alternativo. de encendido por chispa y Con motor electrico. que se puedan cargar mediante conexion a una fuente externa de alimentacion electrica</f>
        <v>#NAME?</v>
      </c>
    </row>
    <row r="42717" spans="1:2" x14ac:dyDescent="0.25">
      <c r="A42717">
        <v>87036000100</v>
      </c>
      <c r="B42717" t="s">
        <v>13778</v>
      </c>
    </row>
    <row r="42718" spans="1:2" x14ac:dyDescent="0.25">
      <c r="A42718">
        <v>87036000900</v>
      </c>
      <c r="B42718" t="s">
        <v>10</v>
      </c>
    </row>
    <row r="42719" spans="1:2" x14ac:dyDescent="0.25">
      <c r="A42719">
        <v>87037000</v>
      </c>
      <c r="B42719" t="s">
        <v>13811</v>
      </c>
    </row>
    <row r="42720" spans="1:2" x14ac:dyDescent="0.25">
      <c r="A42720">
        <v>87037000100</v>
      </c>
      <c r="B42720" t="s">
        <v>13778</v>
      </c>
    </row>
    <row r="42721" spans="1:2" x14ac:dyDescent="0.25">
      <c r="A42721">
        <v>87037000900</v>
      </c>
      <c r="B42721" t="s">
        <v>10</v>
      </c>
    </row>
    <row r="42722" spans="1:2" x14ac:dyDescent="0.25">
      <c r="A42722">
        <v>87038000</v>
      </c>
      <c r="B42722" t="e">
        <f>- Los demas vehiculos. propulsados unicamente Con motor electrico</f>
        <v>#NAME?</v>
      </c>
    </row>
    <row r="42723" spans="1:2" x14ac:dyDescent="0.25">
      <c r="A42723">
        <v>87038000100</v>
      </c>
      <c r="B42723" t="s">
        <v>13778</v>
      </c>
    </row>
    <row r="42724" spans="1:2" x14ac:dyDescent="0.25">
      <c r="A42724">
        <v>87038000900</v>
      </c>
      <c r="B42724" t="s">
        <v>10</v>
      </c>
    </row>
    <row r="42725" spans="1:2" x14ac:dyDescent="0.25">
      <c r="A42725">
        <v>87039000</v>
      </c>
      <c r="B42725" t="e">
        <f>- Los demas</f>
        <v>#NAME?</v>
      </c>
    </row>
    <row r="42726" spans="1:2" x14ac:dyDescent="0.25">
      <c r="A42726">
        <v>87039000300</v>
      </c>
      <c r="B42726" t="s">
        <v>13795</v>
      </c>
    </row>
    <row r="42727" spans="1:2" x14ac:dyDescent="0.25">
      <c r="A42727">
        <v>87039000900</v>
      </c>
      <c r="B42727" t="s">
        <v>10</v>
      </c>
    </row>
    <row r="42728" spans="1:2" x14ac:dyDescent="0.25">
      <c r="A42728">
        <v>8704</v>
      </c>
      <c r="B42728" t="s">
        <v>13812</v>
      </c>
    </row>
    <row r="42729" spans="1:2" x14ac:dyDescent="0.25">
      <c r="A42729">
        <v>870410</v>
      </c>
      <c r="B42729" t="e">
        <f>- Volquetes automotores concebidos para utilizarlos fuera de la Red de carreteras</f>
        <v>#NAME?</v>
      </c>
    </row>
    <row r="42730" spans="1:2" x14ac:dyDescent="0.25">
      <c r="A42730">
        <v>87041010000</v>
      </c>
      <c r="B42730" t="s">
        <v>13813</v>
      </c>
    </row>
    <row r="42731" spans="1:2" x14ac:dyDescent="0.25">
      <c r="A42731">
        <v>87041090</v>
      </c>
      <c r="B42731" t="s">
        <v>10</v>
      </c>
    </row>
    <row r="42732" spans="1:2" x14ac:dyDescent="0.25">
      <c r="A42732">
        <v>87041090100</v>
      </c>
      <c r="B42732" t="s">
        <v>13765</v>
      </c>
    </row>
    <row r="42733" spans="1:2" x14ac:dyDescent="0.25">
      <c r="A42733">
        <v>870410902</v>
      </c>
      <c r="B42733" t="s">
        <v>13814</v>
      </c>
    </row>
    <row r="42734" spans="1:2" x14ac:dyDescent="0.25">
      <c r="A42734">
        <v>87041090210</v>
      </c>
      <c r="B42734" t="s">
        <v>13815</v>
      </c>
    </row>
    <row r="42735" spans="1:2" x14ac:dyDescent="0.25">
      <c r="A42735">
        <v>87041090290</v>
      </c>
      <c r="B42735" t="s">
        <v>10</v>
      </c>
    </row>
    <row r="42736" spans="1:2" x14ac:dyDescent="0.25">
      <c r="A42736">
        <v>87042</v>
      </c>
      <c r="B42736" t="s">
        <v>13816</v>
      </c>
    </row>
    <row r="42737" spans="1:2" x14ac:dyDescent="0.25">
      <c r="A42737">
        <v>870421</v>
      </c>
      <c r="B42737" t="s">
        <v>13817</v>
      </c>
    </row>
    <row r="42738" spans="1:2" x14ac:dyDescent="0.25">
      <c r="A42738">
        <v>87042110</v>
      </c>
      <c r="B42738" t="s">
        <v>13818</v>
      </c>
    </row>
    <row r="42739" spans="1:2" x14ac:dyDescent="0.25">
      <c r="A42739">
        <v>87042110100</v>
      </c>
      <c r="B42739" t="s">
        <v>13819</v>
      </c>
    </row>
    <row r="42740" spans="1:2" x14ac:dyDescent="0.25">
      <c r="A42740">
        <v>87042110200</v>
      </c>
      <c r="B42740" t="s">
        <v>13820</v>
      </c>
    </row>
    <row r="42741" spans="1:2" x14ac:dyDescent="0.25">
      <c r="A42741">
        <v>87042110900</v>
      </c>
      <c r="B42741" t="s">
        <v>10</v>
      </c>
    </row>
    <row r="42742" spans="1:2" x14ac:dyDescent="0.25">
      <c r="A42742">
        <v>87042120</v>
      </c>
      <c r="B42742" t="s">
        <v>13821</v>
      </c>
    </row>
    <row r="42743" spans="1:2" x14ac:dyDescent="0.25">
      <c r="A42743">
        <v>87042120100</v>
      </c>
      <c r="B42743" t="s">
        <v>13822</v>
      </c>
    </row>
    <row r="42744" spans="1:2" x14ac:dyDescent="0.25">
      <c r="A42744">
        <v>87042120900</v>
      </c>
      <c r="B42744" t="s">
        <v>10</v>
      </c>
    </row>
    <row r="42745" spans="1:2" x14ac:dyDescent="0.25">
      <c r="A42745">
        <v>87042130</v>
      </c>
      <c r="B42745" t="s">
        <v>13823</v>
      </c>
    </row>
    <row r="42746" spans="1:2" x14ac:dyDescent="0.25">
      <c r="A42746">
        <v>87042130100</v>
      </c>
      <c r="B42746" t="s">
        <v>13822</v>
      </c>
    </row>
    <row r="42747" spans="1:2" x14ac:dyDescent="0.25">
      <c r="A42747">
        <v>87042130900</v>
      </c>
      <c r="B42747" t="s">
        <v>10</v>
      </c>
    </row>
    <row r="42748" spans="1:2" x14ac:dyDescent="0.25">
      <c r="A42748">
        <v>87042190</v>
      </c>
      <c r="B42748" t="s">
        <v>10</v>
      </c>
    </row>
    <row r="42749" spans="1:2" x14ac:dyDescent="0.25">
      <c r="A42749">
        <v>870421901</v>
      </c>
      <c r="B42749" t="s">
        <v>13795</v>
      </c>
    </row>
    <row r="42750" spans="1:2" x14ac:dyDescent="0.25">
      <c r="A42750">
        <v>87042190110</v>
      </c>
      <c r="B42750" t="s">
        <v>13822</v>
      </c>
    </row>
    <row r="42751" spans="1:2" x14ac:dyDescent="0.25">
      <c r="A42751">
        <v>87042190190</v>
      </c>
      <c r="B42751" t="s">
        <v>10</v>
      </c>
    </row>
    <row r="42752" spans="1:2" x14ac:dyDescent="0.25">
      <c r="A42752">
        <v>87042190200</v>
      </c>
      <c r="B42752" t="s">
        <v>13819</v>
      </c>
    </row>
    <row r="42753" spans="1:2" x14ac:dyDescent="0.25">
      <c r="A42753">
        <v>870421903</v>
      </c>
      <c r="B42753" t="s">
        <v>13820</v>
      </c>
    </row>
    <row r="42754" spans="1:2" x14ac:dyDescent="0.25">
      <c r="A42754">
        <v>87042190310</v>
      </c>
      <c r="B42754" t="s">
        <v>13824</v>
      </c>
    </row>
    <row r="42755" spans="1:2" x14ac:dyDescent="0.25">
      <c r="A42755">
        <v>87042190390</v>
      </c>
      <c r="B42755" t="s">
        <v>10</v>
      </c>
    </row>
    <row r="42756" spans="1:2" x14ac:dyDescent="0.25">
      <c r="A42756">
        <v>87042190800</v>
      </c>
      <c r="B42756" t="s">
        <v>13825</v>
      </c>
    </row>
    <row r="42757" spans="1:2" x14ac:dyDescent="0.25">
      <c r="A42757">
        <v>870421909</v>
      </c>
      <c r="B42757" t="s">
        <v>10</v>
      </c>
    </row>
    <row r="42758" spans="1:2" x14ac:dyDescent="0.25">
      <c r="A42758">
        <v>87042190910</v>
      </c>
      <c r="B42758" t="s">
        <v>13822</v>
      </c>
    </row>
    <row r="42759" spans="1:2" x14ac:dyDescent="0.25">
      <c r="A42759">
        <v>87042190990</v>
      </c>
      <c r="B42759" t="s">
        <v>10</v>
      </c>
    </row>
    <row r="42760" spans="1:2" x14ac:dyDescent="0.25">
      <c r="A42760">
        <v>870422</v>
      </c>
      <c r="B42760" t="s">
        <v>13826</v>
      </c>
    </row>
    <row r="42761" spans="1:2" x14ac:dyDescent="0.25">
      <c r="A42761">
        <v>87042210</v>
      </c>
      <c r="B42761" t="s">
        <v>13818</v>
      </c>
    </row>
    <row r="42762" spans="1:2" x14ac:dyDescent="0.25">
      <c r="A42762">
        <v>87042210100</v>
      </c>
      <c r="B42762" t="s">
        <v>13765</v>
      </c>
    </row>
    <row r="42763" spans="1:2" x14ac:dyDescent="0.25">
      <c r="A42763">
        <v>87042210200</v>
      </c>
      <c r="B42763" t="s">
        <v>13767</v>
      </c>
    </row>
    <row r="42764" spans="1:2" x14ac:dyDescent="0.25">
      <c r="A42764">
        <v>87042220</v>
      </c>
      <c r="B42764" t="s">
        <v>13821</v>
      </c>
    </row>
    <row r="42765" spans="1:2" x14ac:dyDescent="0.25">
      <c r="A42765">
        <v>87042220100</v>
      </c>
      <c r="B42765" t="s">
        <v>13765</v>
      </c>
    </row>
    <row r="42766" spans="1:2" x14ac:dyDescent="0.25">
      <c r="A42766">
        <v>87042220200</v>
      </c>
      <c r="B42766" t="s">
        <v>13767</v>
      </c>
    </row>
    <row r="42767" spans="1:2" x14ac:dyDescent="0.25">
      <c r="A42767">
        <v>87042230</v>
      </c>
      <c r="B42767" t="s">
        <v>13823</v>
      </c>
    </row>
    <row r="42768" spans="1:2" x14ac:dyDescent="0.25">
      <c r="A42768">
        <v>87042230100</v>
      </c>
      <c r="B42768" t="s">
        <v>13765</v>
      </c>
    </row>
    <row r="42769" spans="1:2" x14ac:dyDescent="0.25">
      <c r="A42769">
        <v>87042230200</v>
      </c>
      <c r="B42769" t="s">
        <v>13767</v>
      </c>
    </row>
    <row r="42770" spans="1:2" x14ac:dyDescent="0.25">
      <c r="A42770">
        <v>87042290</v>
      </c>
      <c r="B42770" t="s">
        <v>10</v>
      </c>
    </row>
    <row r="42771" spans="1:2" x14ac:dyDescent="0.25">
      <c r="A42771">
        <v>870422901</v>
      </c>
      <c r="B42771" t="s">
        <v>13795</v>
      </c>
    </row>
    <row r="42772" spans="1:2" x14ac:dyDescent="0.25">
      <c r="A42772">
        <v>87042290110</v>
      </c>
      <c r="B42772" t="s">
        <v>13765</v>
      </c>
    </row>
    <row r="42773" spans="1:2" x14ac:dyDescent="0.25">
      <c r="A42773">
        <v>87042290120</v>
      </c>
      <c r="B42773" t="s">
        <v>13767</v>
      </c>
    </row>
    <row r="42774" spans="1:2" x14ac:dyDescent="0.25">
      <c r="A42774">
        <v>870422909</v>
      </c>
      <c r="B42774" t="s">
        <v>10</v>
      </c>
    </row>
    <row r="42775" spans="1:2" x14ac:dyDescent="0.25">
      <c r="A42775">
        <v>87042290910</v>
      </c>
      <c r="B42775" t="s">
        <v>13765</v>
      </c>
    </row>
    <row r="42776" spans="1:2" x14ac:dyDescent="0.25">
      <c r="A42776">
        <v>87042290920</v>
      </c>
      <c r="B42776" t="s">
        <v>13767</v>
      </c>
    </row>
    <row r="42777" spans="1:2" x14ac:dyDescent="0.25">
      <c r="A42777">
        <v>870423</v>
      </c>
      <c r="B42777" t="s">
        <v>13827</v>
      </c>
    </row>
    <row r="42778" spans="1:2" x14ac:dyDescent="0.25">
      <c r="A42778">
        <v>87042310</v>
      </c>
      <c r="B42778" t="s">
        <v>13818</v>
      </c>
    </row>
    <row r="42779" spans="1:2" x14ac:dyDescent="0.25">
      <c r="A42779">
        <v>87042310100</v>
      </c>
      <c r="B42779" t="s">
        <v>13828</v>
      </c>
    </row>
    <row r="42780" spans="1:2" x14ac:dyDescent="0.25">
      <c r="A42780">
        <v>87042310900</v>
      </c>
      <c r="B42780" t="s">
        <v>10</v>
      </c>
    </row>
    <row r="42781" spans="1:2" x14ac:dyDescent="0.25">
      <c r="A42781">
        <v>87042320</v>
      </c>
      <c r="B42781" t="s">
        <v>13821</v>
      </c>
    </row>
    <row r="42782" spans="1:2" x14ac:dyDescent="0.25">
      <c r="A42782">
        <v>87042320100</v>
      </c>
      <c r="B42782" t="s">
        <v>13829</v>
      </c>
    </row>
    <row r="42783" spans="1:2" x14ac:dyDescent="0.25">
      <c r="A42783">
        <v>87042320900</v>
      </c>
      <c r="B42783" t="s">
        <v>10</v>
      </c>
    </row>
    <row r="42784" spans="1:2" x14ac:dyDescent="0.25">
      <c r="A42784">
        <v>87042330000</v>
      </c>
      <c r="B42784" t="s">
        <v>13823</v>
      </c>
    </row>
    <row r="42785" spans="1:2" x14ac:dyDescent="0.25">
      <c r="A42785">
        <v>87042340000</v>
      </c>
      <c r="B42785" t="s">
        <v>13830</v>
      </c>
    </row>
    <row r="42786" spans="1:2" x14ac:dyDescent="0.25">
      <c r="A42786">
        <v>87042390</v>
      </c>
      <c r="B42786" t="s">
        <v>10</v>
      </c>
    </row>
    <row r="42787" spans="1:2" x14ac:dyDescent="0.25">
      <c r="A42787">
        <v>87042390100</v>
      </c>
      <c r="B42787" t="s">
        <v>13831</v>
      </c>
    </row>
    <row r="42788" spans="1:2" x14ac:dyDescent="0.25">
      <c r="A42788">
        <v>87042390200</v>
      </c>
      <c r="B42788" t="s">
        <v>13832</v>
      </c>
    </row>
    <row r="42789" spans="1:2" x14ac:dyDescent="0.25">
      <c r="A42789">
        <v>87042390900</v>
      </c>
      <c r="B42789" t="s">
        <v>10</v>
      </c>
    </row>
    <row r="42790" spans="1:2" x14ac:dyDescent="0.25">
      <c r="A42790">
        <v>87043</v>
      </c>
      <c r="B42790" t="s">
        <v>13833</v>
      </c>
    </row>
    <row r="42791" spans="1:2" x14ac:dyDescent="0.25">
      <c r="A42791">
        <v>870431</v>
      </c>
      <c r="B42791" t="s">
        <v>13817</v>
      </c>
    </row>
    <row r="42792" spans="1:2" x14ac:dyDescent="0.25">
      <c r="A42792">
        <v>87043110</v>
      </c>
      <c r="B42792" t="s">
        <v>13818</v>
      </c>
    </row>
    <row r="42793" spans="1:2" x14ac:dyDescent="0.25">
      <c r="A42793">
        <v>87043110100</v>
      </c>
      <c r="B42793" t="s">
        <v>13834</v>
      </c>
    </row>
    <row r="42794" spans="1:2" x14ac:dyDescent="0.25">
      <c r="A42794">
        <v>87043110200</v>
      </c>
      <c r="B42794" t="s">
        <v>13835</v>
      </c>
    </row>
    <row r="42795" spans="1:2" x14ac:dyDescent="0.25">
      <c r="A42795">
        <v>87043110900</v>
      </c>
      <c r="B42795" t="s">
        <v>10</v>
      </c>
    </row>
    <row r="42796" spans="1:2" x14ac:dyDescent="0.25">
      <c r="A42796">
        <v>87043120000</v>
      </c>
      <c r="B42796" t="s">
        <v>13821</v>
      </c>
    </row>
    <row r="42797" spans="1:2" x14ac:dyDescent="0.25">
      <c r="A42797">
        <v>87043130000</v>
      </c>
      <c r="B42797" t="s">
        <v>13823</v>
      </c>
    </row>
    <row r="42798" spans="1:2" x14ac:dyDescent="0.25">
      <c r="A42798">
        <v>87043190</v>
      </c>
      <c r="B42798" t="s">
        <v>10</v>
      </c>
    </row>
    <row r="42799" spans="1:2" x14ac:dyDescent="0.25">
      <c r="A42799">
        <v>87043190100</v>
      </c>
      <c r="B42799" t="s">
        <v>13795</v>
      </c>
    </row>
    <row r="42800" spans="1:2" x14ac:dyDescent="0.25">
      <c r="A42800">
        <v>87043190200</v>
      </c>
      <c r="B42800" t="s">
        <v>13836</v>
      </c>
    </row>
    <row r="42801" spans="1:2" x14ac:dyDescent="0.25">
      <c r="A42801">
        <v>87043190900</v>
      </c>
      <c r="B42801" t="s">
        <v>10</v>
      </c>
    </row>
    <row r="42802" spans="1:2" x14ac:dyDescent="0.25">
      <c r="A42802">
        <v>870432</v>
      </c>
      <c r="B42802" t="s">
        <v>13837</v>
      </c>
    </row>
    <row r="42803" spans="1:2" x14ac:dyDescent="0.25">
      <c r="A42803">
        <v>87043210</v>
      </c>
      <c r="B42803" t="s">
        <v>13818</v>
      </c>
    </row>
    <row r="42804" spans="1:2" x14ac:dyDescent="0.25">
      <c r="A42804">
        <v>87043210100</v>
      </c>
      <c r="B42804" t="s">
        <v>13765</v>
      </c>
    </row>
    <row r="42805" spans="1:2" x14ac:dyDescent="0.25">
      <c r="A42805">
        <v>87043210200</v>
      </c>
      <c r="B42805" t="s">
        <v>13767</v>
      </c>
    </row>
    <row r="42806" spans="1:2" x14ac:dyDescent="0.25">
      <c r="A42806">
        <v>87043220</v>
      </c>
      <c r="B42806" t="s">
        <v>13821</v>
      </c>
    </row>
    <row r="42807" spans="1:2" x14ac:dyDescent="0.25">
      <c r="A42807">
        <v>87043220100</v>
      </c>
      <c r="B42807" t="s">
        <v>13765</v>
      </c>
    </row>
    <row r="42808" spans="1:2" x14ac:dyDescent="0.25">
      <c r="A42808">
        <v>87043220200</v>
      </c>
      <c r="B42808" t="s">
        <v>13767</v>
      </c>
    </row>
    <row r="42809" spans="1:2" x14ac:dyDescent="0.25">
      <c r="A42809">
        <v>87043230</v>
      </c>
      <c r="B42809" t="s">
        <v>13823</v>
      </c>
    </row>
    <row r="42810" spans="1:2" x14ac:dyDescent="0.25">
      <c r="A42810">
        <v>87043230100</v>
      </c>
      <c r="B42810" t="s">
        <v>13765</v>
      </c>
    </row>
    <row r="42811" spans="1:2" x14ac:dyDescent="0.25">
      <c r="A42811">
        <v>87043230200</v>
      </c>
      <c r="B42811" t="s">
        <v>13767</v>
      </c>
    </row>
    <row r="42812" spans="1:2" x14ac:dyDescent="0.25">
      <c r="A42812">
        <v>87043290</v>
      </c>
      <c r="B42812" t="s">
        <v>10</v>
      </c>
    </row>
    <row r="42813" spans="1:2" x14ac:dyDescent="0.25">
      <c r="A42813">
        <v>87043290100</v>
      </c>
      <c r="B42813" t="s">
        <v>13765</v>
      </c>
    </row>
    <row r="42814" spans="1:2" x14ac:dyDescent="0.25">
      <c r="A42814">
        <v>87043290200</v>
      </c>
      <c r="B42814" t="s">
        <v>13767</v>
      </c>
    </row>
    <row r="42815" spans="1:2" x14ac:dyDescent="0.25">
      <c r="A42815">
        <v>87049000</v>
      </c>
      <c r="B42815" t="e">
        <f>- Los demas</f>
        <v>#NAME?</v>
      </c>
    </row>
    <row r="42816" spans="1:2" x14ac:dyDescent="0.25">
      <c r="A42816">
        <v>870490001</v>
      </c>
      <c r="B42816" t="s">
        <v>13795</v>
      </c>
    </row>
    <row r="42817" spans="1:2" x14ac:dyDescent="0.25">
      <c r="A42817">
        <v>87049000110</v>
      </c>
      <c r="B42817" t="s">
        <v>13765</v>
      </c>
    </row>
    <row r="42818" spans="1:2" x14ac:dyDescent="0.25">
      <c r="A42818">
        <v>87049000120</v>
      </c>
      <c r="B42818" t="s">
        <v>13767</v>
      </c>
    </row>
    <row r="42819" spans="1:2" x14ac:dyDescent="0.25">
      <c r="A42819">
        <v>870490009</v>
      </c>
      <c r="B42819" t="s">
        <v>10</v>
      </c>
    </row>
    <row r="42820" spans="1:2" x14ac:dyDescent="0.25">
      <c r="A42820">
        <v>87049000910</v>
      </c>
      <c r="B42820" t="s">
        <v>13765</v>
      </c>
    </row>
    <row r="42821" spans="1:2" x14ac:dyDescent="0.25">
      <c r="A42821">
        <v>87049000920</v>
      </c>
      <c r="B42821" t="s">
        <v>13767</v>
      </c>
    </row>
    <row r="42822" spans="1:2" x14ac:dyDescent="0.25">
      <c r="A42822">
        <v>8705</v>
      </c>
      <c r="B42822" t="s">
        <v>13838</v>
      </c>
    </row>
    <row r="42823" spans="1:2" x14ac:dyDescent="0.25">
      <c r="A42823">
        <v>870510</v>
      </c>
      <c r="B42823" t="e">
        <f>- camiones grua</f>
        <v>#NAME?</v>
      </c>
    </row>
    <row r="42824" spans="1:2" x14ac:dyDescent="0.25">
      <c r="A42824">
        <v>87051010000</v>
      </c>
      <c r="B42824" t="s">
        <v>13839</v>
      </c>
    </row>
    <row r="42825" spans="1:2" x14ac:dyDescent="0.25">
      <c r="A42825">
        <v>87051090</v>
      </c>
      <c r="B42825" t="s">
        <v>10</v>
      </c>
    </row>
    <row r="42826" spans="1:2" x14ac:dyDescent="0.25">
      <c r="A42826">
        <v>87051090200</v>
      </c>
      <c r="B42826" t="s">
        <v>13840</v>
      </c>
    </row>
    <row r="42827" spans="1:2" x14ac:dyDescent="0.25">
      <c r="A42827">
        <v>87051090300</v>
      </c>
      <c r="B42827" t="s">
        <v>13841</v>
      </c>
    </row>
    <row r="42828" spans="1:2" x14ac:dyDescent="0.25">
      <c r="A42828">
        <v>87051090900</v>
      </c>
      <c r="B42828" t="s">
        <v>10</v>
      </c>
    </row>
    <row r="42829" spans="1:2" x14ac:dyDescent="0.25">
      <c r="A42829">
        <v>87052000000</v>
      </c>
      <c r="B42829" t="e">
        <f>-camiones automoviles para sondeo o perforacion</f>
        <v>#NAME?</v>
      </c>
    </row>
    <row r="42830" spans="1:2" x14ac:dyDescent="0.25">
      <c r="A42830">
        <v>87053000000</v>
      </c>
      <c r="B42830" t="e">
        <f>-camiones de bomberos</f>
        <v>#NAME?</v>
      </c>
    </row>
    <row r="42831" spans="1:2" x14ac:dyDescent="0.25">
      <c r="A42831">
        <v>87054000</v>
      </c>
      <c r="B42831" t="e">
        <f>- camiones hormigonera</f>
        <v>#NAME?</v>
      </c>
    </row>
    <row r="42832" spans="1:2" x14ac:dyDescent="0.25">
      <c r="A42832">
        <v>87054000100</v>
      </c>
      <c r="B42832" t="s">
        <v>13829</v>
      </c>
    </row>
    <row r="42833" spans="1:2" x14ac:dyDescent="0.25">
      <c r="A42833">
        <v>87054000900</v>
      </c>
      <c r="B42833" t="s">
        <v>10</v>
      </c>
    </row>
    <row r="42834" spans="1:2" x14ac:dyDescent="0.25">
      <c r="A42834">
        <v>870590</v>
      </c>
      <c r="B42834" t="e">
        <f>- Los demas</f>
        <v>#NAME?</v>
      </c>
    </row>
    <row r="42835" spans="1:2" x14ac:dyDescent="0.25">
      <c r="A42835">
        <v>87059010000</v>
      </c>
      <c r="B42835" t="s">
        <v>13842</v>
      </c>
    </row>
    <row r="42836" spans="1:2" x14ac:dyDescent="0.25">
      <c r="A42836">
        <v>87059090</v>
      </c>
      <c r="B42836" t="s">
        <v>10</v>
      </c>
    </row>
    <row r="42837" spans="1:2" x14ac:dyDescent="0.25">
      <c r="A42837">
        <v>87059090100</v>
      </c>
      <c r="B42837" t="s">
        <v>13843</v>
      </c>
    </row>
    <row r="42838" spans="1:2" x14ac:dyDescent="0.25">
      <c r="A42838">
        <v>87059090200</v>
      </c>
      <c r="B42838" t="s">
        <v>13844</v>
      </c>
    </row>
    <row r="42839" spans="1:2" x14ac:dyDescent="0.25">
      <c r="A42839">
        <v>87059090300</v>
      </c>
      <c r="B42839" t="s">
        <v>13845</v>
      </c>
    </row>
    <row r="42840" spans="1:2" x14ac:dyDescent="0.25">
      <c r="A42840">
        <v>870590904</v>
      </c>
      <c r="B42840" t="s">
        <v>13846</v>
      </c>
    </row>
    <row r="42841" spans="1:2" x14ac:dyDescent="0.25">
      <c r="A42841">
        <v>87059090410</v>
      </c>
      <c r="B42841" t="s">
        <v>13847</v>
      </c>
    </row>
    <row r="42842" spans="1:2" x14ac:dyDescent="0.25">
      <c r="A42842">
        <v>87059090420</v>
      </c>
      <c r="B42842" t="s">
        <v>13848</v>
      </c>
    </row>
    <row r="42843" spans="1:2" x14ac:dyDescent="0.25">
      <c r="A42843">
        <v>87059090430</v>
      </c>
      <c r="B42843" t="s">
        <v>13849</v>
      </c>
    </row>
    <row r="42844" spans="1:2" x14ac:dyDescent="0.25">
      <c r="A42844">
        <v>87059090440</v>
      </c>
      <c r="B42844" t="s">
        <v>13850</v>
      </c>
    </row>
    <row r="42845" spans="1:2" x14ac:dyDescent="0.25">
      <c r="A42845">
        <v>87059090450</v>
      </c>
      <c r="B42845" t="s">
        <v>13851</v>
      </c>
    </row>
    <row r="42846" spans="1:2" x14ac:dyDescent="0.25">
      <c r="A42846">
        <v>87059090460</v>
      </c>
      <c r="B42846" t="s">
        <v>13852</v>
      </c>
    </row>
    <row r="42847" spans="1:2" x14ac:dyDescent="0.25">
      <c r="A42847">
        <v>87059090470</v>
      </c>
      <c r="B42847" t="s">
        <v>13853</v>
      </c>
    </row>
    <row r="42848" spans="1:2" x14ac:dyDescent="0.25">
      <c r="A42848">
        <v>87059090500</v>
      </c>
      <c r="B42848" t="s">
        <v>13854</v>
      </c>
    </row>
    <row r="42849" spans="1:2" x14ac:dyDescent="0.25">
      <c r="A42849">
        <v>87059090600</v>
      </c>
      <c r="B42849" t="s">
        <v>13855</v>
      </c>
    </row>
    <row r="42850" spans="1:2" x14ac:dyDescent="0.25">
      <c r="A42850">
        <v>87059090900</v>
      </c>
      <c r="B42850" t="s">
        <v>10</v>
      </c>
    </row>
    <row r="42851" spans="1:2" x14ac:dyDescent="0.25">
      <c r="A42851">
        <v>870600</v>
      </c>
      <c r="B42851" t="s">
        <v>13856</v>
      </c>
    </row>
    <row r="42852" spans="1:2" x14ac:dyDescent="0.25">
      <c r="A42852">
        <v>87060010000</v>
      </c>
      <c r="B42852" t="s">
        <v>13857</v>
      </c>
    </row>
    <row r="42853" spans="1:2" x14ac:dyDescent="0.25">
      <c r="A42853">
        <v>87060020000</v>
      </c>
      <c r="B42853" t="s">
        <v>13858</v>
      </c>
    </row>
    <row r="42854" spans="1:2" x14ac:dyDescent="0.25">
      <c r="A42854">
        <v>87060090</v>
      </c>
      <c r="B42854" t="s">
        <v>10</v>
      </c>
    </row>
    <row r="42855" spans="1:2" x14ac:dyDescent="0.25">
      <c r="A42855">
        <v>870600901</v>
      </c>
      <c r="B42855" t="s">
        <v>13859</v>
      </c>
    </row>
    <row r="42856" spans="1:2" x14ac:dyDescent="0.25">
      <c r="A42856">
        <v>87060090110</v>
      </c>
      <c r="B42856" t="s">
        <v>13860</v>
      </c>
    </row>
    <row r="42857" spans="1:2" x14ac:dyDescent="0.25">
      <c r="A42857">
        <v>87060090190</v>
      </c>
      <c r="B42857" t="s">
        <v>10</v>
      </c>
    </row>
    <row r="42858" spans="1:2" x14ac:dyDescent="0.25">
      <c r="A42858">
        <v>870600909</v>
      </c>
      <c r="B42858" t="s">
        <v>10</v>
      </c>
    </row>
    <row r="42859" spans="1:2" x14ac:dyDescent="0.25">
      <c r="A42859">
        <v>87060090910</v>
      </c>
      <c r="B42859" t="s">
        <v>13861</v>
      </c>
    </row>
    <row r="42860" spans="1:2" x14ac:dyDescent="0.25">
      <c r="A42860">
        <v>87060090920</v>
      </c>
      <c r="B42860" t="s">
        <v>13862</v>
      </c>
    </row>
    <row r="42861" spans="1:2" x14ac:dyDescent="0.25">
      <c r="A42861">
        <v>87060090990</v>
      </c>
      <c r="B42861" t="s">
        <v>10</v>
      </c>
    </row>
    <row r="42862" spans="1:2" x14ac:dyDescent="0.25">
      <c r="A42862">
        <v>8707</v>
      </c>
      <c r="B42862" t="s">
        <v>13863</v>
      </c>
    </row>
    <row r="42863" spans="1:2" x14ac:dyDescent="0.25">
      <c r="A42863">
        <v>87071000</v>
      </c>
      <c r="B42863" t="s">
        <v>13864</v>
      </c>
    </row>
    <row r="42864" spans="1:2" x14ac:dyDescent="0.25">
      <c r="A42864">
        <v>87071000300</v>
      </c>
      <c r="B42864" t="s">
        <v>13865</v>
      </c>
    </row>
    <row r="42865" spans="1:2" x14ac:dyDescent="0.25">
      <c r="A42865">
        <v>87071000900</v>
      </c>
      <c r="B42865" t="s">
        <v>10</v>
      </c>
    </row>
    <row r="42866" spans="1:2" x14ac:dyDescent="0.25">
      <c r="A42866">
        <v>870790</v>
      </c>
      <c r="B42866" t="e">
        <f>- las demas</f>
        <v>#NAME?</v>
      </c>
    </row>
    <row r="42867" spans="1:2" x14ac:dyDescent="0.25">
      <c r="A42867">
        <v>87079010000</v>
      </c>
      <c r="B42867" t="s">
        <v>13858</v>
      </c>
    </row>
    <row r="42868" spans="1:2" x14ac:dyDescent="0.25">
      <c r="A42868">
        <v>87079090</v>
      </c>
      <c r="B42868" t="s">
        <v>57</v>
      </c>
    </row>
    <row r="42869" spans="1:2" x14ac:dyDescent="0.25">
      <c r="A42869">
        <v>87079090100</v>
      </c>
      <c r="B42869" t="s">
        <v>13865</v>
      </c>
    </row>
    <row r="42870" spans="1:2" x14ac:dyDescent="0.25">
      <c r="A42870">
        <v>87079090200</v>
      </c>
      <c r="B42870" t="s">
        <v>13866</v>
      </c>
    </row>
    <row r="42871" spans="1:2" x14ac:dyDescent="0.25">
      <c r="A42871">
        <v>87079090900</v>
      </c>
      <c r="B42871" t="s">
        <v>10</v>
      </c>
    </row>
    <row r="42872" spans="1:2" x14ac:dyDescent="0.25">
      <c r="A42872">
        <v>8708</v>
      </c>
      <c r="B42872" t="s">
        <v>13867</v>
      </c>
    </row>
    <row r="42873" spans="1:2" x14ac:dyDescent="0.25">
      <c r="A42873">
        <v>87081000000</v>
      </c>
      <c r="B42873" t="e">
        <f>-Parachoques (paragolpes. defensas) y sus partes</f>
        <v>#NAME?</v>
      </c>
    </row>
    <row r="42874" spans="1:2" x14ac:dyDescent="0.25">
      <c r="A42874">
        <v>87082</v>
      </c>
      <c r="B42874" t="s">
        <v>13868</v>
      </c>
    </row>
    <row r="42875" spans="1:2" x14ac:dyDescent="0.25">
      <c r="A42875">
        <v>87082100000</v>
      </c>
      <c r="B42875" t="e">
        <f>--cinturones de seguridad</f>
        <v>#NAME?</v>
      </c>
    </row>
    <row r="42876" spans="1:2" x14ac:dyDescent="0.25">
      <c r="A42876">
        <v>870829</v>
      </c>
      <c r="B42876" t="e">
        <f>- - Los demas</f>
        <v>#NAME?</v>
      </c>
    </row>
    <row r="42877" spans="1:2" x14ac:dyDescent="0.25">
      <c r="A42877">
        <v>8708291</v>
      </c>
      <c r="B42877" t="s">
        <v>13858</v>
      </c>
    </row>
    <row r="42878" spans="1:2" x14ac:dyDescent="0.25">
      <c r="A42878">
        <v>87082911000</v>
      </c>
      <c r="B42878" t="s">
        <v>13869</v>
      </c>
    </row>
    <row r="42879" spans="1:2" x14ac:dyDescent="0.25">
      <c r="A42879">
        <v>87082912000</v>
      </c>
      <c r="B42879" t="s">
        <v>13870</v>
      </c>
    </row>
    <row r="42880" spans="1:2" x14ac:dyDescent="0.25">
      <c r="A42880">
        <v>87082913000</v>
      </c>
      <c r="B42880" t="s">
        <v>13871</v>
      </c>
    </row>
    <row r="42881" spans="1:2" x14ac:dyDescent="0.25">
      <c r="A42881">
        <v>87082914000</v>
      </c>
      <c r="B42881" t="s">
        <v>13872</v>
      </c>
    </row>
    <row r="42882" spans="1:2" x14ac:dyDescent="0.25">
      <c r="A42882">
        <v>87082919</v>
      </c>
      <c r="B42882" t="s">
        <v>10</v>
      </c>
    </row>
    <row r="42883" spans="1:2" x14ac:dyDescent="0.25">
      <c r="A42883">
        <v>87082919100</v>
      </c>
      <c r="B42883" t="s">
        <v>12036</v>
      </c>
    </row>
    <row r="42884" spans="1:2" x14ac:dyDescent="0.25">
      <c r="A42884">
        <v>87082919900</v>
      </c>
      <c r="B42884" t="s">
        <v>12037</v>
      </c>
    </row>
    <row r="42885" spans="1:2" x14ac:dyDescent="0.25">
      <c r="A42885">
        <v>8708299</v>
      </c>
      <c r="B42885" t="s">
        <v>10</v>
      </c>
    </row>
    <row r="42886" spans="1:2" x14ac:dyDescent="0.25">
      <c r="A42886">
        <v>87082991000</v>
      </c>
      <c r="B42886" t="s">
        <v>13869</v>
      </c>
    </row>
    <row r="42887" spans="1:2" x14ac:dyDescent="0.25">
      <c r="A42887">
        <v>87082992000</v>
      </c>
      <c r="B42887" t="s">
        <v>13870</v>
      </c>
    </row>
    <row r="42888" spans="1:2" x14ac:dyDescent="0.25">
      <c r="A42888">
        <v>87082993000</v>
      </c>
      <c r="B42888" t="s">
        <v>13871</v>
      </c>
    </row>
    <row r="42889" spans="1:2" x14ac:dyDescent="0.25">
      <c r="A42889">
        <v>87082994000</v>
      </c>
      <c r="B42889" t="s">
        <v>13872</v>
      </c>
    </row>
    <row r="42890" spans="1:2" x14ac:dyDescent="0.25">
      <c r="A42890">
        <v>87082995000</v>
      </c>
      <c r="B42890" t="s">
        <v>13873</v>
      </c>
    </row>
    <row r="42891" spans="1:2" x14ac:dyDescent="0.25">
      <c r="A42891">
        <v>87082999</v>
      </c>
      <c r="B42891" t="s">
        <v>10</v>
      </c>
    </row>
    <row r="42892" spans="1:2" x14ac:dyDescent="0.25">
      <c r="A42892">
        <v>87082999100</v>
      </c>
      <c r="B42892" t="s">
        <v>12036</v>
      </c>
    </row>
    <row r="42893" spans="1:2" x14ac:dyDescent="0.25">
      <c r="A42893">
        <v>870829999</v>
      </c>
      <c r="B42893" t="s">
        <v>10194</v>
      </c>
    </row>
    <row r="42894" spans="1:2" x14ac:dyDescent="0.25">
      <c r="A42894">
        <v>87082999910</v>
      </c>
      <c r="B42894" t="s">
        <v>13874</v>
      </c>
    </row>
    <row r="42895" spans="1:2" x14ac:dyDescent="0.25">
      <c r="A42895">
        <v>87082999920</v>
      </c>
      <c r="B42895" t="s">
        <v>13875</v>
      </c>
    </row>
    <row r="42896" spans="1:2" x14ac:dyDescent="0.25">
      <c r="A42896">
        <v>87082999930</v>
      </c>
      <c r="B42896" t="s">
        <v>13876</v>
      </c>
    </row>
    <row r="42897" spans="1:2" x14ac:dyDescent="0.25">
      <c r="A42897">
        <v>87082999940</v>
      </c>
      <c r="B42897" t="s">
        <v>13877</v>
      </c>
    </row>
    <row r="42898" spans="1:2" x14ac:dyDescent="0.25">
      <c r="A42898">
        <v>87082999950</v>
      </c>
      <c r="B42898" t="s">
        <v>13878</v>
      </c>
    </row>
    <row r="42899" spans="1:2" x14ac:dyDescent="0.25">
      <c r="A42899">
        <v>87082999960</v>
      </c>
      <c r="B42899" t="s">
        <v>13879</v>
      </c>
    </row>
    <row r="42900" spans="1:2" x14ac:dyDescent="0.25">
      <c r="A42900">
        <v>87082999970</v>
      </c>
      <c r="B42900" t="s">
        <v>13880</v>
      </c>
    </row>
    <row r="42901" spans="1:2" x14ac:dyDescent="0.25">
      <c r="A42901">
        <v>87082999980</v>
      </c>
      <c r="B42901" t="s">
        <v>13881</v>
      </c>
    </row>
    <row r="42902" spans="1:2" x14ac:dyDescent="0.25">
      <c r="A42902">
        <v>87082999990</v>
      </c>
      <c r="B42902" t="s">
        <v>6724</v>
      </c>
    </row>
    <row r="42903" spans="1:2" x14ac:dyDescent="0.25">
      <c r="A42903">
        <v>870830</v>
      </c>
      <c r="B42903" t="e">
        <f>- frenos y servofrenos, sus partes</f>
        <v>#NAME?</v>
      </c>
    </row>
    <row r="42904" spans="1:2" x14ac:dyDescent="0.25">
      <c r="A42904">
        <v>8708301</v>
      </c>
      <c r="B42904" t="s">
        <v>13882</v>
      </c>
    </row>
    <row r="42905" spans="1:2" x14ac:dyDescent="0.25">
      <c r="A42905">
        <v>87083011000</v>
      </c>
      <c r="B42905" t="s">
        <v>13883</v>
      </c>
    </row>
    <row r="42906" spans="1:2" x14ac:dyDescent="0.25">
      <c r="A42906">
        <v>87083019</v>
      </c>
      <c r="B42906" t="s">
        <v>57</v>
      </c>
    </row>
    <row r="42907" spans="1:2" x14ac:dyDescent="0.25">
      <c r="A42907">
        <v>870830191</v>
      </c>
      <c r="B42907" t="s">
        <v>13884</v>
      </c>
    </row>
    <row r="42908" spans="1:2" x14ac:dyDescent="0.25">
      <c r="A42908">
        <v>87083019110</v>
      </c>
      <c r="B42908" t="s">
        <v>13885</v>
      </c>
    </row>
    <row r="42909" spans="1:2" x14ac:dyDescent="0.25">
      <c r="A42909">
        <v>87083019190</v>
      </c>
      <c r="B42909" t="s">
        <v>57</v>
      </c>
    </row>
    <row r="42910" spans="1:2" x14ac:dyDescent="0.25">
      <c r="A42910">
        <v>870830192</v>
      </c>
      <c r="B42910" t="s">
        <v>13886</v>
      </c>
    </row>
    <row r="42911" spans="1:2" x14ac:dyDescent="0.25">
      <c r="A42911">
        <v>87083019210</v>
      </c>
      <c r="B42911" t="s">
        <v>13887</v>
      </c>
    </row>
    <row r="42912" spans="1:2" x14ac:dyDescent="0.25">
      <c r="A42912">
        <v>87083019290</v>
      </c>
      <c r="B42912" t="s">
        <v>57</v>
      </c>
    </row>
    <row r="42913" spans="1:2" x14ac:dyDescent="0.25">
      <c r="A42913">
        <v>87083090</v>
      </c>
      <c r="B42913" t="s">
        <v>10</v>
      </c>
    </row>
    <row r="42914" spans="1:2" x14ac:dyDescent="0.25">
      <c r="A42914">
        <v>87083090100</v>
      </c>
      <c r="B42914" t="s">
        <v>13888</v>
      </c>
    </row>
    <row r="42915" spans="1:2" x14ac:dyDescent="0.25">
      <c r="A42915">
        <v>870830909</v>
      </c>
      <c r="B42915" t="s">
        <v>13889</v>
      </c>
    </row>
    <row r="42916" spans="1:2" x14ac:dyDescent="0.25">
      <c r="A42916">
        <v>87083090920</v>
      </c>
      <c r="B42916" t="s">
        <v>13890</v>
      </c>
    </row>
    <row r="42917" spans="1:2" x14ac:dyDescent="0.25">
      <c r="A42917">
        <v>8708309093</v>
      </c>
      <c r="B42917" t="s">
        <v>13891</v>
      </c>
    </row>
    <row r="42918" spans="1:2" x14ac:dyDescent="0.25">
      <c r="A42918">
        <v>87083090931</v>
      </c>
      <c r="B42918" t="s">
        <v>13892</v>
      </c>
    </row>
    <row r="42919" spans="1:2" x14ac:dyDescent="0.25">
      <c r="A42919">
        <v>87083090939</v>
      </c>
      <c r="B42919" t="s">
        <v>10</v>
      </c>
    </row>
    <row r="42920" spans="1:2" x14ac:dyDescent="0.25">
      <c r="A42920">
        <v>8708309094</v>
      </c>
      <c r="B42920" t="s">
        <v>13893</v>
      </c>
    </row>
    <row r="42921" spans="1:2" x14ac:dyDescent="0.25">
      <c r="A42921">
        <v>87083090941</v>
      </c>
      <c r="B42921" t="s">
        <v>13892</v>
      </c>
    </row>
    <row r="42922" spans="1:2" x14ac:dyDescent="0.25">
      <c r="A42922">
        <v>87083090949</v>
      </c>
      <c r="B42922" t="s">
        <v>10</v>
      </c>
    </row>
    <row r="42923" spans="1:2" x14ac:dyDescent="0.25">
      <c r="A42923">
        <v>87083090950</v>
      </c>
      <c r="B42923" t="s">
        <v>13894</v>
      </c>
    </row>
    <row r="42924" spans="1:2" x14ac:dyDescent="0.25">
      <c r="A42924">
        <v>87083090960</v>
      </c>
      <c r="B42924" t="s">
        <v>13895</v>
      </c>
    </row>
    <row r="42925" spans="1:2" x14ac:dyDescent="0.25">
      <c r="A42925">
        <v>87083090970</v>
      </c>
      <c r="B42925" t="s">
        <v>13896</v>
      </c>
    </row>
    <row r="42926" spans="1:2" x14ac:dyDescent="0.25">
      <c r="A42926">
        <v>87083090980</v>
      </c>
      <c r="B42926" t="s">
        <v>13897</v>
      </c>
    </row>
    <row r="42927" spans="1:2" x14ac:dyDescent="0.25">
      <c r="A42927">
        <v>8708309099</v>
      </c>
      <c r="B42927" t="s">
        <v>57</v>
      </c>
    </row>
    <row r="42928" spans="1:2" x14ac:dyDescent="0.25">
      <c r="A42928">
        <v>87083090991</v>
      </c>
      <c r="B42928" t="s">
        <v>13898</v>
      </c>
    </row>
    <row r="42929" spans="1:2" x14ac:dyDescent="0.25">
      <c r="A42929">
        <v>87083090999</v>
      </c>
      <c r="B42929" t="s">
        <v>57</v>
      </c>
    </row>
    <row r="42930" spans="1:2" x14ac:dyDescent="0.25">
      <c r="A42930">
        <v>870840</v>
      </c>
      <c r="B42930" t="e">
        <f>- Cajas de cambio y sus partes</f>
        <v>#NAME?</v>
      </c>
    </row>
    <row r="42931" spans="1:2" x14ac:dyDescent="0.25">
      <c r="A42931">
        <v>8708401</v>
      </c>
      <c r="B42931" t="s">
        <v>13899</v>
      </c>
    </row>
    <row r="42932" spans="1:2" x14ac:dyDescent="0.25">
      <c r="A42932">
        <v>87084011000</v>
      </c>
      <c r="B42932" t="s">
        <v>13900</v>
      </c>
    </row>
    <row r="42933" spans="1:2" x14ac:dyDescent="0.25">
      <c r="A42933">
        <v>87084019000</v>
      </c>
      <c r="B42933" t="s">
        <v>57</v>
      </c>
    </row>
    <row r="42934" spans="1:2" x14ac:dyDescent="0.25">
      <c r="A42934">
        <v>87084080</v>
      </c>
      <c r="B42934" t="s">
        <v>13901</v>
      </c>
    </row>
    <row r="42935" spans="1:2" x14ac:dyDescent="0.25">
      <c r="A42935">
        <v>87084080100</v>
      </c>
      <c r="B42935" t="s">
        <v>12166</v>
      </c>
    </row>
    <row r="42936" spans="1:2" x14ac:dyDescent="0.25">
      <c r="A42936">
        <v>87084080200</v>
      </c>
      <c r="B42936" t="s">
        <v>13902</v>
      </c>
    </row>
    <row r="42937" spans="1:2" x14ac:dyDescent="0.25">
      <c r="A42937">
        <v>87084080900</v>
      </c>
      <c r="B42937" t="s">
        <v>57</v>
      </c>
    </row>
    <row r="42938" spans="1:2" x14ac:dyDescent="0.25">
      <c r="A42938">
        <v>87084090</v>
      </c>
      <c r="B42938" t="s">
        <v>10194</v>
      </c>
    </row>
    <row r="42939" spans="1:2" x14ac:dyDescent="0.25">
      <c r="A42939">
        <v>87084090100</v>
      </c>
      <c r="B42939" t="s">
        <v>12693</v>
      </c>
    </row>
    <row r="42940" spans="1:2" x14ac:dyDescent="0.25">
      <c r="A42940">
        <v>87084090200</v>
      </c>
      <c r="B42940" t="s">
        <v>13903</v>
      </c>
    </row>
    <row r="42941" spans="1:2" x14ac:dyDescent="0.25">
      <c r="A42941">
        <v>87084090300</v>
      </c>
      <c r="B42941" t="s">
        <v>13904</v>
      </c>
    </row>
    <row r="42942" spans="1:2" x14ac:dyDescent="0.25">
      <c r="A42942">
        <v>87084090400</v>
      </c>
      <c r="B42942" t="s">
        <v>13905</v>
      </c>
    </row>
    <row r="42943" spans="1:2" x14ac:dyDescent="0.25">
      <c r="A42943">
        <v>87084090900</v>
      </c>
      <c r="B42943" t="s">
        <v>57</v>
      </c>
    </row>
    <row r="42944" spans="1:2" x14ac:dyDescent="0.25">
      <c r="A42944">
        <v>870850</v>
      </c>
      <c r="B42944" t="e">
        <f>- Ejes Con diferencial. incluso Provistos Con otros organos de transmision. y Ejes portadores, sus partes</f>
        <v>#NAME?</v>
      </c>
    </row>
    <row r="42945" spans="1:2" x14ac:dyDescent="0.25">
      <c r="A42945">
        <v>8708501</v>
      </c>
      <c r="B42945" t="s">
        <v>13858</v>
      </c>
    </row>
    <row r="42946" spans="1:2" x14ac:dyDescent="0.25">
      <c r="A42946">
        <v>87085011000</v>
      </c>
      <c r="B42946" t="s">
        <v>13906</v>
      </c>
    </row>
    <row r="42947" spans="1:2" x14ac:dyDescent="0.25">
      <c r="A42947">
        <v>87085012000</v>
      </c>
      <c r="B42947" t="s">
        <v>13907</v>
      </c>
    </row>
    <row r="42948" spans="1:2" x14ac:dyDescent="0.25">
      <c r="A42948">
        <v>87085019000</v>
      </c>
      <c r="B42948" t="s">
        <v>10</v>
      </c>
    </row>
    <row r="42949" spans="1:2" x14ac:dyDescent="0.25">
      <c r="A42949">
        <v>87085080</v>
      </c>
      <c r="B42949" t="s">
        <v>10</v>
      </c>
    </row>
    <row r="42950" spans="1:2" x14ac:dyDescent="0.25">
      <c r="A42950">
        <v>870850801</v>
      </c>
      <c r="B42950" t="s">
        <v>13907</v>
      </c>
    </row>
    <row r="42951" spans="1:2" x14ac:dyDescent="0.25">
      <c r="A42951">
        <v>87085080110</v>
      </c>
      <c r="B42951" t="s">
        <v>13908</v>
      </c>
    </row>
    <row r="42952" spans="1:2" x14ac:dyDescent="0.25">
      <c r="A42952">
        <v>87085080190</v>
      </c>
      <c r="B42952" t="s">
        <v>10</v>
      </c>
    </row>
    <row r="42953" spans="1:2" x14ac:dyDescent="0.25">
      <c r="A42953">
        <v>87085080900</v>
      </c>
      <c r="B42953" t="s">
        <v>10</v>
      </c>
    </row>
    <row r="42954" spans="1:2" x14ac:dyDescent="0.25">
      <c r="A42954">
        <v>8708509</v>
      </c>
      <c r="B42954" t="s">
        <v>10194</v>
      </c>
    </row>
    <row r="42955" spans="1:2" x14ac:dyDescent="0.25">
      <c r="A42955">
        <v>87085091000</v>
      </c>
      <c r="B42955" t="s">
        <v>13909</v>
      </c>
    </row>
    <row r="42956" spans="1:2" x14ac:dyDescent="0.25">
      <c r="A42956">
        <v>87085099</v>
      </c>
      <c r="B42956" t="s">
        <v>57</v>
      </c>
    </row>
    <row r="42957" spans="1:2" x14ac:dyDescent="0.25">
      <c r="A42957">
        <v>87085099100</v>
      </c>
      <c r="B42957" t="s">
        <v>13910</v>
      </c>
    </row>
    <row r="42958" spans="1:2" x14ac:dyDescent="0.25">
      <c r="A42958">
        <v>870850999</v>
      </c>
      <c r="B42958" t="s">
        <v>57</v>
      </c>
    </row>
    <row r="42959" spans="1:2" x14ac:dyDescent="0.25">
      <c r="A42959">
        <v>87085099920</v>
      </c>
      <c r="B42959" t="s">
        <v>13911</v>
      </c>
    </row>
    <row r="42960" spans="1:2" x14ac:dyDescent="0.25">
      <c r="A42960">
        <v>87085099930</v>
      </c>
      <c r="B42960" t="s">
        <v>13912</v>
      </c>
    </row>
    <row r="42961" spans="1:2" x14ac:dyDescent="0.25">
      <c r="A42961">
        <v>87085099940</v>
      </c>
      <c r="B42961" t="s">
        <v>13913</v>
      </c>
    </row>
    <row r="42962" spans="1:2" x14ac:dyDescent="0.25">
      <c r="A42962">
        <v>87085099950</v>
      </c>
      <c r="B42962" t="s">
        <v>13914</v>
      </c>
    </row>
    <row r="42963" spans="1:2" x14ac:dyDescent="0.25">
      <c r="A42963">
        <v>87085099960</v>
      </c>
      <c r="B42963" t="s">
        <v>13915</v>
      </c>
    </row>
    <row r="42964" spans="1:2" x14ac:dyDescent="0.25">
      <c r="A42964">
        <v>87085099990</v>
      </c>
      <c r="B42964" t="s">
        <v>57</v>
      </c>
    </row>
    <row r="42965" spans="1:2" x14ac:dyDescent="0.25">
      <c r="A42965">
        <v>870870</v>
      </c>
      <c r="B42965" t="e">
        <f>- Ruedas. sus partes y accesorios</f>
        <v>#NAME?</v>
      </c>
    </row>
    <row r="42966" spans="1:2" x14ac:dyDescent="0.25">
      <c r="A42966">
        <v>87087010000</v>
      </c>
      <c r="B42966" t="s">
        <v>13916</v>
      </c>
    </row>
    <row r="42967" spans="1:2" x14ac:dyDescent="0.25">
      <c r="A42967">
        <v>87087090</v>
      </c>
      <c r="B42967" t="s">
        <v>10</v>
      </c>
    </row>
    <row r="42968" spans="1:2" x14ac:dyDescent="0.25">
      <c r="A42968">
        <v>87087090100</v>
      </c>
      <c r="B42968" t="s">
        <v>12036</v>
      </c>
    </row>
    <row r="42969" spans="1:2" x14ac:dyDescent="0.25">
      <c r="A42969">
        <v>870870902</v>
      </c>
      <c r="B42969" t="s">
        <v>13917</v>
      </c>
    </row>
    <row r="42970" spans="1:2" x14ac:dyDescent="0.25">
      <c r="A42970">
        <v>8708709021</v>
      </c>
      <c r="B42970" t="s">
        <v>13918</v>
      </c>
    </row>
    <row r="42971" spans="1:2" x14ac:dyDescent="0.25">
      <c r="A42971">
        <v>87087090211</v>
      </c>
      <c r="B42971" t="s">
        <v>13919</v>
      </c>
    </row>
    <row r="42972" spans="1:2" x14ac:dyDescent="0.25">
      <c r="A42972">
        <v>87087090212</v>
      </c>
      <c r="B42972" t="s">
        <v>7474</v>
      </c>
    </row>
    <row r="42973" spans="1:2" x14ac:dyDescent="0.25">
      <c r="A42973">
        <v>87087090213</v>
      </c>
      <c r="B42973" t="s">
        <v>13920</v>
      </c>
    </row>
    <row r="42974" spans="1:2" x14ac:dyDescent="0.25">
      <c r="A42974">
        <v>87087090219</v>
      </c>
      <c r="B42974" t="s">
        <v>57</v>
      </c>
    </row>
    <row r="42975" spans="1:2" x14ac:dyDescent="0.25">
      <c r="A42975">
        <v>8708709029</v>
      </c>
      <c r="B42975" t="s">
        <v>57</v>
      </c>
    </row>
    <row r="42976" spans="1:2" x14ac:dyDescent="0.25">
      <c r="A42976">
        <v>87087090291</v>
      </c>
      <c r="B42976" t="s">
        <v>13921</v>
      </c>
    </row>
    <row r="42977" spans="1:2" x14ac:dyDescent="0.25">
      <c r="A42977">
        <v>87087090292</v>
      </c>
      <c r="B42977" t="s">
        <v>13922</v>
      </c>
    </row>
    <row r="42978" spans="1:2" x14ac:dyDescent="0.25">
      <c r="A42978">
        <v>87087090293</v>
      </c>
      <c r="B42978" t="s">
        <v>13923</v>
      </c>
    </row>
    <row r="42979" spans="1:2" x14ac:dyDescent="0.25">
      <c r="A42979">
        <v>87087090294</v>
      </c>
      <c r="B42979" t="s">
        <v>13924</v>
      </c>
    </row>
    <row r="42980" spans="1:2" x14ac:dyDescent="0.25">
      <c r="A42980">
        <v>87087090299</v>
      </c>
      <c r="B42980" t="s">
        <v>57</v>
      </c>
    </row>
    <row r="42981" spans="1:2" x14ac:dyDescent="0.25">
      <c r="A42981">
        <v>87087090900</v>
      </c>
      <c r="B42981" t="s">
        <v>12037</v>
      </c>
    </row>
    <row r="42982" spans="1:2" x14ac:dyDescent="0.25">
      <c r="A42982">
        <v>87088000</v>
      </c>
      <c r="B42982" t="e">
        <f>- sistemas de suspension y sus partes (incluidos Los amortiguadores)</f>
        <v>#NAME?</v>
      </c>
    </row>
    <row r="42983" spans="1:2" x14ac:dyDescent="0.25">
      <c r="A42983">
        <v>870880001</v>
      </c>
      <c r="B42983" t="s">
        <v>13925</v>
      </c>
    </row>
    <row r="42984" spans="1:2" x14ac:dyDescent="0.25">
      <c r="A42984">
        <v>87088000110</v>
      </c>
      <c r="B42984" t="s">
        <v>13926</v>
      </c>
    </row>
    <row r="42985" spans="1:2" x14ac:dyDescent="0.25">
      <c r="A42985">
        <v>87088000190</v>
      </c>
      <c r="B42985" t="s">
        <v>10</v>
      </c>
    </row>
    <row r="42986" spans="1:2" x14ac:dyDescent="0.25">
      <c r="A42986">
        <v>87088000200</v>
      </c>
      <c r="B42986" t="s">
        <v>13927</v>
      </c>
    </row>
    <row r="42987" spans="1:2" x14ac:dyDescent="0.25">
      <c r="A42987">
        <v>87088000300</v>
      </c>
      <c r="B42987" t="s">
        <v>13928</v>
      </c>
    </row>
    <row r="42988" spans="1:2" x14ac:dyDescent="0.25">
      <c r="A42988">
        <v>87088000400</v>
      </c>
      <c r="B42988" t="s">
        <v>13929</v>
      </c>
    </row>
    <row r="42989" spans="1:2" x14ac:dyDescent="0.25">
      <c r="A42989">
        <v>87088000500</v>
      </c>
      <c r="B42989" t="s">
        <v>13930</v>
      </c>
    </row>
    <row r="42990" spans="1:2" x14ac:dyDescent="0.25">
      <c r="A42990">
        <v>87088000600</v>
      </c>
      <c r="B42990" t="s">
        <v>13931</v>
      </c>
    </row>
    <row r="42991" spans="1:2" x14ac:dyDescent="0.25">
      <c r="A42991">
        <v>870880009</v>
      </c>
      <c r="B42991" t="s">
        <v>10</v>
      </c>
    </row>
    <row r="42992" spans="1:2" x14ac:dyDescent="0.25">
      <c r="A42992">
        <v>87088000910</v>
      </c>
      <c r="B42992" t="s">
        <v>13932</v>
      </c>
    </row>
    <row r="42993" spans="1:2" x14ac:dyDescent="0.25">
      <c r="A42993">
        <v>87088000990</v>
      </c>
      <c r="B42993" t="s">
        <v>10</v>
      </c>
    </row>
    <row r="42994" spans="1:2" x14ac:dyDescent="0.25">
      <c r="A42994">
        <v>87089</v>
      </c>
      <c r="B42994" t="s">
        <v>13933</v>
      </c>
    </row>
    <row r="42995" spans="1:2" x14ac:dyDescent="0.25">
      <c r="A42995">
        <v>87089100</v>
      </c>
      <c r="B42995" t="e">
        <f>- - Radiadores y sus partes</f>
        <v>#NAME?</v>
      </c>
    </row>
    <row r="42996" spans="1:2" x14ac:dyDescent="0.25">
      <c r="A42996">
        <v>87089100100</v>
      </c>
      <c r="B42996" t="s">
        <v>13934</v>
      </c>
    </row>
    <row r="42997" spans="1:2" x14ac:dyDescent="0.25">
      <c r="A42997">
        <v>87089100200</v>
      </c>
      <c r="B42997" t="s">
        <v>13935</v>
      </c>
    </row>
    <row r="42998" spans="1:2" x14ac:dyDescent="0.25">
      <c r="A42998">
        <v>87089100900</v>
      </c>
      <c r="B42998" t="s">
        <v>10194</v>
      </c>
    </row>
    <row r="42999" spans="1:2" x14ac:dyDescent="0.25">
      <c r="A42999">
        <v>87089200</v>
      </c>
      <c r="B42999" t="e">
        <f>- - Silenciadores y Tubos (caños) de escape, sus partes</f>
        <v>#NAME?</v>
      </c>
    </row>
    <row r="43000" spans="1:2" x14ac:dyDescent="0.25">
      <c r="A43000">
        <v>87089200100</v>
      </c>
      <c r="B43000" t="s">
        <v>13936</v>
      </c>
    </row>
    <row r="43001" spans="1:2" x14ac:dyDescent="0.25">
      <c r="A43001">
        <v>87089200900</v>
      </c>
      <c r="B43001" t="s">
        <v>10194</v>
      </c>
    </row>
    <row r="43002" spans="1:2" x14ac:dyDescent="0.25">
      <c r="A43002">
        <v>87089300</v>
      </c>
      <c r="B43002" t="e">
        <f>- - Embragues y sus partes</f>
        <v>#NAME?</v>
      </c>
    </row>
    <row r="43003" spans="1:2" x14ac:dyDescent="0.25">
      <c r="A43003">
        <v>87089300100</v>
      </c>
      <c r="B43003" t="s">
        <v>13937</v>
      </c>
    </row>
    <row r="43004" spans="1:2" x14ac:dyDescent="0.25">
      <c r="A43004">
        <v>870893009</v>
      </c>
      <c r="B43004" t="s">
        <v>13889</v>
      </c>
    </row>
    <row r="43005" spans="1:2" x14ac:dyDescent="0.25">
      <c r="A43005">
        <v>87089300910</v>
      </c>
      <c r="B43005" t="s">
        <v>13938</v>
      </c>
    </row>
    <row r="43006" spans="1:2" x14ac:dyDescent="0.25">
      <c r="A43006">
        <v>87089300920</v>
      </c>
      <c r="B43006" t="s">
        <v>13939</v>
      </c>
    </row>
    <row r="43007" spans="1:2" x14ac:dyDescent="0.25">
      <c r="A43007">
        <v>87089300930</v>
      </c>
      <c r="B43007" t="s">
        <v>13940</v>
      </c>
    </row>
    <row r="43008" spans="1:2" x14ac:dyDescent="0.25">
      <c r="A43008">
        <v>87089300940</v>
      </c>
      <c r="B43008" t="s">
        <v>13941</v>
      </c>
    </row>
    <row r="43009" spans="1:2" x14ac:dyDescent="0.25">
      <c r="A43009">
        <v>87089300960</v>
      </c>
      <c r="B43009" t="s">
        <v>13942</v>
      </c>
    </row>
    <row r="43010" spans="1:2" x14ac:dyDescent="0.25">
      <c r="A43010">
        <v>87089300990</v>
      </c>
      <c r="B43010" t="s">
        <v>57</v>
      </c>
    </row>
    <row r="43011" spans="1:2" x14ac:dyDescent="0.25">
      <c r="A43011">
        <v>870894</v>
      </c>
      <c r="B43011" t="e">
        <f>- - Volantes. columnas y Cajas de direccion, sus partes</f>
        <v>#NAME?</v>
      </c>
    </row>
    <row r="43012" spans="1:2" x14ac:dyDescent="0.25">
      <c r="A43012">
        <v>8708941</v>
      </c>
      <c r="B43012" t="s">
        <v>13943</v>
      </c>
    </row>
    <row r="43013" spans="1:2" x14ac:dyDescent="0.25">
      <c r="A43013">
        <v>87089411000</v>
      </c>
      <c r="B43013" t="s">
        <v>13944</v>
      </c>
    </row>
    <row r="43014" spans="1:2" x14ac:dyDescent="0.25">
      <c r="A43014">
        <v>87089412000</v>
      </c>
      <c r="B43014" t="s">
        <v>13945</v>
      </c>
    </row>
    <row r="43015" spans="1:2" x14ac:dyDescent="0.25">
      <c r="A43015">
        <v>87089413000</v>
      </c>
      <c r="B43015" t="s">
        <v>13946</v>
      </c>
    </row>
    <row r="43016" spans="1:2" x14ac:dyDescent="0.25">
      <c r="A43016">
        <v>8708948</v>
      </c>
      <c r="B43016" t="s">
        <v>10</v>
      </c>
    </row>
    <row r="43017" spans="1:2" x14ac:dyDescent="0.25">
      <c r="A43017">
        <v>87089481</v>
      </c>
      <c r="B43017" t="s">
        <v>13944</v>
      </c>
    </row>
    <row r="43018" spans="1:2" x14ac:dyDescent="0.25">
      <c r="A43018">
        <v>87089481100</v>
      </c>
      <c r="B43018" t="s">
        <v>13947</v>
      </c>
    </row>
    <row r="43019" spans="1:2" x14ac:dyDescent="0.25">
      <c r="A43019">
        <v>87089481900</v>
      </c>
      <c r="B43019" t="s">
        <v>10</v>
      </c>
    </row>
    <row r="43020" spans="1:2" x14ac:dyDescent="0.25">
      <c r="A43020">
        <v>87089482000</v>
      </c>
      <c r="B43020" t="s">
        <v>13945</v>
      </c>
    </row>
    <row r="43021" spans="1:2" x14ac:dyDescent="0.25">
      <c r="A43021">
        <v>87089483</v>
      </c>
      <c r="B43021" t="s">
        <v>13946</v>
      </c>
    </row>
    <row r="43022" spans="1:2" x14ac:dyDescent="0.25">
      <c r="A43022">
        <v>870894831</v>
      </c>
      <c r="B43022" t="s">
        <v>13948</v>
      </c>
    </row>
    <row r="43023" spans="1:2" x14ac:dyDescent="0.25">
      <c r="A43023">
        <v>87089483110</v>
      </c>
      <c r="B43023" t="s">
        <v>13949</v>
      </c>
    </row>
    <row r="43024" spans="1:2" x14ac:dyDescent="0.25">
      <c r="A43024">
        <v>87089483120</v>
      </c>
      <c r="B43024" t="s">
        <v>13950</v>
      </c>
    </row>
    <row r="43025" spans="1:2" x14ac:dyDescent="0.25">
      <c r="A43025">
        <v>87089483190</v>
      </c>
      <c r="B43025" t="s">
        <v>57</v>
      </c>
    </row>
    <row r="43026" spans="1:2" x14ac:dyDescent="0.25">
      <c r="A43026">
        <v>870894838</v>
      </c>
      <c r="B43026" t="s">
        <v>13951</v>
      </c>
    </row>
    <row r="43027" spans="1:2" x14ac:dyDescent="0.25">
      <c r="A43027">
        <v>87089483810</v>
      </c>
      <c r="B43027" t="s">
        <v>13949</v>
      </c>
    </row>
    <row r="43028" spans="1:2" x14ac:dyDescent="0.25">
      <c r="A43028">
        <v>87089483820</v>
      </c>
      <c r="B43028" t="s">
        <v>13950</v>
      </c>
    </row>
    <row r="43029" spans="1:2" x14ac:dyDescent="0.25">
      <c r="A43029">
        <v>87089483890</v>
      </c>
      <c r="B43029" t="s">
        <v>57</v>
      </c>
    </row>
    <row r="43030" spans="1:2" x14ac:dyDescent="0.25">
      <c r="A43030">
        <v>870894839</v>
      </c>
      <c r="B43030" t="s">
        <v>57</v>
      </c>
    </row>
    <row r="43031" spans="1:2" x14ac:dyDescent="0.25">
      <c r="A43031">
        <v>87089483910</v>
      </c>
      <c r="B43031" t="s">
        <v>13949</v>
      </c>
    </row>
    <row r="43032" spans="1:2" x14ac:dyDescent="0.25">
      <c r="A43032">
        <v>87089483920</v>
      </c>
      <c r="B43032" t="s">
        <v>13950</v>
      </c>
    </row>
    <row r="43033" spans="1:2" x14ac:dyDescent="0.25">
      <c r="A43033">
        <v>87089483990</v>
      </c>
      <c r="B43033" t="s">
        <v>57</v>
      </c>
    </row>
    <row r="43034" spans="1:2" x14ac:dyDescent="0.25">
      <c r="A43034">
        <v>87089490</v>
      </c>
      <c r="B43034" t="s">
        <v>10194</v>
      </c>
    </row>
    <row r="43035" spans="1:2" x14ac:dyDescent="0.25">
      <c r="A43035">
        <v>87089490100</v>
      </c>
      <c r="B43035" t="s">
        <v>13952</v>
      </c>
    </row>
    <row r="43036" spans="1:2" x14ac:dyDescent="0.25">
      <c r="A43036">
        <v>87089490200</v>
      </c>
      <c r="B43036" t="s">
        <v>13953</v>
      </c>
    </row>
    <row r="43037" spans="1:2" x14ac:dyDescent="0.25">
      <c r="A43037">
        <v>87089490900</v>
      </c>
      <c r="B43037" t="s">
        <v>57</v>
      </c>
    </row>
    <row r="43038" spans="1:2" x14ac:dyDescent="0.25">
      <c r="A43038">
        <v>870895</v>
      </c>
      <c r="B43038" t="e">
        <f>- - bolsas inflables de seguridad Con sistema de inflado (airbag), sus partes</f>
        <v>#NAME?</v>
      </c>
    </row>
    <row r="43039" spans="1:2" x14ac:dyDescent="0.25">
      <c r="A43039">
        <v>87089510000</v>
      </c>
      <c r="B43039" t="s">
        <v>13954</v>
      </c>
    </row>
    <row r="43040" spans="1:2" x14ac:dyDescent="0.25">
      <c r="A43040">
        <v>8708952</v>
      </c>
      <c r="B43040" t="s">
        <v>10194</v>
      </c>
    </row>
    <row r="43041" spans="1:2" x14ac:dyDescent="0.25">
      <c r="A43041">
        <v>87089521000</v>
      </c>
      <c r="B43041" t="s">
        <v>13955</v>
      </c>
    </row>
    <row r="43042" spans="1:2" x14ac:dyDescent="0.25">
      <c r="A43042">
        <v>87089522000</v>
      </c>
      <c r="B43042" t="s">
        <v>13956</v>
      </c>
    </row>
    <row r="43043" spans="1:2" x14ac:dyDescent="0.25">
      <c r="A43043">
        <v>87089529000</v>
      </c>
      <c r="B43043" t="s">
        <v>57</v>
      </c>
    </row>
    <row r="43044" spans="1:2" x14ac:dyDescent="0.25">
      <c r="A43044">
        <v>870899</v>
      </c>
      <c r="B43044" t="e">
        <f>- - Los demas</f>
        <v>#NAME?</v>
      </c>
    </row>
    <row r="43045" spans="1:2" x14ac:dyDescent="0.25">
      <c r="A43045">
        <v>87089910000</v>
      </c>
      <c r="B43045" t="s">
        <v>13957</v>
      </c>
    </row>
    <row r="43046" spans="1:2" x14ac:dyDescent="0.25">
      <c r="A43046">
        <v>87089990</v>
      </c>
      <c r="B43046" t="s">
        <v>10</v>
      </c>
    </row>
    <row r="43047" spans="1:2" x14ac:dyDescent="0.25">
      <c r="A43047">
        <v>87089990100</v>
      </c>
      <c r="B43047" t="s">
        <v>12036</v>
      </c>
    </row>
    <row r="43048" spans="1:2" x14ac:dyDescent="0.25">
      <c r="A43048">
        <v>870899909</v>
      </c>
      <c r="B43048" t="s">
        <v>10194</v>
      </c>
    </row>
    <row r="43049" spans="1:2" x14ac:dyDescent="0.25">
      <c r="A43049">
        <v>87089990910</v>
      </c>
      <c r="B43049" t="s">
        <v>13958</v>
      </c>
    </row>
    <row r="43050" spans="1:2" x14ac:dyDescent="0.25">
      <c r="A43050">
        <v>8708999092</v>
      </c>
      <c r="B43050" t="s">
        <v>13959</v>
      </c>
    </row>
    <row r="43051" spans="1:2" x14ac:dyDescent="0.25">
      <c r="A43051">
        <v>87089990921</v>
      </c>
      <c r="B43051" t="s">
        <v>13960</v>
      </c>
    </row>
    <row r="43052" spans="1:2" x14ac:dyDescent="0.25">
      <c r="A43052">
        <v>87089990929</v>
      </c>
      <c r="B43052" t="s">
        <v>57</v>
      </c>
    </row>
    <row r="43053" spans="1:2" x14ac:dyDescent="0.25">
      <c r="A43053">
        <v>87089990930</v>
      </c>
      <c r="B43053" t="s">
        <v>13961</v>
      </c>
    </row>
    <row r="43054" spans="1:2" x14ac:dyDescent="0.25">
      <c r="A43054">
        <v>87089990940</v>
      </c>
      <c r="B43054" t="s">
        <v>13962</v>
      </c>
    </row>
    <row r="43055" spans="1:2" x14ac:dyDescent="0.25">
      <c r="A43055">
        <v>87089990950</v>
      </c>
      <c r="B43055" t="s">
        <v>13963</v>
      </c>
    </row>
    <row r="43056" spans="1:2" x14ac:dyDescent="0.25">
      <c r="A43056">
        <v>87089990960</v>
      </c>
      <c r="B43056" t="s">
        <v>13964</v>
      </c>
    </row>
    <row r="43057" spans="1:2" x14ac:dyDescent="0.25">
      <c r="A43057">
        <v>87089990970</v>
      </c>
      <c r="B43057" t="s">
        <v>13965</v>
      </c>
    </row>
    <row r="43058" spans="1:2" x14ac:dyDescent="0.25">
      <c r="A43058">
        <v>87089990980</v>
      </c>
      <c r="B43058" t="s">
        <v>13966</v>
      </c>
    </row>
    <row r="43059" spans="1:2" x14ac:dyDescent="0.25">
      <c r="A43059">
        <v>8708999099</v>
      </c>
      <c r="B43059" t="s">
        <v>10</v>
      </c>
    </row>
    <row r="43060" spans="1:2" x14ac:dyDescent="0.25">
      <c r="A43060">
        <v>87089990991</v>
      </c>
      <c r="B43060" t="s">
        <v>13967</v>
      </c>
    </row>
    <row r="43061" spans="1:2" x14ac:dyDescent="0.25">
      <c r="A43061">
        <v>87089990992</v>
      </c>
      <c r="B43061" t="s">
        <v>13968</v>
      </c>
    </row>
    <row r="43062" spans="1:2" x14ac:dyDescent="0.25">
      <c r="A43062">
        <v>87089990993</v>
      </c>
      <c r="B43062" t="s">
        <v>13969</v>
      </c>
    </row>
    <row r="43063" spans="1:2" x14ac:dyDescent="0.25">
      <c r="A43063">
        <v>87089990994</v>
      </c>
      <c r="B43063" t="s">
        <v>13970</v>
      </c>
    </row>
    <row r="43064" spans="1:2" x14ac:dyDescent="0.25">
      <c r="A43064">
        <v>87089990995</v>
      </c>
      <c r="B43064" t="s">
        <v>13971</v>
      </c>
    </row>
    <row r="43065" spans="1:2" x14ac:dyDescent="0.25">
      <c r="A43065">
        <v>87089990999</v>
      </c>
      <c r="B43065" t="s">
        <v>57</v>
      </c>
    </row>
    <row r="43066" spans="1:2" x14ac:dyDescent="0.25">
      <c r="A43066">
        <v>8709</v>
      </c>
      <c r="B43066" t="s">
        <v>13972</v>
      </c>
    </row>
    <row r="43067" spans="1:2" x14ac:dyDescent="0.25">
      <c r="A43067">
        <v>87091</v>
      </c>
      <c r="B43067" t="s">
        <v>13973</v>
      </c>
    </row>
    <row r="43068" spans="1:2" x14ac:dyDescent="0.25">
      <c r="A43068">
        <v>87091100000</v>
      </c>
      <c r="B43068" t="e">
        <f>--electricas</f>
        <v>#NAME?</v>
      </c>
    </row>
    <row r="43069" spans="1:2" x14ac:dyDescent="0.25">
      <c r="A43069">
        <v>87091900000</v>
      </c>
      <c r="B43069" t="e">
        <f>--las demas</f>
        <v>#NAME?</v>
      </c>
    </row>
    <row r="43070" spans="1:2" x14ac:dyDescent="0.25">
      <c r="A43070">
        <v>87099000000</v>
      </c>
      <c r="B43070" t="e">
        <f>-partes</f>
        <v>#NAME?</v>
      </c>
    </row>
    <row r="43071" spans="1:2" x14ac:dyDescent="0.25">
      <c r="A43071">
        <v>87100000000</v>
      </c>
      <c r="B43071" t="s">
        <v>13974</v>
      </c>
    </row>
    <row r="43072" spans="1:2" x14ac:dyDescent="0.25">
      <c r="A43072">
        <v>8711</v>
      </c>
      <c r="B43072" t="s">
        <v>13975</v>
      </c>
    </row>
    <row r="43073" spans="1:2" x14ac:dyDescent="0.25">
      <c r="A43073">
        <v>87111000</v>
      </c>
      <c r="B43073" t="s">
        <v>13976</v>
      </c>
    </row>
    <row r="43074" spans="1:2" x14ac:dyDescent="0.25">
      <c r="A43074">
        <v>871110001</v>
      </c>
      <c r="B43074" t="s">
        <v>13977</v>
      </c>
    </row>
    <row r="43075" spans="1:2" x14ac:dyDescent="0.25">
      <c r="A43075">
        <v>87111000110</v>
      </c>
      <c r="B43075" t="s">
        <v>13978</v>
      </c>
    </row>
    <row r="43076" spans="1:2" x14ac:dyDescent="0.25">
      <c r="A43076">
        <v>87111000120</v>
      </c>
      <c r="B43076" t="s">
        <v>13979</v>
      </c>
    </row>
    <row r="43077" spans="1:2" x14ac:dyDescent="0.25">
      <c r="A43077">
        <v>87111000130</v>
      </c>
      <c r="B43077" t="s">
        <v>13980</v>
      </c>
    </row>
    <row r="43078" spans="1:2" x14ac:dyDescent="0.25">
      <c r="A43078">
        <v>87111000190</v>
      </c>
      <c r="B43078" t="s">
        <v>57</v>
      </c>
    </row>
    <row r="43079" spans="1:2" x14ac:dyDescent="0.25">
      <c r="A43079">
        <v>871110002</v>
      </c>
      <c r="B43079" t="s">
        <v>13981</v>
      </c>
    </row>
    <row r="43080" spans="1:2" x14ac:dyDescent="0.25">
      <c r="A43080">
        <v>87111000210</v>
      </c>
      <c r="B43080" t="s">
        <v>13982</v>
      </c>
    </row>
    <row r="43081" spans="1:2" x14ac:dyDescent="0.25">
      <c r="A43081">
        <v>87111000220</v>
      </c>
      <c r="B43081" t="s">
        <v>13983</v>
      </c>
    </row>
    <row r="43082" spans="1:2" x14ac:dyDescent="0.25">
      <c r="A43082">
        <v>87111000290</v>
      </c>
      <c r="B43082" t="s">
        <v>57</v>
      </c>
    </row>
    <row r="43083" spans="1:2" x14ac:dyDescent="0.25">
      <c r="A43083">
        <v>871120</v>
      </c>
      <c r="B43083" t="s">
        <v>13984</v>
      </c>
    </row>
    <row r="43084" spans="1:2" x14ac:dyDescent="0.25">
      <c r="A43084">
        <v>87112010</v>
      </c>
      <c r="B43084" t="s">
        <v>13985</v>
      </c>
    </row>
    <row r="43085" spans="1:2" x14ac:dyDescent="0.25">
      <c r="A43085">
        <v>871120101</v>
      </c>
      <c r="B43085" t="s">
        <v>13986</v>
      </c>
    </row>
    <row r="43086" spans="1:2" x14ac:dyDescent="0.25">
      <c r="A43086">
        <v>8711201011</v>
      </c>
      <c r="B43086" t="s">
        <v>13977</v>
      </c>
    </row>
    <row r="43087" spans="1:2" x14ac:dyDescent="0.25">
      <c r="A43087">
        <v>87112010111</v>
      </c>
      <c r="B43087" t="s">
        <v>13978</v>
      </c>
    </row>
    <row r="43088" spans="1:2" x14ac:dyDescent="0.25">
      <c r="A43088">
        <v>87112010112</v>
      </c>
      <c r="B43088" t="s">
        <v>13979</v>
      </c>
    </row>
    <row r="43089" spans="1:2" x14ac:dyDescent="0.25">
      <c r="A43089">
        <v>87112010113</v>
      </c>
      <c r="B43089" t="s">
        <v>13980</v>
      </c>
    </row>
    <row r="43090" spans="1:2" x14ac:dyDescent="0.25">
      <c r="A43090">
        <v>87112010119</v>
      </c>
      <c r="B43090" t="s">
        <v>57</v>
      </c>
    </row>
    <row r="43091" spans="1:2" x14ac:dyDescent="0.25">
      <c r="A43091">
        <v>8711201012</v>
      </c>
      <c r="B43091" t="s">
        <v>13981</v>
      </c>
    </row>
    <row r="43092" spans="1:2" x14ac:dyDescent="0.25">
      <c r="A43092">
        <v>87112010121</v>
      </c>
      <c r="B43092" t="s">
        <v>13982</v>
      </c>
    </row>
    <row r="43093" spans="1:2" x14ac:dyDescent="0.25">
      <c r="A43093">
        <v>87112010122</v>
      </c>
      <c r="B43093" t="s">
        <v>13983</v>
      </c>
    </row>
    <row r="43094" spans="1:2" x14ac:dyDescent="0.25">
      <c r="A43094">
        <v>87112010129</v>
      </c>
      <c r="B43094" t="s">
        <v>57</v>
      </c>
    </row>
    <row r="43095" spans="1:2" x14ac:dyDescent="0.25">
      <c r="A43095">
        <v>871120102</v>
      </c>
      <c r="B43095" t="s">
        <v>13987</v>
      </c>
    </row>
    <row r="43096" spans="1:2" x14ac:dyDescent="0.25">
      <c r="A43096">
        <v>8711201021</v>
      </c>
      <c r="B43096" t="s">
        <v>13977</v>
      </c>
    </row>
    <row r="43097" spans="1:2" x14ac:dyDescent="0.25">
      <c r="A43097">
        <v>87112010211</v>
      </c>
      <c r="B43097" t="s">
        <v>13978</v>
      </c>
    </row>
    <row r="43098" spans="1:2" x14ac:dyDescent="0.25">
      <c r="A43098">
        <v>87112010212</v>
      </c>
      <c r="B43098" t="s">
        <v>13979</v>
      </c>
    </row>
    <row r="43099" spans="1:2" x14ac:dyDescent="0.25">
      <c r="A43099">
        <v>87112010213</v>
      </c>
      <c r="B43099" t="s">
        <v>13980</v>
      </c>
    </row>
    <row r="43100" spans="1:2" x14ac:dyDescent="0.25">
      <c r="A43100">
        <v>87112010219</v>
      </c>
      <c r="B43100" t="s">
        <v>57</v>
      </c>
    </row>
    <row r="43101" spans="1:2" x14ac:dyDescent="0.25">
      <c r="A43101">
        <v>8711201022</v>
      </c>
      <c r="B43101" t="s">
        <v>13981</v>
      </c>
    </row>
    <row r="43102" spans="1:2" x14ac:dyDescent="0.25">
      <c r="A43102">
        <v>87112010221</v>
      </c>
      <c r="B43102" t="s">
        <v>13982</v>
      </c>
    </row>
    <row r="43103" spans="1:2" x14ac:dyDescent="0.25">
      <c r="A43103">
        <v>87112010222</v>
      </c>
      <c r="B43103" t="s">
        <v>13988</v>
      </c>
    </row>
    <row r="43104" spans="1:2" x14ac:dyDescent="0.25">
      <c r="A43104">
        <v>87112010229</v>
      </c>
      <c r="B43104" t="s">
        <v>57</v>
      </c>
    </row>
    <row r="43105" spans="1:2" x14ac:dyDescent="0.25">
      <c r="A43105">
        <v>871120103</v>
      </c>
      <c r="B43105" t="s">
        <v>13989</v>
      </c>
    </row>
    <row r="43106" spans="1:2" x14ac:dyDescent="0.25">
      <c r="A43106">
        <v>8711201031</v>
      </c>
      <c r="B43106" t="s">
        <v>13977</v>
      </c>
    </row>
    <row r="43107" spans="1:2" x14ac:dyDescent="0.25">
      <c r="A43107">
        <v>87112010311</v>
      </c>
      <c r="B43107" t="s">
        <v>13978</v>
      </c>
    </row>
    <row r="43108" spans="1:2" x14ac:dyDescent="0.25">
      <c r="A43108">
        <v>87112010312</v>
      </c>
      <c r="B43108" t="s">
        <v>13979</v>
      </c>
    </row>
    <row r="43109" spans="1:2" x14ac:dyDescent="0.25">
      <c r="A43109">
        <v>87112010313</v>
      </c>
      <c r="B43109" t="s">
        <v>13980</v>
      </c>
    </row>
    <row r="43110" spans="1:2" x14ac:dyDescent="0.25">
      <c r="A43110">
        <v>87112010319</v>
      </c>
      <c r="B43110" t="s">
        <v>57</v>
      </c>
    </row>
    <row r="43111" spans="1:2" x14ac:dyDescent="0.25">
      <c r="A43111">
        <v>8711201032</v>
      </c>
      <c r="B43111" t="s">
        <v>13981</v>
      </c>
    </row>
    <row r="43112" spans="1:2" x14ac:dyDescent="0.25">
      <c r="A43112">
        <v>87112010321</v>
      </c>
      <c r="B43112" t="s">
        <v>13982</v>
      </c>
    </row>
    <row r="43113" spans="1:2" x14ac:dyDescent="0.25">
      <c r="A43113">
        <v>87112010322</v>
      </c>
      <c r="B43113" t="s">
        <v>13983</v>
      </c>
    </row>
    <row r="43114" spans="1:2" x14ac:dyDescent="0.25">
      <c r="A43114">
        <v>87112010329</v>
      </c>
      <c r="B43114" t="s">
        <v>57</v>
      </c>
    </row>
    <row r="43115" spans="1:2" x14ac:dyDescent="0.25">
      <c r="A43115">
        <v>871120104</v>
      </c>
      <c r="B43115" t="s">
        <v>13990</v>
      </c>
    </row>
    <row r="43116" spans="1:2" x14ac:dyDescent="0.25">
      <c r="A43116">
        <v>8711201041</v>
      </c>
      <c r="B43116" t="s">
        <v>13977</v>
      </c>
    </row>
    <row r="43117" spans="1:2" x14ac:dyDescent="0.25">
      <c r="A43117">
        <v>87112010411</v>
      </c>
      <c r="B43117" t="s">
        <v>13978</v>
      </c>
    </row>
    <row r="43118" spans="1:2" x14ac:dyDescent="0.25">
      <c r="A43118">
        <v>87112010412</v>
      </c>
      <c r="B43118" t="s">
        <v>13979</v>
      </c>
    </row>
    <row r="43119" spans="1:2" x14ac:dyDescent="0.25">
      <c r="A43119">
        <v>87112010413</v>
      </c>
      <c r="B43119" t="s">
        <v>13980</v>
      </c>
    </row>
    <row r="43120" spans="1:2" x14ac:dyDescent="0.25">
      <c r="A43120">
        <v>87112010419</v>
      </c>
      <c r="B43120" t="s">
        <v>57</v>
      </c>
    </row>
    <row r="43121" spans="1:2" x14ac:dyDescent="0.25">
      <c r="A43121">
        <v>8711201042</v>
      </c>
      <c r="B43121" t="s">
        <v>13981</v>
      </c>
    </row>
    <row r="43122" spans="1:2" x14ac:dyDescent="0.25">
      <c r="A43122">
        <v>87112010421</v>
      </c>
      <c r="B43122" t="s">
        <v>13982</v>
      </c>
    </row>
    <row r="43123" spans="1:2" x14ac:dyDescent="0.25">
      <c r="A43123">
        <v>87112010422</v>
      </c>
      <c r="B43123" t="s">
        <v>13983</v>
      </c>
    </row>
    <row r="43124" spans="1:2" x14ac:dyDescent="0.25">
      <c r="A43124">
        <v>87112010429</v>
      </c>
      <c r="B43124" t="s">
        <v>57</v>
      </c>
    </row>
    <row r="43125" spans="1:2" x14ac:dyDescent="0.25">
      <c r="A43125">
        <v>871120105</v>
      </c>
      <c r="B43125" t="s">
        <v>13991</v>
      </c>
    </row>
    <row r="43126" spans="1:2" x14ac:dyDescent="0.25">
      <c r="A43126">
        <v>8711201051</v>
      </c>
      <c r="B43126" t="s">
        <v>13977</v>
      </c>
    </row>
    <row r="43127" spans="1:2" x14ac:dyDescent="0.25">
      <c r="A43127">
        <v>87112010511</v>
      </c>
      <c r="B43127" t="s">
        <v>13978</v>
      </c>
    </row>
    <row r="43128" spans="1:2" x14ac:dyDescent="0.25">
      <c r="A43128">
        <v>87112010512</v>
      </c>
      <c r="B43128" t="s">
        <v>13979</v>
      </c>
    </row>
    <row r="43129" spans="1:2" x14ac:dyDescent="0.25">
      <c r="A43129">
        <v>87112010513</v>
      </c>
      <c r="B43129" t="s">
        <v>13980</v>
      </c>
    </row>
    <row r="43130" spans="1:2" x14ac:dyDescent="0.25">
      <c r="A43130">
        <v>87112010519</v>
      </c>
      <c r="B43130" t="s">
        <v>57</v>
      </c>
    </row>
    <row r="43131" spans="1:2" x14ac:dyDescent="0.25">
      <c r="A43131">
        <v>8711201052</v>
      </c>
      <c r="B43131" t="s">
        <v>13981</v>
      </c>
    </row>
    <row r="43132" spans="1:2" x14ac:dyDescent="0.25">
      <c r="A43132">
        <v>87112010521</v>
      </c>
      <c r="B43132" t="s">
        <v>13982</v>
      </c>
    </row>
    <row r="43133" spans="1:2" x14ac:dyDescent="0.25">
      <c r="A43133">
        <v>87112010522</v>
      </c>
      <c r="B43133" t="s">
        <v>13983</v>
      </c>
    </row>
    <row r="43134" spans="1:2" x14ac:dyDescent="0.25">
      <c r="A43134">
        <v>87112010529</v>
      </c>
      <c r="B43134" t="s">
        <v>57</v>
      </c>
    </row>
    <row r="43135" spans="1:2" x14ac:dyDescent="0.25">
      <c r="A43135">
        <v>87112020</v>
      </c>
      <c r="B43135" t="s">
        <v>13992</v>
      </c>
    </row>
    <row r="43136" spans="1:2" x14ac:dyDescent="0.25">
      <c r="A43136">
        <v>871120201</v>
      </c>
      <c r="B43136" t="s">
        <v>13993</v>
      </c>
    </row>
    <row r="43137" spans="1:2" x14ac:dyDescent="0.25">
      <c r="A43137">
        <v>8711202011</v>
      </c>
      <c r="B43137" t="s">
        <v>13977</v>
      </c>
    </row>
    <row r="43138" spans="1:2" x14ac:dyDescent="0.25">
      <c r="A43138">
        <v>87112020111</v>
      </c>
      <c r="B43138" t="s">
        <v>13978</v>
      </c>
    </row>
    <row r="43139" spans="1:2" x14ac:dyDescent="0.25">
      <c r="A43139">
        <v>87112020112</v>
      </c>
      <c r="B43139" t="s">
        <v>13979</v>
      </c>
    </row>
    <row r="43140" spans="1:2" x14ac:dyDescent="0.25">
      <c r="A43140">
        <v>87112020113</v>
      </c>
      <c r="B43140" t="s">
        <v>13980</v>
      </c>
    </row>
    <row r="43141" spans="1:2" x14ac:dyDescent="0.25">
      <c r="A43141">
        <v>87112020119</v>
      </c>
      <c r="B43141" t="s">
        <v>57</v>
      </c>
    </row>
    <row r="43142" spans="1:2" x14ac:dyDescent="0.25">
      <c r="A43142">
        <v>8711202012</v>
      </c>
      <c r="B43142" t="s">
        <v>13981</v>
      </c>
    </row>
    <row r="43143" spans="1:2" x14ac:dyDescent="0.25">
      <c r="A43143">
        <v>87112020121</v>
      </c>
      <c r="B43143" t="s">
        <v>13982</v>
      </c>
    </row>
    <row r="43144" spans="1:2" x14ac:dyDescent="0.25">
      <c r="A43144">
        <v>87112020122</v>
      </c>
      <c r="B43144" t="s">
        <v>13983</v>
      </c>
    </row>
    <row r="43145" spans="1:2" x14ac:dyDescent="0.25">
      <c r="A43145">
        <v>87112020129</v>
      </c>
      <c r="B43145" t="s">
        <v>57</v>
      </c>
    </row>
    <row r="43146" spans="1:2" x14ac:dyDescent="0.25">
      <c r="A43146">
        <v>871120209</v>
      </c>
      <c r="B43146" t="s">
        <v>10</v>
      </c>
    </row>
    <row r="43147" spans="1:2" x14ac:dyDescent="0.25">
      <c r="A43147">
        <v>8711202091</v>
      </c>
      <c r="B43147" t="s">
        <v>13977</v>
      </c>
    </row>
    <row r="43148" spans="1:2" x14ac:dyDescent="0.25">
      <c r="A43148">
        <v>87112020911</v>
      </c>
      <c r="B43148" t="s">
        <v>13978</v>
      </c>
    </row>
    <row r="43149" spans="1:2" x14ac:dyDescent="0.25">
      <c r="A43149">
        <v>87112020912</v>
      </c>
      <c r="B43149" t="s">
        <v>13979</v>
      </c>
    </row>
    <row r="43150" spans="1:2" x14ac:dyDescent="0.25">
      <c r="A43150">
        <v>87112020913</v>
      </c>
      <c r="B43150" t="s">
        <v>13980</v>
      </c>
    </row>
    <row r="43151" spans="1:2" x14ac:dyDescent="0.25">
      <c r="A43151">
        <v>87112020919</v>
      </c>
      <c r="B43151" t="s">
        <v>57</v>
      </c>
    </row>
    <row r="43152" spans="1:2" x14ac:dyDescent="0.25">
      <c r="A43152">
        <v>8711202092</v>
      </c>
      <c r="B43152" t="s">
        <v>13981</v>
      </c>
    </row>
    <row r="43153" spans="1:2" x14ac:dyDescent="0.25">
      <c r="A43153">
        <v>87112020921</v>
      </c>
      <c r="B43153" t="s">
        <v>13982</v>
      </c>
    </row>
    <row r="43154" spans="1:2" x14ac:dyDescent="0.25">
      <c r="A43154">
        <v>87112020922</v>
      </c>
      <c r="B43154" t="s">
        <v>13983</v>
      </c>
    </row>
    <row r="43155" spans="1:2" x14ac:dyDescent="0.25">
      <c r="A43155">
        <v>87112020929</v>
      </c>
      <c r="B43155" t="s">
        <v>57</v>
      </c>
    </row>
    <row r="43156" spans="1:2" x14ac:dyDescent="0.25">
      <c r="A43156">
        <v>87112090</v>
      </c>
      <c r="B43156" t="s">
        <v>10</v>
      </c>
    </row>
    <row r="43157" spans="1:2" x14ac:dyDescent="0.25">
      <c r="A43157">
        <v>871120901</v>
      </c>
      <c r="B43157" t="s">
        <v>13977</v>
      </c>
    </row>
    <row r="43158" spans="1:2" x14ac:dyDescent="0.25">
      <c r="A43158">
        <v>87112090110</v>
      </c>
      <c r="B43158" t="s">
        <v>13978</v>
      </c>
    </row>
    <row r="43159" spans="1:2" x14ac:dyDescent="0.25">
      <c r="A43159">
        <v>87112090120</v>
      </c>
      <c r="B43159" t="s">
        <v>13979</v>
      </c>
    </row>
    <row r="43160" spans="1:2" x14ac:dyDescent="0.25">
      <c r="A43160">
        <v>87112090130</v>
      </c>
      <c r="B43160" t="s">
        <v>13980</v>
      </c>
    </row>
    <row r="43161" spans="1:2" x14ac:dyDescent="0.25">
      <c r="A43161">
        <v>87112090190</v>
      </c>
      <c r="B43161" t="s">
        <v>57</v>
      </c>
    </row>
    <row r="43162" spans="1:2" x14ac:dyDescent="0.25">
      <c r="A43162">
        <v>871120902</v>
      </c>
      <c r="B43162" t="s">
        <v>13981</v>
      </c>
    </row>
    <row r="43163" spans="1:2" x14ac:dyDescent="0.25">
      <c r="A43163">
        <v>87112090210</v>
      </c>
      <c r="B43163" t="s">
        <v>13982</v>
      </c>
    </row>
    <row r="43164" spans="1:2" x14ac:dyDescent="0.25">
      <c r="A43164">
        <v>87112090220</v>
      </c>
      <c r="B43164" t="s">
        <v>13983</v>
      </c>
    </row>
    <row r="43165" spans="1:2" x14ac:dyDescent="0.25">
      <c r="A43165">
        <v>87112090290</v>
      </c>
      <c r="B43165" t="s">
        <v>57</v>
      </c>
    </row>
    <row r="43166" spans="1:2" x14ac:dyDescent="0.25">
      <c r="A43166">
        <v>87113000</v>
      </c>
      <c r="B43166" t="s">
        <v>13994</v>
      </c>
    </row>
    <row r="43167" spans="1:2" x14ac:dyDescent="0.25">
      <c r="A43167">
        <v>871130001</v>
      </c>
      <c r="B43167" t="s">
        <v>13977</v>
      </c>
    </row>
    <row r="43168" spans="1:2" x14ac:dyDescent="0.25">
      <c r="A43168">
        <v>87113000110</v>
      </c>
      <c r="B43168" t="s">
        <v>13978</v>
      </c>
    </row>
    <row r="43169" spans="1:2" x14ac:dyDescent="0.25">
      <c r="A43169">
        <v>87113000120</v>
      </c>
      <c r="B43169" t="s">
        <v>13979</v>
      </c>
    </row>
    <row r="43170" spans="1:2" x14ac:dyDescent="0.25">
      <c r="A43170">
        <v>87113000130</v>
      </c>
      <c r="B43170" t="s">
        <v>13980</v>
      </c>
    </row>
    <row r="43171" spans="1:2" x14ac:dyDescent="0.25">
      <c r="A43171">
        <v>87113000190</v>
      </c>
      <c r="B43171" t="s">
        <v>57</v>
      </c>
    </row>
    <row r="43172" spans="1:2" x14ac:dyDescent="0.25">
      <c r="A43172">
        <v>871130002</v>
      </c>
      <c r="B43172" t="s">
        <v>13981</v>
      </c>
    </row>
    <row r="43173" spans="1:2" x14ac:dyDescent="0.25">
      <c r="A43173">
        <v>87113000210</v>
      </c>
      <c r="B43173" t="s">
        <v>13982</v>
      </c>
    </row>
    <row r="43174" spans="1:2" x14ac:dyDescent="0.25">
      <c r="A43174">
        <v>87113000220</v>
      </c>
      <c r="B43174" t="s">
        <v>13983</v>
      </c>
    </row>
    <row r="43175" spans="1:2" x14ac:dyDescent="0.25">
      <c r="A43175">
        <v>87113000290</v>
      </c>
      <c r="B43175" t="s">
        <v>57</v>
      </c>
    </row>
    <row r="43176" spans="1:2" x14ac:dyDescent="0.25">
      <c r="A43176">
        <v>87114000</v>
      </c>
      <c r="B43176" t="s">
        <v>13995</v>
      </c>
    </row>
    <row r="43177" spans="1:2" x14ac:dyDescent="0.25">
      <c r="A43177">
        <v>871140001</v>
      </c>
      <c r="B43177" t="s">
        <v>13977</v>
      </c>
    </row>
    <row r="43178" spans="1:2" x14ac:dyDescent="0.25">
      <c r="A43178">
        <v>87114000110</v>
      </c>
      <c r="B43178" t="s">
        <v>13996</v>
      </c>
    </row>
    <row r="43179" spans="1:2" x14ac:dyDescent="0.25">
      <c r="A43179">
        <v>87114000120</v>
      </c>
      <c r="B43179" t="s">
        <v>13979</v>
      </c>
    </row>
    <row r="43180" spans="1:2" x14ac:dyDescent="0.25">
      <c r="A43180">
        <v>87114000130</v>
      </c>
      <c r="B43180" t="s">
        <v>13980</v>
      </c>
    </row>
    <row r="43181" spans="1:2" x14ac:dyDescent="0.25">
      <c r="A43181">
        <v>87114000190</v>
      </c>
      <c r="B43181" t="s">
        <v>57</v>
      </c>
    </row>
    <row r="43182" spans="1:2" x14ac:dyDescent="0.25">
      <c r="A43182">
        <v>871140002</v>
      </c>
      <c r="B43182" t="s">
        <v>13981</v>
      </c>
    </row>
    <row r="43183" spans="1:2" x14ac:dyDescent="0.25">
      <c r="A43183">
        <v>87114000210</v>
      </c>
      <c r="B43183" t="s">
        <v>13982</v>
      </c>
    </row>
    <row r="43184" spans="1:2" x14ac:dyDescent="0.25">
      <c r="A43184">
        <v>87114000220</v>
      </c>
      <c r="B43184" t="s">
        <v>13983</v>
      </c>
    </row>
    <row r="43185" spans="1:2" x14ac:dyDescent="0.25">
      <c r="A43185">
        <v>87114000290</v>
      </c>
      <c r="B43185" t="s">
        <v>57</v>
      </c>
    </row>
    <row r="43186" spans="1:2" x14ac:dyDescent="0.25">
      <c r="A43186">
        <v>87115000</v>
      </c>
      <c r="B43186" t="s">
        <v>13997</v>
      </c>
    </row>
    <row r="43187" spans="1:2" x14ac:dyDescent="0.25">
      <c r="A43187">
        <v>871150001</v>
      </c>
      <c r="B43187" t="s">
        <v>13977</v>
      </c>
    </row>
    <row r="43188" spans="1:2" x14ac:dyDescent="0.25">
      <c r="A43188">
        <v>87115000110</v>
      </c>
      <c r="B43188" t="s">
        <v>13996</v>
      </c>
    </row>
    <row r="43189" spans="1:2" x14ac:dyDescent="0.25">
      <c r="A43189">
        <v>87115000120</v>
      </c>
      <c r="B43189" t="s">
        <v>13979</v>
      </c>
    </row>
    <row r="43190" spans="1:2" x14ac:dyDescent="0.25">
      <c r="A43190">
        <v>87115000130</v>
      </c>
      <c r="B43190" t="s">
        <v>13980</v>
      </c>
    </row>
    <row r="43191" spans="1:2" x14ac:dyDescent="0.25">
      <c r="A43191">
        <v>87115000190</v>
      </c>
      <c r="B43191" t="s">
        <v>57</v>
      </c>
    </row>
    <row r="43192" spans="1:2" x14ac:dyDescent="0.25">
      <c r="A43192">
        <v>871150002</v>
      </c>
      <c r="B43192" t="s">
        <v>13981</v>
      </c>
    </row>
    <row r="43193" spans="1:2" x14ac:dyDescent="0.25">
      <c r="A43193">
        <v>87115000210</v>
      </c>
      <c r="B43193" t="s">
        <v>13982</v>
      </c>
    </row>
    <row r="43194" spans="1:2" x14ac:dyDescent="0.25">
      <c r="A43194">
        <v>87115000220</v>
      </c>
      <c r="B43194" t="s">
        <v>13983</v>
      </c>
    </row>
    <row r="43195" spans="1:2" x14ac:dyDescent="0.25">
      <c r="A43195">
        <v>87115000290</v>
      </c>
      <c r="B43195" t="s">
        <v>57</v>
      </c>
    </row>
    <row r="43196" spans="1:2" x14ac:dyDescent="0.25">
      <c r="A43196">
        <v>87116000</v>
      </c>
      <c r="B43196" t="e">
        <f>- propulsados Con motor electrico</f>
        <v>#NAME?</v>
      </c>
    </row>
    <row r="43197" spans="1:2" x14ac:dyDescent="0.25">
      <c r="A43197">
        <v>871160001</v>
      </c>
      <c r="B43197" t="s">
        <v>13998</v>
      </c>
    </row>
    <row r="43198" spans="1:2" x14ac:dyDescent="0.25">
      <c r="A43198">
        <v>87116000110</v>
      </c>
      <c r="B43198" t="s">
        <v>13999</v>
      </c>
    </row>
    <row r="43199" spans="1:2" x14ac:dyDescent="0.25">
      <c r="A43199">
        <v>87116000190</v>
      </c>
      <c r="B43199" t="s">
        <v>57</v>
      </c>
    </row>
    <row r="43200" spans="1:2" x14ac:dyDescent="0.25">
      <c r="A43200">
        <v>871160002</v>
      </c>
      <c r="B43200" t="s">
        <v>14000</v>
      </c>
    </row>
    <row r="43201" spans="1:2" x14ac:dyDescent="0.25">
      <c r="A43201">
        <v>8711600021</v>
      </c>
      <c r="B43201" t="s">
        <v>13977</v>
      </c>
    </row>
    <row r="43202" spans="1:2" x14ac:dyDescent="0.25">
      <c r="A43202">
        <v>87116000211</v>
      </c>
      <c r="B43202" t="s">
        <v>13996</v>
      </c>
    </row>
    <row r="43203" spans="1:2" x14ac:dyDescent="0.25">
      <c r="A43203">
        <v>87116000212</v>
      </c>
      <c r="B43203" t="s">
        <v>13979</v>
      </c>
    </row>
    <row r="43204" spans="1:2" x14ac:dyDescent="0.25">
      <c r="A43204">
        <v>87116000213</v>
      </c>
      <c r="B43204" t="s">
        <v>13980</v>
      </c>
    </row>
    <row r="43205" spans="1:2" x14ac:dyDescent="0.25">
      <c r="A43205">
        <v>87116000219</v>
      </c>
      <c r="B43205" t="s">
        <v>57</v>
      </c>
    </row>
    <row r="43206" spans="1:2" x14ac:dyDescent="0.25">
      <c r="A43206">
        <v>8711600022</v>
      </c>
      <c r="B43206" t="s">
        <v>13981</v>
      </c>
    </row>
    <row r="43207" spans="1:2" x14ac:dyDescent="0.25">
      <c r="A43207">
        <v>87116000221</v>
      </c>
      <c r="B43207" t="s">
        <v>13982</v>
      </c>
    </row>
    <row r="43208" spans="1:2" x14ac:dyDescent="0.25">
      <c r="A43208">
        <v>87116000222</v>
      </c>
      <c r="B43208" t="s">
        <v>13983</v>
      </c>
    </row>
    <row r="43209" spans="1:2" x14ac:dyDescent="0.25">
      <c r="A43209">
        <v>87116000229</v>
      </c>
      <c r="B43209" t="s">
        <v>57</v>
      </c>
    </row>
    <row r="43210" spans="1:2" x14ac:dyDescent="0.25">
      <c r="A43210">
        <v>871160009</v>
      </c>
      <c r="B43210" t="s">
        <v>57</v>
      </c>
    </row>
    <row r="43211" spans="1:2" x14ac:dyDescent="0.25">
      <c r="A43211">
        <v>8711600091</v>
      </c>
      <c r="B43211" t="s">
        <v>14001</v>
      </c>
    </row>
    <row r="43212" spans="1:2" x14ac:dyDescent="0.25">
      <c r="A43212">
        <v>87116000911</v>
      </c>
      <c r="B43212" t="s">
        <v>14002</v>
      </c>
    </row>
    <row r="43213" spans="1:2" x14ac:dyDescent="0.25">
      <c r="A43213">
        <v>87116000912</v>
      </c>
      <c r="B43213" t="s">
        <v>14003</v>
      </c>
    </row>
    <row r="43214" spans="1:2" x14ac:dyDescent="0.25">
      <c r="A43214">
        <v>87116000913</v>
      </c>
      <c r="B43214" t="s">
        <v>13798</v>
      </c>
    </row>
    <row r="43215" spans="1:2" x14ac:dyDescent="0.25">
      <c r="A43215">
        <v>87116000919</v>
      </c>
      <c r="B43215" t="s">
        <v>10</v>
      </c>
    </row>
    <row r="43216" spans="1:2" x14ac:dyDescent="0.25">
      <c r="A43216">
        <v>8711600092</v>
      </c>
      <c r="B43216" t="s">
        <v>14004</v>
      </c>
    </row>
    <row r="43217" spans="1:2" x14ac:dyDescent="0.25">
      <c r="A43217">
        <v>87116000921</v>
      </c>
      <c r="B43217" t="s">
        <v>14005</v>
      </c>
    </row>
    <row r="43218" spans="1:2" x14ac:dyDescent="0.25">
      <c r="A43218">
        <v>87116000922</v>
      </c>
      <c r="B43218" t="s">
        <v>14006</v>
      </c>
    </row>
    <row r="43219" spans="1:2" x14ac:dyDescent="0.25">
      <c r="A43219">
        <v>87116000929</v>
      </c>
      <c r="B43219" t="s">
        <v>10</v>
      </c>
    </row>
    <row r="43220" spans="1:2" x14ac:dyDescent="0.25">
      <c r="A43220">
        <v>87119000</v>
      </c>
      <c r="B43220" t="e">
        <f>- Los demas</f>
        <v>#NAME?</v>
      </c>
    </row>
    <row r="43221" spans="1:2" x14ac:dyDescent="0.25">
      <c r="A43221">
        <v>87119000400</v>
      </c>
      <c r="B43221" t="s">
        <v>14007</v>
      </c>
    </row>
    <row r="43222" spans="1:2" x14ac:dyDescent="0.25">
      <c r="A43222">
        <v>87119000900</v>
      </c>
      <c r="B43222" t="s">
        <v>10</v>
      </c>
    </row>
    <row r="43223" spans="1:2" x14ac:dyDescent="0.25">
      <c r="A43223">
        <v>871200</v>
      </c>
      <c r="B43223" t="s">
        <v>14008</v>
      </c>
    </row>
    <row r="43224" spans="1:2" x14ac:dyDescent="0.25">
      <c r="A43224">
        <v>87120010</v>
      </c>
      <c r="B43224" t="s">
        <v>14009</v>
      </c>
    </row>
    <row r="43225" spans="1:2" x14ac:dyDescent="0.25">
      <c r="A43225">
        <v>871200101</v>
      </c>
      <c r="B43225" t="s">
        <v>14010</v>
      </c>
    </row>
    <row r="43226" spans="1:2" x14ac:dyDescent="0.25">
      <c r="A43226">
        <v>8712001011</v>
      </c>
      <c r="B43226" t="s">
        <v>14011</v>
      </c>
    </row>
    <row r="43227" spans="1:2" x14ac:dyDescent="0.25">
      <c r="A43227">
        <v>87120010111</v>
      </c>
      <c r="B43227" t="s">
        <v>14012</v>
      </c>
    </row>
    <row r="43228" spans="1:2" x14ac:dyDescent="0.25">
      <c r="A43228">
        <v>87120010112</v>
      </c>
      <c r="B43228" t="s">
        <v>14013</v>
      </c>
    </row>
    <row r="43229" spans="1:2" x14ac:dyDescent="0.25">
      <c r="A43229">
        <v>87120010113</v>
      </c>
      <c r="B43229" t="s">
        <v>7348</v>
      </c>
    </row>
    <row r="43230" spans="1:2" x14ac:dyDescent="0.25">
      <c r="A43230">
        <v>87120010119</v>
      </c>
      <c r="B43230" t="s">
        <v>57</v>
      </c>
    </row>
    <row r="43231" spans="1:2" x14ac:dyDescent="0.25">
      <c r="A43231">
        <v>8712001012</v>
      </c>
      <c r="B43231" t="s">
        <v>14014</v>
      </c>
    </row>
    <row r="43232" spans="1:2" x14ac:dyDescent="0.25">
      <c r="A43232">
        <v>87120010121</v>
      </c>
      <c r="B43232" t="s">
        <v>14015</v>
      </c>
    </row>
    <row r="43233" spans="1:2" x14ac:dyDescent="0.25">
      <c r="A43233">
        <v>87120010122</v>
      </c>
      <c r="B43233" t="s">
        <v>14013</v>
      </c>
    </row>
    <row r="43234" spans="1:2" x14ac:dyDescent="0.25">
      <c r="A43234">
        <v>87120010123</v>
      </c>
      <c r="B43234" t="s">
        <v>14016</v>
      </c>
    </row>
    <row r="43235" spans="1:2" x14ac:dyDescent="0.25">
      <c r="A43235">
        <v>87120010129</v>
      </c>
      <c r="B43235" t="s">
        <v>57</v>
      </c>
    </row>
    <row r="43236" spans="1:2" x14ac:dyDescent="0.25">
      <c r="A43236">
        <v>8712001019</v>
      </c>
      <c r="B43236" t="s">
        <v>57</v>
      </c>
    </row>
    <row r="43237" spans="1:2" x14ac:dyDescent="0.25">
      <c r="A43237">
        <v>87120010191</v>
      </c>
      <c r="B43237" t="s">
        <v>14012</v>
      </c>
    </row>
    <row r="43238" spans="1:2" x14ac:dyDescent="0.25">
      <c r="A43238">
        <v>87120010192</v>
      </c>
      <c r="B43238" t="s">
        <v>14013</v>
      </c>
    </row>
    <row r="43239" spans="1:2" x14ac:dyDescent="0.25">
      <c r="A43239">
        <v>87120010193</v>
      </c>
      <c r="B43239" t="s">
        <v>7348</v>
      </c>
    </row>
    <row r="43240" spans="1:2" x14ac:dyDescent="0.25">
      <c r="A43240">
        <v>87120010199</v>
      </c>
      <c r="B43240" t="s">
        <v>57</v>
      </c>
    </row>
    <row r="43241" spans="1:2" x14ac:dyDescent="0.25">
      <c r="A43241">
        <v>871200102</v>
      </c>
      <c r="B43241" t="s">
        <v>7349</v>
      </c>
    </row>
    <row r="43242" spans="1:2" x14ac:dyDescent="0.25">
      <c r="A43242">
        <v>8712001021</v>
      </c>
      <c r="B43242" t="s">
        <v>14011</v>
      </c>
    </row>
    <row r="43243" spans="1:2" x14ac:dyDescent="0.25">
      <c r="A43243">
        <v>87120010211</v>
      </c>
      <c r="B43243" t="s">
        <v>14017</v>
      </c>
    </row>
    <row r="43244" spans="1:2" x14ac:dyDescent="0.25">
      <c r="A43244">
        <v>87120010212</v>
      </c>
      <c r="B43244" t="s">
        <v>14018</v>
      </c>
    </row>
    <row r="43245" spans="1:2" x14ac:dyDescent="0.25">
      <c r="A43245">
        <v>87120010219</v>
      </c>
      <c r="B43245" t="s">
        <v>57</v>
      </c>
    </row>
    <row r="43246" spans="1:2" x14ac:dyDescent="0.25">
      <c r="A43246">
        <v>8712001022</v>
      </c>
      <c r="B43246" t="s">
        <v>14014</v>
      </c>
    </row>
    <row r="43247" spans="1:2" x14ac:dyDescent="0.25">
      <c r="A43247">
        <v>87120010221</v>
      </c>
      <c r="B43247" t="s">
        <v>14017</v>
      </c>
    </row>
    <row r="43248" spans="1:2" x14ac:dyDescent="0.25">
      <c r="A43248">
        <v>87120010222</v>
      </c>
      <c r="B43248" t="s">
        <v>14018</v>
      </c>
    </row>
    <row r="43249" spans="1:2" x14ac:dyDescent="0.25">
      <c r="A43249">
        <v>87120010229</v>
      </c>
      <c r="B43249" t="s">
        <v>57</v>
      </c>
    </row>
    <row r="43250" spans="1:2" x14ac:dyDescent="0.25">
      <c r="A43250">
        <v>8712001029</v>
      </c>
      <c r="B43250" t="s">
        <v>57</v>
      </c>
    </row>
    <row r="43251" spans="1:2" x14ac:dyDescent="0.25">
      <c r="A43251">
        <v>87120010291</v>
      </c>
      <c r="B43251" t="s">
        <v>14017</v>
      </c>
    </row>
    <row r="43252" spans="1:2" x14ac:dyDescent="0.25">
      <c r="A43252">
        <v>87120010292</v>
      </c>
      <c r="B43252" t="s">
        <v>7351</v>
      </c>
    </row>
    <row r="43253" spans="1:2" x14ac:dyDescent="0.25">
      <c r="A43253">
        <v>87120010299</v>
      </c>
      <c r="B43253" t="s">
        <v>57</v>
      </c>
    </row>
    <row r="43254" spans="1:2" x14ac:dyDescent="0.25">
      <c r="A43254">
        <v>871200103</v>
      </c>
      <c r="B43254" t="s">
        <v>14019</v>
      </c>
    </row>
    <row r="43255" spans="1:2" x14ac:dyDescent="0.25">
      <c r="A43255">
        <v>8712001031</v>
      </c>
      <c r="B43255" t="s">
        <v>14020</v>
      </c>
    </row>
    <row r="43256" spans="1:2" x14ac:dyDescent="0.25">
      <c r="A43256">
        <v>87120010311</v>
      </c>
      <c r="B43256" t="s">
        <v>14012</v>
      </c>
    </row>
    <row r="43257" spans="1:2" x14ac:dyDescent="0.25">
      <c r="A43257">
        <v>87120010312</v>
      </c>
      <c r="B43257" t="s">
        <v>14013</v>
      </c>
    </row>
    <row r="43258" spans="1:2" x14ac:dyDescent="0.25">
      <c r="A43258">
        <v>87120010313</v>
      </c>
      <c r="B43258" t="s">
        <v>14016</v>
      </c>
    </row>
    <row r="43259" spans="1:2" x14ac:dyDescent="0.25">
      <c r="A43259">
        <v>87120010319</v>
      </c>
      <c r="B43259" t="s">
        <v>57</v>
      </c>
    </row>
    <row r="43260" spans="1:2" x14ac:dyDescent="0.25">
      <c r="A43260">
        <v>8712001032</v>
      </c>
      <c r="B43260" t="s">
        <v>14021</v>
      </c>
    </row>
    <row r="43261" spans="1:2" x14ac:dyDescent="0.25">
      <c r="A43261">
        <v>87120010321</v>
      </c>
      <c r="B43261" t="s">
        <v>14012</v>
      </c>
    </row>
    <row r="43262" spans="1:2" x14ac:dyDescent="0.25">
      <c r="A43262">
        <v>87120010322</v>
      </c>
      <c r="B43262" t="s">
        <v>14013</v>
      </c>
    </row>
    <row r="43263" spans="1:2" x14ac:dyDescent="0.25">
      <c r="A43263">
        <v>87120010323</v>
      </c>
      <c r="B43263" t="s">
        <v>7348</v>
      </c>
    </row>
    <row r="43264" spans="1:2" x14ac:dyDescent="0.25">
      <c r="A43264">
        <v>87120010329</v>
      </c>
      <c r="B43264" t="s">
        <v>57</v>
      </c>
    </row>
    <row r="43265" spans="1:2" x14ac:dyDescent="0.25">
      <c r="A43265">
        <v>8712001033</v>
      </c>
      <c r="B43265" t="s">
        <v>14022</v>
      </c>
    </row>
    <row r="43266" spans="1:2" x14ac:dyDescent="0.25">
      <c r="A43266">
        <v>87120010331</v>
      </c>
      <c r="B43266" t="s">
        <v>14012</v>
      </c>
    </row>
    <row r="43267" spans="1:2" x14ac:dyDescent="0.25">
      <c r="A43267">
        <v>87120010332</v>
      </c>
      <c r="B43267" t="s">
        <v>14013</v>
      </c>
    </row>
    <row r="43268" spans="1:2" x14ac:dyDescent="0.25">
      <c r="A43268">
        <v>87120010333</v>
      </c>
      <c r="B43268" t="s">
        <v>14016</v>
      </c>
    </row>
    <row r="43269" spans="1:2" x14ac:dyDescent="0.25">
      <c r="A43269">
        <v>87120010339</v>
      </c>
      <c r="B43269" t="s">
        <v>57</v>
      </c>
    </row>
    <row r="43270" spans="1:2" x14ac:dyDescent="0.25">
      <c r="A43270">
        <v>8712001034</v>
      </c>
      <c r="B43270" t="s">
        <v>14023</v>
      </c>
    </row>
    <row r="43271" spans="1:2" x14ac:dyDescent="0.25">
      <c r="A43271">
        <v>87120010341</v>
      </c>
      <c r="B43271" t="s">
        <v>14012</v>
      </c>
    </row>
    <row r="43272" spans="1:2" x14ac:dyDescent="0.25">
      <c r="A43272">
        <v>87120010342</v>
      </c>
      <c r="B43272" t="s">
        <v>14013</v>
      </c>
    </row>
    <row r="43273" spans="1:2" x14ac:dyDescent="0.25">
      <c r="A43273">
        <v>87120010343</v>
      </c>
      <c r="B43273" t="s">
        <v>7348</v>
      </c>
    </row>
    <row r="43274" spans="1:2" x14ac:dyDescent="0.25">
      <c r="A43274">
        <v>87120010349</v>
      </c>
      <c r="B43274" t="s">
        <v>57</v>
      </c>
    </row>
    <row r="43275" spans="1:2" x14ac:dyDescent="0.25">
      <c r="A43275">
        <v>8712001039</v>
      </c>
      <c r="B43275" t="s">
        <v>57</v>
      </c>
    </row>
    <row r="43276" spans="1:2" x14ac:dyDescent="0.25">
      <c r="A43276">
        <v>87120010391</v>
      </c>
      <c r="B43276" t="s">
        <v>14012</v>
      </c>
    </row>
    <row r="43277" spans="1:2" x14ac:dyDescent="0.25">
      <c r="A43277">
        <v>87120010392</v>
      </c>
      <c r="B43277" t="s">
        <v>14013</v>
      </c>
    </row>
    <row r="43278" spans="1:2" x14ac:dyDescent="0.25">
      <c r="A43278">
        <v>87120010393</v>
      </c>
      <c r="B43278" t="s">
        <v>14016</v>
      </c>
    </row>
    <row r="43279" spans="1:2" x14ac:dyDescent="0.25">
      <c r="A43279">
        <v>87120010399</v>
      </c>
      <c r="B43279" t="s">
        <v>57</v>
      </c>
    </row>
    <row r="43280" spans="1:2" x14ac:dyDescent="0.25">
      <c r="A43280">
        <v>871200109</v>
      </c>
      <c r="B43280" t="s">
        <v>57</v>
      </c>
    </row>
    <row r="43281" spans="1:2" x14ac:dyDescent="0.25">
      <c r="A43281">
        <v>87120010910</v>
      </c>
      <c r="B43281" t="s">
        <v>14024</v>
      </c>
    </row>
    <row r="43282" spans="1:2" x14ac:dyDescent="0.25">
      <c r="A43282">
        <v>87120010920</v>
      </c>
      <c r="B43282" t="s">
        <v>14025</v>
      </c>
    </row>
    <row r="43283" spans="1:2" x14ac:dyDescent="0.25">
      <c r="A43283">
        <v>87120010990</v>
      </c>
      <c r="B43283" t="s">
        <v>57</v>
      </c>
    </row>
    <row r="43284" spans="1:2" x14ac:dyDescent="0.25">
      <c r="A43284">
        <v>87120090000</v>
      </c>
      <c r="B43284" t="s">
        <v>10</v>
      </c>
    </row>
    <row r="43285" spans="1:2" x14ac:dyDescent="0.25">
      <c r="A43285">
        <v>8713</v>
      </c>
      <c r="B43285" t="s">
        <v>14026</v>
      </c>
    </row>
    <row r="43286" spans="1:2" x14ac:dyDescent="0.25">
      <c r="A43286">
        <v>87131000000</v>
      </c>
      <c r="B43286" t="e">
        <f>-sin mecanismo de propulsion</f>
        <v>#NAME?</v>
      </c>
    </row>
    <row r="43287" spans="1:2" x14ac:dyDescent="0.25">
      <c r="A43287">
        <v>87139000000</v>
      </c>
      <c r="B43287" t="e">
        <f>-Los demas</f>
        <v>#NAME?</v>
      </c>
    </row>
    <row r="43288" spans="1:2" x14ac:dyDescent="0.25">
      <c r="A43288">
        <v>8714</v>
      </c>
      <c r="B43288" t="s">
        <v>14027</v>
      </c>
    </row>
    <row r="43289" spans="1:2" x14ac:dyDescent="0.25">
      <c r="A43289">
        <v>87141000</v>
      </c>
      <c r="B43289" t="e">
        <f>- de motocicletas (incluidos Los ciclomotores)</f>
        <v>#NAME?</v>
      </c>
    </row>
    <row r="43290" spans="1:2" x14ac:dyDescent="0.25">
      <c r="A43290">
        <v>87141000100</v>
      </c>
      <c r="B43290" t="s">
        <v>12036</v>
      </c>
    </row>
    <row r="43291" spans="1:2" x14ac:dyDescent="0.25">
      <c r="A43291">
        <v>87141000200</v>
      </c>
      <c r="B43291" t="s">
        <v>14028</v>
      </c>
    </row>
    <row r="43292" spans="1:2" x14ac:dyDescent="0.25">
      <c r="A43292">
        <v>87141000300</v>
      </c>
      <c r="B43292" t="s">
        <v>14029</v>
      </c>
    </row>
    <row r="43293" spans="1:2" x14ac:dyDescent="0.25">
      <c r="A43293">
        <v>87141000400</v>
      </c>
      <c r="B43293" t="s">
        <v>14030</v>
      </c>
    </row>
    <row r="43294" spans="1:2" x14ac:dyDescent="0.25">
      <c r="A43294">
        <v>87141000500</v>
      </c>
      <c r="B43294" t="s">
        <v>14031</v>
      </c>
    </row>
    <row r="43295" spans="1:2" x14ac:dyDescent="0.25">
      <c r="A43295">
        <v>871410006</v>
      </c>
      <c r="B43295" t="s">
        <v>14032</v>
      </c>
    </row>
    <row r="43296" spans="1:2" x14ac:dyDescent="0.25">
      <c r="A43296">
        <v>8714100061</v>
      </c>
      <c r="B43296" t="s">
        <v>14033</v>
      </c>
    </row>
    <row r="43297" spans="1:2" x14ac:dyDescent="0.25">
      <c r="A43297">
        <v>87141000611</v>
      </c>
      <c r="B43297" t="s">
        <v>14034</v>
      </c>
    </row>
    <row r="43298" spans="1:2" x14ac:dyDescent="0.25">
      <c r="A43298">
        <v>87141000619</v>
      </c>
      <c r="B43298" t="s">
        <v>57</v>
      </c>
    </row>
    <row r="43299" spans="1:2" x14ac:dyDescent="0.25">
      <c r="A43299">
        <v>8714100062</v>
      </c>
      <c r="B43299" t="s">
        <v>14035</v>
      </c>
    </row>
    <row r="43300" spans="1:2" x14ac:dyDescent="0.25">
      <c r="A43300">
        <v>87141000621</v>
      </c>
      <c r="B43300" t="s">
        <v>14034</v>
      </c>
    </row>
    <row r="43301" spans="1:2" x14ac:dyDescent="0.25">
      <c r="A43301">
        <v>87141000629</v>
      </c>
      <c r="B43301" t="s">
        <v>57</v>
      </c>
    </row>
    <row r="43302" spans="1:2" x14ac:dyDescent="0.25">
      <c r="A43302">
        <v>8714100069</v>
      </c>
      <c r="B43302" t="s">
        <v>57</v>
      </c>
    </row>
    <row r="43303" spans="1:2" x14ac:dyDescent="0.25">
      <c r="A43303">
        <v>87141000691</v>
      </c>
      <c r="B43303" t="s">
        <v>14034</v>
      </c>
    </row>
    <row r="43304" spans="1:2" x14ac:dyDescent="0.25">
      <c r="A43304">
        <v>87141000699</v>
      </c>
      <c r="B43304" t="s">
        <v>57</v>
      </c>
    </row>
    <row r="43305" spans="1:2" x14ac:dyDescent="0.25">
      <c r="A43305">
        <v>871410007</v>
      </c>
      <c r="B43305" t="s">
        <v>14036</v>
      </c>
    </row>
    <row r="43306" spans="1:2" x14ac:dyDescent="0.25">
      <c r="A43306">
        <v>87141000710</v>
      </c>
      <c r="B43306" t="s">
        <v>14037</v>
      </c>
    </row>
    <row r="43307" spans="1:2" x14ac:dyDescent="0.25">
      <c r="A43307">
        <v>87141000720</v>
      </c>
      <c r="B43307" t="s">
        <v>14038</v>
      </c>
    </row>
    <row r="43308" spans="1:2" x14ac:dyDescent="0.25">
      <c r="A43308">
        <v>87141000790</v>
      </c>
      <c r="B43308" t="s">
        <v>10</v>
      </c>
    </row>
    <row r="43309" spans="1:2" x14ac:dyDescent="0.25">
      <c r="A43309">
        <v>871410009</v>
      </c>
      <c r="B43309" t="s">
        <v>14039</v>
      </c>
    </row>
    <row r="43310" spans="1:2" x14ac:dyDescent="0.25">
      <c r="A43310">
        <v>8714100091</v>
      </c>
      <c r="B43310" t="s">
        <v>14040</v>
      </c>
    </row>
    <row r="43311" spans="1:2" x14ac:dyDescent="0.25">
      <c r="A43311">
        <v>87141000911</v>
      </c>
      <c r="B43311" t="s">
        <v>14041</v>
      </c>
    </row>
    <row r="43312" spans="1:2" x14ac:dyDescent="0.25">
      <c r="A43312">
        <v>87141000912</v>
      </c>
      <c r="B43312" t="s">
        <v>14042</v>
      </c>
    </row>
    <row r="43313" spans="1:2" x14ac:dyDescent="0.25">
      <c r="A43313">
        <v>87141000919</v>
      </c>
      <c r="B43313" t="s">
        <v>10</v>
      </c>
    </row>
    <row r="43314" spans="1:2" x14ac:dyDescent="0.25">
      <c r="A43314">
        <v>8714100092</v>
      </c>
      <c r="B43314" t="s">
        <v>14043</v>
      </c>
    </row>
    <row r="43315" spans="1:2" x14ac:dyDescent="0.25">
      <c r="A43315">
        <v>87141000921</v>
      </c>
      <c r="B43315" t="s">
        <v>14044</v>
      </c>
    </row>
    <row r="43316" spans="1:2" x14ac:dyDescent="0.25">
      <c r="A43316">
        <v>87141000922</v>
      </c>
      <c r="B43316" t="s">
        <v>14045</v>
      </c>
    </row>
    <row r="43317" spans="1:2" x14ac:dyDescent="0.25">
      <c r="A43317">
        <v>87141000929</v>
      </c>
      <c r="B43317" t="s">
        <v>10</v>
      </c>
    </row>
    <row r="43318" spans="1:2" x14ac:dyDescent="0.25">
      <c r="A43318">
        <v>8714100093</v>
      </c>
      <c r="B43318" t="s">
        <v>14046</v>
      </c>
    </row>
    <row r="43319" spans="1:2" x14ac:dyDescent="0.25">
      <c r="A43319">
        <v>87141000931</v>
      </c>
      <c r="B43319" t="s">
        <v>14047</v>
      </c>
    </row>
    <row r="43320" spans="1:2" x14ac:dyDescent="0.25">
      <c r="A43320">
        <v>87141000932</v>
      </c>
      <c r="B43320" t="s">
        <v>14048</v>
      </c>
    </row>
    <row r="43321" spans="1:2" x14ac:dyDescent="0.25">
      <c r="A43321">
        <v>87141000939</v>
      </c>
      <c r="B43321" t="s">
        <v>10</v>
      </c>
    </row>
    <row r="43322" spans="1:2" x14ac:dyDescent="0.25">
      <c r="A43322">
        <v>8714100094</v>
      </c>
      <c r="B43322" t="s">
        <v>14049</v>
      </c>
    </row>
    <row r="43323" spans="1:2" x14ac:dyDescent="0.25">
      <c r="A43323">
        <v>87141000941</v>
      </c>
      <c r="B43323" t="s">
        <v>14050</v>
      </c>
    </row>
    <row r="43324" spans="1:2" x14ac:dyDescent="0.25">
      <c r="A43324">
        <v>87141000942</v>
      </c>
      <c r="B43324" t="s">
        <v>14051</v>
      </c>
    </row>
    <row r="43325" spans="1:2" x14ac:dyDescent="0.25">
      <c r="A43325">
        <v>87141000949</v>
      </c>
      <c r="B43325" t="s">
        <v>10</v>
      </c>
    </row>
    <row r="43326" spans="1:2" x14ac:dyDescent="0.25">
      <c r="A43326">
        <v>87141000950</v>
      </c>
      <c r="B43326" t="s">
        <v>14052</v>
      </c>
    </row>
    <row r="43327" spans="1:2" x14ac:dyDescent="0.25">
      <c r="A43327">
        <v>8714100099</v>
      </c>
      <c r="B43327" t="s">
        <v>57</v>
      </c>
    </row>
    <row r="43328" spans="1:2" x14ac:dyDescent="0.25">
      <c r="A43328">
        <v>87141000991</v>
      </c>
      <c r="B43328" t="s">
        <v>14053</v>
      </c>
    </row>
    <row r="43329" spans="1:2" x14ac:dyDescent="0.25">
      <c r="A43329">
        <v>87141000992</v>
      </c>
      <c r="B43329" t="s">
        <v>14054</v>
      </c>
    </row>
    <row r="43330" spans="1:2" x14ac:dyDescent="0.25">
      <c r="A43330">
        <v>87141000993</v>
      </c>
      <c r="B43330" t="s">
        <v>14055</v>
      </c>
    </row>
    <row r="43331" spans="1:2" x14ac:dyDescent="0.25">
      <c r="A43331">
        <v>87141000994</v>
      </c>
      <c r="B43331" t="s">
        <v>10809</v>
      </c>
    </row>
    <row r="43332" spans="1:2" x14ac:dyDescent="0.25">
      <c r="A43332">
        <v>87141000995</v>
      </c>
      <c r="B43332" t="s">
        <v>14056</v>
      </c>
    </row>
    <row r="43333" spans="1:2" x14ac:dyDescent="0.25">
      <c r="A43333">
        <v>87141000996</v>
      </c>
      <c r="B43333" t="s">
        <v>14057</v>
      </c>
    </row>
    <row r="43334" spans="1:2" x14ac:dyDescent="0.25">
      <c r="A43334">
        <v>87141000997</v>
      </c>
      <c r="B43334" t="s">
        <v>13925</v>
      </c>
    </row>
    <row r="43335" spans="1:2" x14ac:dyDescent="0.25">
      <c r="A43335">
        <v>87141000998</v>
      </c>
      <c r="B43335" t="s">
        <v>13936</v>
      </c>
    </row>
    <row r="43336" spans="1:2" x14ac:dyDescent="0.25">
      <c r="A43336">
        <v>87141000999</v>
      </c>
      <c r="B43336" t="s">
        <v>10</v>
      </c>
    </row>
    <row r="43337" spans="1:2" x14ac:dyDescent="0.25">
      <c r="A43337">
        <v>87142000</v>
      </c>
      <c r="B43337" t="e">
        <f>- de sillones de Ruedas y demas vehiculos para invalidos</f>
        <v>#NAME?</v>
      </c>
    </row>
    <row r="43338" spans="1:2" x14ac:dyDescent="0.25">
      <c r="A43338">
        <v>87142000100</v>
      </c>
      <c r="B43338" t="s">
        <v>12036</v>
      </c>
    </row>
    <row r="43339" spans="1:2" x14ac:dyDescent="0.25">
      <c r="A43339">
        <v>87142000900</v>
      </c>
      <c r="B43339" t="s">
        <v>12037</v>
      </c>
    </row>
    <row r="43340" spans="1:2" x14ac:dyDescent="0.25">
      <c r="A43340">
        <v>87149</v>
      </c>
      <c r="B43340" t="s">
        <v>28</v>
      </c>
    </row>
    <row r="43341" spans="1:2" x14ac:dyDescent="0.25">
      <c r="A43341">
        <v>87149100</v>
      </c>
      <c r="B43341" t="e">
        <f>- - cuadros y horquillas. y sus partes</f>
        <v>#NAME?</v>
      </c>
    </row>
    <row r="43342" spans="1:2" x14ac:dyDescent="0.25">
      <c r="A43342">
        <v>871491001</v>
      </c>
      <c r="B43342" t="s">
        <v>14058</v>
      </c>
    </row>
    <row r="43343" spans="1:2" x14ac:dyDescent="0.25">
      <c r="A43343">
        <v>8714910011</v>
      </c>
      <c r="B43343" t="s">
        <v>14037</v>
      </c>
    </row>
    <row r="43344" spans="1:2" x14ac:dyDescent="0.25">
      <c r="A43344">
        <v>87149100111</v>
      </c>
      <c r="B43344" t="s">
        <v>14059</v>
      </c>
    </row>
    <row r="43345" spans="1:2" x14ac:dyDescent="0.25">
      <c r="A43345">
        <v>87149100112</v>
      </c>
      <c r="B43345" t="s">
        <v>14060</v>
      </c>
    </row>
    <row r="43346" spans="1:2" x14ac:dyDescent="0.25">
      <c r="A43346">
        <v>87149100119</v>
      </c>
      <c r="B43346" t="s">
        <v>10</v>
      </c>
    </row>
    <row r="43347" spans="1:2" x14ac:dyDescent="0.25">
      <c r="A43347">
        <v>8714910012</v>
      </c>
      <c r="B43347" t="s">
        <v>14061</v>
      </c>
    </row>
    <row r="43348" spans="1:2" x14ac:dyDescent="0.25">
      <c r="A43348">
        <v>87149100121</v>
      </c>
      <c r="B43348" t="s">
        <v>14059</v>
      </c>
    </row>
    <row r="43349" spans="1:2" x14ac:dyDescent="0.25">
      <c r="A43349">
        <v>87149100122</v>
      </c>
      <c r="B43349" t="s">
        <v>14060</v>
      </c>
    </row>
    <row r="43350" spans="1:2" x14ac:dyDescent="0.25">
      <c r="A43350">
        <v>87149100129</v>
      </c>
      <c r="B43350" t="s">
        <v>10</v>
      </c>
    </row>
    <row r="43351" spans="1:2" x14ac:dyDescent="0.25">
      <c r="A43351">
        <v>8714910019</v>
      </c>
      <c r="B43351" t="s">
        <v>10</v>
      </c>
    </row>
    <row r="43352" spans="1:2" x14ac:dyDescent="0.25">
      <c r="A43352">
        <v>87149100191</v>
      </c>
      <c r="B43352" t="s">
        <v>14059</v>
      </c>
    </row>
    <row r="43353" spans="1:2" x14ac:dyDescent="0.25">
      <c r="A43353">
        <v>87149100192</v>
      </c>
      <c r="B43353" t="s">
        <v>14060</v>
      </c>
    </row>
    <row r="43354" spans="1:2" x14ac:dyDescent="0.25">
      <c r="A43354">
        <v>87149100199</v>
      </c>
      <c r="B43354" t="s">
        <v>10</v>
      </c>
    </row>
    <row r="43355" spans="1:2" x14ac:dyDescent="0.25">
      <c r="A43355">
        <v>871491002</v>
      </c>
      <c r="B43355" t="s">
        <v>14062</v>
      </c>
    </row>
    <row r="43356" spans="1:2" x14ac:dyDescent="0.25">
      <c r="A43356">
        <v>8714910021</v>
      </c>
      <c r="B43356" t="s">
        <v>14024</v>
      </c>
    </row>
    <row r="43357" spans="1:2" x14ac:dyDescent="0.25">
      <c r="A43357">
        <v>87149100211</v>
      </c>
      <c r="B43357" t="s">
        <v>14063</v>
      </c>
    </row>
    <row r="43358" spans="1:2" x14ac:dyDescent="0.25">
      <c r="A43358">
        <v>87149100219</v>
      </c>
      <c r="B43358" t="s">
        <v>57</v>
      </c>
    </row>
    <row r="43359" spans="1:2" x14ac:dyDescent="0.25">
      <c r="A43359">
        <v>8714910022</v>
      </c>
      <c r="B43359" t="s">
        <v>14025</v>
      </c>
    </row>
    <row r="43360" spans="1:2" x14ac:dyDescent="0.25">
      <c r="A43360">
        <v>87149100221</v>
      </c>
      <c r="B43360" t="s">
        <v>14063</v>
      </c>
    </row>
    <row r="43361" spans="1:2" x14ac:dyDescent="0.25">
      <c r="A43361">
        <v>87149100229</v>
      </c>
      <c r="B43361" t="s">
        <v>57</v>
      </c>
    </row>
    <row r="43362" spans="1:2" x14ac:dyDescent="0.25">
      <c r="A43362">
        <v>87149100290</v>
      </c>
      <c r="B43362" t="s">
        <v>57</v>
      </c>
    </row>
    <row r="43363" spans="1:2" x14ac:dyDescent="0.25">
      <c r="A43363">
        <v>871491003</v>
      </c>
      <c r="B43363" t="s">
        <v>14064</v>
      </c>
    </row>
    <row r="43364" spans="1:2" x14ac:dyDescent="0.25">
      <c r="A43364">
        <v>8714910031</v>
      </c>
      <c r="B43364" t="s">
        <v>14065</v>
      </c>
    </row>
    <row r="43365" spans="1:2" x14ac:dyDescent="0.25">
      <c r="A43365">
        <v>87149100311</v>
      </c>
      <c r="B43365" t="s">
        <v>14066</v>
      </c>
    </row>
    <row r="43366" spans="1:2" x14ac:dyDescent="0.25">
      <c r="A43366">
        <v>87149100319</v>
      </c>
      <c r="B43366" t="s">
        <v>10</v>
      </c>
    </row>
    <row r="43367" spans="1:2" x14ac:dyDescent="0.25">
      <c r="A43367">
        <v>8714910039</v>
      </c>
      <c r="B43367" t="s">
        <v>10</v>
      </c>
    </row>
    <row r="43368" spans="1:2" x14ac:dyDescent="0.25">
      <c r="A43368">
        <v>87149100391</v>
      </c>
      <c r="B43368" t="s">
        <v>14067</v>
      </c>
    </row>
    <row r="43369" spans="1:2" x14ac:dyDescent="0.25">
      <c r="A43369">
        <v>87149100399</v>
      </c>
      <c r="B43369" t="s">
        <v>10</v>
      </c>
    </row>
    <row r="43370" spans="1:2" x14ac:dyDescent="0.25">
      <c r="A43370">
        <v>871491009</v>
      </c>
      <c r="B43370" t="s">
        <v>10194</v>
      </c>
    </row>
    <row r="43371" spans="1:2" x14ac:dyDescent="0.25">
      <c r="A43371">
        <v>8714910091</v>
      </c>
      <c r="B43371" t="s">
        <v>14068</v>
      </c>
    </row>
    <row r="43372" spans="1:2" x14ac:dyDescent="0.25">
      <c r="A43372">
        <v>87149100911</v>
      </c>
      <c r="B43372" t="s">
        <v>14069</v>
      </c>
    </row>
    <row r="43373" spans="1:2" x14ac:dyDescent="0.25">
      <c r="A43373">
        <v>87149100919</v>
      </c>
      <c r="B43373" t="s">
        <v>57</v>
      </c>
    </row>
    <row r="43374" spans="1:2" x14ac:dyDescent="0.25">
      <c r="A43374">
        <v>87149100990</v>
      </c>
      <c r="B43374" t="s">
        <v>57</v>
      </c>
    </row>
    <row r="43375" spans="1:2" x14ac:dyDescent="0.25">
      <c r="A43375">
        <v>87149200</v>
      </c>
      <c r="B43375" t="e">
        <f>- - llantas y radios</f>
        <v>#NAME?</v>
      </c>
    </row>
    <row r="43376" spans="1:2" x14ac:dyDescent="0.25">
      <c r="A43376">
        <v>871492001</v>
      </c>
      <c r="B43376" t="s">
        <v>14070</v>
      </c>
    </row>
    <row r="43377" spans="1:2" x14ac:dyDescent="0.25">
      <c r="A43377">
        <v>87149200110</v>
      </c>
      <c r="B43377" t="s">
        <v>14024</v>
      </c>
    </row>
    <row r="43378" spans="1:2" x14ac:dyDescent="0.25">
      <c r="A43378">
        <v>87149200120</v>
      </c>
      <c r="B43378" t="s">
        <v>14025</v>
      </c>
    </row>
    <row r="43379" spans="1:2" x14ac:dyDescent="0.25">
      <c r="A43379">
        <v>87149200190</v>
      </c>
      <c r="B43379" t="s">
        <v>57</v>
      </c>
    </row>
    <row r="43380" spans="1:2" x14ac:dyDescent="0.25">
      <c r="A43380">
        <v>871492002</v>
      </c>
      <c r="B43380" t="s">
        <v>14071</v>
      </c>
    </row>
    <row r="43381" spans="1:2" x14ac:dyDescent="0.25">
      <c r="A43381">
        <v>8714920021</v>
      </c>
      <c r="B43381" t="s">
        <v>14072</v>
      </c>
    </row>
    <row r="43382" spans="1:2" x14ac:dyDescent="0.25">
      <c r="A43382">
        <v>87149200211</v>
      </c>
      <c r="B43382" t="s">
        <v>14073</v>
      </c>
    </row>
    <row r="43383" spans="1:2" x14ac:dyDescent="0.25">
      <c r="A43383">
        <v>87149200212</v>
      </c>
      <c r="B43383" t="s">
        <v>14042</v>
      </c>
    </row>
    <row r="43384" spans="1:2" x14ac:dyDescent="0.25">
      <c r="A43384">
        <v>87149200219</v>
      </c>
      <c r="B43384" t="s">
        <v>10</v>
      </c>
    </row>
    <row r="43385" spans="1:2" x14ac:dyDescent="0.25">
      <c r="A43385">
        <v>8714920029</v>
      </c>
      <c r="B43385" t="s">
        <v>10</v>
      </c>
    </row>
    <row r="43386" spans="1:2" x14ac:dyDescent="0.25">
      <c r="A43386">
        <v>87149200291</v>
      </c>
      <c r="B43386" t="s">
        <v>14073</v>
      </c>
    </row>
    <row r="43387" spans="1:2" x14ac:dyDescent="0.25">
      <c r="A43387">
        <v>87149200292</v>
      </c>
      <c r="B43387" t="s">
        <v>14042</v>
      </c>
    </row>
    <row r="43388" spans="1:2" x14ac:dyDescent="0.25">
      <c r="A43388">
        <v>87149200299</v>
      </c>
      <c r="B43388" t="s">
        <v>10</v>
      </c>
    </row>
    <row r="43389" spans="1:2" x14ac:dyDescent="0.25">
      <c r="A43389">
        <v>871492003</v>
      </c>
      <c r="B43389" t="s">
        <v>14049</v>
      </c>
    </row>
    <row r="43390" spans="1:2" x14ac:dyDescent="0.25">
      <c r="A43390">
        <v>8714920031</v>
      </c>
      <c r="B43390" t="s">
        <v>14072</v>
      </c>
    </row>
    <row r="43391" spans="1:2" x14ac:dyDescent="0.25">
      <c r="A43391">
        <v>87149200311</v>
      </c>
      <c r="B43391" t="s">
        <v>14050</v>
      </c>
    </row>
    <row r="43392" spans="1:2" x14ac:dyDescent="0.25">
      <c r="A43392">
        <v>87149200312</v>
      </c>
      <c r="B43392" t="s">
        <v>14051</v>
      </c>
    </row>
    <row r="43393" spans="1:2" x14ac:dyDescent="0.25">
      <c r="A43393">
        <v>87149200319</v>
      </c>
      <c r="B43393" t="s">
        <v>10</v>
      </c>
    </row>
    <row r="43394" spans="1:2" x14ac:dyDescent="0.25">
      <c r="A43394">
        <v>8714920039</v>
      </c>
      <c r="B43394" t="s">
        <v>10</v>
      </c>
    </row>
    <row r="43395" spans="1:2" x14ac:dyDescent="0.25">
      <c r="A43395">
        <v>87149200391</v>
      </c>
      <c r="B43395" t="s">
        <v>14050</v>
      </c>
    </row>
    <row r="43396" spans="1:2" x14ac:dyDescent="0.25">
      <c r="A43396">
        <v>87149200392</v>
      </c>
      <c r="B43396" t="s">
        <v>14051</v>
      </c>
    </row>
    <row r="43397" spans="1:2" x14ac:dyDescent="0.25">
      <c r="A43397">
        <v>87149200399</v>
      </c>
      <c r="B43397" t="s">
        <v>10</v>
      </c>
    </row>
    <row r="43398" spans="1:2" x14ac:dyDescent="0.25">
      <c r="A43398">
        <v>87149200900</v>
      </c>
      <c r="B43398" t="s">
        <v>57</v>
      </c>
    </row>
    <row r="43399" spans="1:2" x14ac:dyDescent="0.25">
      <c r="A43399">
        <v>871493</v>
      </c>
      <c r="B43399" t="e">
        <f>- - Bujes sin freno y piñones libres</f>
        <v>#NAME?</v>
      </c>
    </row>
    <row r="43400" spans="1:2" x14ac:dyDescent="0.25">
      <c r="A43400">
        <v>87149310000</v>
      </c>
      <c r="B43400" t="s">
        <v>14074</v>
      </c>
    </row>
    <row r="43401" spans="1:2" x14ac:dyDescent="0.25">
      <c r="A43401">
        <v>87149320</v>
      </c>
      <c r="B43401" t="s">
        <v>14075</v>
      </c>
    </row>
    <row r="43402" spans="1:2" x14ac:dyDescent="0.25">
      <c r="A43402">
        <v>87149320100</v>
      </c>
      <c r="B43402" t="s">
        <v>14076</v>
      </c>
    </row>
    <row r="43403" spans="1:2" x14ac:dyDescent="0.25">
      <c r="A43403">
        <v>87149320900</v>
      </c>
      <c r="B43403" t="s">
        <v>10</v>
      </c>
    </row>
    <row r="43404" spans="1:2" x14ac:dyDescent="0.25">
      <c r="A43404">
        <v>871494</v>
      </c>
      <c r="B43404" t="e">
        <f>- - frenos. incluidos Los Bujes Con freno. y sus partes</f>
        <v>#NAME?</v>
      </c>
    </row>
    <row r="43405" spans="1:2" x14ac:dyDescent="0.25">
      <c r="A43405">
        <v>87149410000</v>
      </c>
      <c r="B43405" t="s">
        <v>14077</v>
      </c>
    </row>
    <row r="43406" spans="1:2" x14ac:dyDescent="0.25">
      <c r="A43406">
        <v>87149490</v>
      </c>
      <c r="B43406" t="s">
        <v>10</v>
      </c>
    </row>
    <row r="43407" spans="1:2" x14ac:dyDescent="0.25">
      <c r="A43407">
        <v>87149490100</v>
      </c>
      <c r="B43407" t="s">
        <v>14078</v>
      </c>
    </row>
    <row r="43408" spans="1:2" x14ac:dyDescent="0.25">
      <c r="A43408">
        <v>871494909</v>
      </c>
      <c r="B43408" t="s">
        <v>10194</v>
      </c>
    </row>
    <row r="43409" spans="1:2" x14ac:dyDescent="0.25">
      <c r="A43409">
        <v>87149490910</v>
      </c>
      <c r="B43409" t="s">
        <v>14079</v>
      </c>
    </row>
    <row r="43410" spans="1:2" x14ac:dyDescent="0.25">
      <c r="A43410">
        <v>87149490990</v>
      </c>
      <c r="B43410" t="s">
        <v>57</v>
      </c>
    </row>
    <row r="43411" spans="1:2" x14ac:dyDescent="0.25">
      <c r="A43411">
        <v>87149500</v>
      </c>
      <c r="B43411" t="e">
        <f>- - Sillines (Asientos)</f>
        <v>#NAME?</v>
      </c>
    </row>
    <row r="43412" spans="1:2" x14ac:dyDescent="0.25">
      <c r="A43412">
        <v>87149500100</v>
      </c>
      <c r="B43412" t="s">
        <v>14080</v>
      </c>
    </row>
    <row r="43413" spans="1:2" x14ac:dyDescent="0.25">
      <c r="A43413">
        <v>871495009</v>
      </c>
      <c r="B43413" t="s">
        <v>10</v>
      </c>
    </row>
    <row r="43414" spans="1:2" x14ac:dyDescent="0.25">
      <c r="A43414">
        <v>87149500910</v>
      </c>
      <c r="B43414" t="s">
        <v>7349</v>
      </c>
    </row>
    <row r="43415" spans="1:2" x14ac:dyDescent="0.25">
      <c r="A43415">
        <v>87149500990</v>
      </c>
      <c r="B43415" t="s">
        <v>10</v>
      </c>
    </row>
    <row r="43416" spans="1:2" x14ac:dyDescent="0.25">
      <c r="A43416">
        <v>87149600</v>
      </c>
      <c r="B43416" t="e">
        <f>- - Pedales y Mecanismos de pedal. y sus partes</f>
        <v>#NAME?</v>
      </c>
    </row>
    <row r="43417" spans="1:2" x14ac:dyDescent="0.25">
      <c r="A43417">
        <v>871496001</v>
      </c>
      <c r="B43417" t="s">
        <v>14081</v>
      </c>
    </row>
    <row r="43418" spans="1:2" x14ac:dyDescent="0.25">
      <c r="A43418">
        <v>87149600110</v>
      </c>
      <c r="B43418" t="s">
        <v>14037</v>
      </c>
    </row>
    <row r="43419" spans="1:2" x14ac:dyDescent="0.25">
      <c r="A43419">
        <v>87149600120</v>
      </c>
      <c r="B43419" t="s">
        <v>14061</v>
      </c>
    </row>
    <row r="43420" spans="1:2" x14ac:dyDescent="0.25">
      <c r="A43420">
        <v>87149600130</v>
      </c>
      <c r="B43420" t="s">
        <v>14082</v>
      </c>
    </row>
    <row r="43421" spans="1:2" x14ac:dyDescent="0.25">
      <c r="A43421">
        <v>87149600190</v>
      </c>
      <c r="B43421" t="s">
        <v>10</v>
      </c>
    </row>
    <row r="43422" spans="1:2" x14ac:dyDescent="0.25">
      <c r="A43422">
        <v>87149600200</v>
      </c>
      <c r="B43422" t="s">
        <v>14083</v>
      </c>
    </row>
    <row r="43423" spans="1:2" x14ac:dyDescent="0.25">
      <c r="A43423">
        <v>871496009</v>
      </c>
      <c r="B43423" t="s">
        <v>10194</v>
      </c>
    </row>
    <row r="43424" spans="1:2" x14ac:dyDescent="0.25">
      <c r="A43424">
        <v>87149600910</v>
      </c>
      <c r="B43424" t="s">
        <v>14084</v>
      </c>
    </row>
    <row r="43425" spans="1:2" x14ac:dyDescent="0.25">
      <c r="A43425">
        <v>87149600920</v>
      </c>
      <c r="B43425" t="s">
        <v>14085</v>
      </c>
    </row>
    <row r="43426" spans="1:2" x14ac:dyDescent="0.25">
      <c r="A43426">
        <v>87149600930</v>
      </c>
      <c r="B43426" t="s">
        <v>14086</v>
      </c>
    </row>
    <row r="43427" spans="1:2" x14ac:dyDescent="0.25">
      <c r="A43427">
        <v>87149600940</v>
      </c>
      <c r="B43427" t="s">
        <v>14087</v>
      </c>
    </row>
    <row r="43428" spans="1:2" x14ac:dyDescent="0.25">
      <c r="A43428">
        <v>87149600990</v>
      </c>
      <c r="B43428" t="s">
        <v>57</v>
      </c>
    </row>
    <row r="43429" spans="1:2" x14ac:dyDescent="0.25">
      <c r="A43429">
        <v>871499</v>
      </c>
      <c r="B43429" t="e">
        <f>- - Los demas</f>
        <v>#NAME?</v>
      </c>
    </row>
    <row r="43430" spans="1:2" x14ac:dyDescent="0.25">
      <c r="A43430">
        <v>87149910000</v>
      </c>
      <c r="B43430" t="s">
        <v>14088</v>
      </c>
    </row>
    <row r="43431" spans="1:2" x14ac:dyDescent="0.25">
      <c r="A43431">
        <v>87149990</v>
      </c>
      <c r="B43431" t="s">
        <v>10</v>
      </c>
    </row>
    <row r="43432" spans="1:2" x14ac:dyDescent="0.25">
      <c r="A43432">
        <v>871499901</v>
      </c>
      <c r="B43432" t="s">
        <v>12036</v>
      </c>
    </row>
    <row r="43433" spans="1:2" x14ac:dyDescent="0.25">
      <c r="A43433">
        <v>87149990110</v>
      </c>
      <c r="B43433" t="s">
        <v>14089</v>
      </c>
    </row>
    <row r="43434" spans="1:2" x14ac:dyDescent="0.25">
      <c r="A43434">
        <v>87149990120</v>
      </c>
      <c r="B43434" t="s">
        <v>14090</v>
      </c>
    </row>
    <row r="43435" spans="1:2" x14ac:dyDescent="0.25">
      <c r="A43435">
        <v>87149990190</v>
      </c>
      <c r="B43435" t="s">
        <v>10</v>
      </c>
    </row>
    <row r="43436" spans="1:2" x14ac:dyDescent="0.25">
      <c r="A43436">
        <v>871499909</v>
      </c>
      <c r="B43436" t="s">
        <v>10194</v>
      </c>
    </row>
    <row r="43437" spans="1:2" x14ac:dyDescent="0.25">
      <c r="A43437">
        <v>8714999091</v>
      </c>
      <c r="B43437" t="s">
        <v>14091</v>
      </c>
    </row>
    <row r="43438" spans="1:2" x14ac:dyDescent="0.25">
      <c r="A43438">
        <v>87149990911</v>
      </c>
      <c r="B43438" t="s">
        <v>14092</v>
      </c>
    </row>
    <row r="43439" spans="1:2" x14ac:dyDescent="0.25">
      <c r="A43439">
        <v>87149990912</v>
      </c>
      <c r="B43439" t="s">
        <v>14093</v>
      </c>
    </row>
    <row r="43440" spans="1:2" x14ac:dyDescent="0.25">
      <c r="A43440">
        <v>87149990913</v>
      </c>
      <c r="B43440" t="s">
        <v>1432</v>
      </c>
    </row>
    <row r="43441" spans="1:2" x14ac:dyDescent="0.25">
      <c r="A43441">
        <v>87149990914</v>
      </c>
      <c r="B43441" t="s">
        <v>14094</v>
      </c>
    </row>
    <row r="43442" spans="1:2" x14ac:dyDescent="0.25">
      <c r="A43442">
        <v>87149990919</v>
      </c>
      <c r="B43442" t="s">
        <v>57</v>
      </c>
    </row>
    <row r="43443" spans="1:2" x14ac:dyDescent="0.25">
      <c r="A43443">
        <v>87149990920</v>
      </c>
      <c r="B43443" t="s">
        <v>14095</v>
      </c>
    </row>
    <row r="43444" spans="1:2" x14ac:dyDescent="0.25">
      <c r="A43444">
        <v>87149990930</v>
      </c>
      <c r="B43444" t="s">
        <v>14096</v>
      </c>
    </row>
    <row r="43445" spans="1:2" x14ac:dyDescent="0.25">
      <c r="A43445">
        <v>87149990940</v>
      </c>
      <c r="B43445" t="s">
        <v>14097</v>
      </c>
    </row>
    <row r="43446" spans="1:2" x14ac:dyDescent="0.25">
      <c r="A43446">
        <v>8714999095</v>
      </c>
      <c r="B43446" t="s">
        <v>14098</v>
      </c>
    </row>
    <row r="43447" spans="1:2" x14ac:dyDescent="0.25">
      <c r="A43447">
        <v>87149990951</v>
      </c>
      <c r="B43447" t="s">
        <v>14099</v>
      </c>
    </row>
    <row r="43448" spans="1:2" x14ac:dyDescent="0.25">
      <c r="A43448">
        <v>87149990959</v>
      </c>
      <c r="B43448" t="s">
        <v>10</v>
      </c>
    </row>
    <row r="43449" spans="1:2" x14ac:dyDescent="0.25">
      <c r="A43449">
        <v>87149990960</v>
      </c>
      <c r="B43449" t="s">
        <v>14100</v>
      </c>
    </row>
    <row r="43450" spans="1:2" x14ac:dyDescent="0.25">
      <c r="A43450">
        <v>8714999097</v>
      </c>
      <c r="B43450" t="s">
        <v>14101</v>
      </c>
    </row>
    <row r="43451" spans="1:2" x14ac:dyDescent="0.25">
      <c r="A43451">
        <v>87149990971</v>
      </c>
      <c r="B43451" t="s">
        <v>14102</v>
      </c>
    </row>
    <row r="43452" spans="1:2" x14ac:dyDescent="0.25">
      <c r="A43452">
        <v>87149990979</v>
      </c>
      <c r="B43452" t="s">
        <v>10</v>
      </c>
    </row>
    <row r="43453" spans="1:2" x14ac:dyDescent="0.25">
      <c r="A43453">
        <v>8714999099</v>
      </c>
      <c r="B43453" t="s">
        <v>57</v>
      </c>
    </row>
    <row r="43454" spans="1:2" x14ac:dyDescent="0.25">
      <c r="A43454">
        <v>87149990992</v>
      </c>
      <c r="B43454" t="s">
        <v>14103</v>
      </c>
    </row>
    <row r="43455" spans="1:2" x14ac:dyDescent="0.25">
      <c r="A43455">
        <v>87149990993</v>
      </c>
      <c r="B43455" t="s">
        <v>14104</v>
      </c>
    </row>
    <row r="43456" spans="1:2" x14ac:dyDescent="0.25">
      <c r="A43456">
        <v>87149990994</v>
      </c>
      <c r="B43456" t="s">
        <v>13869</v>
      </c>
    </row>
    <row r="43457" spans="1:2" x14ac:dyDescent="0.25">
      <c r="A43457">
        <v>87149990999</v>
      </c>
      <c r="B43457" t="s">
        <v>57</v>
      </c>
    </row>
    <row r="43458" spans="1:2" x14ac:dyDescent="0.25">
      <c r="A43458">
        <v>87150000</v>
      </c>
      <c r="B43458" t="s">
        <v>14105</v>
      </c>
    </row>
    <row r="43459" spans="1:2" x14ac:dyDescent="0.25">
      <c r="A43459">
        <v>87150000100</v>
      </c>
      <c r="B43459" t="s">
        <v>14106</v>
      </c>
    </row>
    <row r="43460" spans="1:2" x14ac:dyDescent="0.25">
      <c r="A43460">
        <v>87150000900</v>
      </c>
      <c r="B43460" t="s">
        <v>12037</v>
      </c>
    </row>
    <row r="43461" spans="1:2" x14ac:dyDescent="0.25">
      <c r="A43461">
        <v>8716</v>
      </c>
      <c r="B43461" t="s">
        <v>14107</v>
      </c>
    </row>
    <row r="43462" spans="1:2" x14ac:dyDescent="0.25">
      <c r="A43462">
        <v>87161000000</v>
      </c>
      <c r="B43462" t="e">
        <f>-Remolques y semirremolques para vivienda o acampar. del tipo caravana</f>
        <v>#NAME?</v>
      </c>
    </row>
    <row r="43463" spans="1:2" x14ac:dyDescent="0.25">
      <c r="A43463">
        <v>87162000</v>
      </c>
      <c r="B43463" t="e">
        <f>- Remolques y semirremolques. autocargadores o autodescargadores. para uso agricola</f>
        <v>#NAME?</v>
      </c>
    </row>
    <row r="43464" spans="1:2" x14ac:dyDescent="0.25">
      <c r="A43464">
        <v>87162000100</v>
      </c>
      <c r="B43464" t="s">
        <v>14108</v>
      </c>
    </row>
    <row r="43465" spans="1:2" x14ac:dyDescent="0.25">
      <c r="A43465">
        <v>87162000900</v>
      </c>
      <c r="B43465" t="s">
        <v>10</v>
      </c>
    </row>
    <row r="43466" spans="1:2" x14ac:dyDescent="0.25">
      <c r="A43466">
        <v>87163</v>
      </c>
      <c r="B43466" t="s">
        <v>14109</v>
      </c>
    </row>
    <row r="43467" spans="1:2" x14ac:dyDescent="0.25">
      <c r="A43467">
        <v>87163100</v>
      </c>
      <c r="B43467" t="e">
        <f>- - Cisternas</f>
        <v>#NAME?</v>
      </c>
    </row>
    <row r="43468" spans="1:2" x14ac:dyDescent="0.25">
      <c r="A43468">
        <v>87163100100</v>
      </c>
      <c r="B43468" t="s">
        <v>14110</v>
      </c>
    </row>
    <row r="43469" spans="1:2" x14ac:dyDescent="0.25">
      <c r="A43469">
        <v>87163100900</v>
      </c>
      <c r="B43469" t="s">
        <v>10</v>
      </c>
    </row>
    <row r="43470" spans="1:2" x14ac:dyDescent="0.25">
      <c r="A43470">
        <v>87163900</v>
      </c>
      <c r="B43470" t="e">
        <f>- - Los demas</f>
        <v>#NAME?</v>
      </c>
    </row>
    <row r="43471" spans="1:2" x14ac:dyDescent="0.25">
      <c r="A43471">
        <v>87163900100</v>
      </c>
      <c r="B43471" t="s">
        <v>14108</v>
      </c>
    </row>
    <row r="43472" spans="1:2" x14ac:dyDescent="0.25">
      <c r="A43472">
        <v>87163900900</v>
      </c>
      <c r="B43472" t="s">
        <v>10</v>
      </c>
    </row>
    <row r="43473" spans="1:2" x14ac:dyDescent="0.25">
      <c r="A43473">
        <v>87164000000</v>
      </c>
      <c r="B43473" t="e">
        <f>-Los demas Remolques y semirremolques</f>
        <v>#NAME?</v>
      </c>
    </row>
    <row r="43474" spans="1:2" x14ac:dyDescent="0.25">
      <c r="A43474">
        <v>87168000</v>
      </c>
      <c r="B43474" t="e">
        <f>- Los demas vehiculos</f>
        <v>#NAME?</v>
      </c>
    </row>
    <row r="43475" spans="1:2" x14ac:dyDescent="0.25">
      <c r="A43475">
        <v>87168000100</v>
      </c>
      <c r="B43475" t="s">
        <v>14111</v>
      </c>
    </row>
    <row r="43476" spans="1:2" x14ac:dyDescent="0.25">
      <c r="A43476">
        <v>87168000900</v>
      </c>
      <c r="B43476" t="s">
        <v>10</v>
      </c>
    </row>
    <row r="43477" spans="1:2" x14ac:dyDescent="0.25">
      <c r="A43477">
        <v>871690</v>
      </c>
      <c r="B43477" t="e">
        <f>- partes</f>
        <v>#NAME?</v>
      </c>
    </row>
    <row r="43478" spans="1:2" x14ac:dyDescent="0.25">
      <c r="A43478">
        <v>87169010</v>
      </c>
      <c r="B43478" t="s">
        <v>14112</v>
      </c>
    </row>
    <row r="43479" spans="1:2" x14ac:dyDescent="0.25">
      <c r="A43479">
        <v>87169010100</v>
      </c>
      <c r="B43479" t="s">
        <v>14113</v>
      </c>
    </row>
    <row r="43480" spans="1:2" x14ac:dyDescent="0.25">
      <c r="A43480">
        <v>87169010900</v>
      </c>
      <c r="B43480" t="s">
        <v>10</v>
      </c>
    </row>
    <row r="43481" spans="1:2" x14ac:dyDescent="0.25">
      <c r="A43481">
        <v>87169090</v>
      </c>
      <c r="B43481" t="s">
        <v>57</v>
      </c>
    </row>
    <row r="43482" spans="1:2" x14ac:dyDescent="0.25">
      <c r="A43482">
        <v>87169090100</v>
      </c>
      <c r="B43482" t="s">
        <v>13962</v>
      </c>
    </row>
    <row r="43483" spans="1:2" x14ac:dyDescent="0.25">
      <c r="A43483">
        <v>87169090200</v>
      </c>
      <c r="B43483" t="s">
        <v>14114</v>
      </c>
    </row>
    <row r="43484" spans="1:2" x14ac:dyDescent="0.25">
      <c r="A43484">
        <v>871690903</v>
      </c>
      <c r="B43484" t="s">
        <v>14115</v>
      </c>
    </row>
    <row r="43485" spans="1:2" x14ac:dyDescent="0.25">
      <c r="A43485">
        <v>87169090310</v>
      </c>
      <c r="B43485" t="s">
        <v>13918</v>
      </c>
    </row>
    <row r="43486" spans="1:2" x14ac:dyDescent="0.25">
      <c r="A43486">
        <v>8716909039</v>
      </c>
      <c r="B43486" t="s">
        <v>57</v>
      </c>
    </row>
    <row r="43487" spans="1:2" x14ac:dyDescent="0.25">
      <c r="A43487">
        <v>87169090391</v>
      </c>
      <c r="B43487" t="s">
        <v>14116</v>
      </c>
    </row>
    <row r="43488" spans="1:2" x14ac:dyDescent="0.25">
      <c r="A43488">
        <v>87169090399</v>
      </c>
      <c r="B43488" t="s">
        <v>57</v>
      </c>
    </row>
    <row r="43489" spans="1:2" x14ac:dyDescent="0.25">
      <c r="A43489">
        <v>87169090400</v>
      </c>
      <c r="B43489" t="s">
        <v>14117</v>
      </c>
    </row>
    <row r="43490" spans="1:2" x14ac:dyDescent="0.25">
      <c r="A43490">
        <v>871690905</v>
      </c>
      <c r="B43490" t="s">
        <v>13886</v>
      </c>
    </row>
    <row r="43491" spans="1:2" x14ac:dyDescent="0.25">
      <c r="A43491">
        <v>87169090510</v>
      </c>
      <c r="B43491" t="s">
        <v>13887</v>
      </c>
    </row>
    <row r="43492" spans="1:2" x14ac:dyDescent="0.25">
      <c r="A43492">
        <v>87169090590</v>
      </c>
      <c r="B43492" t="s">
        <v>57</v>
      </c>
    </row>
    <row r="43493" spans="1:2" x14ac:dyDescent="0.25">
      <c r="A43493">
        <v>87169090600</v>
      </c>
      <c r="B43493" t="s">
        <v>14118</v>
      </c>
    </row>
    <row r="43494" spans="1:2" x14ac:dyDescent="0.25">
      <c r="A43494">
        <v>87169090700</v>
      </c>
      <c r="B43494" t="s">
        <v>14119</v>
      </c>
    </row>
    <row r="43495" spans="1:2" x14ac:dyDescent="0.25">
      <c r="A43495">
        <v>87169090900</v>
      </c>
      <c r="B43495" t="s">
        <v>10</v>
      </c>
    </row>
    <row r="43496" spans="1:2" x14ac:dyDescent="0.25">
      <c r="A43496">
        <v>88010000</v>
      </c>
      <c r="B43496" t="s">
        <v>14120</v>
      </c>
    </row>
    <row r="43497" spans="1:2" x14ac:dyDescent="0.25">
      <c r="A43497">
        <v>88010000100</v>
      </c>
      <c r="B43497" t="s">
        <v>14121</v>
      </c>
    </row>
    <row r="43498" spans="1:2" x14ac:dyDescent="0.25">
      <c r="A43498">
        <v>88010000200</v>
      </c>
      <c r="B43498" t="s">
        <v>14122</v>
      </c>
    </row>
    <row r="43499" spans="1:2" x14ac:dyDescent="0.25">
      <c r="A43499">
        <v>88010000900</v>
      </c>
      <c r="B43499" t="s">
        <v>10</v>
      </c>
    </row>
    <row r="43500" spans="1:2" x14ac:dyDescent="0.25">
      <c r="A43500">
        <v>8802</v>
      </c>
      <c r="B43500" t="s">
        <v>14123</v>
      </c>
    </row>
    <row r="43501" spans="1:2" x14ac:dyDescent="0.25">
      <c r="A43501">
        <v>88021</v>
      </c>
      <c r="B43501" t="s">
        <v>14124</v>
      </c>
    </row>
    <row r="43502" spans="1:2" x14ac:dyDescent="0.25">
      <c r="A43502">
        <v>88021100000</v>
      </c>
      <c r="B43502" t="s">
        <v>14125</v>
      </c>
    </row>
    <row r="43503" spans="1:2" x14ac:dyDescent="0.25">
      <c r="A43503">
        <v>880212</v>
      </c>
      <c r="B43503" t="s">
        <v>14126</v>
      </c>
    </row>
    <row r="43504" spans="1:2" x14ac:dyDescent="0.25">
      <c r="A43504">
        <v>88021210000</v>
      </c>
      <c r="B43504" t="s">
        <v>14127</v>
      </c>
    </row>
    <row r="43505" spans="1:2" x14ac:dyDescent="0.25">
      <c r="A43505">
        <v>88021290000</v>
      </c>
      <c r="B43505" t="s">
        <v>10</v>
      </c>
    </row>
    <row r="43506" spans="1:2" x14ac:dyDescent="0.25">
      <c r="A43506">
        <v>880220</v>
      </c>
      <c r="B43506" t="s">
        <v>14128</v>
      </c>
    </row>
    <row r="43507" spans="1:2" x14ac:dyDescent="0.25">
      <c r="A43507">
        <v>88022010</v>
      </c>
      <c r="B43507" t="s">
        <v>14129</v>
      </c>
    </row>
    <row r="43508" spans="1:2" x14ac:dyDescent="0.25">
      <c r="A43508">
        <v>88022010100</v>
      </c>
      <c r="B43508" t="s">
        <v>14130</v>
      </c>
    </row>
    <row r="43509" spans="1:2" x14ac:dyDescent="0.25">
      <c r="A43509">
        <v>88022010800</v>
      </c>
      <c r="B43509" t="s">
        <v>14131</v>
      </c>
    </row>
    <row r="43510" spans="1:2" x14ac:dyDescent="0.25">
      <c r="A43510">
        <v>8802202</v>
      </c>
      <c r="B43510" t="s">
        <v>14132</v>
      </c>
    </row>
    <row r="43511" spans="1:2" x14ac:dyDescent="0.25">
      <c r="A43511">
        <v>88022021</v>
      </c>
      <c r="B43511" t="s">
        <v>14133</v>
      </c>
    </row>
    <row r="43512" spans="1:2" x14ac:dyDescent="0.25">
      <c r="A43512">
        <v>88022021100</v>
      </c>
      <c r="B43512" t="s">
        <v>14130</v>
      </c>
    </row>
    <row r="43513" spans="1:2" x14ac:dyDescent="0.25">
      <c r="A43513">
        <v>88022021800</v>
      </c>
      <c r="B43513" t="s">
        <v>14131</v>
      </c>
    </row>
    <row r="43514" spans="1:2" x14ac:dyDescent="0.25">
      <c r="A43514">
        <v>88022022</v>
      </c>
      <c r="B43514" t="s">
        <v>14134</v>
      </c>
    </row>
    <row r="43515" spans="1:2" x14ac:dyDescent="0.25">
      <c r="A43515">
        <v>88022022100</v>
      </c>
      <c r="B43515" t="s">
        <v>14130</v>
      </c>
    </row>
    <row r="43516" spans="1:2" x14ac:dyDescent="0.25">
      <c r="A43516">
        <v>88022022800</v>
      </c>
      <c r="B43516" t="s">
        <v>14131</v>
      </c>
    </row>
    <row r="43517" spans="1:2" x14ac:dyDescent="0.25">
      <c r="A43517">
        <v>88022090</v>
      </c>
      <c r="B43517" t="s">
        <v>10</v>
      </c>
    </row>
    <row r="43518" spans="1:2" x14ac:dyDescent="0.25">
      <c r="A43518">
        <v>88022090100</v>
      </c>
      <c r="B43518" t="s">
        <v>14130</v>
      </c>
    </row>
    <row r="43519" spans="1:2" x14ac:dyDescent="0.25">
      <c r="A43519">
        <v>88022090800</v>
      </c>
      <c r="B43519" t="s">
        <v>14131</v>
      </c>
    </row>
    <row r="43520" spans="1:2" x14ac:dyDescent="0.25">
      <c r="A43520">
        <v>880230</v>
      </c>
      <c r="B43520" t="s">
        <v>14135</v>
      </c>
    </row>
    <row r="43521" spans="1:2" x14ac:dyDescent="0.25">
      <c r="A43521">
        <v>88023010000</v>
      </c>
      <c r="B43521" t="s">
        <v>14129</v>
      </c>
    </row>
    <row r="43522" spans="1:2" x14ac:dyDescent="0.25">
      <c r="A43522">
        <v>8802302</v>
      </c>
      <c r="B43522" t="s">
        <v>14132</v>
      </c>
    </row>
    <row r="43523" spans="1:2" x14ac:dyDescent="0.25">
      <c r="A43523">
        <v>88023021000</v>
      </c>
      <c r="B43523" t="s">
        <v>14136</v>
      </c>
    </row>
    <row r="43524" spans="1:2" x14ac:dyDescent="0.25">
      <c r="A43524">
        <v>88023029000</v>
      </c>
      <c r="B43524" t="s">
        <v>10</v>
      </c>
    </row>
    <row r="43525" spans="1:2" x14ac:dyDescent="0.25">
      <c r="A43525">
        <v>8802303</v>
      </c>
      <c r="B43525" t="s">
        <v>14137</v>
      </c>
    </row>
    <row r="43526" spans="1:2" x14ac:dyDescent="0.25">
      <c r="A43526">
        <v>88023031000</v>
      </c>
      <c r="B43526" t="s">
        <v>14138</v>
      </c>
    </row>
    <row r="43527" spans="1:2" x14ac:dyDescent="0.25">
      <c r="A43527">
        <v>88023039000</v>
      </c>
      <c r="B43527" t="s">
        <v>10</v>
      </c>
    </row>
    <row r="43528" spans="1:2" x14ac:dyDescent="0.25">
      <c r="A43528">
        <v>88023090000</v>
      </c>
      <c r="B43528" t="s">
        <v>10</v>
      </c>
    </row>
    <row r="43529" spans="1:2" x14ac:dyDescent="0.25">
      <c r="A43529">
        <v>880240</v>
      </c>
      <c r="B43529" t="s">
        <v>14139</v>
      </c>
    </row>
    <row r="43530" spans="1:2" x14ac:dyDescent="0.25">
      <c r="A43530">
        <v>88024010000</v>
      </c>
      <c r="B43530" t="s">
        <v>14132</v>
      </c>
    </row>
    <row r="43531" spans="1:2" x14ac:dyDescent="0.25">
      <c r="A43531">
        <v>88024090000</v>
      </c>
      <c r="B43531" t="s">
        <v>10</v>
      </c>
    </row>
    <row r="43532" spans="1:2" x14ac:dyDescent="0.25">
      <c r="A43532">
        <v>88026000000</v>
      </c>
      <c r="B43532" t="e">
        <f>-vehiculos espaciales (incluidos Los satelites) y sus vehiculos de lanzamiento y vehiculos suborbitales</f>
        <v>#NAME?</v>
      </c>
    </row>
    <row r="43533" spans="1:2" x14ac:dyDescent="0.25">
      <c r="A43533">
        <v>8803</v>
      </c>
      <c r="B43533" t="s">
        <v>14140</v>
      </c>
    </row>
    <row r="43534" spans="1:2" x14ac:dyDescent="0.25">
      <c r="A43534">
        <v>88031000000</v>
      </c>
      <c r="B43534" t="e">
        <f>-Helices y rotores. y sus partes</f>
        <v>#NAME?</v>
      </c>
    </row>
    <row r="43535" spans="1:2" x14ac:dyDescent="0.25">
      <c r="A43535">
        <v>88032000000</v>
      </c>
      <c r="B43535" t="e">
        <f>-Trenes de aterrizaje y sus partes</f>
        <v>#NAME?</v>
      </c>
    </row>
    <row r="43536" spans="1:2" x14ac:dyDescent="0.25">
      <c r="A43536">
        <v>88033000000</v>
      </c>
      <c r="B43536" t="e">
        <f>-las demas partes para Aviones o Helicopteros</f>
        <v>#NAME?</v>
      </c>
    </row>
    <row r="43537" spans="1:2" x14ac:dyDescent="0.25">
      <c r="A43537">
        <v>88039000000</v>
      </c>
      <c r="B43537" t="e">
        <f>-las demas</f>
        <v>#NAME?</v>
      </c>
    </row>
    <row r="43538" spans="1:2" x14ac:dyDescent="0.25">
      <c r="A43538">
        <v>88040000</v>
      </c>
      <c r="B43538" t="s">
        <v>14141</v>
      </c>
    </row>
    <row r="43539" spans="1:2" x14ac:dyDescent="0.25">
      <c r="A43539">
        <v>880400001</v>
      </c>
      <c r="B43539" t="s">
        <v>11787</v>
      </c>
    </row>
    <row r="43540" spans="1:2" x14ac:dyDescent="0.25">
      <c r="A43540">
        <v>88040000110</v>
      </c>
      <c r="B43540" t="s">
        <v>14142</v>
      </c>
    </row>
    <row r="43541" spans="1:2" x14ac:dyDescent="0.25">
      <c r="A43541">
        <v>88040000120</v>
      </c>
      <c r="B43541" t="s">
        <v>14121</v>
      </c>
    </row>
    <row r="43542" spans="1:2" x14ac:dyDescent="0.25">
      <c r="A43542">
        <v>88040000130</v>
      </c>
      <c r="B43542" t="s">
        <v>14143</v>
      </c>
    </row>
    <row r="43543" spans="1:2" x14ac:dyDescent="0.25">
      <c r="A43543">
        <v>88040000190</v>
      </c>
      <c r="B43543" t="s">
        <v>10</v>
      </c>
    </row>
    <row r="43544" spans="1:2" x14ac:dyDescent="0.25">
      <c r="A43544">
        <v>88040000200</v>
      </c>
      <c r="B43544" t="s">
        <v>12036</v>
      </c>
    </row>
    <row r="43545" spans="1:2" x14ac:dyDescent="0.25">
      <c r="A43545">
        <v>88040000900</v>
      </c>
      <c r="B43545" t="s">
        <v>12037</v>
      </c>
    </row>
    <row r="43546" spans="1:2" x14ac:dyDescent="0.25">
      <c r="A43546">
        <v>8805</v>
      </c>
      <c r="B43546" t="s">
        <v>14144</v>
      </c>
    </row>
    <row r="43547" spans="1:2" x14ac:dyDescent="0.25">
      <c r="A43547">
        <v>88051000</v>
      </c>
      <c r="B43547" t="e">
        <f>- aparatos y Dispositivos para lanzamiento de aeronaves. y sus partes, aparatos y Dispositivos para aterrizaje En portaaviones y aparatos y Dispositivos similares. y sus partes</f>
        <v>#NAME?</v>
      </c>
    </row>
    <row r="43548" spans="1:2" x14ac:dyDescent="0.25">
      <c r="A43548">
        <v>88051000100</v>
      </c>
      <c r="B43548" t="s">
        <v>14145</v>
      </c>
    </row>
    <row r="43549" spans="1:2" x14ac:dyDescent="0.25">
      <c r="A43549">
        <v>88051000900</v>
      </c>
      <c r="B43549" t="s">
        <v>10194</v>
      </c>
    </row>
    <row r="43550" spans="1:2" x14ac:dyDescent="0.25">
      <c r="A43550">
        <v>88052</v>
      </c>
      <c r="B43550" t="s">
        <v>14146</v>
      </c>
    </row>
    <row r="43551" spans="1:2" x14ac:dyDescent="0.25">
      <c r="A43551">
        <v>88052100</v>
      </c>
      <c r="B43551" t="e">
        <f>- - Simuladores de combate aereo y sus partes</f>
        <v>#NAME?</v>
      </c>
    </row>
    <row r="43552" spans="1:2" x14ac:dyDescent="0.25">
      <c r="A43552">
        <v>88052100100</v>
      </c>
      <c r="B43552" t="s">
        <v>14147</v>
      </c>
    </row>
    <row r="43553" spans="1:2" x14ac:dyDescent="0.25">
      <c r="A43553">
        <v>88052100900</v>
      </c>
      <c r="B43553" t="s">
        <v>10194</v>
      </c>
    </row>
    <row r="43554" spans="1:2" x14ac:dyDescent="0.25">
      <c r="A43554">
        <v>88052900</v>
      </c>
      <c r="B43554" t="e">
        <f>- - Los demas</f>
        <v>#NAME?</v>
      </c>
    </row>
    <row r="43555" spans="1:2" x14ac:dyDescent="0.25">
      <c r="A43555">
        <v>88052900100</v>
      </c>
      <c r="B43555" t="s">
        <v>14148</v>
      </c>
    </row>
    <row r="43556" spans="1:2" x14ac:dyDescent="0.25">
      <c r="A43556">
        <v>88052900900</v>
      </c>
      <c r="B43556" t="s">
        <v>10194</v>
      </c>
    </row>
    <row r="43557" spans="1:2" x14ac:dyDescent="0.25">
      <c r="A43557">
        <v>8901</v>
      </c>
      <c r="B43557" t="s">
        <v>14149</v>
      </c>
    </row>
    <row r="43558" spans="1:2" x14ac:dyDescent="0.25">
      <c r="A43558">
        <v>89011000000</v>
      </c>
      <c r="B43558" t="e">
        <f>-Transatlanticos. barcos para excursiones (de cruceros) y barcos similares concebidos principalmente para el transporte de personas, transbordadores</f>
        <v>#NAME?</v>
      </c>
    </row>
    <row r="43559" spans="1:2" x14ac:dyDescent="0.25">
      <c r="A43559">
        <v>89012000000</v>
      </c>
      <c r="B43559" t="e">
        <f>-barcos cisterna</f>
        <v>#NAME?</v>
      </c>
    </row>
    <row r="43560" spans="1:2" x14ac:dyDescent="0.25">
      <c r="A43560">
        <v>89013000000</v>
      </c>
      <c r="B43560" t="s">
        <v>14150</v>
      </c>
    </row>
    <row r="43561" spans="1:2" x14ac:dyDescent="0.25">
      <c r="A43561">
        <v>89019000000</v>
      </c>
      <c r="B43561" t="e">
        <f>-Los demas barcos para el transporte de mercancias y demas barcos concebidos para el transporte mixto de personas y mercancias</f>
        <v>#NAME?</v>
      </c>
    </row>
    <row r="43562" spans="1:2" x14ac:dyDescent="0.25">
      <c r="A43562">
        <v>890200</v>
      </c>
      <c r="B43562" t="s">
        <v>14151</v>
      </c>
    </row>
    <row r="43563" spans="1:2" x14ac:dyDescent="0.25">
      <c r="A43563">
        <v>89020010</v>
      </c>
      <c r="B43563" t="s">
        <v>14152</v>
      </c>
    </row>
    <row r="43564" spans="1:2" x14ac:dyDescent="0.25">
      <c r="A43564">
        <v>89020010100</v>
      </c>
      <c r="B43564" t="s">
        <v>14153</v>
      </c>
    </row>
    <row r="43565" spans="1:2" x14ac:dyDescent="0.25">
      <c r="A43565">
        <v>89020010900</v>
      </c>
      <c r="B43565" t="s">
        <v>10</v>
      </c>
    </row>
    <row r="43566" spans="1:2" x14ac:dyDescent="0.25">
      <c r="A43566">
        <v>89020090000</v>
      </c>
      <c r="B43566" t="s">
        <v>10</v>
      </c>
    </row>
    <row r="43567" spans="1:2" x14ac:dyDescent="0.25">
      <c r="A43567">
        <v>8903</v>
      </c>
      <c r="B43567" t="s">
        <v>14154</v>
      </c>
    </row>
    <row r="43568" spans="1:2" x14ac:dyDescent="0.25">
      <c r="A43568">
        <v>89031000</v>
      </c>
      <c r="B43568" t="e">
        <f>- Embarcaciones inflables</f>
        <v>#NAME?</v>
      </c>
    </row>
    <row r="43569" spans="1:2" x14ac:dyDescent="0.25">
      <c r="A43569">
        <v>890310001</v>
      </c>
      <c r="B43569" t="s">
        <v>14155</v>
      </c>
    </row>
    <row r="43570" spans="1:2" x14ac:dyDescent="0.25">
      <c r="A43570">
        <v>89031000110</v>
      </c>
      <c r="B43570" t="s">
        <v>14156</v>
      </c>
    </row>
    <row r="43571" spans="1:2" x14ac:dyDescent="0.25">
      <c r="A43571">
        <v>89031000120</v>
      </c>
      <c r="B43571" t="s">
        <v>14157</v>
      </c>
    </row>
    <row r="43572" spans="1:2" x14ac:dyDescent="0.25">
      <c r="A43572">
        <v>89031000190</v>
      </c>
      <c r="B43572" t="s">
        <v>10</v>
      </c>
    </row>
    <row r="43573" spans="1:2" x14ac:dyDescent="0.25">
      <c r="A43573">
        <v>890310009</v>
      </c>
      <c r="B43573" t="s">
        <v>10</v>
      </c>
    </row>
    <row r="43574" spans="1:2" x14ac:dyDescent="0.25">
      <c r="A43574">
        <v>89031000910</v>
      </c>
      <c r="B43574" t="s">
        <v>14158</v>
      </c>
    </row>
    <row r="43575" spans="1:2" x14ac:dyDescent="0.25">
      <c r="A43575">
        <v>89031000920</v>
      </c>
      <c r="B43575" t="s">
        <v>14159</v>
      </c>
    </row>
    <row r="43576" spans="1:2" x14ac:dyDescent="0.25">
      <c r="A43576">
        <v>89031000990</v>
      </c>
      <c r="B43576" t="s">
        <v>10</v>
      </c>
    </row>
    <row r="43577" spans="1:2" x14ac:dyDescent="0.25">
      <c r="A43577">
        <v>89039</v>
      </c>
      <c r="B43577" t="s">
        <v>28</v>
      </c>
    </row>
    <row r="43578" spans="1:2" x14ac:dyDescent="0.25">
      <c r="A43578">
        <v>89039100</v>
      </c>
      <c r="B43578" t="e">
        <f>- - barcos de vela. incluso Con motor auxiliar</f>
        <v>#NAME?</v>
      </c>
    </row>
    <row r="43579" spans="1:2" x14ac:dyDescent="0.25">
      <c r="A43579">
        <v>89039100100</v>
      </c>
      <c r="B43579" t="s">
        <v>14160</v>
      </c>
    </row>
    <row r="43580" spans="1:2" x14ac:dyDescent="0.25">
      <c r="A43580">
        <v>89039100300</v>
      </c>
      <c r="B43580" t="s">
        <v>14161</v>
      </c>
    </row>
    <row r="43581" spans="1:2" x14ac:dyDescent="0.25">
      <c r="A43581">
        <v>89039100900</v>
      </c>
      <c r="B43581" t="s">
        <v>10</v>
      </c>
    </row>
    <row r="43582" spans="1:2" x14ac:dyDescent="0.25">
      <c r="A43582">
        <v>89039200</v>
      </c>
      <c r="B43582" t="e">
        <f>- - barcos de motor. excepto Los de motor fueraborda</f>
        <v>#NAME?</v>
      </c>
    </row>
    <row r="43583" spans="1:2" x14ac:dyDescent="0.25">
      <c r="A43583">
        <v>890392001</v>
      </c>
      <c r="B43583" t="s">
        <v>14162</v>
      </c>
    </row>
    <row r="43584" spans="1:2" x14ac:dyDescent="0.25">
      <c r="A43584">
        <v>89039200110</v>
      </c>
      <c r="B43584" t="s">
        <v>14163</v>
      </c>
    </row>
    <row r="43585" spans="1:2" x14ac:dyDescent="0.25">
      <c r="A43585">
        <v>89039200120</v>
      </c>
      <c r="B43585" t="s">
        <v>14164</v>
      </c>
    </row>
    <row r="43586" spans="1:2" x14ac:dyDescent="0.25">
      <c r="A43586">
        <v>89039200130</v>
      </c>
      <c r="B43586" t="s">
        <v>14165</v>
      </c>
    </row>
    <row r="43587" spans="1:2" x14ac:dyDescent="0.25">
      <c r="A43587">
        <v>89039200190</v>
      </c>
      <c r="B43587" t="s">
        <v>10</v>
      </c>
    </row>
    <row r="43588" spans="1:2" x14ac:dyDescent="0.25">
      <c r="A43588">
        <v>890392002</v>
      </c>
      <c r="B43588" t="s">
        <v>14166</v>
      </c>
    </row>
    <row r="43589" spans="1:2" x14ac:dyDescent="0.25">
      <c r="A43589">
        <v>89039200210</v>
      </c>
      <c r="B43589" t="s">
        <v>14163</v>
      </c>
    </row>
    <row r="43590" spans="1:2" x14ac:dyDescent="0.25">
      <c r="A43590">
        <v>89039200220</v>
      </c>
      <c r="B43590" t="s">
        <v>14164</v>
      </c>
    </row>
    <row r="43591" spans="1:2" x14ac:dyDescent="0.25">
      <c r="A43591">
        <v>89039200230</v>
      </c>
      <c r="B43591" t="s">
        <v>14165</v>
      </c>
    </row>
    <row r="43592" spans="1:2" x14ac:dyDescent="0.25">
      <c r="A43592">
        <v>89039200290</v>
      </c>
      <c r="B43592" t="s">
        <v>10</v>
      </c>
    </row>
    <row r="43593" spans="1:2" x14ac:dyDescent="0.25">
      <c r="A43593">
        <v>89039200900</v>
      </c>
      <c r="B43593" t="s">
        <v>10</v>
      </c>
    </row>
    <row r="43594" spans="1:2" x14ac:dyDescent="0.25">
      <c r="A43594">
        <v>89039900</v>
      </c>
      <c r="B43594" t="e">
        <f>- - Los demas</f>
        <v>#NAME?</v>
      </c>
    </row>
    <row r="43595" spans="1:2" x14ac:dyDescent="0.25">
      <c r="A43595">
        <v>89039900100</v>
      </c>
      <c r="B43595" t="s">
        <v>14167</v>
      </c>
    </row>
    <row r="43596" spans="1:2" x14ac:dyDescent="0.25">
      <c r="A43596">
        <v>89039900200</v>
      </c>
      <c r="B43596" t="s">
        <v>14168</v>
      </c>
    </row>
    <row r="43597" spans="1:2" x14ac:dyDescent="0.25">
      <c r="A43597">
        <v>890399009</v>
      </c>
      <c r="B43597" t="s">
        <v>10</v>
      </c>
    </row>
    <row r="43598" spans="1:2" x14ac:dyDescent="0.25">
      <c r="A43598">
        <v>89039900910</v>
      </c>
      <c r="B43598" t="s">
        <v>14169</v>
      </c>
    </row>
    <row r="43599" spans="1:2" x14ac:dyDescent="0.25">
      <c r="A43599">
        <v>89039900920</v>
      </c>
      <c r="B43599" t="s">
        <v>14170</v>
      </c>
    </row>
    <row r="43600" spans="1:2" x14ac:dyDescent="0.25">
      <c r="A43600">
        <v>89039900930</v>
      </c>
      <c r="B43600" t="s">
        <v>14171</v>
      </c>
    </row>
    <row r="43601" spans="1:2" x14ac:dyDescent="0.25">
      <c r="A43601">
        <v>89039900990</v>
      </c>
      <c r="B43601" t="s">
        <v>10</v>
      </c>
    </row>
    <row r="43602" spans="1:2" x14ac:dyDescent="0.25">
      <c r="A43602">
        <v>89040000000</v>
      </c>
      <c r="B43602" t="s">
        <v>14172</v>
      </c>
    </row>
    <row r="43603" spans="1:2" x14ac:dyDescent="0.25">
      <c r="A43603">
        <v>8905</v>
      </c>
      <c r="B43603" t="s">
        <v>14173</v>
      </c>
    </row>
    <row r="43604" spans="1:2" x14ac:dyDescent="0.25">
      <c r="A43604">
        <v>89051000000</v>
      </c>
      <c r="B43604" t="e">
        <f>-Dragas</f>
        <v>#NAME?</v>
      </c>
    </row>
    <row r="43605" spans="1:2" x14ac:dyDescent="0.25">
      <c r="A43605">
        <v>89052000000</v>
      </c>
      <c r="B43605" t="e">
        <f>-plataformas para perforacion o explotacion. flotantes o sumergibles</f>
        <v>#NAME?</v>
      </c>
    </row>
    <row r="43606" spans="1:2" x14ac:dyDescent="0.25">
      <c r="A43606">
        <v>89059000000</v>
      </c>
      <c r="B43606" t="e">
        <f>-Los demas</f>
        <v>#NAME?</v>
      </c>
    </row>
    <row r="43607" spans="1:2" x14ac:dyDescent="0.25">
      <c r="A43607">
        <v>8906</v>
      </c>
      <c r="B43607" t="s">
        <v>14174</v>
      </c>
    </row>
    <row r="43608" spans="1:2" x14ac:dyDescent="0.25">
      <c r="A43608">
        <v>89061000000</v>
      </c>
      <c r="B43608" t="e">
        <f>-Navios de guerra</f>
        <v>#NAME?</v>
      </c>
    </row>
    <row r="43609" spans="1:2" x14ac:dyDescent="0.25">
      <c r="A43609">
        <v>89069000</v>
      </c>
      <c r="B43609" t="e">
        <f>- Los demas</f>
        <v>#NAME?</v>
      </c>
    </row>
    <row r="43610" spans="1:2" x14ac:dyDescent="0.25">
      <c r="A43610">
        <v>89069000100</v>
      </c>
      <c r="B43610" t="s">
        <v>14175</v>
      </c>
    </row>
    <row r="43611" spans="1:2" x14ac:dyDescent="0.25">
      <c r="A43611">
        <v>89069000900</v>
      </c>
      <c r="B43611" t="s">
        <v>10</v>
      </c>
    </row>
    <row r="43612" spans="1:2" x14ac:dyDescent="0.25">
      <c r="A43612">
        <v>8907</v>
      </c>
      <c r="B43612" t="s">
        <v>14176</v>
      </c>
    </row>
    <row r="43613" spans="1:2" x14ac:dyDescent="0.25">
      <c r="A43613">
        <v>89071000</v>
      </c>
      <c r="B43613" t="e">
        <f>- Balsas inflables</f>
        <v>#NAME?</v>
      </c>
    </row>
    <row r="43614" spans="1:2" x14ac:dyDescent="0.25">
      <c r="A43614">
        <v>89071000100</v>
      </c>
      <c r="B43614" t="s">
        <v>14177</v>
      </c>
    </row>
    <row r="43615" spans="1:2" x14ac:dyDescent="0.25">
      <c r="A43615">
        <v>89071000900</v>
      </c>
      <c r="B43615" t="s">
        <v>57</v>
      </c>
    </row>
    <row r="43616" spans="1:2" x14ac:dyDescent="0.25">
      <c r="A43616">
        <v>89079000000</v>
      </c>
      <c r="B43616" t="e">
        <f>-Los demas</f>
        <v>#NAME?</v>
      </c>
    </row>
    <row r="43617" spans="1:2" x14ac:dyDescent="0.25">
      <c r="A43617">
        <v>89080000</v>
      </c>
      <c r="B43617" t="s">
        <v>14178</v>
      </c>
    </row>
    <row r="43618" spans="1:2" x14ac:dyDescent="0.25">
      <c r="A43618">
        <v>89080000100</v>
      </c>
      <c r="B43618" t="s">
        <v>14179</v>
      </c>
    </row>
    <row r="43619" spans="1:2" x14ac:dyDescent="0.25">
      <c r="A43619">
        <v>89080000900</v>
      </c>
      <c r="B43619" t="s">
        <v>57</v>
      </c>
    </row>
    <row r="43620" spans="1:2" x14ac:dyDescent="0.25">
      <c r="A43620">
        <v>9001</v>
      </c>
      <c r="B43620" t="s">
        <v>14180</v>
      </c>
    </row>
    <row r="43621" spans="1:2" x14ac:dyDescent="0.25">
      <c r="A43621">
        <v>900110</v>
      </c>
      <c r="B43621" t="e">
        <f>- fibras opticas. haces y cables de fibras opticas</f>
        <v>#NAME?</v>
      </c>
    </row>
    <row r="43622" spans="1:2" x14ac:dyDescent="0.25">
      <c r="A43622">
        <v>9001101</v>
      </c>
      <c r="B43622" t="s">
        <v>14181</v>
      </c>
    </row>
    <row r="43623" spans="1:2" x14ac:dyDescent="0.25">
      <c r="A43623">
        <v>90011011000</v>
      </c>
      <c r="B43623" t="s">
        <v>14182</v>
      </c>
    </row>
    <row r="43624" spans="1:2" x14ac:dyDescent="0.25">
      <c r="A43624">
        <v>90011019000</v>
      </c>
      <c r="B43624" t="s">
        <v>57</v>
      </c>
    </row>
    <row r="43625" spans="1:2" x14ac:dyDescent="0.25">
      <c r="A43625">
        <v>90011020</v>
      </c>
      <c r="B43625" t="s">
        <v>14183</v>
      </c>
    </row>
    <row r="43626" spans="1:2" x14ac:dyDescent="0.25">
      <c r="A43626">
        <v>900110201</v>
      </c>
      <c r="B43626" t="s">
        <v>14184</v>
      </c>
    </row>
    <row r="43627" spans="1:2" x14ac:dyDescent="0.25">
      <c r="A43627">
        <v>9001102011</v>
      </c>
      <c r="B43627" t="s">
        <v>14185</v>
      </c>
    </row>
    <row r="43628" spans="1:2" x14ac:dyDescent="0.25">
      <c r="A43628">
        <v>90011020111</v>
      </c>
      <c r="B43628" t="s">
        <v>13702</v>
      </c>
    </row>
    <row r="43629" spans="1:2" x14ac:dyDescent="0.25">
      <c r="A43629">
        <v>90011020112</v>
      </c>
      <c r="B43629" t="s">
        <v>13703</v>
      </c>
    </row>
    <row r="43630" spans="1:2" x14ac:dyDescent="0.25">
      <c r="A43630">
        <v>90011020113</v>
      </c>
      <c r="B43630" t="s">
        <v>13704</v>
      </c>
    </row>
    <row r="43631" spans="1:2" x14ac:dyDescent="0.25">
      <c r="A43631">
        <v>90011020114</v>
      </c>
      <c r="B43631" t="s">
        <v>13705</v>
      </c>
    </row>
    <row r="43632" spans="1:2" x14ac:dyDescent="0.25">
      <c r="A43632">
        <v>90011020115</v>
      </c>
      <c r="B43632" t="s">
        <v>13706</v>
      </c>
    </row>
    <row r="43633" spans="1:2" x14ac:dyDescent="0.25">
      <c r="A43633">
        <v>90011020119</v>
      </c>
      <c r="B43633" t="s">
        <v>57</v>
      </c>
    </row>
    <row r="43634" spans="1:2" x14ac:dyDescent="0.25">
      <c r="A43634">
        <v>9001102019</v>
      </c>
      <c r="B43634" t="s">
        <v>57</v>
      </c>
    </row>
    <row r="43635" spans="1:2" x14ac:dyDescent="0.25">
      <c r="A43635">
        <v>90011020191</v>
      </c>
      <c r="B43635" t="s">
        <v>13702</v>
      </c>
    </row>
    <row r="43636" spans="1:2" x14ac:dyDescent="0.25">
      <c r="A43636">
        <v>90011020192</v>
      </c>
      <c r="B43636" t="s">
        <v>13703</v>
      </c>
    </row>
    <row r="43637" spans="1:2" x14ac:dyDescent="0.25">
      <c r="A43637">
        <v>90011020193</v>
      </c>
      <c r="B43637" t="s">
        <v>13704</v>
      </c>
    </row>
    <row r="43638" spans="1:2" x14ac:dyDescent="0.25">
      <c r="A43638">
        <v>90011020194</v>
      </c>
      <c r="B43638" t="s">
        <v>13705</v>
      </c>
    </row>
    <row r="43639" spans="1:2" x14ac:dyDescent="0.25">
      <c r="A43639">
        <v>90011020195</v>
      </c>
      <c r="B43639" t="s">
        <v>13706</v>
      </c>
    </row>
    <row r="43640" spans="1:2" x14ac:dyDescent="0.25">
      <c r="A43640">
        <v>90011020199</v>
      </c>
      <c r="B43640" t="s">
        <v>57</v>
      </c>
    </row>
    <row r="43641" spans="1:2" x14ac:dyDescent="0.25">
      <c r="A43641">
        <v>900110209</v>
      </c>
      <c r="B43641" t="s">
        <v>10</v>
      </c>
    </row>
    <row r="43642" spans="1:2" x14ac:dyDescent="0.25">
      <c r="A43642">
        <v>9001102091</v>
      </c>
      <c r="B43642" t="s">
        <v>14186</v>
      </c>
    </row>
    <row r="43643" spans="1:2" x14ac:dyDescent="0.25">
      <c r="A43643">
        <v>90011020911</v>
      </c>
      <c r="B43643" t="s">
        <v>13702</v>
      </c>
    </row>
    <row r="43644" spans="1:2" x14ac:dyDescent="0.25">
      <c r="A43644">
        <v>90011020912</v>
      </c>
      <c r="B43644" t="s">
        <v>13703</v>
      </c>
    </row>
    <row r="43645" spans="1:2" x14ac:dyDescent="0.25">
      <c r="A43645">
        <v>90011020913</v>
      </c>
      <c r="B43645" t="s">
        <v>13704</v>
      </c>
    </row>
    <row r="43646" spans="1:2" x14ac:dyDescent="0.25">
      <c r="A43646">
        <v>90011020914</v>
      </c>
      <c r="B43646" t="s">
        <v>13705</v>
      </c>
    </row>
    <row r="43647" spans="1:2" x14ac:dyDescent="0.25">
      <c r="A43647">
        <v>90011020915</v>
      </c>
      <c r="B43647" t="s">
        <v>13706</v>
      </c>
    </row>
    <row r="43648" spans="1:2" x14ac:dyDescent="0.25">
      <c r="A43648">
        <v>90011020919</v>
      </c>
      <c r="B43648" t="s">
        <v>57</v>
      </c>
    </row>
    <row r="43649" spans="1:2" x14ac:dyDescent="0.25">
      <c r="A43649">
        <v>9001102099</v>
      </c>
      <c r="B43649" t="s">
        <v>57</v>
      </c>
    </row>
    <row r="43650" spans="1:2" x14ac:dyDescent="0.25">
      <c r="A43650">
        <v>90011020991</v>
      </c>
      <c r="B43650" t="s">
        <v>13702</v>
      </c>
    </row>
    <row r="43651" spans="1:2" x14ac:dyDescent="0.25">
      <c r="A43651">
        <v>90011020992</v>
      </c>
      <c r="B43651" t="s">
        <v>13703</v>
      </c>
    </row>
    <row r="43652" spans="1:2" x14ac:dyDescent="0.25">
      <c r="A43652">
        <v>90011020993</v>
      </c>
      <c r="B43652" t="s">
        <v>13704</v>
      </c>
    </row>
    <row r="43653" spans="1:2" x14ac:dyDescent="0.25">
      <c r="A43653">
        <v>90011020994</v>
      </c>
      <c r="B43653" t="s">
        <v>13705</v>
      </c>
    </row>
    <row r="43654" spans="1:2" x14ac:dyDescent="0.25">
      <c r="A43654">
        <v>90011020995</v>
      </c>
      <c r="B43654" t="s">
        <v>13706</v>
      </c>
    </row>
    <row r="43655" spans="1:2" x14ac:dyDescent="0.25">
      <c r="A43655">
        <v>90011020999</v>
      </c>
      <c r="B43655" t="s">
        <v>57</v>
      </c>
    </row>
    <row r="43656" spans="1:2" x14ac:dyDescent="0.25">
      <c r="A43656">
        <v>90012000000</v>
      </c>
      <c r="B43656" t="e">
        <f>-Hojas y placas de materia polarizante</f>
        <v>#NAME?</v>
      </c>
    </row>
    <row r="43657" spans="1:2" x14ac:dyDescent="0.25">
      <c r="A43657">
        <v>90013000000</v>
      </c>
      <c r="B43657" t="e">
        <f>-Lentes de contacto</f>
        <v>#NAME?</v>
      </c>
    </row>
    <row r="43658" spans="1:2" x14ac:dyDescent="0.25">
      <c r="A43658">
        <v>90014000</v>
      </c>
      <c r="B43658" t="e">
        <f>- Lentes de vidrio para gafas (anteojos)</f>
        <v>#NAME?</v>
      </c>
    </row>
    <row r="43659" spans="1:2" x14ac:dyDescent="0.25">
      <c r="A43659">
        <v>900140001</v>
      </c>
      <c r="B43659" t="s">
        <v>14187</v>
      </c>
    </row>
    <row r="43660" spans="1:2" x14ac:dyDescent="0.25">
      <c r="A43660">
        <v>9001400011</v>
      </c>
      <c r="B43660" t="s">
        <v>14188</v>
      </c>
    </row>
    <row r="43661" spans="1:2" x14ac:dyDescent="0.25">
      <c r="A43661">
        <v>90014000111</v>
      </c>
      <c r="B43661" t="s">
        <v>14189</v>
      </c>
    </row>
    <row r="43662" spans="1:2" x14ac:dyDescent="0.25">
      <c r="A43662">
        <v>90014000112</v>
      </c>
      <c r="B43662" t="s">
        <v>14190</v>
      </c>
    </row>
    <row r="43663" spans="1:2" x14ac:dyDescent="0.25">
      <c r="A43663">
        <v>90014000113</v>
      </c>
      <c r="B43663" t="s">
        <v>14191</v>
      </c>
    </row>
    <row r="43664" spans="1:2" x14ac:dyDescent="0.25">
      <c r="A43664">
        <v>90014000115</v>
      </c>
      <c r="B43664" t="s">
        <v>14192</v>
      </c>
    </row>
    <row r="43665" spans="1:2" x14ac:dyDescent="0.25">
      <c r="A43665">
        <v>90014000116</v>
      </c>
      <c r="B43665" t="s">
        <v>14193</v>
      </c>
    </row>
    <row r="43666" spans="1:2" x14ac:dyDescent="0.25">
      <c r="A43666">
        <v>90014000117</v>
      </c>
      <c r="B43666" t="s">
        <v>14194</v>
      </c>
    </row>
    <row r="43667" spans="1:2" x14ac:dyDescent="0.25">
      <c r="A43667">
        <v>90014000118</v>
      </c>
      <c r="B43667" t="s">
        <v>14195</v>
      </c>
    </row>
    <row r="43668" spans="1:2" x14ac:dyDescent="0.25">
      <c r="A43668">
        <v>90014000120</v>
      </c>
      <c r="B43668" t="s">
        <v>14196</v>
      </c>
    </row>
    <row r="43669" spans="1:2" x14ac:dyDescent="0.25">
      <c r="A43669">
        <v>90014000130</v>
      </c>
      <c r="B43669" t="s">
        <v>14197</v>
      </c>
    </row>
    <row r="43670" spans="1:2" x14ac:dyDescent="0.25">
      <c r="A43670">
        <v>900140002</v>
      </c>
      <c r="B43670" t="s">
        <v>14198</v>
      </c>
    </row>
    <row r="43671" spans="1:2" x14ac:dyDescent="0.25">
      <c r="A43671">
        <v>9001400021</v>
      </c>
      <c r="B43671" t="s">
        <v>14188</v>
      </c>
    </row>
    <row r="43672" spans="1:2" x14ac:dyDescent="0.25">
      <c r="A43672">
        <v>90014000211</v>
      </c>
      <c r="B43672" t="s">
        <v>14189</v>
      </c>
    </row>
    <row r="43673" spans="1:2" x14ac:dyDescent="0.25">
      <c r="A43673">
        <v>90014000212</v>
      </c>
      <c r="B43673" t="s">
        <v>14190</v>
      </c>
    </row>
    <row r="43674" spans="1:2" x14ac:dyDescent="0.25">
      <c r="A43674">
        <v>90014000213</v>
      </c>
      <c r="B43674" t="s">
        <v>14191</v>
      </c>
    </row>
    <row r="43675" spans="1:2" x14ac:dyDescent="0.25">
      <c r="A43675">
        <v>90014000215</v>
      </c>
      <c r="B43675" t="s">
        <v>14192</v>
      </c>
    </row>
    <row r="43676" spans="1:2" x14ac:dyDescent="0.25">
      <c r="A43676">
        <v>90014000216</v>
      </c>
      <c r="B43676" t="s">
        <v>14193</v>
      </c>
    </row>
    <row r="43677" spans="1:2" x14ac:dyDescent="0.25">
      <c r="A43677">
        <v>90014000217</v>
      </c>
      <c r="B43677" t="s">
        <v>14194</v>
      </c>
    </row>
    <row r="43678" spans="1:2" x14ac:dyDescent="0.25">
      <c r="A43678">
        <v>90014000218</v>
      </c>
      <c r="B43678" t="s">
        <v>14195</v>
      </c>
    </row>
    <row r="43679" spans="1:2" x14ac:dyDescent="0.25">
      <c r="A43679">
        <v>90014000220</v>
      </c>
      <c r="B43679" t="s">
        <v>14196</v>
      </c>
    </row>
    <row r="43680" spans="1:2" x14ac:dyDescent="0.25">
      <c r="A43680">
        <v>90014000230</v>
      </c>
      <c r="B43680" t="s">
        <v>14197</v>
      </c>
    </row>
    <row r="43681" spans="1:2" x14ac:dyDescent="0.25">
      <c r="A43681">
        <v>900140009</v>
      </c>
      <c r="B43681" t="s">
        <v>57</v>
      </c>
    </row>
    <row r="43682" spans="1:2" x14ac:dyDescent="0.25">
      <c r="A43682">
        <v>90014000910</v>
      </c>
      <c r="B43682" t="s">
        <v>14199</v>
      </c>
    </row>
    <row r="43683" spans="1:2" x14ac:dyDescent="0.25">
      <c r="A43683">
        <v>90014000990</v>
      </c>
      <c r="B43683" t="s">
        <v>57</v>
      </c>
    </row>
    <row r="43684" spans="1:2" x14ac:dyDescent="0.25">
      <c r="A43684">
        <v>90015000</v>
      </c>
      <c r="B43684" t="e">
        <f>- Lentes de otras materias para gafas (anteojos)</f>
        <v>#NAME?</v>
      </c>
    </row>
    <row r="43685" spans="1:2" x14ac:dyDescent="0.25">
      <c r="A43685">
        <v>900150001</v>
      </c>
      <c r="B43685" t="s">
        <v>14200</v>
      </c>
    </row>
    <row r="43686" spans="1:2" x14ac:dyDescent="0.25">
      <c r="A43686">
        <v>9001500011</v>
      </c>
      <c r="B43686" t="s">
        <v>14201</v>
      </c>
    </row>
    <row r="43687" spans="1:2" x14ac:dyDescent="0.25">
      <c r="A43687">
        <v>90015000111</v>
      </c>
      <c r="B43687" t="s">
        <v>14189</v>
      </c>
    </row>
    <row r="43688" spans="1:2" x14ac:dyDescent="0.25">
      <c r="A43688">
        <v>90015000112</v>
      </c>
      <c r="B43688" t="s">
        <v>14190</v>
      </c>
    </row>
    <row r="43689" spans="1:2" x14ac:dyDescent="0.25">
      <c r="A43689">
        <v>90015000113</v>
      </c>
      <c r="B43689" t="s">
        <v>14191</v>
      </c>
    </row>
    <row r="43690" spans="1:2" x14ac:dyDescent="0.25">
      <c r="A43690">
        <v>90015000115</v>
      </c>
      <c r="B43690" t="s">
        <v>14192</v>
      </c>
    </row>
    <row r="43691" spans="1:2" x14ac:dyDescent="0.25">
      <c r="A43691">
        <v>90015000116</v>
      </c>
      <c r="B43691" t="s">
        <v>14193</v>
      </c>
    </row>
    <row r="43692" spans="1:2" x14ac:dyDescent="0.25">
      <c r="A43692">
        <v>90015000117</v>
      </c>
      <c r="B43692" t="s">
        <v>14194</v>
      </c>
    </row>
    <row r="43693" spans="1:2" x14ac:dyDescent="0.25">
      <c r="A43693">
        <v>90015000118</v>
      </c>
      <c r="B43693" t="s">
        <v>14195</v>
      </c>
    </row>
    <row r="43694" spans="1:2" x14ac:dyDescent="0.25">
      <c r="A43694">
        <v>90015000120</v>
      </c>
      <c r="B43694" t="s">
        <v>14202</v>
      </c>
    </row>
    <row r="43695" spans="1:2" x14ac:dyDescent="0.25">
      <c r="A43695">
        <v>90015000130</v>
      </c>
      <c r="B43695" t="s">
        <v>14203</v>
      </c>
    </row>
    <row r="43696" spans="1:2" x14ac:dyDescent="0.25">
      <c r="A43696">
        <v>9001500014</v>
      </c>
      <c r="B43696" t="s">
        <v>14204</v>
      </c>
    </row>
    <row r="43697" spans="1:2" x14ac:dyDescent="0.25">
      <c r="A43697">
        <v>90015000141</v>
      </c>
      <c r="B43697" t="s">
        <v>14189</v>
      </c>
    </row>
    <row r="43698" spans="1:2" x14ac:dyDescent="0.25">
      <c r="A43698">
        <v>90015000142</v>
      </c>
      <c r="B43698" t="s">
        <v>14190</v>
      </c>
    </row>
    <row r="43699" spans="1:2" x14ac:dyDescent="0.25">
      <c r="A43699">
        <v>90015000143</v>
      </c>
      <c r="B43699" t="s">
        <v>14191</v>
      </c>
    </row>
    <row r="43700" spans="1:2" x14ac:dyDescent="0.25">
      <c r="A43700">
        <v>90015000145</v>
      </c>
      <c r="B43700" t="s">
        <v>14192</v>
      </c>
    </row>
    <row r="43701" spans="1:2" x14ac:dyDescent="0.25">
      <c r="A43701">
        <v>90015000146</v>
      </c>
      <c r="B43701" t="s">
        <v>14193</v>
      </c>
    </row>
    <row r="43702" spans="1:2" x14ac:dyDescent="0.25">
      <c r="A43702">
        <v>90015000147</v>
      </c>
      <c r="B43702" t="s">
        <v>14194</v>
      </c>
    </row>
    <row r="43703" spans="1:2" x14ac:dyDescent="0.25">
      <c r="A43703">
        <v>90015000148</v>
      </c>
      <c r="B43703" t="s">
        <v>14195</v>
      </c>
    </row>
    <row r="43704" spans="1:2" x14ac:dyDescent="0.25">
      <c r="A43704">
        <v>90015000150</v>
      </c>
      <c r="B43704" t="s">
        <v>14205</v>
      </c>
    </row>
    <row r="43705" spans="1:2" x14ac:dyDescent="0.25">
      <c r="A43705">
        <v>90015000160</v>
      </c>
      <c r="B43705" t="s">
        <v>14206</v>
      </c>
    </row>
    <row r="43706" spans="1:2" x14ac:dyDescent="0.25">
      <c r="A43706">
        <v>9001500019</v>
      </c>
      <c r="B43706" t="s">
        <v>57</v>
      </c>
    </row>
    <row r="43707" spans="1:2" x14ac:dyDescent="0.25">
      <c r="A43707">
        <v>90015000191</v>
      </c>
      <c r="B43707" t="s">
        <v>14199</v>
      </c>
    </row>
    <row r="43708" spans="1:2" x14ac:dyDescent="0.25">
      <c r="A43708">
        <v>90015000199</v>
      </c>
      <c r="B43708" t="s">
        <v>57</v>
      </c>
    </row>
    <row r="43709" spans="1:2" x14ac:dyDescent="0.25">
      <c r="A43709">
        <v>900150002</v>
      </c>
      <c r="B43709" t="s">
        <v>14207</v>
      </c>
    </row>
    <row r="43710" spans="1:2" x14ac:dyDescent="0.25">
      <c r="A43710">
        <v>9001500021</v>
      </c>
      <c r="B43710" t="s">
        <v>14201</v>
      </c>
    </row>
    <row r="43711" spans="1:2" x14ac:dyDescent="0.25">
      <c r="A43711">
        <v>90015000211</v>
      </c>
      <c r="B43711" t="s">
        <v>14189</v>
      </c>
    </row>
    <row r="43712" spans="1:2" x14ac:dyDescent="0.25">
      <c r="A43712">
        <v>90015000212</v>
      </c>
      <c r="B43712" t="s">
        <v>14190</v>
      </c>
    </row>
    <row r="43713" spans="1:2" x14ac:dyDescent="0.25">
      <c r="A43713">
        <v>90015000213</v>
      </c>
      <c r="B43713" t="s">
        <v>14191</v>
      </c>
    </row>
    <row r="43714" spans="1:2" x14ac:dyDescent="0.25">
      <c r="A43714">
        <v>90015000215</v>
      </c>
      <c r="B43714" t="s">
        <v>14192</v>
      </c>
    </row>
    <row r="43715" spans="1:2" x14ac:dyDescent="0.25">
      <c r="A43715">
        <v>90015000216</v>
      </c>
      <c r="B43715" t="s">
        <v>14193</v>
      </c>
    </row>
    <row r="43716" spans="1:2" x14ac:dyDescent="0.25">
      <c r="A43716">
        <v>90015000217</v>
      </c>
      <c r="B43716" t="s">
        <v>14194</v>
      </c>
    </row>
    <row r="43717" spans="1:2" x14ac:dyDescent="0.25">
      <c r="A43717">
        <v>90015000218</v>
      </c>
      <c r="B43717" t="s">
        <v>14195</v>
      </c>
    </row>
    <row r="43718" spans="1:2" x14ac:dyDescent="0.25">
      <c r="A43718">
        <v>90015000220</v>
      </c>
      <c r="B43718" t="s">
        <v>14202</v>
      </c>
    </row>
    <row r="43719" spans="1:2" x14ac:dyDescent="0.25">
      <c r="A43719">
        <v>90015000230</v>
      </c>
      <c r="B43719" t="s">
        <v>14203</v>
      </c>
    </row>
    <row r="43720" spans="1:2" x14ac:dyDescent="0.25">
      <c r="A43720">
        <v>9001500024</v>
      </c>
      <c r="B43720" t="s">
        <v>14204</v>
      </c>
    </row>
    <row r="43721" spans="1:2" x14ac:dyDescent="0.25">
      <c r="A43721">
        <v>90015000241</v>
      </c>
      <c r="B43721" t="s">
        <v>14189</v>
      </c>
    </row>
    <row r="43722" spans="1:2" x14ac:dyDescent="0.25">
      <c r="A43722">
        <v>90015000242</v>
      </c>
      <c r="B43722" t="s">
        <v>14190</v>
      </c>
    </row>
    <row r="43723" spans="1:2" x14ac:dyDescent="0.25">
      <c r="A43723">
        <v>90015000243</v>
      </c>
      <c r="B43723" t="s">
        <v>14191</v>
      </c>
    </row>
    <row r="43724" spans="1:2" x14ac:dyDescent="0.25">
      <c r="A43724">
        <v>90015000245</v>
      </c>
      <c r="B43724" t="s">
        <v>14192</v>
      </c>
    </row>
    <row r="43725" spans="1:2" x14ac:dyDescent="0.25">
      <c r="A43725">
        <v>90015000246</v>
      </c>
      <c r="B43725" t="s">
        <v>14193</v>
      </c>
    </row>
    <row r="43726" spans="1:2" x14ac:dyDescent="0.25">
      <c r="A43726">
        <v>90015000247</v>
      </c>
      <c r="B43726" t="s">
        <v>14194</v>
      </c>
    </row>
    <row r="43727" spans="1:2" x14ac:dyDescent="0.25">
      <c r="A43727">
        <v>90015000248</v>
      </c>
      <c r="B43727" t="s">
        <v>14195</v>
      </c>
    </row>
    <row r="43728" spans="1:2" x14ac:dyDescent="0.25">
      <c r="A43728">
        <v>90015000250</v>
      </c>
      <c r="B43728" t="s">
        <v>14205</v>
      </c>
    </row>
    <row r="43729" spans="1:2" x14ac:dyDescent="0.25">
      <c r="A43729">
        <v>90015000260</v>
      </c>
      <c r="B43729" t="s">
        <v>14206</v>
      </c>
    </row>
    <row r="43730" spans="1:2" x14ac:dyDescent="0.25">
      <c r="A43730">
        <v>9001500029</v>
      </c>
      <c r="B43730" t="s">
        <v>57</v>
      </c>
    </row>
    <row r="43731" spans="1:2" x14ac:dyDescent="0.25">
      <c r="A43731">
        <v>90015000291</v>
      </c>
      <c r="B43731" t="s">
        <v>14199</v>
      </c>
    </row>
    <row r="43732" spans="1:2" x14ac:dyDescent="0.25">
      <c r="A43732">
        <v>90015000299</v>
      </c>
      <c r="B43732" t="s">
        <v>57</v>
      </c>
    </row>
    <row r="43733" spans="1:2" x14ac:dyDescent="0.25">
      <c r="A43733">
        <v>900150003</v>
      </c>
      <c r="B43733" t="s">
        <v>14208</v>
      </c>
    </row>
    <row r="43734" spans="1:2" x14ac:dyDescent="0.25">
      <c r="A43734">
        <v>9001500031</v>
      </c>
      <c r="B43734" t="s">
        <v>14201</v>
      </c>
    </row>
    <row r="43735" spans="1:2" x14ac:dyDescent="0.25">
      <c r="A43735">
        <v>90015000311</v>
      </c>
      <c r="B43735" t="s">
        <v>14189</v>
      </c>
    </row>
    <row r="43736" spans="1:2" x14ac:dyDescent="0.25">
      <c r="A43736">
        <v>90015000312</v>
      </c>
      <c r="B43736" t="s">
        <v>14190</v>
      </c>
    </row>
    <row r="43737" spans="1:2" x14ac:dyDescent="0.25">
      <c r="A43737">
        <v>90015000313</v>
      </c>
      <c r="B43737" t="s">
        <v>14191</v>
      </c>
    </row>
    <row r="43738" spans="1:2" x14ac:dyDescent="0.25">
      <c r="A43738">
        <v>90015000315</v>
      </c>
      <c r="B43738" t="s">
        <v>14192</v>
      </c>
    </row>
    <row r="43739" spans="1:2" x14ac:dyDescent="0.25">
      <c r="A43739">
        <v>90015000316</v>
      </c>
      <c r="B43739" t="s">
        <v>14193</v>
      </c>
    </row>
    <row r="43740" spans="1:2" x14ac:dyDescent="0.25">
      <c r="A43740">
        <v>90015000317</v>
      </c>
      <c r="B43740" t="s">
        <v>14194</v>
      </c>
    </row>
    <row r="43741" spans="1:2" x14ac:dyDescent="0.25">
      <c r="A43741">
        <v>90015000318</v>
      </c>
      <c r="B43741" t="s">
        <v>14195</v>
      </c>
    </row>
    <row r="43742" spans="1:2" x14ac:dyDescent="0.25">
      <c r="A43742">
        <v>90015000320</v>
      </c>
      <c r="B43742" t="s">
        <v>14202</v>
      </c>
    </row>
    <row r="43743" spans="1:2" x14ac:dyDescent="0.25">
      <c r="A43743">
        <v>90015000330</v>
      </c>
      <c r="B43743" t="s">
        <v>14203</v>
      </c>
    </row>
    <row r="43744" spans="1:2" x14ac:dyDescent="0.25">
      <c r="A43744">
        <v>9001500034</v>
      </c>
      <c r="B43744" t="s">
        <v>14204</v>
      </c>
    </row>
    <row r="43745" spans="1:2" x14ac:dyDescent="0.25">
      <c r="A43745">
        <v>90015000341</v>
      </c>
      <c r="B43745" t="s">
        <v>14189</v>
      </c>
    </row>
    <row r="43746" spans="1:2" x14ac:dyDescent="0.25">
      <c r="A43746">
        <v>90015000342</v>
      </c>
      <c r="B43746" t="s">
        <v>14190</v>
      </c>
    </row>
    <row r="43747" spans="1:2" x14ac:dyDescent="0.25">
      <c r="A43747">
        <v>90015000343</v>
      </c>
      <c r="B43747" t="s">
        <v>14191</v>
      </c>
    </row>
    <row r="43748" spans="1:2" x14ac:dyDescent="0.25">
      <c r="A43748">
        <v>90015000345</v>
      </c>
      <c r="B43748" t="s">
        <v>14192</v>
      </c>
    </row>
    <row r="43749" spans="1:2" x14ac:dyDescent="0.25">
      <c r="A43749">
        <v>90015000346</v>
      </c>
      <c r="B43749" t="s">
        <v>14193</v>
      </c>
    </row>
    <row r="43750" spans="1:2" x14ac:dyDescent="0.25">
      <c r="A43750">
        <v>90015000347</v>
      </c>
      <c r="B43750" t="s">
        <v>14194</v>
      </c>
    </row>
    <row r="43751" spans="1:2" x14ac:dyDescent="0.25">
      <c r="A43751">
        <v>90015000348</v>
      </c>
      <c r="B43751" t="s">
        <v>14195</v>
      </c>
    </row>
    <row r="43752" spans="1:2" x14ac:dyDescent="0.25">
      <c r="A43752">
        <v>90015000350</v>
      </c>
      <c r="B43752" t="s">
        <v>14205</v>
      </c>
    </row>
    <row r="43753" spans="1:2" x14ac:dyDescent="0.25">
      <c r="A43753">
        <v>90015000360</v>
      </c>
      <c r="B43753" t="s">
        <v>14206</v>
      </c>
    </row>
    <row r="43754" spans="1:2" x14ac:dyDescent="0.25">
      <c r="A43754">
        <v>9001500039</v>
      </c>
      <c r="B43754" t="s">
        <v>57</v>
      </c>
    </row>
    <row r="43755" spans="1:2" x14ac:dyDescent="0.25">
      <c r="A43755">
        <v>90015000391</v>
      </c>
      <c r="B43755" t="s">
        <v>14199</v>
      </c>
    </row>
    <row r="43756" spans="1:2" x14ac:dyDescent="0.25">
      <c r="A43756">
        <v>90015000399</v>
      </c>
      <c r="B43756" t="s">
        <v>57</v>
      </c>
    </row>
    <row r="43757" spans="1:2" x14ac:dyDescent="0.25">
      <c r="A43757">
        <v>900150004</v>
      </c>
      <c r="B43757" t="s">
        <v>14209</v>
      </c>
    </row>
    <row r="43758" spans="1:2" x14ac:dyDescent="0.25">
      <c r="A43758">
        <v>9001500041</v>
      </c>
      <c r="B43758" t="s">
        <v>14201</v>
      </c>
    </row>
    <row r="43759" spans="1:2" x14ac:dyDescent="0.25">
      <c r="A43759">
        <v>90015000411</v>
      </c>
      <c r="B43759" t="s">
        <v>14189</v>
      </c>
    </row>
    <row r="43760" spans="1:2" x14ac:dyDescent="0.25">
      <c r="A43760">
        <v>90015000412</v>
      </c>
      <c r="B43760" t="s">
        <v>14190</v>
      </c>
    </row>
    <row r="43761" spans="1:2" x14ac:dyDescent="0.25">
      <c r="A43761">
        <v>90015000413</v>
      </c>
      <c r="B43761" t="s">
        <v>14191</v>
      </c>
    </row>
    <row r="43762" spans="1:2" x14ac:dyDescent="0.25">
      <c r="A43762">
        <v>90015000415</v>
      </c>
      <c r="B43762" t="s">
        <v>14210</v>
      </c>
    </row>
    <row r="43763" spans="1:2" x14ac:dyDescent="0.25">
      <c r="A43763">
        <v>90015000416</v>
      </c>
      <c r="B43763" t="s">
        <v>14211</v>
      </c>
    </row>
    <row r="43764" spans="1:2" x14ac:dyDescent="0.25">
      <c r="A43764">
        <v>90015000417</v>
      </c>
      <c r="B43764" t="s">
        <v>14194</v>
      </c>
    </row>
    <row r="43765" spans="1:2" x14ac:dyDescent="0.25">
      <c r="A43765">
        <v>90015000418</v>
      </c>
      <c r="B43765" t="s">
        <v>14195</v>
      </c>
    </row>
    <row r="43766" spans="1:2" x14ac:dyDescent="0.25">
      <c r="A43766">
        <v>90015000420</v>
      </c>
      <c r="B43766" t="s">
        <v>14202</v>
      </c>
    </row>
    <row r="43767" spans="1:2" x14ac:dyDescent="0.25">
      <c r="A43767">
        <v>90015000430</v>
      </c>
      <c r="B43767" t="s">
        <v>14203</v>
      </c>
    </row>
    <row r="43768" spans="1:2" x14ac:dyDescent="0.25">
      <c r="A43768">
        <v>9001500044</v>
      </c>
      <c r="B43768" t="s">
        <v>14204</v>
      </c>
    </row>
    <row r="43769" spans="1:2" x14ac:dyDescent="0.25">
      <c r="A43769">
        <v>90015000441</v>
      </c>
      <c r="B43769" t="s">
        <v>14212</v>
      </c>
    </row>
    <row r="43770" spans="1:2" x14ac:dyDescent="0.25">
      <c r="A43770">
        <v>90015000442</v>
      </c>
      <c r="B43770" t="s">
        <v>14213</v>
      </c>
    </row>
    <row r="43771" spans="1:2" x14ac:dyDescent="0.25">
      <c r="A43771">
        <v>90015000443</v>
      </c>
      <c r="B43771" t="s">
        <v>14214</v>
      </c>
    </row>
    <row r="43772" spans="1:2" x14ac:dyDescent="0.25">
      <c r="A43772">
        <v>90015000445</v>
      </c>
      <c r="B43772" t="s">
        <v>14210</v>
      </c>
    </row>
    <row r="43773" spans="1:2" x14ac:dyDescent="0.25">
      <c r="A43773">
        <v>90015000446</v>
      </c>
      <c r="B43773" t="s">
        <v>14211</v>
      </c>
    </row>
    <row r="43774" spans="1:2" x14ac:dyDescent="0.25">
      <c r="A43774">
        <v>90015000447</v>
      </c>
      <c r="B43774" t="s">
        <v>14194</v>
      </c>
    </row>
    <row r="43775" spans="1:2" x14ac:dyDescent="0.25">
      <c r="A43775">
        <v>90015000448</v>
      </c>
      <c r="B43775" t="s">
        <v>14195</v>
      </c>
    </row>
    <row r="43776" spans="1:2" x14ac:dyDescent="0.25">
      <c r="A43776">
        <v>90015000450</v>
      </c>
      <c r="B43776" t="s">
        <v>14205</v>
      </c>
    </row>
    <row r="43777" spans="1:2" x14ac:dyDescent="0.25">
      <c r="A43777">
        <v>90015000460</v>
      </c>
      <c r="B43777" t="s">
        <v>14206</v>
      </c>
    </row>
    <row r="43778" spans="1:2" x14ac:dyDescent="0.25">
      <c r="A43778">
        <v>9001500049</v>
      </c>
      <c r="B43778" t="s">
        <v>57</v>
      </c>
    </row>
    <row r="43779" spans="1:2" x14ac:dyDescent="0.25">
      <c r="A43779">
        <v>90015000491</v>
      </c>
      <c r="B43779" t="s">
        <v>14199</v>
      </c>
    </row>
    <row r="43780" spans="1:2" x14ac:dyDescent="0.25">
      <c r="A43780">
        <v>90015000499</v>
      </c>
      <c r="B43780" t="s">
        <v>57</v>
      </c>
    </row>
    <row r="43781" spans="1:2" x14ac:dyDescent="0.25">
      <c r="A43781">
        <v>900150005</v>
      </c>
      <c r="B43781" t="s">
        <v>14215</v>
      </c>
    </row>
    <row r="43782" spans="1:2" x14ac:dyDescent="0.25">
      <c r="A43782">
        <v>9001500051</v>
      </c>
      <c r="B43782" t="s">
        <v>14201</v>
      </c>
    </row>
    <row r="43783" spans="1:2" x14ac:dyDescent="0.25">
      <c r="A43783">
        <v>90015000511</v>
      </c>
      <c r="B43783" t="s">
        <v>14212</v>
      </c>
    </row>
    <row r="43784" spans="1:2" x14ac:dyDescent="0.25">
      <c r="A43784">
        <v>90015000512</v>
      </c>
      <c r="B43784" t="s">
        <v>14213</v>
      </c>
    </row>
    <row r="43785" spans="1:2" x14ac:dyDescent="0.25">
      <c r="A43785">
        <v>90015000513</v>
      </c>
      <c r="B43785" t="s">
        <v>14214</v>
      </c>
    </row>
    <row r="43786" spans="1:2" x14ac:dyDescent="0.25">
      <c r="A43786">
        <v>90015000515</v>
      </c>
      <c r="B43786" t="s">
        <v>14210</v>
      </c>
    </row>
    <row r="43787" spans="1:2" x14ac:dyDescent="0.25">
      <c r="A43787">
        <v>90015000516</v>
      </c>
      <c r="B43787" t="s">
        <v>14211</v>
      </c>
    </row>
    <row r="43788" spans="1:2" x14ac:dyDescent="0.25">
      <c r="A43788">
        <v>90015000517</v>
      </c>
      <c r="B43788" t="s">
        <v>14194</v>
      </c>
    </row>
    <row r="43789" spans="1:2" x14ac:dyDescent="0.25">
      <c r="A43789">
        <v>90015000518</v>
      </c>
      <c r="B43789" t="s">
        <v>14195</v>
      </c>
    </row>
    <row r="43790" spans="1:2" x14ac:dyDescent="0.25">
      <c r="A43790">
        <v>90015000520</v>
      </c>
      <c r="B43790" t="s">
        <v>14202</v>
      </c>
    </row>
    <row r="43791" spans="1:2" x14ac:dyDescent="0.25">
      <c r="A43791">
        <v>90015000530</v>
      </c>
      <c r="B43791" t="s">
        <v>14203</v>
      </c>
    </row>
    <row r="43792" spans="1:2" x14ac:dyDescent="0.25">
      <c r="A43792">
        <v>9001500054</v>
      </c>
      <c r="B43792" t="s">
        <v>14204</v>
      </c>
    </row>
    <row r="43793" spans="1:2" x14ac:dyDescent="0.25">
      <c r="A43793">
        <v>90015000541</v>
      </c>
      <c r="B43793" t="s">
        <v>14212</v>
      </c>
    </row>
    <row r="43794" spans="1:2" x14ac:dyDescent="0.25">
      <c r="A43794">
        <v>90015000542</v>
      </c>
      <c r="B43794" t="s">
        <v>14213</v>
      </c>
    </row>
    <row r="43795" spans="1:2" x14ac:dyDescent="0.25">
      <c r="A43795">
        <v>90015000543</v>
      </c>
      <c r="B43795" t="s">
        <v>14214</v>
      </c>
    </row>
    <row r="43796" spans="1:2" x14ac:dyDescent="0.25">
      <c r="A43796">
        <v>90015000545</v>
      </c>
      <c r="B43796" t="s">
        <v>14210</v>
      </c>
    </row>
    <row r="43797" spans="1:2" x14ac:dyDescent="0.25">
      <c r="A43797">
        <v>90015000546</v>
      </c>
      <c r="B43797" t="s">
        <v>14211</v>
      </c>
    </row>
    <row r="43798" spans="1:2" x14ac:dyDescent="0.25">
      <c r="A43798">
        <v>90015000547</v>
      </c>
      <c r="B43798" t="s">
        <v>14194</v>
      </c>
    </row>
    <row r="43799" spans="1:2" x14ac:dyDescent="0.25">
      <c r="A43799">
        <v>90015000548</v>
      </c>
      <c r="B43799" t="s">
        <v>14195</v>
      </c>
    </row>
    <row r="43800" spans="1:2" x14ac:dyDescent="0.25">
      <c r="A43800">
        <v>90015000550</v>
      </c>
      <c r="B43800" t="s">
        <v>14205</v>
      </c>
    </row>
    <row r="43801" spans="1:2" x14ac:dyDescent="0.25">
      <c r="A43801">
        <v>90015000560</v>
      </c>
      <c r="B43801" t="s">
        <v>14206</v>
      </c>
    </row>
    <row r="43802" spans="1:2" x14ac:dyDescent="0.25">
      <c r="A43802">
        <v>9001500059</v>
      </c>
      <c r="B43802" t="s">
        <v>57</v>
      </c>
    </row>
    <row r="43803" spans="1:2" x14ac:dyDescent="0.25">
      <c r="A43803">
        <v>90015000591</v>
      </c>
      <c r="B43803" t="s">
        <v>14199</v>
      </c>
    </row>
    <row r="43804" spans="1:2" x14ac:dyDescent="0.25">
      <c r="A43804">
        <v>90015000599</v>
      </c>
      <c r="B43804" t="s">
        <v>57</v>
      </c>
    </row>
    <row r="43805" spans="1:2" x14ac:dyDescent="0.25">
      <c r="A43805">
        <v>900150006</v>
      </c>
      <c r="B43805" t="s">
        <v>14216</v>
      </c>
    </row>
    <row r="43806" spans="1:2" x14ac:dyDescent="0.25">
      <c r="A43806">
        <v>9001500061</v>
      </c>
      <c r="B43806" t="s">
        <v>14201</v>
      </c>
    </row>
    <row r="43807" spans="1:2" x14ac:dyDescent="0.25">
      <c r="A43807">
        <v>90015000611</v>
      </c>
      <c r="B43807" t="s">
        <v>14212</v>
      </c>
    </row>
    <row r="43808" spans="1:2" x14ac:dyDescent="0.25">
      <c r="A43808">
        <v>90015000612</v>
      </c>
      <c r="B43808" t="s">
        <v>14213</v>
      </c>
    </row>
    <row r="43809" spans="1:2" x14ac:dyDescent="0.25">
      <c r="A43809">
        <v>90015000613</v>
      </c>
      <c r="B43809" t="s">
        <v>14191</v>
      </c>
    </row>
    <row r="43810" spans="1:2" x14ac:dyDescent="0.25">
      <c r="A43810">
        <v>90015000615</v>
      </c>
      <c r="B43810" t="s">
        <v>14192</v>
      </c>
    </row>
    <row r="43811" spans="1:2" x14ac:dyDescent="0.25">
      <c r="A43811">
        <v>90015000616</v>
      </c>
      <c r="B43811" t="s">
        <v>14193</v>
      </c>
    </row>
    <row r="43812" spans="1:2" x14ac:dyDescent="0.25">
      <c r="A43812">
        <v>90015000617</v>
      </c>
      <c r="B43812" t="s">
        <v>14194</v>
      </c>
    </row>
    <row r="43813" spans="1:2" x14ac:dyDescent="0.25">
      <c r="A43813">
        <v>90015000618</v>
      </c>
      <c r="B43813" t="s">
        <v>14195</v>
      </c>
    </row>
    <row r="43814" spans="1:2" x14ac:dyDescent="0.25">
      <c r="A43814">
        <v>90015000620</v>
      </c>
      <c r="B43814" t="s">
        <v>14202</v>
      </c>
    </row>
    <row r="43815" spans="1:2" x14ac:dyDescent="0.25">
      <c r="A43815">
        <v>90015000630</v>
      </c>
      <c r="B43815" t="s">
        <v>14203</v>
      </c>
    </row>
    <row r="43816" spans="1:2" x14ac:dyDescent="0.25">
      <c r="A43816">
        <v>9001500064</v>
      </c>
      <c r="B43816" t="s">
        <v>14204</v>
      </c>
    </row>
    <row r="43817" spans="1:2" x14ac:dyDescent="0.25">
      <c r="A43817">
        <v>90015000641</v>
      </c>
      <c r="B43817" t="s">
        <v>14189</v>
      </c>
    </row>
    <row r="43818" spans="1:2" x14ac:dyDescent="0.25">
      <c r="A43818">
        <v>90015000642</v>
      </c>
      <c r="B43818" t="s">
        <v>14190</v>
      </c>
    </row>
    <row r="43819" spans="1:2" x14ac:dyDescent="0.25">
      <c r="A43819">
        <v>90015000643</v>
      </c>
      <c r="B43819" t="s">
        <v>14191</v>
      </c>
    </row>
    <row r="43820" spans="1:2" x14ac:dyDescent="0.25">
      <c r="A43820">
        <v>90015000645</v>
      </c>
      <c r="B43820" t="s">
        <v>14192</v>
      </c>
    </row>
    <row r="43821" spans="1:2" x14ac:dyDescent="0.25">
      <c r="A43821">
        <v>90015000646</v>
      </c>
      <c r="B43821" t="s">
        <v>14193</v>
      </c>
    </row>
    <row r="43822" spans="1:2" x14ac:dyDescent="0.25">
      <c r="A43822">
        <v>90015000647</v>
      </c>
      <c r="B43822" t="s">
        <v>14194</v>
      </c>
    </row>
    <row r="43823" spans="1:2" x14ac:dyDescent="0.25">
      <c r="A43823">
        <v>90015000648</v>
      </c>
      <c r="B43823" t="s">
        <v>14195</v>
      </c>
    </row>
    <row r="43824" spans="1:2" x14ac:dyDescent="0.25">
      <c r="A43824">
        <v>90015000650</v>
      </c>
      <c r="B43824" t="s">
        <v>14205</v>
      </c>
    </row>
    <row r="43825" spans="1:2" x14ac:dyDescent="0.25">
      <c r="A43825">
        <v>90015000660</v>
      </c>
      <c r="B43825" t="s">
        <v>14206</v>
      </c>
    </row>
    <row r="43826" spans="1:2" x14ac:dyDescent="0.25">
      <c r="A43826">
        <v>9001500069</v>
      </c>
      <c r="B43826" t="s">
        <v>57</v>
      </c>
    </row>
    <row r="43827" spans="1:2" x14ac:dyDescent="0.25">
      <c r="A43827">
        <v>90015000691</v>
      </c>
      <c r="B43827" t="s">
        <v>14199</v>
      </c>
    </row>
    <row r="43828" spans="1:2" x14ac:dyDescent="0.25">
      <c r="A43828">
        <v>90015000699</v>
      </c>
      <c r="B43828" t="s">
        <v>57</v>
      </c>
    </row>
    <row r="43829" spans="1:2" x14ac:dyDescent="0.25">
      <c r="A43829">
        <v>900150007</v>
      </c>
      <c r="B43829" t="s">
        <v>14217</v>
      </c>
    </row>
    <row r="43830" spans="1:2" x14ac:dyDescent="0.25">
      <c r="A43830">
        <v>9001500071</v>
      </c>
      <c r="B43830" t="s">
        <v>14201</v>
      </c>
    </row>
    <row r="43831" spans="1:2" x14ac:dyDescent="0.25">
      <c r="A43831">
        <v>90015000711</v>
      </c>
      <c r="B43831" t="s">
        <v>14189</v>
      </c>
    </row>
    <row r="43832" spans="1:2" x14ac:dyDescent="0.25">
      <c r="A43832">
        <v>90015000712</v>
      </c>
      <c r="B43832" t="s">
        <v>14190</v>
      </c>
    </row>
    <row r="43833" spans="1:2" x14ac:dyDescent="0.25">
      <c r="A43833">
        <v>90015000713</v>
      </c>
      <c r="B43833" t="s">
        <v>14191</v>
      </c>
    </row>
    <row r="43834" spans="1:2" x14ac:dyDescent="0.25">
      <c r="A43834">
        <v>90015000715</v>
      </c>
      <c r="B43834" t="s">
        <v>14192</v>
      </c>
    </row>
    <row r="43835" spans="1:2" x14ac:dyDescent="0.25">
      <c r="A43835">
        <v>90015000716</v>
      </c>
      <c r="B43835" t="s">
        <v>14193</v>
      </c>
    </row>
    <row r="43836" spans="1:2" x14ac:dyDescent="0.25">
      <c r="A43836">
        <v>90015000717</v>
      </c>
      <c r="B43836" t="s">
        <v>14194</v>
      </c>
    </row>
    <row r="43837" spans="1:2" x14ac:dyDescent="0.25">
      <c r="A43837">
        <v>90015000718</v>
      </c>
      <c r="B43837" t="s">
        <v>14195</v>
      </c>
    </row>
    <row r="43838" spans="1:2" x14ac:dyDescent="0.25">
      <c r="A43838">
        <v>90015000720</v>
      </c>
      <c r="B43838" t="s">
        <v>14202</v>
      </c>
    </row>
    <row r="43839" spans="1:2" x14ac:dyDescent="0.25">
      <c r="A43839">
        <v>90015000730</v>
      </c>
      <c r="B43839" t="s">
        <v>14203</v>
      </c>
    </row>
    <row r="43840" spans="1:2" x14ac:dyDescent="0.25">
      <c r="A43840">
        <v>9001500074</v>
      </c>
      <c r="B43840" t="s">
        <v>14204</v>
      </c>
    </row>
    <row r="43841" spans="1:2" x14ac:dyDescent="0.25">
      <c r="A43841">
        <v>90015000741</v>
      </c>
      <c r="B43841" t="s">
        <v>14189</v>
      </c>
    </row>
    <row r="43842" spans="1:2" x14ac:dyDescent="0.25">
      <c r="A43842">
        <v>90015000742</v>
      </c>
      <c r="B43842" t="s">
        <v>14190</v>
      </c>
    </row>
    <row r="43843" spans="1:2" x14ac:dyDescent="0.25">
      <c r="A43843">
        <v>90015000743</v>
      </c>
      <c r="B43843" t="s">
        <v>14191</v>
      </c>
    </row>
    <row r="43844" spans="1:2" x14ac:dyDescent="0.25">
      <c r="A43844">
        <v>90015000745</v>
      </c>
      <c r="B43844" t="s">
        <v>14192</v>
      </c>
    </row>
    <row r="43845" spans="1:2" x14ac:dyDescent="0.25">
      <c r="A43845">
        <v>90015000746</v>
      </c>
      <c r="B43845" t="s">
        <v>14193</v>
      </c>
    </row>
    <row r="43846" spans="1:2" x14ac:dyDescent="0.25">
      <c r="A43846">
        <v>90015000747</v>
      </c>
      <c r="B43846" t="s">
        <v>14194</v>
      </c>
    </row>
    <row r="43847" spans="1:2" x14ac:dyDescent="0.25">
      <c r="A43847">
        <v>90015000748</v>
      </c>
      <c r="B43847" t="s">
        <v>14195</v>
      </c>
    </row>
    <row r="43848" spans="1:2" x14ac:dyDescent="0.25">
      <c r="A43848">
        <v>90015000750</v>
      </c>
      <c r="B43848" t="s">
        <v>14205</v>
      </c>
    </row>
    <row r="43849" spans="1:2" x14ac:dyDescent="0.25">
      <c r="A43849">
        <v>90015000760</v>
      </c>
      <c r="B43849" t="s">
        <v>14206</v>
      </c>
    </row>
    <row r="43850" spans="1:2" x14ac:dyDescent="0.25">
      <c r="A43850">
        <v>9001500079</v>
      </c>
      <c r="B43850" t="s">
        <v>57</v>
      </c>
    </row>
    <row r="43851" spans="1:2" x14ac:dyDescent="0.25">
      <c r="A43851">
        <v>90015000791</v>
      </c>
      <c r="B43851" t="s">
        <v>14199</v>
      </c>
    </row>
    <row r="43852" spans="1:2" x14ac:dyDescent="0.25">
      <c r="A43852">
        <v>90015000799</v>
      </c>
      <c r="B43852" t="s">
        <v>10</v>
      </c>
    </row>
    <row r="43853" spans="1:2" x14ac:dyDescent="0.25">
      <c r="A43853">
        <v>900150009</v>
      </c>
      <c r="B43853" t="s">
        <v>57</v>
      </c>
    </row>
    <row r="43854" spans="1:2" x14ac:dyDescent="0.25">
      <c r="A43854">
        <v>90015000910</v>
      </c>
      <c r="B43854" t="s">
        <v>14199</v>
      </c>
    </row>
    <row r="43855" spans="1:2" x14ac:dyDescent="0.25">
      <c r="A43855">
        <v>90015000990</v>
      </c>
      <c r="B43855" t="s">
        <v>57</v>
      </c>
    </row>
    <row r="43856" spans="1:2" x14ac:dyDescent="0.25">
      <c r="A43856">
        <v>900190</v>
      </c>
      <c r="B43856" t="e">
        <f>- Los demas</f>
        <v>#NAME?</v>
      </c>
    </row>
    <row r="43857" spans="1:2" x14ac:dyDescent="0.25">
      <c r="A43857">
        <v>90019010000</v>
      </c>
      <c r="B43857" t="s">
        <v>14218</v>
      </c>
    </row>
    <row r="43858" spans="1:2" x14ac:dyDescent="0.25">
      <c r="A43858">
        <v>90019090</v>
      </c>
      <c r="B43858" t="s">
        <v>10</v>
      </c>
    </row>
    <row r="43859" spans="1:2" x14ac:dyDescent="0.25">
      <c r="A43859">
        <v>90019090100</v>
      </c>
      <c r="B43859" t="s">
        <v>14219</v>
      </c>
    </row>
    <row r="43860" spans="1:2" x14ac:dyDescent="0.25">
      <c r="A43860">
        <v>90019090200</v>
      </c>
      <c r="B43860" t="s">
        <v>11045</v>
      </c>
    </row>
    <row r="43861" spans="1:2" x14ac:dyDescent="0.25">
      <c r="A43861">
        <v>90019090300</v>
      </c>
      <c r="B43861" t="s">
        <v>14220</v>
      </c>
    </row>
    <row r="43862" spans="1:2" x14ac:dyDescent="0.25">
      <c r="A43862">
        <v>90019090400</v>
      </c>
      <c r="B43862" t="s">
        <v>14221</v>
      </c>
    </row>
    <row r="43863" spans="1:2" x14ac:dyDescent="0.25">
      <c r="A43863">
        <v>90019090900</v>
      </c>
      <c r="B43863" t="s">
        <v>10</v>
      </c>
    </row>
    <row r="43864" spans="1:2" x14ac:dyDescent="0.25">
      <c r="A43864">
        <v>9002</v>
      </c>
      <c r="B43864" t="s">
        <v>14222</v>
      </c>
    </row>
    <row r="43865" spans="1:2" x14ac:dyDescent="0.25">
      <c r="A43865">
        <v>90021</v>
      </c>
      <c r="B43865" t="s">
        <v>14223</v>
      </c>
    </row>
    <row r="43866" spans="1:2" x14ac:dyDescent="0.25">
      <c r="A43866">
        <v>900211</v>
      </c>
      <c r="B43866" t="e">
        <f>- - para camaras. Proyectores o aparatos fotograficos o cinematograficos de ampliacion o reduccion</f>
        <v>#NAME?</v>
      </c>
    </row>
    <row r="43867" spans="1:2" x14ac:dyDescent="0.25">
      <c r="A43867">
        <v>90021110</v>
      </c>
      <c r="B43867" t="s">
        <v>14224</v>
      </c>
    </row>
    <row r="43868" spans="1:2" x14ac:dyDescent="0.25">
      <c r="A43868">
        <v>90021110100</v>
      </c>
      <c r="B43868" t="s">
        <v>14225</v>
      </c>
    </row>
    <row r="43869" spans="1:2" x14ac:dyDescent="0.25">
      <c r="A43869">
        <v>90021110200</v>
      </c>
      <c r="B43869" t="s">
        <v>14226</v>
      </c>
    </row>
    <row r="43870" spans="1:2" x14ac:dyDescent="0.25">
      <c r="A43870">
        <v>90021110900</v>
      </c>
      <c r="B43870" t="s">
        <v>10</v>
      </c>
    </row>
    <row r="43871" spans="1:2" x14ac:dyDescent="0.25">
      <c r="A43871">
        <v>90021120000</v>
      </c>
      <c r="B43871" t="s">
        <v>14227</v>
      </c>
    </row>
    <row r="43872" spans="1:2" x14ac:dyDescent="0.25">
      <c r="A43872">
        <v>90021190</v>
      </c>
      <c r="B43872" t="s">
        <v>10</v>
      </c>
    </row>
    <row r="43873" spans="1:2" x14ac:dyDescent="0.25">
      <c r="A43873">
        <v>90021190100</v>
      </c>
      <c r="B43873" t="s">
        <v>14225</v>
      </c>
    </row>
    <row r="43874" spans="1:2" x14ac:dyDescent="0.25">
      <c r="A43874">
        <v>90021190900</v>
      </c>
      <c r="B43874" t="s">
        <v>10</v>
      </c>
    </row>
    <row r="43875" spans="1:2" x14ac:dyDescent="0.25">
      <c r="A43875">
        <v>90021900000</v>
      </c>
      <c r="B43875" t="e">
        <f>--Los demas</f>
        <v>#NAME?</v>
      </c>
    </row>
    <row r="43876" spans="1:2" x14ac:dyDescent="0.25">
      <c r="A43876">
        <v>900220</v>
      </c>
      <c r="B43876" t="e">
        <f>- Filtros</f>
        <v>#NAME?</v>
      </c>
    </row>
    <row r="43877" spans="1:2" x14ac:dyDescent="0.25">
      <c r="A43877">
        <v>90022010000</v>
      </c>
      <c r="B43877" t="s">
        <v>14228</v>
      </c>
    </row>
    <row r="43878" spans="1:2" x14ac:dyDescent="0.25">
      <c r="A43878">
        <v>90022090000</v>
      </c>
      <c r="B43878" t="s">
        <v>10</v>
      </c>
    </row>
    <row r="43879" spans="1:2" x14ac:dyDescent="0.25">
      <c r="A43879">
        <v>90029000000</v>
      </c>
      <c r="B43879" t="e">
        <f>-Los demas</f>
        <v>#NAME?</v>
      </c>
    </row>
    <row r="43880" spans="1:2" x14ac:dyDescent="0.25">
      <c r="A43880">
        <v>9003</v>
      </c>
      <c r="B43880" t="s">
        <v>14229</v>
      </c>
    </row>
    <row r="43881" spans="1:2" x14ac:dyDescent="0.25">
      <c r="A43881">
        <v>90031</v>
      </c>
      <c r="B43881" t="s">
        <v>14230</v>
      </c>
    </row>
    <row r="43882" spans="1:2" x14ac:dyDescent="0.25">
      <c r="A43882">
        <v>90031100</v>
      </c>
      <c r="B43882" t="e">
        <f>- - de plastico</f>
        <v>#NAME?</v>
      </c>
    </row>
    <row r="43883" spans="1:2" x14ac:dyDescent="0.25">
      <c r="A43883">
        <v>900311001</v>
      </c>
      <c r="B43883" t="s">
        <v>14231</v>
      </c>
    </row>
    <row r="43884" spans="1:2" x14ac:dyDescent="0.25">
      <c r="A43884">
        <v>90031100110</v>
      </c>
      <c r="B43884" t="s">
        <v>14232</v>
      </c>
    </row>
    <row r="43885" spans="1:2" x14ac:dyDescent="0.25">
      <c r="A43885">
        <v>90031100190</v>
      </c>
      <c r="B43885" t="s">
        <v>57</v>
      </c>
    </row>
    <row r="43886" spans="1:2" x14ac:dyDescent="0.25">
      <c r="A43886">
        <v>900311009</v>
      </c>
      <c r="B43886" t="s">
        <v>57</v>
      </c>
    </row>
    <row r="43887" spans="1:2" x14ac:dyDescent="0.25">
      <c r="A43887">
        <v>90031100910</v>
      </c>
      <c r="B43887" t="s">
        <v>14232</v>
      </c>
    </row>
    <row r="43888" spans="1:2" x14ac:dyDescent="0.25">
      <c r="A43888">
        <v>90031100990</v>
      </c>
      <c r="B43888" t="s">
        <v>57</v>
      </c>
    </row>
    <row r="43889" spans="1:2" x14ac:dyDescent="0.25">
      <c r="A43889">
        <v>900319</v>
      </c>
      <c r="B43889" t="e">
        <f>- - de otras materias</f>
        <v>#NAME?</v>
      </c>
    </row>
    <row r="43890" spans="1:2" x14ac:dyDescent="0.25">
      <c r="A43890">
        <v>90031910</v>
      </c>
      <c r="B43890" t="s">
        <v>14233</v>
      </c>
    </row>
    <row r="43891" spans="1:2" x14ac:dyDescent="0.25">
      <c r="A43891">
        <v>900319101</v>
      </c>
      <c r="B43891" t="s">
        <v>14234</v>
      </c>
    </row>
    <row r="43892" spans="1:2" x14ac:dyDescent="0.25">
      <c r="A43892">
        <v>90031910110</v>
      </c>
      <c r="B43892" t="s">
        <v>14232</v>
      </c>
    </row>
    <row r="43893" spans="1:2" x14ac:dyDescent="0.25">
      <c r="A43893">
        <v>90031910190</v>
      </c>
      <c r="B43893" t="s">
        <v>57</v>
      </c>
    </row>
    <row r="43894" spans="1:2" x14ac:dyDescent="0.25">
      <c r="A43894">
        <v>900319102</v>
      </c>
      <c r="B43894" t="s">
        <v>14235</v>
      </c>
    </row>
    <row r="43895" spans="1:2" x14ac:dyDescent="0.25">
      <c r="A43895">
        <v>90031910210</v>
      </c>
      <c r="B43895" t="s">
        <v>14232</v>
      </c>
    </row>
    <row r="43896" spans="1:2" x14ac:dyDescent="0.25">
      <c r="A43896">
        <v>90031910290</v>
      </c>
      <c r="B43896" t="s">
        <v>57</v>
      </c>
    </row>
    <row r="43897" spans="1:2" x14ac:dyDescent="0.25">
      <c r="A43897">
        <v>900319109</v>
      </c>
      <c r="B43897" t="s">
        <v>57</v>
      </c>
    </row>
    <row r="43898" spans="1:2" x14ac:dyDescent="0.25">
      <c r="A43898">
        <v>90031910910</v>
      </c>
      <c r="B43898" t="s">
        <v>14232</v>
      </c>
    </row>
    <row r="43899" spans="1:2" x14ac:dyDescent="0.25">
      <c r="A43899">
        <v>90031910990</v>
      </c>
      <c r="B43899" t="s">
        <v>57</v>
      </c>
    </row>
    <row r="43900" spans="1:2" x14ac:dyDescent="0.25">
      <c r="A43900">
        <v>90031990</v>
      </c>
      <c r="B43900" t="s">
        <v>57</v>
      </c>
    </row>
    <row r="43901" spans="1:2" x14ac:dyDescent="0.25">
      <c r="A43901">
        <v>900319901</v>
      </c>
      <c r="B43901" t="s">
        <v>14236</v>
      </c>
    </row>
    <row r="43902" spans="1:2" x14ac:dyDescent="0.25">
      <c r="A43902">
        <v>90031990110</v>
      </c>
      <c r="B43902" t="s">
        <v>14232</v>
      </c>
    </row>
    <row r="43903" spans="1:2" x14ac:dyDescent="0.25">
      <c r="A43903">
        <v>90031990190</v>
      </c>
      <c r="B43903" t="s">
        <v>57</v>
      </c>
    </row>
    <row r="43904" spans="1:2" x14ac:dyDescent="0.25">
      <c r="A43904">
        <v>900319909</v>
      </c>
      <c r="B43904" t="s">
        <v>57</v>
      </c>
    </row>
    <row r="43905" spans="1:2" x14ac:dyDescent="0.25">
      <c r="A43905">
        <v>90031990910</v>
      </c>
      <c r="B43905" t="s">
        <v>14232</v>
      </c>
    </row>
    <row r="43906" spans="1:2" x14ac:dyDescent="0.25">
      <c r="A43906">
        <v>90031990990</v>
      </c>
      <c r="B43906" t="s">
        <v>57</v>
      </c>
    </row>
    <row r="43907" spans="1:2" x14ac:dyDescent="0.25">
      <c r="A43907">
        <v>900390</v>
      </c>
      <c r="B43907" t="e">
        <f>- partes</f>
        <v>#NAME?</v>
      </c>
    </row>
    <row r="43908" spans="1:2" x14ac:dyDescent="0.25">
      <c r="A43908">
        <v>90039010000</v>
      </c>
      <c r="B43908" t="s">
        <v>14237</v>
      </c>
    </row>
    <row r="43909" spans="1:2" x14ac:dyDescent="0.25">
      <c r="A43909">
        <v>90039090000</v>
      </c>
      <c r="B43909" t="s">
        <v>57</v>
      </c>
    </row>
    <row r="43910" spans="1:2" x14ac:dyDescent="0.25">
      <c r="A43910">
        <v>9004</v>
      </c>
      <c r="B43910" t="s">
        <v>14238</v>
      </c>
    </row>
    <row r="43911" spans="1:2" x14ac:dyDescent="0.25">
      <c r="A43911">
        <v>90041000</v>
      </c>
      <c r="B43911" t="e">
        <f>- gafas (anteojos) de sol</f>
        <v>#NAME?</v>
      </c>
    </row>
    <row r="43912" spans="1:2" x14ac:dyDescent="0.25">
      <c r="A43912">
        <v>900410001</v>
      </c>
      <c r="B43912" t="s">
        <v>14239</v>
      </c>
    </row>
    <row r="43913" spans="1:2" x14ac:dyDescent="0.25">
      <c r="A43913">
        <v>9004100011</v>
      </c>
      <c r="B43913" t="s">
        <v>14234</v>
      </c>
    </row>
    <row r="43914" spans="1:2" x14ac:dyDescent="0.25">
      <c r="A43914">
        <v>90041000111</v>
      </c>
      <c r="B43914" t="s">
        <v>14232</v>
      </c>
    </row>
    <row r="43915" spans="1:2" x14ac:dyDescent="0.25">
      <c r="A43915">
        <v>90041000119</v>
      </c>
      <c r="B43915" t="s">
        <v>57</v>
      </c>
    </row>
    <row r="43916" spans="1:2" x14ac:dyDescent="0.25">
      <c r="A43916">
        <v>9004100012</v>
      </c>
      <c r="B43916" t="s">
        <v>14240</v>
      </c>
    </row>
    <row r="43917" spans="1:2" x14ac:dyDescent="0.25">
      <c r="A43917">
        <v>90041000121</v>
      </c>
      <c r="B43917" t="s">
        <v>14232</v>
      </c>
    </row>
    <row r="43918" spans="1:2" x14ac:dyDescent="0.25">
      <c r="A43918">
        <v>90041000129</v>
      </c>
      <c r="B43918" t="s">
        <v>57</v>
      </c>
    </row>
    <row r="43919" spans="1:2" x14ac:dyDescent="0.25">
      <c r="A43919">
        <v>9004100013</v>
      </c>
      <c r="B43919" t="s">
        <v>11032</v>
      </c>
    </row>
    <row r="43920" spans="1:2" x14ac:dyDescent="0.25">
      <c r="A43920">
        <v>90041000131</v>
      </c>
      <c r="B43920" t="s">
        <v>14232</v>
      </c>
    </row>
    <row r="43921" spans="1:2" x14ac:dyDescent="0.25">
      <c r="A43921">
        <v>90041000139</v>
      </c>
      <c r="B43921" t="s">
        <v>57</v>
      </c>
    </row>
    <row r="43922" spans="1:2" x14ac:dyDescent="0.25">
      <c r="A43922">
        <v>9004100019</v>
      </c>
      <c r="B43922" t="s">
        <v>57</v>
      </c>
    </row>
    <row r="43923" spans="1:2" x14ac:dyDescent="0.25">
      <c r="A43923">
        <v>90041000191</v>
      </c>
      <c r="B43923" t="s">
        <v>14232</v>
      </c>
    </row>
    <row r="43924" spans="1:2" x14ac:dyDescent="0.25">
      <c r="A43924">
        <v>90041000199</v>
      </c>
      <c r="B43924" t="s">
        <v>57</v>
      </c>
    </row>
    <row r="43925" spans="1:2" x14ac:dyDescent="0.25">
      <c r="A43925">
        <v>900410002</v>
      </c>
      <c r="B43925" t="s">
        <v>57</v>
      </c>
    </row>
    <row r="43926" spans="1:2" x14ac:dyDescent="0.25">
      <c r="A43926">
        <v>9004100021</v>
      </c>
      <c r="B43926" t="s">
        <v>14231</v>
      </c>
    </row>
    <row r="43927" spans="1:2" x14ac:dyDescent="0.25">
      <c r="A43927">
        <v>90041000211</v>
      </c>
      <c r="B43927" t="s">
        <v>14232</v>
      </c>
    </row>
    <row r="43928" spans="1:2" x14ac:dyDescent="0.25">
      <c r="A43928">
        <v>90041000212</v>
      </c>
      <c r="B43928" t="s">
        <v>5635</v>
      </c>
    </row>
    <row r="43929" spans="1:2" x14ac:dyDescent="0.25">
      <c r="A43929">
        <v>90041000219</v>
      </c>
      <c r="B43929" t="s">
        <v>57</v>
      </c>
    </row>
    <row r="43930" spans="1:2" x14ac:dyDescent="0.25">
      <c r="A43930">
        <v>9004100029</v>
      </c>
      <c r="B43930" t="s">
        <v>57</v>
      </c>
    </row>
    <row r="43931" spans="1:2" x14ac:dyDescent="0.25">
      <c r="A43931">
        <v>90041000291</v>
      </c>
      <c r="B43931" t="s">
        <v>14232</v>
      </c>
    </row>
    <row r="43932" spans="1:2" x14ac:dyDescent="0.25">
      <c r="A43932">
        <v>90041000292</v>
      </c>
      <c r="B43932" t="s">
        <v>5635</v>
      </c>
    </row>
    <row r="43933" spans="1:2" x14ac:dyDescent="0.25">
      <c r="A43933">
        <v>90041000299</v>
      </c>
      <c r="B43933" t="s">
        <v>57</v>
      </c>
    </row>
    <row r="43934" spans="1:2" x14ac:dyDescent="0.25">
      <c r="A43934">
        <v>90041000300</v>
      </c>
      <c r="B43934" t="s">
        <v>14241</v>
      </c>
    </row>
    <row r="43935" spans="1:2" x14ac:dyDescent="0.25">
      <c r="A43935">
        <v>900490</v>
      </c>
      <c r="B43935" t="e">
        <f>- Los demas</f>
        <v>#NAME?</v>
      </c>
    </row>
    <row r="43936" spans="1:2" x14ac:dyDescent="0.25">
      <c r="A43936">
        <v>90049010</v>
      </c>
      <c r="B43936" t="s">
        <v>14242</v>
      </c>
    </row>
    <row r="43937" spans="1:2" x14ac:dyDescent="0.25">
      <c r="A43937">
        <v>900490101</v>
      </c>
      <c r="B43937" t="s">
        <v>14188</v>
      </c>
    </row>
    <row r="43938" spans="1:2" x14ac:dyDescent="0.25">
      <c r="A43938">
        <v>9004901011</v>
      </c>
      <c r="B43938" t="s">
        <v>7612</v>
      </c>
    </row>
    <row r="43939" spans="1:2" x14ac:dyDescent="0.25">
      <c r="A43939">
        <v>90049010111</v>
      </c>
      <c r="B43939" t="s">
        <v>14243</v>
      </c>
    </row>
    <row r="43940" spans="1:2" x14ac:dyDescent="0.25">
      <c r="A43940">
        <v>90049010119</v>
      </c>
      <c r="B43940" t="s">
        <v>57</v>
      </c>
    </row>
    <row r="43941" spans="1:2" x14ac:dyDescent="0.25">
      <c r="A43941">
        <v>9004901019</v>
      </c>
      <c r="B43941" t="s">
        <v>57</v>
      </c>
    </row>
    <row r="43942" spans="1:2" x14ac:dyDescent="0.25">
      <c r="A43942">
        <v>90049010191</v>
      </c>
      <c r="B43942" t="s">
        <v>14243</v>
      </c>
    </row>
    <row r="43943" spans="1:2" x14ac:dyDescent="0.25">
      <c r="A43943">
        <v>90049010199</v>
      </c>
      <c r="B43943" t="s">
        <v>57</v>
      </c>
    </row>
    <row r="43944" spans="1:2" x14ac:dyDescent="0.25">
      <c r="A43944">
        <v>900490109</v>
      </c>
      <c r="B43944" t="s">
        <v>57</v>
      </c>
    </row>
    <row r="43945" spans="1:2" x14ac:dyDescent="0.25">
      <c r="A43945">
        <v>9004901091</v>
      </c>
      <c r="B43945" t="s">
        <v>7612</v>
      </c>
    </row>
    <row r="43946" spans="1:2" x14ac:dyDescent="0.25">
      <c r="A43946">
        <v>90049010911</v>
      </c>
      <c r="B43946" t="s">
        <v>14243</v>
      </c>
    </row>
    <row r="43947" spans="1:2" x14ac:dyDescent="0.25">
      <c r="A43947">
        <v>90049010919</v>
      </c>
      <c r="B43947" t="s">
        <v>57</v>
      </c>
    </row>
    <row r="43948" spans="1:2" x14ac:dyDescent="0.25">
      <c r="A43948">
        <v>9004901099</v>
      </c>
      <c r="B43948" t="s">
        <v>57</v>
      </c>
    </row>
    <row r="43949" spans="1:2" x14ac:dyDescent="0.25">
      <c r="A43949">
        <v>90049010991</v>
      </c>
      <c r="B43949" t="s">
        <v>14243</v>
      </c>
    </row>
    <row r="43950" spans="1:2" x14ac:dyDescent="0.25">
      <c r="A43950">
        <v>90049010999</v>
      </c>
      <c r="B43950" t="s">
        <v>57</v>
      </c>
    </row>
    <row r="43951" spans="1:2" x14ac:dyDescent="0.25">
      <c r="A43951">
        <v>90049020</v>
      </c>
      <c r="B43951" t="s">
        <v>14244</v>
      </c>
    </row>
    <row r="43952" spans="1:2" x14ac:dyDescent="0.25">
      <c r="A43952">
        <v>90049020100</v>
      </c>
      <c r="B43952" t="s">
        <v>14241</v>
      </c>
    </row>
    <row r="43953" spans="1:2" x14ac:dyDescent="0.25">
      <c r="A43953">
        <v>90049020900</v>
      </c>
      <c r="B43953" t="s">
        <v>57</v>
      </c>
    </row>
    <row r="43954" spans="1:2" x14ac:dyDescent="0.25">
      <c r="A43954">
        <v>90049090</v>
      </c>
      <c r="B43954" t="s">
        <v>10</v>
      </c>
    </row>
    <row r="43955" spans="1:2" x14ac:dyDescent="0.25">
      <c r="A43955">
        <v>90049090100</v>
      </c>
      <c r="B43955" t="s">
        <v>14241</v>
      </c>
    </row>
    <row r="43956" spans="1:2" x14ac:dyDescent="0.25">
      <c r="A43956">
        <v>90049090200</v>
      </c>
      <c r="B43956" t="s">
        <v>14245</v>
      </c>
    </row>
    <row r="43957" spans="1:2" x14ac:dyDescent="0.25">
      <c r="A43957">
        <v>90049090900</v>
      </c>
      <c r="B43957" t="s">
        <v>57</v>
      </c>
    </row>
    <row r="43958" spans="1:2" x14ac:dyDescent="0.25">
      <c r="A43958">
        <v>9005</v>
      </c>
      <c r="B43958" t="s">
        <v>14246</v>
      </c>
    </row>
    <row r="43959" spans="1:2" x14ac:dyDescent="0.25">
      <c r="A43959">
        <v>90051000000</v>
      </c>
      <c r="B43959" t="e">
        <f>-Binoculares (incluidos Los prismaticos)</f>
        <v>#NAME?</v>
      </c>
    </row>
    <row r="43960" spans="1:2" x14ac:dyDescent="0.25">
      <c r="A43960">
        <v>90058000000</v>
      </c>
      <c r="B43960" t="e">
        <f>-Los demas instrumentos</f>
        <v>#NAME?</v>
      </c>
    </row>
    <row r="43961" spans="1:2" x14ac:dyDescent="0.25">
      <c r="A43961">
        <v>900590</v>
      </c>
      <c r="B43961" t="e">
        <f>- partes y accesorios (incluidas las armazones)</f>
        <v>#NAME?</v>
      </c>
    </row>
    <row r="43962" spans="1:2" x14ac:dyDescent="0.25">
      <c r="A43962">
        <v>90059010000</v>
      </c>
      <c r="B43962" t="s">
        <v>14247</v>
      </c>
    </row>
    <row r="43963" spans="1:2" x14ac:dyDescent="0.25">
      <c r="A43963">
        <v>90059090000</v>
      </c>
      <c r="B43963" t="s">
        <v>10</v>
      </c>
    </row>
    <row r="43964" spans="1:2" x14ac:dyDescent="0.25">
      <c r="A43964">
        <v>9006</v>
      </c>
      <c r="B43964" t="s">
        <v>14248</v>
      </c>
    </row>
    <row r="43965" spans="1:2" x14ac:dyDescent="0.25">
      <c r="A43965">
        <v>90063000000</v>
      </c>
      <c r="B43965" t="e">
        <f>-camaras especiales para fotografia submarina o aerea. examen medico de organos internos o para laboratorios de medicina legal o identificacion judicial</f>
        <v>#NAME?</v>
      </c>
    </row>
    <row r="43966" spans="1:2" x14ac:dyDescent="0.25">
      <c r="A43966">
        <v>90064000000</v>
      </c>
      <c r="B43966" t="e">
        <f>-camaras fotograficas de autorrevelado</f>
        <v>#NAME?</v>
      </c>
    </row>
    <row r="43967" spans="1:2" x14ac:dyDescent="0.25">
      <c r="A43967">
        <v>90065</v>
      </c>
      <c r="B43967" t="s">
        <v>14249</v>
      </c>
    </row>
    <row r="43968" spans="1:2" x14ac:dyDescent="0.25">
      <c r="A43968">
        <v>90065100000</v>
      </c>
      <c r="B43968" t="s">
        <v>14250</v>
      </c>
    </row>
    <row r="43969" spans="1:2" x14ac:dyDescent="0.25">
      <c r="A43969">
        <v>90065200000</v>
      </c>
      <c r="B43969" t="s">
        <v>14251</v>
      </c>
    </row>
    <row r="43970" spans="1:2" x14ac:dyDescent="0.25">
      <c r="A43970">
        <v>900653</v>
      </c>
      <c r="B43970" t="s">
        <v>14252</v>
      </c>
    </row>
    <row r="43971" spans="1:2" x14ac:dyDescent="0.25">
      <c r="A43971">
        <v>90065310000</v>
      </c>
      <c r="B43971" t="s">
        <v>14253</v>
      </c>
    </row>
    <row r="43972" spans="1:2" x14ac:dyDescent="0.25">
      <c r="A43972">
        <v>90065320000</v>
      </c>
      <c r="B43972" t="s">
        <v>14254</v>
      </c>
    </row>
    <row r="43973" spans="1:2" x14ac:dyDescent="0.25">
      <c r="A43973">
        <v>900659</v>
      </c>
      <c r="B43973" t="e">
        <f>- - las demas</f>
        <v>#NAME?</v>
      </c>
    </row>
    <row r="43974" spans="1:2" x14ac:dyDescent="0.25">
      <c r="A43974">
        <v>90065930000</v>
      </c>
      <c r="B43974" t="e">
        <f>-Fotocomponedoras a laser para preparar clises</f>
        <v>#NAME?</v>
      </c>
    </row>
    <row r="43975" spans="1:2" x14ac:dyDescent="0.25">
      <c r="A43975">
        <v>90065940000</v>
      </c>
      <c r="B43975" t="s">
        <v>14255</v>
      </c>
    </row>
    <row r="43976" spans="1:2" x14ac:dyDescent="0.25">
      <c r="A43976">
        <v>9006595</v>
      </c>
      <c r="B43976" t="s">
        <v>14256</v>
      </c>
    </row>
    <row r="43977" spans="1:2" x14ac:dyDescent="0.25">
      <c r="A43977">
        <v>90065951000</v>
      </c>
      <c r="B43977" t="s">
        <v>14257</v>
      </c>
    </row>
    <row r="43978" spans="1:2" x14ac:dyDescent="0.25">
      <c r="A43978">
        <v>90065959000</v>
      </c>
      <c r="B43978" t="s">
        <v>6724</v>
      </c>
    </row>
    <row r="43979" spans="1:2" x14ac:dyDescent="0.25">
      <c r="A43979">
        <v>90066</v>
      </c>
      <c r="B43979" t="s">
        <v>14258</v>
      </c>
    </row>
    <row r="43980" spans="1:2" x14ac:dyDescent="0.25">
      <c r="A43980">
        <v>90066100000</v>
      </c>
      <c r="B43980" t="s">
        <v>14259</v>
      </c>
    </row>
    <row r="43981" spans="1:2" x14ac:dyDescent="0.25">
      <c r="A43981">
        <v>90066900000</v>
      </c>
      <c r="B43981" t="e">
        <f>--Los demas</f>
        <v>#NAME?</v>
      </c>
    </row>
    <row r="43982" spans="1:2" x14ac:dyDescent="0.25">
      <c r="A43982">
        <v>90069</v>
      </c>
      <c r="B43982" t="s">
        <v>12027</v>
      </c>
    </row>
    <row r="43983" spans="1:2" x14ac:dyDescent="0.25">
      <c r="A43983">
        <v>900691</v>
      </c>
      <c r="B43983" t="e">
        <f>- - de camaras fotograficas</f>
        <v>#NAME?</v>
      </c>
    </row>
    <row r="43984" spans="1:2" x14ac:dyDescent="0.25">
      <c r="A43984">
        <v>90069110000</v>
      </c>
      <c r="B43984" t="s">
        <v>14260</v>
      </c>
    </row>
    <row r="43985" spans="1:2" x14ac:dyDescent="0.25">
      <c r="A43985">
        <v>90069190</v>
      </c>
      <c r="B43985" t="s">
        <v>10</v>
      </c>
    </row>
    <row r="43986" spans="1:2" x14ac:dyDescent="0.25">
      <c r="A43986">
        <v>90069190100</v>
      </c>
      <c r="B43986" t="s">
        <v>14261</v>
      </c>
    </row>
    <row r="43987" spans="1:2" x14ac:dyDescent="0.25">
      <c r="A43987">
        <v>90069190200</v>
      </c>
      <c r="B43987" t="s">
        <v>7516</v>
      </c>
    </row>
    <row r="43988" spans="1:2" x14ac:dyDescent="0.25">
      <c r="A43988">
        <v>90069190300</v>
      </c>
      <c r="B43988" t="s">
        <v>7524</v>
      </c>
    </row>
    <row r="43989" spans="1:2" x14ac:dyDescent="0.25">
      <c r="A43989">
        <v>90069190400</v>
      </c>
      <c r="B43989" t="s">
        <v>14262</v>
      </c>
    </row>
    <row r="43990" spans="1:2" x14ac:dyDescent="0.25">
      <c r="A43990">
        <v>90069190500</v>
      </c>
      <c r="B43990" t="s">
        <v>14263</v>
      </c>
    </row>
    <row r="43991" spans="1:2" x14ac:dyDescent="0.25">
      <c r="A43991">
        <v>90069190700</v>
      </c>
      <c r="B43991" t="s">
        <v>14264</v>
      </c>
    </row>
    <row r="43992" spans="1:2" x14ac:dyDescent="0.25">
      <c r="A43992">
        <v>90069190900</v>
      </c>
      <c r="B43992" t="s">
        <v>10</v>
      </c>
    </row>
    <row r="43993" spans="1:2" x14ac:dyDescent="0.25">
      <c r="A43993">
        <v>90069900</v>
      </c>
      <c r="B43993" t="e">
        <f>- - Los demas</f>
        <v>#NAME?</v>
      </c>
    </row>
    <row r="43994" spans="1:2" x14ac:dyDescent="0.25">
      <c r="A43994">
        <v>90069900100</v>
      </c>
      <c r="B43994" t="s">
        <v>12036</v>
      </c>
    </row>
    <row r="43995" spans="1:2" x14ac:dyDescent="0.25">
      <c r="A43995">
        <v>90069900900</v>
      </c>
      <c r="B43995" t="s">
        <v>12037</v>
      </c>
    </row>
    <row r="43996" spans="1:2" x14ac:dyDescent="0.25">
      <c r="A43996">
        <v>9007</v>
      </c>
      <c r="B43996" t="s">
        <v>14265</v>
      </c>
    </row>
    <row r="43997" spans="1:2" x14ac:dyDescent="0.25">
      <c r="A43997">
        <v>90071000</v>
      </c>
      <c r="B43997" t="e">
        <f>- camaras</f>
        <v>#NAME?</v>
      </c>
    </row>
    <row r="43998" spans="1:2" x14ac:dyDescent="0.25">
      <c r="A43998">
        <v>90071000100</v>
      </c>
      <c r="B43998" t="s">
        <v>14266</v>
      </c>
    </row>
    <row r="43999" spans="1:2" x14ac:dyDescent="0.25">
      <c r="A43999">
        <v>90071000900</v>
      </c>
      <c r="B43999" t="s">
        <v>57</v>
      </c>
    </row>
    <row r="44000" spans="1:2" x14ac:dyDescent="0.25">
      <c r="A44000">
        <v>900720</v>
      </c>
      <c r="B44000" t="e">
        <f>- Proyectores</f>
        <v>#NAME?</v>
      </c>
    </row>
    <row r="44001" spans="1:2" x14ac:dyDescent="0.25">
      <c r="A44001">
        <v>90072020000</v>
      </c>
      <c r="B44001" t="s">
        <v>14267</v>
      </c>
    </row>
    <row r="44002" spans="1:2" x14ac:dyDescent="0.25">
      <c r="A44002">
        <v>90072090</v>
      </c>
      <c r="B44002" t="s">
        <v>10</v>
      </c>
    </row>
    <row r="44003" spans="1:2" x14ac:dyDescent="0.25">
      <c r="A44003">
        <v>90072090100</v>
      </c>
      <c r="B44003" t="s">
        <v>14268</v>
      </c>
    </row>
    <row r="44004" spans="1:2" x14ac:dyDescent="0.25">
      <c r="A44004">
        <v>90072090900</v>
      </c>
      <c r="B44004" t="s">
        <v>10</v>
      </c>
    </row>
    <row r="44005" spans="1:2" x14ac:dyDescent="0.25">
      <c r="A44005">
        <v>90079</v>
      </c>
      <c r="B44005" t="s">
        <v>12027</v>
      </c>
    </row>
    <row r="44006" spans="1:2" x14ac:dyDescent="0.25">
      <c r="A44006">
        <v>90079100000</v>
      </c>
      <c r="B44006" t="e">
        <f>--de camaras</f>
        <v>#NAME?</v>
      </c>
    </row>
    <row r="44007" spans="1:2" x14ac:dyDescent="0.25">
      <c r="A44007">
        <v>90079200000</v>
      </c>
      <c r="B44007" t="e">
        <f>--de Proyectores</f>
        <v>#NAME?</v>
      </c>
    </row>
    <row r="44008" spans="1:2" x14ac:dyDescent="0.25">
      <c r="A44008">
        <v>9008</v>
      </c>
      <c r="B44008" t="s">
        <v>14269</v>
      </c>
    </row>
    <row r="44009" spans="1:2" x14ac:dyDescent="0.25">
      <c r="A44009">
        <v>90085000</v>
      </c>
      <c r="B44009" t="e">
        <f>- Proyectores. ampliadoras o reductoras</f>
        <v>#NAME?</v>
      </c>
    </row>
    <row r="44010" spans="1:2" x14ac:dyDescent="0.25">
      <c r="A44010">
        <v>90085000100</v>
      </c>
      <c r="B44010" t="s">
        <v>14270</v>
      </c>
    </row>
    <row r="44011" spans="1:2" x14ac:dyDescent="0.25">
      <c r="A44011">
        <v>900850002</v>
      </c>
      <c r="B44011" t="s">
        <v>14271</v>
      </c>
    </row>
    <row r="44012" spans="1:2" x14ac:dyDescent="0.25">
      <c r="A44012">
        <v>90085000210</v>
      </c>
      <c r="B44012" t="s">
        <v>14272</v>
      </c>
    </row>
    <row r="44013" spans="1:2" x14ac:dyDescent="0.25">
      <c r="A44013">
        <v>90085000290</v>
      </c>
      <c r="B44013" t="s">
        <v>10</v>
      </c>
    </row>
    <row r="44014" spans="1:2" x14ac:dyDescent="0.25">
      <c r="A44014">
        <v>90085000300</v>
      </c>
      <c r="B44014" t="s">
        <v>14273</v>
      </c>
    </row>
    <row r="44015" spans="1:2" x14ac:dyDescent="0.25">
      <c r="A44015">
        <v>90085000400</v>
      </c>
      <c r="B44015" t="s">
        <v>14274</v>
      </c>
    </row>
    <row r="44016" spans="1:2" x14ac:dyDescent="0.25">
      <c r="A44016">
        <v>90089000</v>
      </c>
      <c r="B44016" t="e">
        <f>- partes y accesorios</f>
        <v>#NAME?</v>
      </c>
    </row>
    <row r="44017" spans="1:2" x14ac:dyDescent="0.25">
      <c r="A44017">
        <v>90089000100</v>
      </c>
      <c r="B44017" t="s">
        <v>12036</v>
      </c>
    </row>
    <row r="44018" spans="1:2" x14ac:dyDescent="0.25">
      <c r="A44018">
        <v>90089000900</v>
      </c>
      <c r="B44018" t="s">
        <v>12037</v>
      </c>
    </row>
    <row r="44019" spans="1:2" x14ac:dyDescent="0.25">
      <c r="A44019">
        <v>9010</v>
      </c>
      <c r="B44019" t="s">
        <v>14275</v>
      </c>
    </row>
    <row r="44020" spans="1:2" x14ac:dyDescent="0.25">
      <c r="A44020">
        <v>901010</v>
      </c>
      <c r="B44020" t="e">
        <f>- aparatos y Material para revelado automatico de pelicula fotografica. pelicula cinematografica (filme) o papel fotografico En rollo o para impresion automatica de Peliculas reveladas En rollos de papel fotografico</f>
        <v>#NAME?</v>
      </c>
    </row>
    <row r="44021" spans="1:2" x14ac:dyDescent="0.25">
      <c r="A44021">
        <v>90101010000</v>
      </c>
      <c r="B44021" t="s">
        <v>14276</v>
      </c>
    </row>
    <row r="44022" spans="1:2" x14ac:dyDescent="0.25">
      <c r="A44022">
        <v>90101020000</v>
      </c>
      <c r="B44022" t="s">
        <v>14277</v>
      </c>
    </row>
    <row r="44023" spans="1:2" x14ac:dyDescent="0.25">
      <c r="A44023">
        <v>90101090000</v>
      </c>
      <c r="B44023" t="s">
        <v>10</v>
      </c>
    </row>
    <row r="44024" spans="1:2" x14ac:dyDescent="0.25">
      <c r="A44024">
        <v>901050</v>
      </c>
      <c r="B44024" t="e">
        <f>- Los demas aparatos y Material para laboratorios fotograficos o cinematograficos, negatoscopios</f>
        <v>#NAME?</v>
      </c>
    </row>
    <row r="44025" spans="1:2" x14ac:dyDescent="0.25">
      <c r="A44025">
        <v>90105010000</v>
      </c>
      <c r="B44025" t="s">
        <v>14278</v>
      </c>
    </row>
    <row r="44026" spans="1:2" x14ac:dyDescent="0.25">
      <c r="A44026">
        <v>90105020000</v>
      </c>
      <c r="B44026" t="s">
        <v>14279</v>
      </c>
    </row>
    <row r="44027" spans="1:2" x14ac:dyDescent="0.25">
      <c r="A44027">
        <v>90105090</v>
      </c>
      <c r="B44027" t="s">
        <v>10</v>
      </c>
    </row>
    <row r="44028" spans="1:2" x14ac:dyDescent="0.25">
      <c r="A44028">
        <v>90105090100</v>
      </c>
      <c r="B44028" t="s">
        <v>14280</v>
      </c>
    </row>
    <row r="44029" spans="1:2" x14ac:dyDescent="0.25">
      <c r="A44029">
        <v>90105090900</v>
      </c>
      <c r="B44029" t="s">
        <v>10</v>
      </c>
    </row>
    <row r="44030" spans="1:2" x14ac:dyDescent="0.25">
      <c r="A44030">
        <v>90106000000</v>
      </c>
      <c r="B44030" t="e">
        <f>-Pantallas de proyeccion</f>
        <v>#NAME?</v>
      </c>
    </row>
    <row r="44031" spans="1:2" x14ac:dyDescent="0.25">
      <c r="A44031">
        <v>901090</v>
      </c>
      <c r="B44031" t="e">
        <f>- partes y accesorios</f>
        <v>#NAME?</v>
      </c>
    </row>
    <row r="44032" spans="1:2" x14ac:dyDescent="0.25">
      <c r="A44032">
        <v>90109010000</v>
      </c>
      <c r="B44032" t="s">
        <v>14281</v>
      </c>
    </row>
    <row r="44033" spans="1:2" x14ac:dyDescent="0.25">
      <c r="A44033">
        <v>90109090000</v>
      </c>
      <c r="B44033" t="s">
        <v>10</v>
      </c>
    </row>
    <row r="44034" spans="1:2" x14ac:dyDescent="0.25">
      <c r="A44034">
        <v>9011</v>
      </c>
      <c r="B44034" t="s">
        <v>14282</v>
      </c>
    </row>
    <row r="44035" spans="1:2" x14ac:dyDescent="0.25">
      <c r="A44035">
        <v>90111000000</v>
      </c>
      <c r="B44035" t="e">
        <f>-Microscopios estereoscopicos</f>
        <v>#NAME?</v>
      </c>
    </row>
    <row r="44036" spans="1:2" x14ac:dyDescent="0.25">
      <c r="A44036">
        <v>901120</v>
      </c>
      <c r="B44036" t="e">
        <f>- Los demas Microscopios para fotomicrografia. cinefotomicrografia o microproyeccion</f>
        <v>#NAME?</v>
      </c>
    </row>
    <row r="44037" spans="1:2" x14ac:dyDescent="0.25">
      <c r="A44037">
        <v>90112010000</v>
      </c>
      <c r="B44037" t="s">
        <v>14283</v>
      </c>
    </row>
    <row r="44038" spans="1:2" x14ac:dyDescent="0.25">
      <c r="A44038">
        <v>90112020000</v>
      </c>
      <c r="B44038" t="s">
        <v>14284</v>
      </c>
    </row>
    <row r="44039" spans="1:2" x14ac:dyDescent="0.25">
      <c r="A44039">
        <v>90112030000</v>
      </c>
      <c r="B44039" t="s">
        <v>14285</v>
      </c>
    </row>
    <row r="44040" spans="1:2" x14ac:dyDescent="0.25">
      <c r="A44040">
        <v>901180</v>
      </c>
      <c r="B44040" t="e">
        <f>- Los demas Microscopios</f>
        <v>#NAME?</v>
      </c>
    </row>
    <row r="44041" spans="1:2" x14ac:dyDescent="0.25">
      <c r="A44041">
        <v>90118010000</v>
      </c>
      <c r="B44041" t="s">
        <v>14286</v>
      </c>
    </row>
    <row r="44042" spans="1:2" x14ac:dyDescent="0.25">
      <c r="A44042">
        <v>90118090000</v>
      </c>
      <c r="B44042" t="s">
        <v>10</v>
      </c>
    </row>
    <row r="44043" spans="1:2" x14ac:dyDescent="0.25">
      <c r="A44043">
        <v>901190</v>
      </c>
      <c r="B44043" t="e">
        <f>- partes y accesorios</f>
        <v>#NAME?</v>
      </c>
    </row>
    <row r="44044" spans="1:2" x14ac:dyDescent="0.25">
      <c r="A44044">
        <v>90119010</v>
      </c>
      <c r="B44044" t="s">
        <v>14287</v>
      </c>
    </row>
    <row r="44045" spans="1:2" x14ac:dyDescent="0.25">
      <c r="A44045">
        <v>90119010100</v>
      </c>
      <c r="B44045" t="s">
        <v>14288</v>
      </c>
    </row>
    <row r="44046" spans="1:2" x14ac:dyDescent="0.25">
      <c r="A44046">
        <v>90119010900</v>
      </c>
      <c r="B44046" t="s">
        <v>10</v>
      </c>
    </row>
    <row r="44047" spans="1:2" x14ac:dyDescent="0.25">
      <c r="A44047">
        <v>90119090</v>
      </c>
      <c r="B44047" t="s">
        <v>10</v>
      </c>
    </row>
    <row r="44048" spans="1:2" x14ac:dyDescent="0.25">
      <c r="A44048">
        <v>90119090100</v>
      </c>
      <c r="B44048" t="s">
        <v>14288</v>
      </c>
    </row>
    <row r="44049" spans="1:2" x14ac:dyDescent="0.25">
      <c r="A44049">
        <v>90119090900</v>
      </c>
      <c r="B44049" t="s">
        <v>10</v>
      </c>
    </row>
    <row r="44050" spans="1:2" x14ac:dyDescent="0.25">
      <c r="A44050">
        <v>9012</v>
      </c>
      <c r="B44050" t="s">
        <v>14289</v>
      </c>
    </row>
    <row r="44051" spans="1:2" x14ac:dyDescent="0.25">
      <c r="A44051">
        <v>901210</v>
      </c>
      <c r="B44051" t="e">
        <f>- Microscopios. excepto Los opticos, difractografos</f>
        <v>#NAME?</v>
      </c>
    </row>
    <row r="44052" spans="1:2" x14ac:dyDescent="0.25">
      <c r="A44052">
        <v>90121010000</v>
      </c>
      <c r="B44052" t="s">
        <v>14290</v>
      </c>
    </row>
    <row r="44053" spans="1:2" x14ac:dyDescent="0.25">
      <c r="A44053">
        <v>90121090000</v>
      </c>
      <c r="B44053" t="s">
        <v>10</v>
      </c>
    </row>
    <row r="44054" spans="1:2" x14ac:dyDescent="0.25">
      <c r="A44054">
        <v>901290</v>
      </c>
      <c r="B44054" t="e">
        <f>- partes y accesorios</f>
        <v>#NAME?</v>
      </c>
    </row>
    <row r="44055" spans="1:2" x14ac:dyDescent="0.25">
      <c r="A44055">
        <v>90129010</v>
      </c>
      <c r="B44055" t="s">
        <v>14291</v>
      </c>
    </row>
    <row r="44056" spans="1:2" x14ac:dyDescent="0.25">
      <c r="A44056">
        <v>90129010100</v>
      </c>
      <c r="B44056" t="s">
        <v>14288</v>
      </c>
    </row>
    <row r="44057" spans="1:2" x14ac:dyDescent="0.25">
      <c r="A44057">
        <v>90129010900</v>
      </c>
      <c r="B44057" t="s">
        <v>10</v>
      </c>
    </row>
    <row r="44058" spans="1:2" x14ac:dyDescent="0.25">
      <c r="A44058">
        <v>90129090</v>
      </c>
      <c r="B44058" t="s">
        <v>10</v>
      </c>
    </row>
    <row r="44059" spans="1:2" x14ac:dyDescent="0.25">
      <c r="A44059">
        <v>90129090100</v>
      </c>
      <c r="B44059" t="s">
        <v>14288</v>
      </c>
    </row>
    <row r="44060" spans="1:2" x14ac:dyDescent="0.25">
      <c r="A44060">
        <v>90129090900</v>
      </c>
      <c r="B44060" t="s">
        <v>10</v>
      </c>
    </row>
    <row r="44061" spans="1:2" x14ac:dyDescent="0.25">
      <c r="A44061">
        <v>9013</v>
      </c>
      <c r="B44061" t="s">
        <v>14292</v>
      </c>
    </row>
    <row r="44062" spans="1:2" x14ac:dyDescent="0.25">
      <c r="A44062">
        <v>901310</v>
      </c>
      <c r="B44062" t="e">
        <f>- Miras telescopicas para armas, periscopios, visores para maquinas. aparatos o instrumentos de este Capitulo o de la seccion XVI</f>
        <v>#NAME?</v>
      </c>
    </row>
    <row r="44063" spans="1:2" x14ac:dyDescent="0.25">
      <c r="A44063">
        <v>90131010</v>
      </c>
      <c r="B44063" t="s">
        <v>14293</v>
      </c>
    </row>
    <row r="44064" spans="1:2" x14ac:dyDescent="0.25">
      <c r="A44064">
        <v>90131010100</v>
      </c>
      <c r="B44064" t="s">
        <v>14294</v>
      </c>
    </row>
    <row r="44065" spans="1:2" x14ac:dyDescent="0.25">
      <c r="A44065">
        <v>90131010900</v>
      </c>
      <c r="B44065" t="s">
        <v>57</v>
      </c>
    </row>
    <row r="44066" spans="1:2" x14ac:dyDescent="0.25">
      <c r="A44066">
        <v>90131090000</v>
      </c>
      <c r="B44066" t="s">
        <v>10</v>
      </c>
    </row>
    <row r="44067" spans="1:2" x14ac:dyDescent="0.25">
      <c r="A44067">
        <v>90132000</v>
      </c>
      <c r="B44067" t="e">
        <f>- Laseres. excepto Los diodos laser</f>
        <v>#NAME?</v>
      </c>
    </row>
    <row r="44068" spans="1:2" x14ac:dyDescent="0.25">
      <c r="A44068">
        <v>90132000100</v>
      </c>
      <c r="B44068" t="s">
        <v>14295</v>
      </c>
    </row>
    <row r="44069" spans="1:2" x14ac:dyDescent="0.25">
      <c r="A44069">
        <v>90132000200</v>
      </c>
      <c r="B44069" t="s">
        <v>14296</v>
      </c>
    </row>
    <row r="44070" spans="1:2" x14ac:dyDescent="0.25">
      <c r="A44070">
        <v>90132000900</v>
      </c>
      <c r="B44070" t="s">
        <v>10</v>
      </c>
    </row>
    <row r="44071" spans="1:2" x14ac:dyDescent="0.25">
      <c r="A44071">
        <v>901380</v>
      </c>
      <c r="B44071" t="e">
        <f>- Los demas dispositivos. aparatos e instrumentos</f>
        <v>#NAME?</v>
      </c>
    </row>
    <row r="44072" spans="1:2" x14ac:dyDescent="0.25">
      <c r="A44072">
        <v>90138010000</v>
      </c>
      <c r="B44072" t="s">
        <v>14297</v>
      </c>
    </row>
    <row r="44073" spans="1:2" x14ac:dyDescent="0.25">
      <c r="A44073">
        <v>90138090</v>
      </c>
      <c r="B44073" t="s">
        <v>10</v>
      </c>
    </row>
    <row r="44074" spans="1:2" x14ac:dyDescent="0.25">
      <c r="A44074">
        <v>90138090100</v>
      </c>
      <c r="B44074" t="s">
        <v>14298</v>
      </c>
    </row>
    <row r="44075" spans="1:2" x14ac:dyDescent="0.25">
      <c r="A44075">
        <v>90138090200</v>
      </c>
      <c r="B44075" t="s">
        <v>14299</v>
      </c>
    </row>
    <row r="44076" spans="1:2" x14ac:dyDescent="0.25">
      <c r="A44076">
        <v>90138090900</v>
      </c>
      <c r="B44076" t="s">
        <v>10</v>
      </c>
    </row>
    <row r="44077" spans="1:2" x14ac:dyDescent="0.25">
      <c r="A44077">
        <v>90139000</v>
      </c>
      <c r="B44077" t="e">
        <f>- partes y accesorios</f>
        <v>#NAME?</v>
      </c>
    </row>
    <row r="44078" spans="1:2" x14ac:dyDescent="0.25">
      <c r="A44078">
        <v>90139000100</v>
      </c>
      <c r="B44078" t="s">
        <v>12036</v>
      </c>
    </row>
    <row r="44079" spans="1:2" x14ac:dyDescent="0.25">
      <c r="A44079">
        <v>90139000900</v>
      </c>
      <c r="B44079" t="s">
        <v>12037</v>
      </c>
    </row>
    <row r="44080" spans="1:2" x14ac:dyDescent="0.25">
      <c r="A44080">
        <v>9014</v>
      </c>
      <c r="B44080" t="s">
        <v>14300</v>
      </c>
    </row>
    <row r="44081" spans="1:2" x14ac:dyDescent="0.25">
      <c r="A44081">
        <v>90141000</v>
      </c>
      <c r="B44081" t="e">
        <f>- Brujulas. incluidos Los compases de navegacion</f>
        <v>#NAME?</v>
      </c>
    </row>
    <row r="44082" spans="1:2" x14ac:dyDescent="0.25">
      <c r="A44082">
        <v>90141000100</v>
      </c>
      <c r="B44082" t="s">
        <v>14301</v>
      </c>
    </row>
    <row r="44083" spans="1:2" x14ac:dyDescent="0.25">
      <c r="A44083">
        <v>90141000900</v>
      </c>
      <c r="B44083" t="s">
        <v>10</v>
      </c>
    </row>
    <row r="44084" spans="1:2" x14ac:dyDescent="0.25">
      <c r="A44084">
        <v>901420</v>
      </c>
      <c r="B44084" t="e">
        <f>- instrumentos y aparatos para navegacion aerea o espacial (excepto las brujulas)</f>
        <v>#NAME?</v>
      </c>
    </row>
    <row r="44085" spans="1:2" x14ac:dyDescent="0.25">
      <c r="A44085">
        <v>90142010000</v>
      </c>
      <c r="B44085" t="s">
        <v>14302</v>
      </c>
    </row>
    <row r="44086" spans="1:2" x14ac:dyDescent="0.25">
      <c r="A44086">
        <v>90142020000</v>
      </c>
      <c r="B44086" t="s">
        <v>14303</v>
      </c>
    </row>
    <row r="44087" spans="1:2" x14ac:dyDescent="0.25">
      <c r="A44087">
        <v>90142030000</v>
      </c>
      <c r="B44087" t="s">
        <v>14304</v>
      </c>
    </row>
    <row r="44088" spans="1:2" x14ac:dyDescent="0.25">
      <c r="A44088">
        <v>90142090</v>
      </c>
      <c r="B44088" t="s">
        <v>10</v>
      </c>
    </row>
    <row r="44089" spans="1:2" x14ac:dyDescent="0.25">
      <c r="A44089">
        <v>90142090100</v>
      </c>
      <c r="B44089" t="s">
        <v>14305</v>
      </c>
    </row>
    <row r="44090" spans="1:2" x14ac:dyDescent="0.25">
      <c r="A44090">
        <v>90142090200</v>
      </c>
      <c r="B44090" t="s">
        <v>14306</v>
      </c>
    </row>
    <row r="44091" spans="1:2" x14ac:dyDescent="0.25">
      <c r="A44091">
        <v>90142090300</v>
      </c>
      <c r="B44091" t="s">
        <v>14307</v>
      </c>
    </row>
    <row r="44092" spans="1:2" x14ac:dyDescent="0.25">
      <c r="A44092">
        <v>90142090900</v>
      </c>
      <c r="B44092" t="s">
        <v>10</v>
      </c>
    </row>
    <row r="44093" spans="1:2" x14ac:dyDescent="0.25">
      <c r="A44093">
        <v>901480</v>
      </c>
      <c r="B44093" t="e">
        <f>- Los demas instrumentos y aparatos</f>
        <v>#NAME?</v>
      </c>
    </row>
    <row r="44094" spans="1:2" x14ac:dyDescent="0.25">
      <c r="A44094">
        <v>90148010000</v>
      </c>
      <c r="B44094" t="s">
        <v>14308</v>
      </c>
    </row>
    <row r="44095" spans="1:2" x14ac:dyDescent="0.25">
      <c r="A44095">
        <v>90148090000</v>
      </c>
      <c r="B44095" t="s">
        <v>10</v>
      </c>
    </row>
    <row r="44096" spans="1:2" x14ac:dyDescent="0.25">
      <c r="A44096">
        <v>90149000</v>
      </c>
      <c r="B44096" t="e">
        <f>- partes y accesorios</f>
        <v>#NAME?</v>
      </c>
    </row>
    <row r="44097" spans="1:2" x14ac:dyDescent="0.25">
      <c r="A44097">
        <v>90149000100</v>
      </c>
      <c r="B44097" t="s">
        <v>12036</v>
      </c>
    </row>
    <row r="44098" spans="1:2" x14ac:dyDescent="0.25">
      <c r="A44098">
        <v>90149000900</v>
      </c>
      <c r="B44098" t="s">
        <v>12037</v>
      </c>
    </row>
    <row r="44099" spans="1:2" x14ac:dyDescent="0.25">
      <c r="A44099">
        <v>9015</v>
      </c>
      <c r="B44099" t="s">
        <v>14309</v>
      </c>
    </row>
    <row r="44100" spans="1:2" x14ac:dyDescent="0.25">
      <c r="A44100">
        <v>90151000000</v>
      </c>
      <c r="B44100" t="e">
        <f>-Telemetros</f>
        <v>#NAME?</v>
      </c>
    </row>
    <row r="44101" spans="1:2" x14ac:dyDescent="0.25">
      <c r="A44101">
        <v>901520</v>
      </c>
      <c r="B44101" t="e">
        <f>- Teodolitos y taquimetros</f>
        <v>#NAME?</v>
      </c>
    </row>
    <row r="44102" spans="1:2" x14ac:dyDescent="0.25">
      <c r="A44102">
        <v>90152010000</v>
      </c>
      <c r="B44102" t="s">
        <v>14310</v>
      </c>
    </row>
    <row r="44103" spans="1:2" x14ac:dyDescent="0.25">
      <c r="A44103">
        <v>90152090000</v>
      </c>
      <c r="B44103" t="s">
        <v>10</v>
      </c>
    </row>
    <row r="44104" spans="1:2" x14ac:dyDescent="0.25">
      <c r="A44104">
        <v>90153000</v>
      </c>
      <c r="B44104" t="e">
        <f>- Niveles</f>
        <v>#NAME?</v>
      </c>
    </row>
    <row r="44105" spans="1:2" x14ac:dyDescent="0.25">
      <c r="A44105">
        <v>90153000100</v>
      </c>
      <c r="B44105" t="s">
        <v>14311</v>
      </c>
    </row>
    <row r="44106" spans="1:2" x14ac:dyDescent="0.25">
      <c r="A44106">
        <v>90153000900</v>
      </c>
      <c r="B44106" t="s">
        <v>10</v>
      </c>
    </row>
    <row r="44107" spans="1:2" x14ac:dyDescent="0.25">
      <c r="A44107">
        <v>90154000000</v>
      </c>
      <c r="B44107" t="e">
        <f>-instrumentos y aparatos de fotogrametria</f>
        <v>#NAME?</v>
      </c>
    </row>
    <row r="44108" spans="1:2" x14ac:dyDescent="0.25">
      <c r="A44108">
        <v>901580</v>
      </c>
      <c r="B44108" t="e">
        <f>- Los demas instrumentos y aparatos</f>
        <v>#NAME?</v>
      </c>
    </row>
    <row r="44109" spans="1:2" x14ac:dyDescent="0.25">
      <c r="A44109">
        <v>90158010000</v>
      </c>
      <c r="B44109" t="s">
        <v>14312</v>
      </c>
    </row>
    <row r="44110" spans="1:2" x14ac:dyDescent="0.25">
      <c r="A44110">
        <v>90158090</v>
      </c>
      <c r="B44110" t="s">
        <v>10</v>
      </c>
    </row>
    <row r="44111" spans="1:2" x14ac:dyDescent="0.25">
      <c r="A44111">
        <v>90158090100</v>
      </c>
      <c r="B44111" t="s">
        <v>14313</v>
      </c>
    </row>
    <row r="44112" spans="1:2" x14ac:dyDescent="0.25">
      <c r="A44112">
        <v>90158090200</v>
      </c>
      <c r="B44112" t="s">
        <v>14314</v>
      </c>
    </row>
    <row r="44113" spans="1:2" x14ac:dyDescent="0.25">
      <c r="A44113">
        <v>90158090300</v>
      </c>
      <c r="B44113" t="s">
        <v>14315</v>
      </c>
    </row>
    <row r="44114" spans="1:2" x14ac:dyDescent="0.25">
      <c r="A44114">
        <v>90158090400</v>
      </c>
      <c r="B44114" t="s">
        <v>14316</v>
      </c>
    </row>
    <row r="44115" spans="1:2" x14ac:dyDescent="0.25">
      <c r="A44115">
        <v>90158090500</v>
      </c>
      <c r="B44115" t="s">
        <v>14317</v>
      </c>
    </row>
    <row r="44116" spans="1:2" x14ac:dyDescent="0.25">
      <c r="A44116">
        <v>90158090600</v>
      </c>
      <c r="B44116" t="s">
        <v>14318</v>
      </c>
    </row>
    <row r="44117" spans="1:2" x14ac:dyDescent="0.25">
      <c r="A44117">
        <v>90158090700</v>
      </c>
      <c r="B44117" t="s">
        <v>14319</v>
      </c>
    </row>
    <row r="44118" spans="1:2" x14ac:dyDescent="0.25">
      <c r="A44118">
        <v>90158090900</v>
      </c>
      <c r="B44118" t="s">
        <v>10</v>
      </c>
    </row>
    <row r="44119" spans="1:2" x14ac:dyDescent="0.25">
      <c r="A44119">
        <v>901590</v>
      </c>
      <c r="B44119" t="e">
        <f>- partes y accesorios</f>
        <v>#NAME?</v>
      </c>
    </row>
    <row r="44120" spans="1:2" x14ac:dyDescent="0.25">
      <c r="A44120">
        <v>90159010000</v>
      </c>
      <c r="B44120" t="s">
        <v>14320</v>
      </c>
    </row>
    <row r="44121" spans="1:2" x14ac:dyDescent="0.25">
      <c r="A44121">
        <v>90159090</v>
      </c>
      <c r="B44121" t="s">
        <v>10</v>
      </c>
    </row>
    <row r="44122" spans="1:2" x14ac:dyDescent="0.25">
      <c r="A44122">
        <v>90159090100</v>
      </c>
      <c r="B44122" t="s">
        <v>12036</v>
      </c>
    </row>
    <row r="44123" spans="1:2" x14ac:dyDescent="0.25">
      <c r="A44123">
        <v>90159090900</v>
      </c>
      <c r="B44123" t="s">
        <v>12037</v>
      </c>
    </row>
    <row r="44124" spans="1:2" x14ac:dyDescent="0.25">
      <c r="A44124">
        <v>901600</v>
      </c>
      <c r="B44124" t="s">
        <v>14321</v>
      </c>
    </row>
    <row r="44125" spans="1:2" x14ac:dyDescent="0.25">
      <c r="A44125">
        <v>90160010</v>
      </c>
      <c r="B44125" t="s">
        <v>14322</v>
      </c>
    </row>
    <row r="44126" spans="1:2" x14ac:dyDescent="0.25">
      <c r="A44126">
        <v>90160010100</v>
      </c>
      <c r="B44126" t="s">
        <v>14148</v>
      </c>
    </row>
    <row r="44127" spans="1:2" x14ac:dyDescent="0.25">
      <c r="A44127">
        <v>90160010900</v>
      </c>
      <c r="B44127" t="s">
        <v>12037</v>
      </c>
    </row>
    <row r="44128" spans="1:2" x14ac:dyDescent="0.25">
      <c r="A44128">
        <v>90160090</v>
      </c>
      <c r="B44128" t="s">
        <v>57</v>
      </c>
    </row>
    <row r="44129" spans="1:2" x14ac:dyDescent="0.25">
      <c r="A44129">
        <v>90160090100</v>
      </c>
      <c r="B44129" t="s">
        <v>14148</v>
      </c>
    </row>
    <row r="44130" spans="1:2" x14ac:dyDescent="0.25">
      <c r="A44130">
        <v>90160090900</v>
      </c>
      <c r="B44130" t="s">
        <v>12037</v>
      </c>
    </row>
    <row r="44131" spans="1:2" x14ac:dyDescent="0.25">
      <c r="A44131">
        <v>9017</v>
      </c>
      <c r="B44131" t="s">
        <v>14323</v>
      </c>
    </row>
    <row r="44132" spans="1:2" x14ac:dyDescent="0.25">
      <c r="A44132">
        <v>901710</v>
      </c>
      <c r="B44132" t="e">
        <f>- mesas y maquinas de dibujar. incluso automaticas</f>
        <v>#NAME?</v>
      </c>
    </row>
    <row r="44133" spans="1:2" x14ac:dyDescent="0.25">
      <c r="A44133">
        <v>90171010000</v>
      </c>
      <c r="B44133" t="s">
        <v>12166</v>
      </c>
    </row>
    <row r="44134" spans="1:2" x14ac:dyDescent="0.25">
      <c r="A44134">
        <v>90171090000</v>
      </c>
      <c r="B44134" t="s">
        <v>57</v>
      </c>
    </row>
    <row r="44135" spans="1:2" x14ac:dyDescent="0.25">
      <c r="A44135">
        <v>90172000</v>
      </c>
      <c r="B44135" t="e">
        <f>- Los demas instrumentos de dibujo. trazado o calculo</f>
        <v>#NAME?</v>
      </c>
    </row>
    <row r="44136" spans="1:2" x14ac:dyDescent="0.25">
      <c r="A44136">
        <v>901720001</v>
      </c>
      <c r="B44136" t="s">
        <v>14324</v>
      </c>
    </row>
    <row r="44137" spans="1:2" x14ac:dyDescent="0.25">
      <c r="A44137">
        <v>9017200011</v>
      </c>
      <c r="B44137" t="s">
        <v>14325</v>
      </c>
    </row>
    <row r="44138" spans="1:2" x14ac:dyDescent="0.25">
      <c r="A44138">
        <v>90172000111</v>
      </c>
      <c r="B44138" t="s">
        <v>14326</v>
      </c>
    </row>
    <row r="44139" spans="1:2" x14ac:dyDescent="0.25">
      <c r="A44139">
        <v>90172000112</v>
      </c>
      <c r="B44139" t="s">
        <v>14327</v>
      </c>
    </row>
    <row r="44140" spans="1:2" x14ac:dyDescent="0.25">
      <c r="A44140">
        <v>90172000119</v>
      </c>
      <c r="B44140" t="s">
        <v>10</v>
      </c>
    </row>
    <row r="44141" spans="1:2" x14ac:dyDescent="0.25">
      <c r="A44141">
        <v>9017200012</v>
      </c>
      <c r="B44141" t="s">
        <v>11127</v>
      </c>
    </row>
    <row r="44142" spans="1:2" x14ac:dyDescent="0.25">
      <c r="A44142">
        <v>90172000121</v>
      </c>
      <c r="B44142" t="s">
        <v>14328</v>
      </c>
    </row>
    <row r="44143" spans="1:2" x14ac:dyDescent="0.25">
      <c r="A44143">
        <v>90172000122</v>
      </c>
      <c r="B44143" t="s">
        <v>14329</v>
      </c>
    </row>
    <row r="44144" spans="1:2" x14ac:dyDescent="0.25">
      <c r="A44144">
        <v>90172000123</v>
      </c>
      <c r="B44144" t="s">
        <v>14330</v>
      </c>
    </row>
    <row r="44145" spans="1:2" x14ac:dyDescent="0.25">
      <c r="A44145">
        <v>90172000124</v>
      </c>
      <c r="B44145" t="s">
        <v>14331</v>
      </c>
    </row>
    <row r="44146" spans="1:2" x14ac:dyDescent="0.25">
      <c r="A44146">
        <v>90172000125</v>
      </c>
      <c r="B44146" t="s">
        <v>14332</v>
      </c>
    </row>
    <row r="44147" spans="1:2" x14ac:dyDescent="0.25">
      <c r="A44147">
        <v>90172000129</v>
      </c>
      <c r="B44147" t="s">
        <v>10</v>
      </c>
    </row>
    <row r="44148" spans="1:2" x14ac:dyDescent="0.25">
      <c r="A44148">
        <v>9017200013</v>
      </c>
      <c r="B44148" t="s">
        <v>14333</v>
      </c>
    </row>
    <row r="44149" spans="1:2" x14ac:dyDescent="0.25">
      <c r="A44149">
        <v>90172000131</v>
      </c>
      <c r="B44149" t="s">
        <v>14334</v>
      </c>
    </row>
    <row r="44150" spans="1:2" x14ac:dyDescent="0.25">
      <c r="A44150">
        <v>90172000139</v>
      </c>
      <c r="B44150" t="s">
        <v>57</v>
      </c>
    </row>
    <row r="44151" spans="1:2" x14ac:dyDescent="0.25">
      <c r="A44151">
        <v>9017200014</v>
      </c>
      <c r="B44151" t="s">
        <v>14335</v>
      </c>
    </row>
    <row r="44152" spans="1:2" x14ac:dyDescent="0.25">
      <c r="A44152">
        <v>90172000141</v>
      </c>
      <c r="B44152" t="s">
        <v>14336</v>
      </c>
    </row>
    <row r="44153" spans="1:2" x14ac:dyDescent="0.25">
      <c r="A44153">
        <v>90172000142</v>
      </c>
      <c r="B44153" t="s">
        <v>14337</v>
      </c>
    </row>
    <row r="44154" spans="1:2" x14ac:dyDescent="0.25">
      <c r="A44154">
        <v>90172000149</v>
      </c>
      <c r="B44154" t="s">
        <v>57</v>
      </c>
    </row>
    <row r="44155" spans="1:2" x14ac:dyDescent="0.25">
      <c r="A44155">
        <v>90172000190</v>
      </c>
      <c r="B44155" t="s">
        <v>10</v>
      </c>
    </row>
    <row r="44156" spans="1:2" x14ac:dyDescent="0.25">
      <c r="A44156">
        <v>901720002</v>
      </c>
      <c r="B44156" t="s">
        <v>14338</v>
      </c>
    </row>
    <row r="44157" spans="1:2" x14ac:dyDescent="0.25">
      <c r="A44157">
        <v>90172000210</v>
      </c>
      <c r="B44157" t="s">
        <v>14339</v>
      </c>
    </row>
    <row r="44158" spans="1:2" x14ac:dyDescent="0.25">
      <c r="A44158">
        <v>90172000220</v>
      </c>
      <c r="B44158" t="s">
        <v>14340</v>
      </c>
    </row>
    <row r="44159" spans="1:2" x14ac:dyDescent="0.25">
      <c r="A44159">
        <v>90172000230</v>
      </c>
      <c r="B44159" t="s">
        <v>14341</v>
      </c>
    </row>
    <row r="44160" spans="1:2" x14ac:dyDescent="0.25">
      <c r="A44160">
        <v>90172000240</v>
      </c>
      <c r="B44160" t="s">
        <v>14342</v>
      </c>
    </row>
    <row r="44161" spans="1:2" x14ac:dyDescent="0.25">
      <c r="A44161">
        <v>90172000290</v>
      </c>
      <c r="B44161" t="s">
        <v>10</v>
      </c>
    </row>
    <row r="44162" spans="1:2" x14ac:dyDescent="0.25">
      <c r="A44162">
        <v>90172000900</v>
      </c>
      <c r="B44162" t="s">
        <v>10</v>
      </c>
    </row>
    <row r="44163" spans="1:2" x14ac:dyDescent="0.25">
      <c r="A44163">
        <v>901730</v>
      </c>
      <c r="B44163" t="e">
        <f>- Micrometros. pies de rey. calibradores y galgas</f>
        <v>#NAME?</v>
      </c>
    </row>
    <row r="44164" spans="1:2" x14ac:dyDescent="0.25">
      <c r="A44164">
        <v>90173010000</v>
      </c>
      <c r="B44164" t="s">
        <v>14343</v>
      </c>
    </row>
    <row r="44165" spans="1:2" x14ac:dyDescent="0.25">
      <c r="A44165">
        <v>90173020000</v>
      </c>
      <c r="B44165" t="s">
        <v>14344</v>
      </c>
    </row>
    <row r="44166" spans="1:2" x14ac:dyDescent="0.25">
      <c r="A44166">
        <v>90173090</v>
      </c>
      <c r="B44166" t="s">
        <v>10</v>
      </c>
    </row>
    <row r="44167" spans="1:2" x14ac:dyDescent="0.25">
      <c r="A44167">
        <v>90173090100</v>
      </c>
      <c r="B44167" t="s">
        <v>14345</v>
      </c>
    </row>
    <row r="44168" spans="1:2" x14ac:dyDescent="0.25">
      <c r="A44168">
        <v>90173090900</v>
      </c>
      <c r="B44168" t="s">
        <v>10</v>
      </c>
    </row>
    <row r="44169" spans="1:2" x14ac:dyDescent="0.25">
      <c r="A44169">
        <v>901780</v>
      </c>
      <c r="B44169" t="e">
        <f>- Los demas instrumentos</f>
        <v>#NAME?</v>
      </c>
    </row>
    <row r="44170" spans="1:2" x14ac:dyDescent="0.25">
      <c r="A44170">
        <v>90178010</v>
      </c>
      <c r="B44170" t="s">
        <v>14346</v>
      </c>
    </row>
    <row r="44171" spans="1:2" x14ac:dyDescent="0.25">
      <c r="A44171">
        <v>90178010100</v>
      </c>
      <c r="B44171" t="s">
        <v>14347</v>
      </c>
    </row>
    <row r="44172" spans="1:2" x14ac:dyDescent="0.25">
      <c r="A44172">
        <v>901780102</v>
      </c>
      <c r="B44172" t="s">
        <v>14348</v>
      </c>
    </row>
    <row r="44173" spans="1:2" x14ac:dyDescent="0.25">
      <c r="A44173">
        <v>90178010210</v>
      </c>
      <c r="B44173" t="s">
        <v>14349</v>
      </c>
    </row>
    <row r="44174" spans="1:2" x14ac:dyDescent="0.25">
      <c r="A44174">
        <v>90178010220</v>
      </c>
      <c r="B44174" t="s">
        <v>14350</v>
      </c>
    </row>
    <row r="44175" spans="1:2" x14ac:dyDescent="0.25">
      <c r="A44175">
        <v>90178010290</v>
      </c>
      <c r="B44175" t="s">
        <v>57</v>
      </c>
    </row>
    <row r="44176" spans="1:2" x14ac:dyDescent="0.25">
      <c r="A44176">
        <v>90178010900</v>
      </c>
      <c r="B44176" t="s">
        <v>10</v>
      </c>
    </row>
    <row r="44177" spans="1:2" x14ac:dyDescent="0.25">
      <c r="A44177">
        <v>90178090</v>
      </c>
      <c r="B44177" t="s">
        <v>10</v>
      </c>
    </row>
    <row r="44178" spans="1:2" x14ac:dyDescent="0.25">
      <c r="A44178">
        <v>901780901</v>
      </c>
      <c r="B44178" t="s">
        <v>14351</v>
      </c>
    </row>
    <row r="44179" spans="1:2" x14ac:dyDescent="0.25">
      <c r="A44179">
        <v>90178090110</v>
      </c>
      <c r="B44179" t="s">
        <v>14352</v>
      </c>
    </row>
    <row r="44180" spans="1:2" x14ac:dyDescent="0.25">
      <c r="A44180">
        <v>90178090120</v>
      </c>
      <c r="B44180" t="s">
        <v>14353</v>
      </c>
    </row>
    <row r="44181" spans="1:2" x14ac:dyDescent="0.25">
      <c r="A44181">
        <v>90178090190</v>
      </c>
      <c r="B44181" t="s">
        <v>10</v>
      </c>
    </row>
    <row r="44182" spans="1:2" x14ac:dyDescent="0.25">
      <c r="A44182">
        <v>90178090200</v>
      </c>
      <c r="B44182" t="s">
        <v>14354</v>
      </c>
    </row>
    <row r="44183" spans="1:2" x14ac:dyDescent="0.25">
      <c r="A44183">
        <v>90178090300</v>
      </c>
      <c r="B44183" t="s">
        <v>14355</v>
      </c>
    </row>
    <row r="44184" spans="1:2" x14ac:dyDescent="0.25">
      <c r="A44184">
        <v>90178090400</v>
      </c>
      <c r="B44184" t="s">
        <v>14356</v>
      </c>
    </row>
    <row r="44185" spans="1:2" x14ac:dyDescent="0.25">
      <c r="A44185">
        <v>90178090500</v>
      </c>
      <c r="B44185" t="s">
        <v>14357</v>
      </c>
    </row>
    <row r="44186" spans="1:2" x14ac:dyDescent="0.25">
      <c r="A44186">
        <v>90178090800</v>
      </c>
      <c r="B44186" t="s">
        <v>14358</v>
      </c>
    </row>
    <row r="44187" spans="1:2" x14ac:dyDescent="0.25">
      <c r="A44187">
        <v>90178090900</v>
      </c>
      <c r="B44187" t="s">
        <v>10</v>
      </c>
    </row>
    <row r="44188" spans="1:2" x14ac:dyDescent="0.25">
      <c r="A44188">
        <v>901790</v>
      </c>
      <c r="B44188" t="e">
        <f>- partes y accesorios</f>
        <v>#NAME?</v>
      </c>
    </row>
    <row r="44189" spans="1:2" x14ac:dyDescent="0.25">
      <c r="A44189">
        <v>90179010</v>
      </c>
      <c r="B44189" t="s">
        <v>14359</v>
      </c>
    </row>
    <row r="44190" spans="1:2" x14ac:dyDescent="0.25">
      <c r="A44190">
        <v>90179010100</v>
      </c>
      <c r="B44190" t="s">
        <v>12036</v>
      </c>
    </row>
    <row r="44191" spans="1:2" x14ac:dyDescent="0.25">
      <c r="A44191">
        <v>90179010900</v>
      </c>
      <c r="B44191" t="s">
        <v>12037</v>
      </c>
    </row>
    <row r="44192" spans="1:2" x14ac:dyDescent="0.25">
      <c r="A44192">
        <v>90179090</v>
      </c>
      <c r="B44192" t="s">
        <v>10</v>
      </c>
    </row>
    <row r="44193" spans="1:2" x14ac:dyDescent="0.25">
      <c r="A44193">
        <v>90179090100</v>
      </c>
      <c r="B44193" t="s">
        <v>12036</v>
      </c>
    </row>
    <row r="44194" spans="1:2" x14ac:dyDescent="0.25">
      <c r="A44194">
        <v>90179090900</v>
      </c>
      <c r="B44194" t="s">
        <v>12037</v>
      </c>
    </row>
    <row r="44195" spans="1:2" x14ac:dyDescent="0.25">
      <c r="A44195">
        <v>9018</v>
      </c>
      <c r="B44195" t="s">
        <v>14360</v>
      </c>
    </row>
    <row r="44196" spans="1:2" x14ac:dyDescent="0.25">
      <c r="A44196">
        <v>90181</v>
      </c>
      <c r="B44196" t="s">
        <v>14361</v>
      </c>
    </row>
    <row r="44197" spans="1:2" x14ac:dyDescent="0.25">
      <c r="A44197">
        <v>90181100</v>
      </c>
      <c r="B44197" t="e">
        <f>- - Electrocardiografos</f>
        <v>#NAME?</v>
      </c>
    </row>
    <row r="44198" spans="1:2" x14ac:dyDescent="0.25">
      <c r="A44198">
        <v>90181100100</v>
      </c>
      <c r="B44198" t="s">
        <v>14148</v>
      </c>
    </row>
    <row r="44199" spans="1:2" x14ac:dyDescent="0.25">
      <c r="A44199">
        <v>901811009</v>
      </c>
      <c r="B44199" t="s">
        <v>14362</v>
      </c>
    </row>
    <row r="44200" spans="1:2" x14ac:dyDescent="0.25">
      <c r="A44200">
        <v>90181100910</v>
      </c>
      <c r="B44200" t="s">
        <v>14363</v>
      </c>
    </row>
    <row r="44201" spans="1:2" x14ac:dyDescent="0.25">
      <c r="A44201">
        <v>90181100920</v>
      </c>
      <c r="B44201" t="s">
        <v>14364</v>
      </c>
    </row>
    <row r="44202" spans="1:2" x14ac:dyDescent="0.25">
      <c r="A44202">
        <v>90181100990</v>
      </c>
      <c r="B44202" t="s">
        <v>10</v>
      </c>
    </row>
    <row r="44203" spans="1:2" x14ac:dyDescent="0.25">
      <c r="A44203">
        <v>901812</v>
      </c>
      <c r="B44203" t="e">
        <f>- - aparatos de diagnostico por exploracion ultrasonica</f>
        <v>#NAME?</v>
      </c>
    </row>
    <row r="44204" spans="1:2" x14ac:dyDescent="0.25">
      <c r="A44204">
        <v>90181210</v>
      </c>
      <c r="B44204" t="s">
        <v>14365</v>
      </c>
    </row>
    <row r="44205" spans="1:2" x14ac:dyDescent="0.25">
      <c r="A44205">
        <v>90181210100</v>
      </c>
      <c r="B44205" t="s">
        <v>14148</v>
      </c>
    </row>
    <row r="44206" spans="1:2" x14ac:dyDescent="0.25">
      <c r="A44206">
        <v>90181210900</v>
      </c>
      <c r="B44206" t="s">
        <v>14362</v>
      </c>
    </row>
    <row r="44207" spans="1:2" x14ac:dyDescent="0.25">
      <c r="A44207">
        <v>90181290</v>
      </c>
      <c r="B44207" t="s">
        <v>10</v>
      </c>
    </row>
    <row r="44208" spans="1:2" x14ac:dyDescent="0.25">
      <c r="A44208">
        <v>90181290100</v>
      </c>
      <c r="B44208" t="s">
        <v>14148</v>
      </c>
    </row>
    <row r="44209" spans="1:2" x14ac:dyDescent="0.25">
      <c r="A44209">
        <v>90181290900</v>
      </c>
      <c r="B44209" t="s">
        <v>14362</v>
      </c>
    </row>
    <row r="44210" spans="1:2" x14ac:dyDescent="0.25">
      <c r="A44210">
        <v>90181300</v>
      </c>
      <c r="B44210" t="e">
        <f>- - aparatos de diagnostico de visualizacion por resonancia magnetica</f>
        <v>#NAME?</v>
      </c>
    </row>
    <row r="44211" spans="1:2" x14ac:dyDescent="0.25">
      <c r="A44211">
        <v>90181300100</v>
      </c>
      <c r="B44211" t="s">
        <v>14148</v>
      </c>
    </row>
    <row r="44212" spans="1:2" x14ac:dyDescent="0.25">
      <c r="A44212">
        <v>90181300900</v>
      </c>
      <c r="B44212" t="s">
        <v>14362</v>
      </c>
    </row>
    <row r="44213" spans="1:2" x14ac:dyDescent="0.25">
      <c r="A44213">
        <v>901814</v>
      </c>
      <c r="B44213" t="e">
        <f>- - aparatos de centellografia</f>
        <v>#NAME?</v>
      </c>
    </row>
    <row r="44214" spans="1:2" x14ac:dyDescent="0.25">
      <c r="A44214">
        <v>90181410</v>
      </c>
      <c r="B44214" t="s">
        <v>14366</v>
      </c>
    </row>
    <row r="44215" spans="1:2" x14ac:dyDescent="0.25">
      <c r="A44215">
        <v>90181410100</v>
      </c>
      <c r="B44215" t="s">
        <v>14148</v>
      </c>
    </row>
    <row r="44216" spans="1:2" x14ac:dyDescent="0.25">
      <c r="A44216">
        <v>90181410900</v>
      </c>
      <c r="B44216" t="s">
        <v>10194</v>
      </c>
    </row>
    <row r="44217" spans="1:2" x14ac:dyDescent="0.25">
      <c r="A44217">
        <v>90181420000</v>
      </c>
      <c r="B44217" t="s">
        <v>14367</v>
      </c>
    </row>
    <row r="44218" spans="1:2" x14ac:dyDescent="0.25">
      <c r="A44218">
        <v>90181490</v>
      </c>
      <c r="B44218" t="s">
        <v>10</v>
      </c>
    </row>
    <row r="44219" spans="1:2" x14ac:dyDescent="0.25">
      <c r="A44219">
        <v>90181490100</v>
      </c>
      <c r="B44219" t="s">
        <v>14148</v>
      </c>
    </row>
    <row r="44220" spans="1:2" x14ac:dyDescent="0.25">
      <c r="A44220">
        <v>90181490900</v>
      </c>
      <c r="B44220" t="s">
        <v>10194</v>
      </c>
    </row>
    <row r="44221" spans="1:2" x14ac:dyDescent="0.25">
      <c r="A44221">
        <v>901819</v>
      </c>
      <c r="B44221" t="e">
        <f>- - Los demas</f>
        <v>#NAME?</v>
      </c>
    </row>
    <row r="44222" spans="1:2" x14ac:dyDescent="0.25">
      <c r="A44222">
        <v>90181910000</v>
      </c>
      <c r="B44222" t="s">
        <v>14368</v>
      </c>
    </row>
    <row r="44223" spans="1:2" x14ac:dyDescent="0.25">
      <c r="A44223">
        <v>90181920000</v>
      </c>
      <c r="B44223" t="s">
        <v>14369</v>
      </c>
    </row>
    <row r="44224" spans="1:2" x14ac:dyDescent="0.25">
      <c r="A44224">
        <v>90181980</v>
      </c>
      <c r="B44224" t="s">
        <v>10</v>
      </c>
    </row>
    <row r="44225" spans="1:2" x14ac:dyDescent="0.25">
      <c r="A44225">
        <v>90181980100</v>
      </c>
      <c r="B44225" t="s">
        <v>14370</v>
      </c>
    </row>
    <row r="44226" spans="1:2" x14ac:dyDescent="0.25">
      <c r="A44226">
        <v>90181980200</v>
      </c>
      <c r="B44226" t="s">
        <v>14371</v>
      </c>
    </row>
    <row r="44227" spans="1:2" x14ac:dyDescent="0.25">
      <c r="A44227">
        <v>90181980900</v>
      </c>
      <c r="B44227" t="s">
        <v>10</v>
      </c>
    </row>
    <row r="44228" spans="1:2" x14ac:dyDescent="0.25">
      <c r="A44228">
        <v>90181990</v>
      </c>
      <c r="B44228" t="s">
        <v>10194</v>
      </c>
    </row>
    <row r="44229" spans="1:2" x14ac:dyDescent="0.25">
      <c r="A44229">
        <v>90181990100</v>
      </c>
      <c r="B44229" t="s">
        <v>14372</v>
      </c>
    </row>
    <row r="44230" spans="1:2" x14ac:dyDescent="0.25">
      <c r="A44230">
        <v>90181990200</v>
      </c>
      <c r="B44230" t="s">
        <v>14373</v>
      </c>
    </row>
    <row r="44231" spans="1:2" x14ac:dyDescent="0.25">
      <c r="A44231">
        <v>90181990300</v>
      </c>
      <c r="B44231" t="s">
        <v>14374</v>
      </c>
    </row>
    <row r="44232" spans="1:2" x14ac:dyDescent="0.25">
      <c r="A44232">
        <v>90181990400</v>
      </c>
      <c r="B44232" t="s">
        <v>14375</v>
      </c>
    </row>
    <row r="44233" spans="1:2" x14ac:dyDescent="0.25">
      <c r="A44233">
        <v>90181990900</v>
      </c>
      <c r="B44233" t="s">
        <v>10</v>
      </c>
    </row>
    <row r="44234" spans="1:2" x14ac:dyDescent="0.25">
      <c r="A44234">
        <v>901820</v>
      </c>
      <c r="B44234" t="e">
        <f>- aparatos de rayos ultravioletas o infrarrojos</f>
        <v>#NAME?</v>
      </c>
    </row>
    <row r="44235" spans="1:2" x14ac:dyDescent="0.25">
      <c r="A44235">
        <v>90182010</v>
      </c>
      <c r="B44235" t="s">
        <v>14376</v>
      </c>
    </row>
    <row r="44236" spans="1:2" x14ac:dyDescent="0.25">
      <c r="A44236">
        <v>90182010100</v>
      </c>
      <c r="B44236" t="s">
        <v>14148</v>
      </c>
    </row>
    <row r="44237" spans="1:2" x14ac:dyDescent="0.25">
      <c r="A44237">
        <v>90182010900</v>
      </c>
      <c r="B44237" t="s">
        <v>14362</v>
      </c>
    </row>
    <row r="44238" spans="1:2" x14ac:dyDescent="0.25">
      <c r="A44238">
        <v>90182020000</v>
      </c>
      <c r="B44238" t="s">
        <v>14377</v>
      </c>
    </row>
    <row r="44239" spans="1:2" x14ac:dyDescent="0.25">
      <c r="A44239">
        <v>90182090</v>
      </c>
      <c r="B44239" t="s">
        <v>10</v>
      </c>
    </row>
    <row r="44240" spans="1:2" x14ac:dyDescent="0.25">
      <c r="A44240">
        <v>90182090100</v>
      </c>
      <c r="B44240" t="s">
        <v>14148</v>
      </c>
    </row>
    <row r="44241" spans="1:2" x14ac:dyDescent="0.25">
      <c r="A44241">
        <v>90182090900</v>
      </c>
      <c r="B44241" t="s">
        <v>10194</v>
      </c>
    </row>
    <row r="44242" spans="1:2" x14ac:dyDescent="0.25">
      <c r="A44242">
        <v>90183</v>
      </c>
      <c r="B44242" t="s">
        <v>14378</v>
      </c>
    </row>
    <row r="44243" spans="1:2" x14ac:dyDescent="0.25">
      <c r="A44243">
        <v>901831</v>
      </c>
      <c r="B44243" t="e">
        <f>- - Jeringas. incluso Con aguja</f>
        <v>#NAME?</v>
      </c>
    </row>
    <row r="44244" spans="1:2" x14ac:dyDescent="0.25">
      <c r="A44244">
        <v>9018311</v>
      </c>
      <c r="B44244" t="s">
        <v>14379</v>
      </c>
    </row>
    <row r="44245" spans="1:2" x14ac:dyDescent="0.25">
      <c r="A44245">
        <v>90183111</v>
      </c>
      <c r="B44245" t="s">
        <v>14380</v>
      </c>
    </row>
    <row r="44246" spans="1:2" x14ac:dyDescent="0.25">
      <c r="A44246">
        <v>901831111</v>
      </c>
      <c r="B44246" t="s">
        <v>14381</v>
      </c>
    </row>
    <row r="44247" spans="1:2" x14ac:dyDescent="0.25">
      <c r="A44247">
        <v>90183111110</v>
      </c>
      <c r="B44247" t="s">
        <v>14382</v>
      </c>
    </row>
    <row r="44248" spans="1:2" x14ac:dyDescent="0.25">
      <c r="A44248">
        <v>90183111190</v>
      </c>
      <c r="B44248" t="s">
        <v>57</v>
      </c>
    </row>
    <row r="44249" spans="1:2" x14ac:dyDescent="0.25">
      <c r="A44249">
        <v>901831112</v>
      </c>
      <c r="B44249" t="s">
        <v>14383</v>
      </c>
    </row>
    <row r="44250" spans="1:2" x14ac:dyDescent="0.25">
      <c r="A44250">
        <v>90183111210</v>
      </c>
      <c r="B44250" t="s">
        <v>14382</v>
      </c>
    </row>
    <row r="44251" spans="1:2" x14ac:dyDescent="0.25">
      <c r="A44251">
        <v>90183111290</v>
      </c>
      <c r="B44251" t="s">
        <v>57</v>
      </c>
    </row>
    <row r="44252" spans="1:2" x14ac:dyDescent="0.25">
      <c r="A44252">
        <v>90183111900</v>
      </c>
      <c r="B44252" t="s">
        <v>57</v>
      </c>
    </row>
    <row r="44253" spans="1:2" x14ac:dyDescent="0.25">
      <c r="A44253">
        <v>90183119</v>
      </c>
      <c r="B44253" t="s">
        <v>57</v>
      </c>
    </row>
    <row r="44254" spans="1:2" x14ac:dyDescent="0.25">
      <c r="A44254">
        <v>901831191</v>
      </c>
      <c r="B44254" t="s">
        <v>14381</v>
      </c>
    </row>
    <row r="44255" spans="1:2" x14ac:dyDescent="0.25">
      <c r="A44255">
        <v>90183119110</v>
      </c>
      <c r="B44255" t="s">
        <v>14384</v>
      </c>
    </row>
    <row r="44256" spans="1:2" x14ac:dyDescent="0.25">
      <c r="A44256">
        <v>90183119120</v>
      </c>
      <c r="B44256" t="s">
        <v>14385</v>
      </c>
    </row>
    <row r="44257" spans="1:2" x14ac:dyDescent="0.25">
      <c r="A44257">
        <v>90183119130</v>
      </c>
      <c r="B44257" t="s">
        <v>14386</v>
      </c>
    </row>
    <row r="44258" spans="1:2" x14ac:dyDescent="0.25">
      <c r="A44258">
        <v>90183119140</v>
      </c>
      <c r="B44258" t="s">
        <v>14387</v>
      </c>
    </row>
    <row r="44259" spans="1:2" x14ac:dyDescent="0.25">
      <c r="A44259">
        <v>90183119150</v>
      </c>
      <c r="B44259" t="s">
        <v>14388</v>
      </c>
    </row>
    <row r="44260" spans="1:2" x14ac:dyDescent="0.25">
      <c r="A44260">
        <v>90183119190</v>
      </c>
      <c r="B44260" t="s">
        <v>57</v>
      </c>
    </row>
    <row r="44261" spans="1:2" x14ac:dyDescent="0.25">
      <c r="A44261">
        <v>901831192</v>
      </c>
      <c r="B44261" t="s">
        <v>14383</v>
      </c>
    </row>
    <row r="44262" spans="1:2" x14ac:dyDescent="0.25">
      <c r="A44262">
        <v>90183119210</v>
      </c>
      <c r="B44262" t="s">
        <v>14384</v>
      </c>
    </row>
    <row r="44263" spans="1:2" x14ac:dyDescent="0.25">
      <c r="A44263">
        <v>90183119220</v>
      </c>
      <c r="B44263" t="s">
        <v>14385</v>
      </c>
    </row>
    <row r="44264" spans="1:2" x14ac:dyDescent="0.25">
      <c r="A44264">
        <v>90183119230</v>
      </c>
      <c r="B44264" t="s">
        <v>14386</v>
      </c>
    </row>
    <row r="44265" spans="1:2" x14ac:dyDescent="0.25">
      <c r="A44265">
        <v>90183119240</v>
      </c>
      <c r="B44265" t="s">
        <v>14387</v>
      </c>
    </row>
    <row r="44266" spans="1:2" x14ac:dyDescent="0.25">
      <c r="A44266">
        <v>90183119250</v>
      </c>
      <c r="B44266" t="s">
        <v>14388</v>
      </c>
    </row>
    <row r="44267" spans="1:2" x14ac:dyDescent="0.25">
      <c r="A44267">
        <v>90183119290</v>
      </c>
      <c r="B44267" t="s">
        <v>57</v>
      </c>
    </row>
    <row r="44268" spans="1:2" x14ac:dyDescent="0.25">
      <c r="A44268">
        <v>90183119900</v>
      </c>
      <c r="B44268" t="s">
        <v>57</v>
      </c>
    </row>
    <row r="44269" spans="1:2" x14ac:dyDescent="0.25">
      <c r="A44269">
        <v>90183190000</v>
      </c>
      <c r="B44269" t="s">
        <v>57</v>
      </c>
    </row>
    <row r="44270" spans="1:2" x14ac:dyDescent="0.25">
      <c r="A44270">
        <v>901832</v>
      </c>
      <c r="B44270" t="e">
        <f>- - agujas tubulares de Metal y agujas de sutura</f>
        <v>#NAME?</v>
      </c>
    </row>
    <row r="44271" spans="1:2" x14ac:dyDescent="0.25">
      <c r="A44271">
        <v>9018321</v>
      </c>
      <c r="B44271" t="s">
        <v>14389</v>
      </c>
    </row>
    <row r="44272" spans="1:2" x14ac:dyDescent="0.25">
      <c r="A44272">
        <v>90183211000</v>
      </c>
      <c r="B44272" t="s">
        <v>14390</v>
      </c>
    </row>
    <row r="44273" spans="1:2" x14ac:dyDescent="0.25">
      <c r="A44273">
        <v>90183212000</v>
      </c>
      <c r="B44273" t="s">
        <v>14391</v>
      </c>
    </row>
    <row r="44274" spans="1:2" x14ac:dyDescent="0.25">
      <c r="A44274">
        <v>90183213000</v>
      </c>
      <c r="B44274" t="s">
        <v>14392</v>
      </c>
    </row>
    <row r="44275" spans="1:2" x14ac:dyDescent="0.25">
      <c r="A44275">
        <v>90183219</v>
      </c>
      <c r="B44275" t="s">
        <v>57</v>
      </c>
    </row>
    <row r="44276" spans="1:2" x14ac:dyDescent="0.25">
      <c r="A44276">
        <v>90183219100</v>
      </c>
      <c r="B44276" t="s">
        <v>14393</v>
      </c>
    </row>
    <row r="44277" spans="1:2" x14ac:dyDescent="0.25">
      <c r="A44277">
        <v>90183219900</v>
      </c>
      <c r="B44277" t="s">
        <v>57</v>
      </c>
    </row>
    <row r="44278" spans="1:2" x14ac:dyDescent="0.25">
      <c r="A44278">
        <v>90183220</v>
      </c>
      <c r="B44278" t="s">
        <v>14394</v>
      </c>
    </row>
    <row r="44279" spans="1:2" x14ac:dyDescent="0.25">
      <c r="A44279">
        <v>90183220100</v>
      </c>
      <c r="B44279" t="s">
        <v>14393</v>
      </c>
    </row>
    <row r="44280" spans="1:2" x14ac:dyDescent="0.25">
      <c r="A44280">
        <v>90183220900</v>
      </c>
      <c r="B44280" t="s">
        <v>57</v>
      </c>
    </row>
    <row r="44281" spans="1:2" x14ac:dyDescent="0.25">
      <c r="A44281">
        <v>901839</v>
      </c>
      <c r="B44281" t="e">
        <f>- - Los demas</f>
        <v>#NAME?</v>
      </c>
    </row>
    <row r="44282" spans="1:2" x14ac:dyDescent="0.25">
      <c r="A44282">
        <v>90183910</v>
      </c>
      <c r="B44282" t="s">
        <v>14395</v>
      </c>
    </row>
    <row r="44283" spans="1:2" x14ac:dyDescent="0.25">
      <c r="A44283">
        <v>90183910100</v>
      </c>
      <c r="B44283" t="s">
        <v>14393</v>
      </c>
    </row>
    <row r="44284" spans="1:2" x14ac:dyDescent="0.25">
      <c r="A44284">
        <v>90183910900</v>
      </c>
      <c r="B44284" t="s">
        <v>57</v>
      </c>
    </row>
    <row r="44285" spans="1:2" x14ac:dyDescent="0.25">
      <c r="A44285">
        <v>9018392</v>
      </c>
      <c r="B44285" t="s">
        <v>14396</v>
      </c>
    </row>
    <row r="44286" spans="1:2" x14ac:dyDescent="0.25">
      <c r="A44286">
        <v>90183921</v>
      </c>
      <c r="B44286" t="s">
        <v>9255</v>
      </c>
    </row>
    <row r="44287" spans="1:2" x14ac:dyDescent="0.25">
      <c r="A44287">
        <v>90183921100</v>
      </c>
      <c r="B44287" t="s">
        <v>14397</v>
      </c>
    </row>
    <row r="44288" spans="1:2" x14ac:dyDescent="0.25">
      <c r="A44288">
        <v>90183921200</v>
      </c>
      <c r="B44288" t="s">
        <v>14398</v>
      </c>
    </row>
    <row r="44289" spans="1:2" x14ac:dyDescent="0.25">
      <c r="A44289">
        <v>90183921900</v>
      </c>
      <c r="B44289" t="s">
        <v>10</v>
      </c>
    </row>
    <row r="44290" spans="1:2" x14ac:dyDescent="0.25">
      <c r="A44290">
        <v>90183922</v>
      </c>
      <c r="B44290" t="s">
        <v>14399</v>
      </c>
    </row>
    <row r="44291" spans="1:2" x14ac:dyDescent="0.25">
      <c r="A44291">
        <v>90183922100</v>
      </c>
      <c r="B44291" t="s">
        <v>14400</v>
      </c>
    </row>
    <row r="44292" spans="1:2" x14ac:dyDescent="0.25">
      <c r="A44292">
        <v>90183922900</v>
      </c>
      <c r="B44292" t="s">
        <v>10</v>
      </c>
    </row>
    <row r="44293" spans="1:2" x14ac:dyDescent="0.25">
      <c r="A44293">
        <v>90183923000</v>
      </c>
      <c r="B44293" t="s">
        <v>14401</v>
      </c>
    </row>
    <row r="44294" spans="1:2" x14ac:dyDescent="0.25">
      <c r="A44294">
        <v>90183924000</v>
      </c>
      <c r="B44294" t="s">
        <v>14402</v>
      </c>
    </row>
    <row r="44295" spans="1:2" x14ac:dyDescent="0.25">
      <c r="A44295">
        <v>90183929</v>
      </c>
      <c r="B44295" t="s">
        <v>10</v>
      </c>
    </row>
    <row r="44296" spans="1:2" x14ac:dyDescent="0.25">
      <c r="A44296">
        <v>901839291</v>
      </c>
      <c r="B44296" t="s">
        <v>14397</v>
      </c>
    </row>
    <row r="44297" spans="1:2" x14ac:dyDescent="0.25">
      <c r="A44297">
        <v>90183929110</v>
      </c>
      <c r="B44297" t="s">
        <v>14403</v>
      </c>
    </row>
    <row r="44298" spans="1:2" x14ac:dyDescent="0.25">
      <c r="A44298">
        <v>90183929120</v>
      </c>
      <c r="B44298" t="s">
        <v>14404</v>
      </c>
    </row>
    <row r="44299" spans="1:2" x14ac:dyDescent="0.25">
      <c r="A44299">
        <v>90183929200</v>
      </c>
      <c r="B44299" t="s">
        <v>14398</v>
      </c>
    </row>
    <row r="44300" spans="1:2" x14ac:dyDescent="0.25">
      <c r="A44300">
        <v>90183929300</v>
      </c>
      <c r="B44300" t="s">
        <v>14405</v>
      </c>
    </row>
    <row r="44301" spans="1:2" x14ac:dyDescent="0.25">
      <c r="A44301">
        <v>90183929400</v>
      </c>
      <c r="B44301" t="s">
        <v>14406</v>
      </c>
    </row>
    <row r="44302" spans="1:2" x14ac:dyDescent="0.25">
      <c r="A44302">
        <v>90183929500</v>
      </c>
      <c r="B44302" t="s">
        <v>14407</v>
      </c>
    </row>
    <row r="44303" spans="1:2" x14ac:dyDescent="0.25">
      <c r="A44303">
        <v>90183929600</v>
      </c>
      <c r="B44303" t="s">
        <v>14408</v>
      </c>
    </row>
    <row r="44304" spans="1:2" x14ac:dyDescent="0.25">
      <c r="A44304">
        <v>90183929900</v>
      </c>
      <c r="B44304" t="s">
        <v>10</v>
      </c>
    </row>
    <row r="44305" spans="1:2" x14ac:dyDescent="0.25">
      <c r="A44305">
        <v>90183930</v>
      </c>
      <c r="B44305" t="s">
        <v>14409</v>
      </c>
    </row>
    <row r="44306" spans="1:2" x14ac:dyDescent="0.25">
      <c r="A44306">
        <v>90183930100</v>
      </c>
      <c r="B44306" t="s">
        <v>14393</v>
      </c>
    </row>
    <row r="44307" spans="1:2" x14ac:dyDescent="0.25">
      <c r="A44307">
        <v>90183930900</v>
      </c>
      <c r="B44307" t="s">
        <v>10</v>
      </c>
    </row>
    <row r="44308" spans="1:2" x14ac:dyDescent="0.25">
      <c r="A44308">
        <v>9018399</v>
      </c>
      <c r="B44308" t="s">
        <v>10</v>
      </c>
    </row>
    <row r="44309" spans="1:2" x14ac:dyDescent="0.25">
      <c r="A44309">
        <v>90183991000</v>
      </c>
      <c r="B44309" t="s">
        <v>14410</v>
      </c>
    </row>
    <row r="44310" spans="1:2" x14ac:dyDescent="0.25">
      <c r="A44310">
        <v>90183999</v>
      </c>
      <c r="B44310" t="s">
        <v>10</v>
      </c>
    </row>
    <row r="44311" spans="1:2" x14ac:dyDescent="0.25">
      <c r="A44311">
        <v>90183999100</v>
      </c>
      <c r="B44311" t="s">
        <v>14411</v>
      </c>
    </row>
    <row r="44312" spans="1:2" x14ac:dyDescent="0.25">
      <c r="A44312">
        <v>90183999200</v>
      </c>
      <c r="B44312" t="s">
        <v>14412</v>
      </c>
    </row>
    <row r="44313" spans="1:2" x14ac:dyDescent="0.25">
      <c r="A44313">
        <v>90183999900</v>
      </c>
      <c r="B44313" t="s">
        <v>10</v>
      </c>
    </row>
    <row r="44314" spans="1:2" x14ac:dyDescent="0.25">
      <c r="A44314">
        <v>90184</v>
      </c>
      <c r="B44314" t="s">
        <v>14413</v>
      </c>
    </row>
    <row r="44315" spans="1:2" x14ac:dyDescent="0.25">
      <c r="A44315">
        <v>90184100</v>
      </c>
      <c r="B44315" t="e">
        <f>- - Tornos dentales. incluso combinados Con otros equipos dentales sobre basamento comun</f>
        <v>#NAME?</v>
      </c>
    </row>
    <row r="44316" spans="1:2" x14ac:dyDescent="0.25">
      <c r="A44316">
        <v>90184100100</v>
      </c>
      <c r="B44316" t="s">
        <v>14148</v>
      </c>
    </row>
    <row r="44317" spans="1:2" x14ac:dyDescent="0.25">
      <c r="A44317">
        <v>90184100900</v>
      </c>
      <c r="B44317" t="s">
        <v>12037</v>
      </c>
    </row>
    <row r="44318" spans="1:2" x14ac:dyDescent="0.25">
      <c r="A44318">
        <v>901849</v>
      </c>
      <c r="B44318" t="e">
        <f>- - Los demas</f>
        <v>#NAME?</v>
      </c>
    </row>
    <row r="44319" spans="1:2" x14ac:dyDescent="0.25">
      <c r="A44319">
        <v>9018491</v>
      </c>
      <c r="B44319" t="s">
        <v>14414</v>
      </c>
    </row>
    <row r="44320" spans="1:2" x14ac:dyDescent="0.25">
      <c r="A44320">
        <v>90184911000</v>
      </c>
      <c r="B44320" t="s">
        <v>14415</v>
      </c>
    </row>
    <row r="44321" spans="1:2" x14ac:dyDescent="0.25">
      <c r="A44321">
        <v>90184912000</v>
      </c>
      <c r="B44321" t="s">
        <v>14416</v>
      </c>
    </row>
    <row r="44322" spans="1:2" x14ac:dyDescent="0.25">
      <c r="A44322">
        <v>90184919000</v>
      </c>
      <c r="B44322" t="s">
        <v>57</v>
      </c>
    </row>
    <row r="44323" spans="1:2" x14ac:dyDescent="0.25">
      <c r="A44323">
        <v>90184920000</v>
      </c>
      <c r="B44323" t="s">
        <v>10715</v>
      </c>
    </row>
    <row r="44324" spans="1:2" x14ac:dyDescent="0.25">
      <c r="A44324">
        <v>90184940000</v>
      </c>
      <c r="B44324" t="s">
        <v>14417</v>
      </c>
    </row>
    <row r="44325" spans="1:2" x14ac:dyDescent="0.25">
      <c r="A44325">
        <v>9018499</v>
      </c>
      <c r="B44325" t="s">
        <v>10</v>
      </c>
    </row>
    <row r="44326" spans="1:2" x14ac:dyDescent="0.25">
      <c r="A44326">
        <v>90184991000</v>
      </c>
      <c r="B44326" t="s">
        <v>14418</v>
      </c>
    </row>
    <row r="44327" spans="1:2" x14ac:dyDescent="0.25">
      <c r="A44327">
        <v>90184999</v>
      </c>
      <c r="B44327" t="s">
        <v>10</v>
      </c>
    </row>
    <row r="44328" spans="1:2" x14ac:dyDescent="0.25">
      <c r="A44328">
        <v>90184999100</v>
      </c>
      <c r="B44328" t="s">
        <v>14419</v>
      </c>
    </row>
    <row r="44329" spans="1:2" x14ac:dyDescent="0.25">
      <c r="A44329">
        <v>90184999900</v>
      </c>
      <c r="B44329" t="s">
        <v>12037</v>
      </c>
    </row>
    <row r="44330" spans="1:2" x14ac:dyDescent="0.25">
      <c r="A44330">
        <v>901850</v>
      </c>
      <c r="B44330" t="e">
        <f>- Los demas instrumentos y aparatos de oftalmologia</f>
        <v>#NAME?</v>
      </c>
    </row>
    <row r="44331" spans="1:2" x14ac:dyDescent="0.25">
      <c r="A44331">
        <v>90185010</v>
      </c>
      <c r="B44331" t="s">
        <v>14420</v>
      </c>
    </row>
    <row r="44332" spans="1:2" x14ac:dyDescent="0.25">
      <c r="A44332">
        <v>90185010100</v>
      </c>
      <c r="B44332" t="s">
        <v>14419</v>
      </c>
    </row>
    <row r="44333" spans="1:2" x14ac:dyDescent="0.25">
      <c r="A44333">
        <v>90185010900</v>
      </c>
      <c r="B44333" t="s">
        <v>10194</v>
      </c>
    </row>
    <row r="44334" spans="1:2" x14ac:dyDescent="0.25">
      <c r="A44334">
        <v>90185090</v>
      </c>
      <c r="B44334" t="s">
        <v>10</v>
      </c>
    </row>
    <row r="44335" spans="1:2" x14ac:dyDescent="0.25">
      <c r="A44335">
        <v>90185090100</v>
      </c>
      <c r="B44335" t="s">
        <v>14419</v>
      </c>
    </row>
    <row r="44336" spans="1:2" x14ac:dyDescent="0.25">
      <c r="A44336">
        <v>90185090900</v>
      </c>
      <c r="B44336" t="s">
        <v>10194</v>
      </c>
    </row>
    <row r="44337" spans="1:2" x14ac:dyDescent="0.25">
      <c r="A44337">
        <v>901890</v>
      </c>
      <c r="B44337" t="e">
        <f>- Los demas instrumentos y aparatos</f>
        <v>#NAME?</v>
      </c>
    </row>
    <row r="44338" spans="1:2" x14ac:dyDescent="0.25">
      <c r="A44338">
        <v>90189010</v>
      </c>
      <c r="B44338" t="s">
        <v>14421</v>
      </c>
    </row>
    <row r="44339" spans="1:2" x14ac:dyDescent="0.25">
      <c r="A44339">
        <v>901890101</v>
      </c>
      <c r="B44339" t="s">
        <v>14419</v>
      </c>
    </row>
    <row r="44340" spans="1:2" x14ac:dyDescent="0.25">
      <c r="A44340">
        <v>90189010110</v>
      </c>
      <c r="B44340" t="s">
        <v>14422</v>
      </c>
    </row>
    <row r="44341" spans="1:2" x14ac:dyDescent="0.25">
      <c r="A44341">
        <v>90189010120</v>
      </c>
      <c r="B44341" t="s">
        <v>14423</v>
      </c>
    </row>
    <row r="44342" spans="1:2" x14ac:dyDescent="0.25">
      <c r="A44342">
        <v>90189010130</v>
      </c>
      <c r="B44342" t="s">
        <v>14424</v>
      </c>
    </row>
    <row r="44343" spans="1:2" x14ac:dyDescent="0.25">
      <c r="A44343">
        <v>90189010190</v>
      </c>
      <c r="B44343" t="s">
        <v>10</v>
      </c>
    </row>
    <row r="44344" spans="1:2" x14ac:dyDescent="0.25">
      <c r="A44344">
        <v>90189010900</v>
      </c>
      <c r="B44344" t="s">
        <v>12037</v>
      </c>
    </row>
    <row r="44345" spans="1:2" x14ac:dyDescent="0.25">
      <c r="A44345">
        <v>9018902</v>
      </c>
      <c r="B44345" t="s">
        <v>14425</v>
      </c>
    </row>
    <row r="44346" spans="1:2" x14ac:dyDescent="0.25">
      <c r="A44346">
        <v>90189021</v>
      </c>
      <c r="B44346" t="s">
        <v>11385</v>
      </c>
    </row>
    <row r="44347" spans="1:2" x14ac:dyDescent="0.25">
      <c r="A44347">
        <v>90189021100</v>
      </c>
      <c r="B44347" t="s">
        <v>14419</v>
      </c>
    </row>
    <row r="44348" spans="1:2" x14ac:dyDescent="0.25">
      <c r="A44348">
        <v>90189021900</v>
      </c>
      <c r="B44348" t="s">
        <v>12037</v>
      </c>
    </row>
    <row r="44349" spans="1:2" x14ac:dyDescent="0.25">
      <c r="A44349">
        <v>90189029</v>
      </c>
      <c r="B44349" t="s">
        <v>10</v>
      </c>
    </row>
    <row r="44350" spans="1:2" x14ac:dyDescent="0.25">
      <c r="A44350">
        <v>901890291</v>
      </c>
      <c r="B44350" t="s">
        <v>14419</v>
      </c>
    </row>
    <row r="44351" spans="1:2" x14ac:dyDescent="0.25">
      <c r="A44351">
        <v>90189029110</v>
      </c>
      <c r="B44351" t="s">
        <v>14393</v>
      </c>
    </row>
    <row r="44352" spans="1:2" x14ac:dyDescent="0.25">
      <c r="A44352">
        <v>90189029190</v>
      </c>
      <c r="B44352" t="s">
        <v>10</v>
      </c>
    </row>
    <row r="44353" spans="1:2" x14ac:dyDescent="0.25">
      <c r="A44353">
        <v>901890299</v>
      </c>
      <c r="B44353" t="s">
        <v>10194</v>
      </c>
    </row>
    <row r="44354" spans="1:2" x14ac:dyDescent="0.25">
      <c r="A44354">
        <v>90189029910</v>
      </c>
      <c r="B44354" t="s">
        <v>14393</v>
      </c>
    </row>
    <row r="44355" spans="1:2" x14ac:dyDescent="0.25">
      <c r="A44355">
        <v>90189029990</v>
      </c>
      <c r="B44355" t="s">
        <v>57</v>
      </c>
    </row>
    <row r="44356" spans="1:2" x14ac:dyDescent="0.25">
      <c r="A44356">
        <v>9018903</v>
      </c>
      <c r="B44356" t="s">
        <v>14426</v>
      </c>
    </row>
    <row r="44357" spans="1:2" x14ac:dyDescent="0.25">
      <c r="A44357">
        <v>90189031</v>
      </c>
      <c r="B44357" t="s">
        <v>14427</v>
      </c>
    </row>
    <row r="44358" spans="1:2" x14ac:dyDescent="0.25">
      <c r="A44358">
        <v>90189031100</v>
      </c>
      <c r="B44358" t="s">
        <v>14148</v>
      </c>
    </row>
    <row r="44359" spans="1:2" x14ac:dyDescent="0.25">
      <c r="A44359">
        <v>90189031900</v>
      </c>
      <c r="B44359" t="s">
        <v>14362</v>
      </c>
    </row>
    <row r="44360" spans="1:2" x14ac:dyDescent="0.25">
      <c r="A44360">
        <v>90189039</v>
      </c>
      <c r="B44360" t="s">
        <v>10</v>
      </c>
    </row>
    <row r="44361" spans="1:2" x14ac:dyDescent="0.25">
      <c r="A44361">
        <v>90189039100</v>
      </c>
      <c r="B44361" t="s">
        <v>14419</v>
      </c>
    </row>
    <row r="44362" spans="1:2" x14ac:dyDescent="0.25">
      <c r="A44362">
        <v>901890399</v>
      </c>
      <c r="B44362" t="s">
        <v>14428</v>
      </c>
    </row>
    <row r="44363" spans="1:2" x14ac:dyDescent="0.25">
      <c r="A44363">
        <v>90189039910</v>
      </c>
      <c r="B44363" t="s">
        <v>14429</v>
      </c>
    </row>
    <row r="44364" spans="1:2" x14ac:dyDescent="0.25">
      <c r="A44364">
        <v>90189039990</v>
      </c>
      <c r="B44364" t="s">
        <v>10</v>
      </c>
    </row>
    <row r="44365" spans="1:2" x14ac:dyDescent="0.25">
      <c r="A44365">
        <v>90189040</v>
      </c>
      <c r="B44365" t="s">
        <v>14430</v>
      </c>
    </row>
    <row r="44366" spans="1:2" x14ac:dyDescent="0.25">
      <c r="A44366">
        <v>90189040100</v>
      </c>
      <c r="B44366" t="s">
        <v>14419</v>
      </c>
    </row>
    <row r="44367" spans="1:2" x14ac:dyDescent="0.25">
      <c r="A44367">
        <v>90189040900</v>
      </c>
      <c r="B44367" t="s">
        <v>14362</v>
      </c>
    </row>
    <row r="44368" spans="1:2" x14ac:dyDescent="0.25">
      <c r="A44368">
        <v>90189050</v>
      </c>
      <c r="B44368" t="s">
        <v>14431</v>
      </c>
    </row>
    <row r="44369" spans="1:2" x14ac:dyDescent="0.25">
      <c r="A44369">
        <v>90189050100</v>
      </c>
      <c r="B44369" t="s">
        <v>14148</v>
      </c>
    </row>
    <row r="44370" spans="1:2" x14ac:dyDescent="0.25">
      <c r="A44370">
        <v>90189050900</v>
      </c>
      <c r="B44370" t="s">
        <v>12037</v>
      </c>
    </row>
    <row r="44371" spans="1:2" x14ac:dyDescent="0.25">
      <c r="A44371">
        <v>9018909</v>
      </c>
      <c r="B44371" t="s">
        <v>10</v>
      </c>
    </row>
    <row r="44372" spans="1:2" x14ac:dyDescent="0.25">
      <c r="A44372">
        <v>90189091</v>
      </c>
      <c r="B44372" t="s">
        <v>14432</v>
      </c>
    </row>
    <row r="44373" spans="1:2" x14ac:dyDescent="0.25">
      <c r="A44373">
        <v>90189091100</v>
      </c>
      <c r="B44373" t="s">
        <v>14148</v>
      </c>
    </row>
    <row r="44374" spans="1:2" x14ac:dyDescent="0.25">
      <c r="A44374">
        <v>90189091900</v>
      </c>
      <c r="B44374" t="s">
        <v>14362</v>
      </c>
    </row>
    <row r="44375" spans="1:2" x14ac:dyDescent="0.25">
      <c r="A44375">
        <v>90189092</v>
      </c>
      <c r="B44375" t="s">
        <v>14433</v>
      </c>
    </row>
    <row r="44376" spans="1:2" x14ac:dyDescent="0.25">
      <c r="A44376">
        <v>901890921</v>
      </c>
      <c r="B44376" t="s">
        <v>14148</v>
      </c>
    </row>
    <row r="44377" spans="1:2" x14ac:dyDescent="0.25">
      <c r="A44377">
        <v>90189092110</v>
      </c>
      <c r="B44377" t="s">
        <v>14434</v>
      </c>
    </row>
    <row r="44378" spans="1:2" x14ac:dyDescent="0.25">
      <c r="A44378">
        <v>90189092190</v>
      </c>
      <c r="B44378" t="s">
        <v>10</v>
      </c>
    </row>
    <row r="44379" spans="1:2" x14ac:dyDescent="0.25">
      <c r="A44379">
        <v>90189092900</v>
      </c>
      <c r="B44379" t="s">
        <v>12037</v>
      </c>
    </row>
    <row r="44380" spans="1:2" x14ac:dyDescent="0.25">
      <c r="A44380">
        <v>90189093000</v>
      </c>
      <c r="B44380" t="s">
        <v>14435</v>
      </c>
    </row>
    <row r="44381" spans="1:2" x14ac:dyDescent="0.25">
      <c r="A44381">
        <v>90189094</v>
      </c>
      <c r="B44381" t="s">
        <v>14368</v>
      </c>
    </row>
    <row r="44382" spans="1:2" x14ac:dyDescent="0.25">
      <c r="A44382">
        <v>90189094100</v>
      </c>
      <c r="B44382" t="s">
        <v>14148</v>
      </c>
    </row>
    <row r="44383" spans="1:2" x14ac:dyDescent="0.25">
      <c r="A44383">
        <v>90189094900</v>
      </c>
      <c r="B44383" t="s">
        <v>14362</v>
      </c>
    </row>
    <row r="44384" spans="1:2" x14ac:dyDescent="0.25">
      <c r="A44384">
        <v>90189095</v>
      </c>
      <c r="B44384" t="s">
        <v>14436</v>
      </c>
    </row>
    <row r="44385" spans="1:2" x14ac:dyDescent="0.25">
      <c r="A44385">
        <v>90189095100</v>
      </c>
      <c r="B44385" t="s">
        <v>14437</v>
      </c>
    </row>
    <row r="44386" spans="1:2" x14ac:dyDescent="0.25">
      <c r="A44386">
        <v>90189095900</v>
      </c>
      <c r="B44386" t="s">
        <v>10</v>
      </c>
    </row>
    <row r="44387" spans="1:2" x14ac:dyDescent="0.25">
      <c r="A44387">
        <v>90189096000</v>
      </c>
      <c r="B44387" t="s">
        <v>14438</v>
      </c>
    </row>
    <row r="44388" spans="1:2" x14ac:dyDescent="0.25">
      <c r="A44388">
        <v>90189099</v>
      </c>
      <c r="B44388" t="s">
        <v>10</v>
      </c>
    </row>
    <row r="44389" spans="1:2" x14ac:dyDescent="0.25">
      <c r="A44389">
        <v>901890991</v>
      </c>
      <c r="B44389" t="s">
        <v>14419</v>
      </c>
    </row>
    <row r="44390" spans="1:2" x14ac:dyDescent="0.25">
      <c r="A44390">
        <v>90189099120</v>
      </c>
      <c r="B44390" t="s">
        <v>14439</v>
      </c>
    </row>
    <row r="44391" spans="1:2" x14ac:dyDescent="0.25">
      <c r="A44391">
        <v>90189099130</v>
      </c>
      <c r="B44391" t="s">
        <v>14440</v>
      </c>
    </row>
    <row r="44392" spans="1:2" x14ac:dyDescent="0.25">
      <c r="A44392">
        <v>90189099140</v>
      </c>
      <c r="B44392" t="s">
        <v>14441</v>
      </c>
    </row>
    <row r="44393" spans="1:2" x14ac:dyDescent="0.25">
      <c r="A44393">
        <v>90189099150</v>
      </c>
      <c r="B44393" t="s">
        <v>14442</v>
      </c>
    </row>
    <row r="44394" spans="1:2" x14ac:dyDescent="0.25">
      <c r="A44394">
        <v>90189099160</v>
      </c>
      <c r="B44394" t="s">
        <v>14443</v>
      </c>
    </row>
    <row r="44395" spans="1:2" x14ac:dyDescent="0.25">
      <c r="A44395">
        <v>90189099170</v>
      </c>
      <c r="B44395" t="s">
        <v>14444</v>
      </c>
    </row>
    <row r="44396" spans="1:2" x14ac:dyDescent="0.25">
      <c r="A44396">
        <v>90189099190</v>
      </c>
      <c r="B44396" t="s">
        <v>10</v>
      </c>
    </row>
    <row r="44397" spans="1:2" x14ac:dyDescent="0.25">
      <c r="A44397">
        <v>901890999</v>
      </c>
      <c r="B44397" t="s">
        <v>14362</v>
      </c>
    </row>
    <row r="44398" spans="1:2" x14ac:dyDescent="0.25">
      <c r="A44398">
        <v>90189099910</v>
      </c>
      <c r="B44398" t="s">
        <v>14445</v>
      </c>
    </row>
    <row r="44399" spans="1:2" x14ac:dyDescent="0.25">
      <c r="A44399">
        <v>90189099920</v>
      </c>
      <c r="B44399" t="s">
        <v>14446</v>
      </c>
    </row>
    <row r="44400" spans="1:2" x14ac:dyDescent="0.25">
      <c r="A44400">
        <v>90189099930</v>
      </c>
      <c r="B44400" t="s">
        <v>14447</v>
      </c>
    </row>
    <row r="44401" spans="1:2" x14ac:dyDescent="0.25">
      <c r="A44401">
        <v>90189099990</v>
      </c>
      <c r="B44401" t="s">
        <v>10</v>
      </c>
    </row>
    <row r="44402" spans="1:2" x14ac:dyDescent="0.25">
      <c r="A44402">
        <v>9019</v>
      </c>
      <c r="B44402" t="s">
        <v>14448</v>
      </c>
    </row>
    <row r="44403" spans="1:2" x14ac:dyDescent="0.25">
      <c r="A44403">
        <v>90191000</v>
      </c>
      <c r="B44403" t="e">
        <f>- aparatos de mecanoterapia, aparatos para masajes, aparatos de psicotecnia</f>
        <v>#NAME?</v>
      </c>
    </row>
    <row r="44404" spans="1:2" x14ac:dyDescent="0.25">
      <c r="A44404">
        <v>901910001</v>
      </c>
      <c r="B44404" t="s">
        <v>14449</v>
      </c>
    </row>
    <row r="44405" spans="1:2" x14ac:dyDescent="0.25">
      <c r="A44405">
        <v>90191000110</v>
      </c>
      <c r="B44405" t="s">
        <v>14450</v>
      </c>
    </row>
    <row r="44406" spans="1:2" x14ac:dyDescent="0.25">
      <c r="A44406">
        <v>90191000190</v>
      </c>
      <c r="B44406" t="s">
        <v>10</v>
      </c>
    </row>
    <row r="44407" spans="1:2" x14ac:dyDescent="0.25">
      <c r="A44407">
        <v>90191000800</v>
      </c>
      <c r="B44407" t="s">
        <v>10</v>
      </c>
    </row>
    <row r="44408" spans="1:2" x14ac:dyDescent="0.25">
      <c r="A44408">
        <v>90191000900</v>
      </c>
      <c r="B44408" t="s">
        <v>12037</v>
      </c>
    </row>
    <row r="44409" spans="1:2" x14ac:dyDescent="0.25">
      <c r="A44409">
        <v>901920</v>
      </c>
      <c r="B44409" t="e">
        <f>- aparatos de ozonoterapia. oxigenoterapia o aerosolterapia. aparatos respiratorios de reanimacion y demas aparatos de terapia respiratoria</f>
        <v>#NAME?</v>
      </c>
    </row>
    <row r="44410" spans="1:2" x14ac:dyDescent="0.25">
      <c r="A44410">
        <v>90192010</v>
      </c>
      <c r="B44410" t="s">
        <v>14451</v>
      </c>
    </row>
    <row r="44411" spans="1:2" x14ac:dyDescent="0.25">
      <c r="A44411">
        <v>90192010100</v>
      </c>
      <c r="B44411" t="s">
        <v>14148</v>
      </c>
    </row>
    <row r="44412" spans="1:2" x14ac:dyDescent="0.25">
      <c r="A44412">
        <v>90192010900</v>
      </c>
      <c r="B44412" t="s">
        <v>14362</v>
      </c>
    </row>
    <row r="44413" spans="1:2" x14ac:dyDescent="0.25">
      <c r="A44413">
        <v>90192020</v>
      </c>
      <c r="B44413" t="s">
        <v>14452</v>
      </c>
    </row>
    <row r="44414" spans="1:2" x14ac:dyDescent="0.25">
      <c r="A44414">
        <v>901920201</v>
      </c>
      <c r="B44414" t="s">
        <v>14148</v>
      </c>
    </row>
    <row r="44415" spans="1:2" x14ac:dyDescent="0.25">
      <c r="A44415">
        <v>90192020110</v>
      </c>
      <c r="B44415" t="s">
        <v>14453</v>
      </c>
    </row>
    <row r="44416" spans="1:2" x14ac:dyDescent="0.25">
      <c r="A44416">
        <v>90192020190</v>
      </c>
      <c r="B44416" t="s">
        <v>10</v>
      </c>
    </row>
    <row r="44417" spans="1:2" x14ac:dyDescent="0.25">
      <c r="A44417">
        <v>90192020900</v>
      </c>
      <c r="B44417" t="s">
        <v>12037</v>
      </c>
    </row>
    <row r="44418" spans="1:2" x14ac:dyDescent="0.25">
      <c r="A44418">
        <v>90192030</v>
      </c>
      <c r="B44418" t="s">
        <v>14454</v>
      </c>
    </row>
    <row r="44419" spans="1:2" x14ac:dyDescent="0.25">
      <c r="A44419">
        <v>90192030100</v>
      </c>
      <c r="B44419" t="s">
        <v>14148</v>
      </c>
    </row>
    <row r="44420" spans="1:2" x14ac:dyDescent="0.25">
      <c r="A44420">
        <v>90192030900</v>
      </c>
      <c r="B44420" t="s">
        <v>14362</v>
      </c>
    </row>
    <row r="44421" spans="1:2" x14ac:dyDescent="0.25">
      <c r="A44421">
        <v>90192040</v>
      </c>
      <c r="B44421" t="s">
        <v>14455</v>
      </c>
    </row>
    <row r="44422" spans="1:2" x14ac:dyDescent="0.25">
      <c r="A44422">
        <v>90192040100</v>
      </c>
      <c r="B44422" t="s">
        <v>14148</v>
      </c>
    </row>
    <row r="44423" spans="1:2" x14ac:dyDescent="0.25">
      <c r="A44423">
        <v>90192040900</v>
      </c>
      <c r="B44423" t="s">
        <v>14362</v>
      </c>
    </row>
    <row r="44424" spans="1:2" x14ac:dyDescent="0.25">
      <c r="A44424">
        <v>90192090</v>
      </c>
      <c r="B44424" t="s">
        <v>10</v>
      </c>
    </row>
    <row r="44425" spans="1:2" x14ac:dyDescent="0.25">
      <c r="A44425">
        <v>90192090100</v>
      </c>
      <c r="B44425" t="s">
        <v>14148</v>
      </c>
    </row>
    <row r="44426" spans="1:2" x14ac:dyDescent="0.25">
      <c r="A44426">
        <v>90192090900</v>
      </c>
      <c r="B44426" t="s">
        <v>12037</v>
      </c>
    </row>
    <row r="44427" spans="1:2" x14ac:dyDescent="0.25">
      <c r="A44427">
        <v>902000</v>
      </c>
      <c r="B44427" t="s">
        <v>14456</v>
      </c>
    </row>
    <row r="44428" spans="1:2" x14ac:dyDescent="0.25">
      <c r="A44428">
        <v>90200010</v>
      </c>
      <c r="B44428" t="s">
        <v>14457</v>
      </c>
    </row>
    <row r="44429" spans="1:2" x14ac:dyDescent="0.25">
      <c r="A44429">
        <v>90200010100</v>
      </c>
      <c r="B44429" t="s">
        <v>14148</v>
      </c>
    </row>
    <row r="44430" spans="1:2" x14ac:dyDescent="0.25">
      <c r="A44430">
        <v>90200010900</v>
      </c>
      <c r="B44430" t="s">
        <v>12037</v>
      </c>
    </row>
    <row r="44431" spans="1:2" x14ac:dyDescent="0.25">
      <c r="A44431">
        <v>90200090</v>
      </c>
      <c r="B44431" t="s">
        <v>10</v>
      </c>
    </row>
    <row r="44432" spans="1:2" x14ac:dyDescent="0.25">
      <c r="A44432">
        <v>90200090100</v>
      </c>
      <c r="B44432" t="s">
        <v>14148</v>
      </c>
    </row>
    <row r="44433" spans="1:2" x14ac:dyDescent="0.25">
      <c r="A44433">
        <v>90200090900</v>
      </c>
      <c r="B44433" t="s">
        <v>12037</v>
      </c>
    </row>
    <row r="44434" spans="1:2" x14ac:dyDescent="0.25">
      <c r="A44434">
        <v>9021</v>
      </c>
      <c r="B44434" t="s">
        <v>14458</v>
      </c>
    </row>
    <row r="44435" spans="1:2" x14ac:dyDescent="0.25">
      <c r="A44435">
        <v>902110</v>
      </c>
      <c r="B44435" t="e">
        <f>- Articulos y aparatos de ortopedia o para fracturas</f>
        <v>#NAME?</v>
      </c>
    </row>
    <row r="44436" spans="1:2" x14ac:dyDescent="0.25">
      <c r="A44436">
        <v>90211010</v>
      </c>
      <c r="B44436" t="s">
        <v>14459</v>
      </c>
    </row>
    <row r="44437" spans="1:2" x14ac:dyDescent="0.25">
      <c r="A44437">
        <v>90211010100</v>
      </c>
      <c r="B44437" t="s">
        <v>14460</v>
      </c>
    </row>
    <row r="44438" spans="1:2" x14ac:dyDescent="0.25">
      <c r="A44438">
        <v>90211010200</v>
      </c>
      <c r="B44438" t="s">
        <v>14461</v>
      </c>
    </row>
    <row r="44439" spans="1:2" x14ac:dyDescent="0.25">
      <c r="A44439">
        <v>90211010300</v>
      </c>
      <c r="B44439" t="s">
        <v>14462</v>
      </c>
    </row>
    <row r="44440" spans="1:2" x14ac:dyDescent="0.25">
      <c r="A44440">
        <v>90211010400</v>
      </c>
      <c r="B44440" t="s">
        <v>14463</v>
      </c>
    </row>
    <row r="44441" spans="1:2" x14ac:dyDescent="0.25">
      <c r="A44441">
        <v>90211010500</v>
      </c>
      <c r="B44441" t="s">
        <v>14464</v>
      </c>
    </row>
    <row r="44442" spans="1:2" x14ac:dyDescent="0.25">
      <c r="A44442">
        <v>90211010900</v>
      </c>
      <c r="B44442" t="s">
        <v>10</v>
      </c>
    </row>
    <row r="44443" spans="1:2" x14ac:dyDescent="0.25">
      <c r="A44443">
        <v>90211020</v>
      </c>
      <c r="B44443" t="s">
        <v>14465</v>
      </c>
    </row>
    <row r="44444" spans="1:2" x14ac:dyDescent="0.25">
      <c r="A44444">
        <v>90211020100</v>
      </c>
      <c r="B44444" t="s">
        <v>14466</v>
      </c>
    </row>
    <row r="44445" spans="1:2" x14ac:dyDescent="0.25">
      <c r="A44445">
        <v>90211020200</v>
      </c>
      <c r="B44445" t="s">
        <v>14467</v>
      </c>
    </row>
    <row r="44446" spans="1:2" x14ac:dyDescent="0.25">
      <c r="A44446">
        <v>90211020300</v>
      </c>
      <c r="B44446" t="s">
        <v>14468</v>
      </c>
    </row>
    <row r="44447" spans="1:2" x14ac:dyDescent="0.25">
      <c r="A44447">
        <v>90211020900</v>
      </c>
      <c r="B44447" t="s">
        <v>10</v>
      </c>
    </row>
    <row r="44448" spans="1:2" x14ac:dyDescent="0.25">
      <c r="A44448">
        <v>9021109</v>
      </c>
      <c r="B44448" t="s">
        <v>14362</v>
      </c>
    </row>
    <row r="44449" spans="1:2" x14ac:dyDescent="0.25">
      <c r="A44449">
        <v>90211091</v>
      </c>
      <c r="B44449" t="s">
        <v>14469</v>
      </c>
    </row>
    <row r="44450" spans="1:2" x14ac:dyDescent="0.25">
      <c r="A44450">
        <v>90211091100</v>
      </c>
      <c r="B44450" t="s">
        <v>12036</v>
      </c>
    </row>
    <row r="44451" spans="1:2" x14ac:dyDescent="0.25">
      <c r="A44451">
        <v>90211091900</v>
      </c>
      <c r="B44451" t="s">
        <v>12037</v>
      </c>
    </row>
    <row r="44452" spans="1:2" x14ac:dyDescent="0.25">
      <c r="A44452">
        <v>90211099</v>
      </c>
      <c r="B44452" t="s">
        <v>10</v>
      </c>
    </row>
    <row r="44453" spans="1:2" x14ac:dyDescent="0.25">
      <c r="A44453">
        <v>90211099100</v>
      </c>
      <c r="B44453" t="s">
        <v>12036</v>
      </c>
    </row>
    <row r="44454" spans="1:2" x14ac:dyDescent="0.25">
      <c r="A44454">
        <v>90211099900</v>
      </c>
      <c r="B44454" t="s">
        <v>12037</v>
      </c>
    </row>
    <row r="44455" spans="1:2" x14ac:dyDescent="0.25">
      <c r="A44455">
        <v>90212</v>
      </c>
      <c r="B44455" t="s">
        <v>14470</v>
      </c>
    </row>
    <row r="44456" spans="1:2" x14ac:dyDescent="0.25">
      <c r="A44456">
        <v>902121</v>
      </c>
      <c r="B44456" t="e">
        <f>- - Dientes artificiales</f>
        <v>#NAME?</v>
      </c>
    </row>
    <row r="44457" spans="1:2" x14ac:dyDescent="0.25">
      <c r="A44457">
        <v>90212110</v>
      </c>
      <c r="B44457" t="s">
        <v>9034</v>
      </c>
    </row>
    <row r="44458" spans="1:2" x14ac:dyDescent="0.25">
      <c r="A44458">
        <v>902121101</v>
      </c>
      <c r="B44458" t="s">
        <v>14471</v>
      </c>
    </row>
    <row r="44459" spans="1:2" x14ac:dyDescent="0.25">
      <c r="A44459">
        <v>90212110110</v>
      </c>
      <c r="B44459" t="s">
        <v>14472</v>
      </c>
    </row>
    <row r="44460" spans="1:2" x14ac:dyDescent="0.25">
      <c r="A44460">
        <v>90212110120</v>
      </c>
      <c r="B44460" t="s">
        <v>14473</v>
      </c>
    </row>
    <row r="44461" spans="1:2" x14ac:dyDescent="0.25">
      <c r="A44461">
        <v>90212110190</v>
      </c>
      <c r="B44461" t="s">
        <v>10</v>
      </c>
    </row>
    <row r="44462" spans="1:2" x14ac:dyDescent="0.25">
      <c r="A44462">
        <v>90212110900</v>
      </c>
      <c r="B44462" t="s">
        <v>12037</v>
      </c>
    </row>
    <row r="44463" spans="1:2" x14ac:dyDescent="0.25">
      <c r="A44463">
        <v>90212190</v>
      </c>
      <c r="B44463" t="s">
        <v>10</v>
      </c>
    </row>
    <row r="44464" spans="1:2" x14ac:dyDescent="0.25">
      <c r="A44464">
        <v>90212190100</v>
      </c>
      <c r="B44464" t="s">
        <v>14471</v>
      </c>
    </row>
    <row r="44465" spans="1:2" x14ac:dyDescent="0.25">
      <c r="A44465">
        <v>90212190900</v>
      </c>
      <c r="B44465" t="s">
        <v>12037</v>
      </c>
    </row>
    <row r="44466" spans="1:2" x14ac:dyDescent="0.25">
      <c r="A44466">
        <v>90212900</v>
      </c>
      <c r="B44466" t="e">
        <f>- - Los demas</f>
        <v>#NAME?</v>
      </c>
    </row>
    <row r="44467" spans="1:2" x14ac:dyDescent="0.25">
      <c r="A44467">
        <v>90212900100</v>
      </c>
      <c r="B44467" t="s">
        <v>14474</v>
      </c>
    </row>
    <row r="44468" spans="1:2" x14ac:dyDescent="0.25">
      <c r="A44468">
        <v>90212900900</v>
      </c>
      <c r="B44468" t="s">
        <v>12037</v>
      </c>
    </row>
    <row r="44469" spans="1:2" x14ac:dyDescent="0.25">
      <c r="A44469">
        <v>90213</v>
      </c>
      <c r="B44469" t="s">
        <v>14475</v>
      </c>
    </row>
    <row r="44470" spans="1:2" x14ac:dyDescent="0.25">
      <c r="A44470">
        <v>902131</v>
      </c>
      <c r="B44470" t="e">
        <f>- - protesis articulares</f>
        <v>#NAME?</v>
      </c>
    </row>
    <row r="44471" spans="1:2" x14ac:dyDescent="0.25">
      <c r="A44471">
        <v>90213110</v>
      </c>
      <c r="B44471" t="s">
        <v>14476</v>
      </c>
    </row>
    <row r="44472" spans="1:2" x14ac:dyDescent="0.25">
      <c r="A44472">
        <v>90213110100</v>
      </c>
      <c r="B44472" t="s">
        <v>14474</v>
      </c>
    </row>
    <row r="44473" spans="1:2" x14ac:dyDescent="0.25">
      <c r="A44473">
        <v>90213110900</v>
      </c>
      <c r="B44473" t="s">
        <v>12037</v>
      </c>
    </row>
    <row r="44474" spans="1:2" x14ac:dyDescent="0.25">
      <c r="A44474">
        <v>90213120</v>
      </c>
      <c r="B44474" t="s">
        <v>14477</v>
      </c>
    </row>
    <row r="44475" spans="1:2" x14ac:dyDescent="0.25">
      <c r="A44475">
        <v>90213120100</v>
      </c>
      <c r="B44475" t="s">
        <v>14474</v>
      </c>
    </row>
    <row r="44476" spans="1:2" x14ac:dyDescent="0.25">
      <c r="A44476">
        <v>90213120900</v>
      </c>
      <c r="B44476" t="s">
        <v>12037</v>
      </c>
    </row>
    <row r="44477" spans="1:2" x14ac:dyDescent="0.25">
      <c r="A44477">
        <v>90213190</v>
      </c>
      <c r="B44477" t="s">
        <v>57</v>
      </c>
    </row>
    <row r="44478" spans="1:2" x14ac:dyDescent="0.25">
      <c r="A44478">
        <v>90213190100</v>
      </c>
      <c r="B44478" t="s">
        <v>14474</v>
      </c>
    </row>
    <row r="44479" spans="1:2" x14ac:dyDescent="0.25">
      <c r="A44479">
        <v>90213190900</v>
      </c>
      <c r="B44479" t="s">
        <v>12037</v>
      </c>
    </row>
    <row r="44480" spans="1:2" x14ac:dyDescent="0.25">
      <c r="A44480">
        <v>902139</v>
      </c>
      <c r="B44480" t="e">
        <f>- - Los demas</f>
        <v>#NAME?</v>
      </c>
    </row>
    <row r="44481" spans="1:2" x14ac:dyDescent="0.25">
      <c r="A44481">
        <v>9021391</v>
      </c>
      <c r="B44481" t="s">
        <v>14478</v>
      </c>
    </row>
    <row r="44482" spans="1:2" x14ac:dyDescent="0.25">
      <c r="A44482">
        <v>90213911000</v>
      </c>
      <c r="B44482" t="s">
        <v>14479</v>
      </c>
    </row>
    <row r="44483" spans="1:2" x14ac:dyDescent="0.25">
      <c r="A44483">
        <v>90213919000</v>
      </c>
      <c r="B44483" t="s">
        <v>57</v>
      </c>
    </row>
    <row r="44484" spans="1:2" x14ac:dyDescent="0.25">
      <c r="A44484">
        <v>90213920000</v>
      </c>
      <c r="B44484" t="s">
        <v>14480</v>
      </c>
    </row>
    <row r="44485" spans="1:2" x14ac:dyDescent="0.25">
      <c r="A44485">
        <v>90213930000</v>
      </c>
      <c r="B44485" t="s">
        <v>14481</v>
      </c>
    </row>
    <row r="44486" spans="1:2" x14ac:dyDescent="0.25">
      <c r="A44486">
        <v>90213940000</v>
      </c>
      <c r="B44486" t="s">
        <v>14482</v>
      </c>
    </row>
    <row r="44487" spans="1:2" x14ac:dyDescent="0.25">
      <c r="A44487">
        <v>90213980</v>
      </c>
      <c r="B44487" t="s">
        <v>10</v>
      </c>
    </row>
    <row r="44488" spans="1:2" x14ac:dyDescent="0.25">
      <c r="A44488">
        <v>90213980100</v>
      </c>
      <c r="B44488" t="s">
        <v>14483</v>
      </c>
    </row>
    <row r="44489" spans="1:2" x14ac:dyDescent="0.25">
      <c r="A44489">
        <v>90213980200</v>
      </c>
      <c r="B44489" t="s">
        <v>14484</v>
      </c>
    </row>
    <row r="44490" spans="1:2" x14ac:dyDescent="0.25">
      <c r="A44490">
        <v>90213980300</v>
      </c>
      <c r="B44490" t="s">
        <v>14485</v>
      </c>
    </row>
    <row r="44491" spans="1:2" x14ac:dyDescent="0.25">
      <c r="A44491">
        <v>90213980400</v>
      </c>
      <c r="B44491" t="s">
        <v>14486</v>
      </c>
    </row>
    <row r="44492" spans="1:2" x14ac:dyDescent="0.25">
      <c r="A44492">
        <v>90213980500</v>
      </c>
      <c r="B44492" t="s">
        <v>14487</v>
      </c>
    </row>
    <row r="44493" spans="1:2" x14ac:dyDescent="0.25">
      <c r="A44493">
        <v>90213980600</v>
      </c>
      <c r="B44493" t="s">
        <v>14488</v>
      </c>
    </row>
    <row r="44494" spans="1:2" x14ac:dyDescent="0.25">
      <c r="A44494">
        <v>90213980900</v>
      </c>
      <c r="B44494" t="s">
        <v>10</v>
      </c>
    </row>
    <row r="44495" spans="1:2" x14ac:dyDescent="0.25">
      <c r="A44495">
        <v>9021399</v>
      </c>
      <c r="B44495" t="s">
        <v>14362</v>
      </c>
    </row>
    <row r="44496" spans="1:2" x14ac:dyDescent="0.25">
      <c r="A44496">
        <v>90213991000</v>
      </c>
      <c r="B44496" t="s">
        <v>14489</v>
      </c>
    </row>
    <row r="44497" spans="1:2" x14ac:dyDescent="0.25">
      <c r="A44497">
        <v>90213999</v>
      </c>
      <c r="B44497" t="s">
        <v>10</v>
      </c>
    </row>
    <row r="44498" spans="1:2" x14ac:dyDescent="0.25">
      <c r="A44498">
        <v>902139991</v>
      </c>
      <c r="B44498" t="s">
        <v>12036</v>
      </c>
    </row>
    <row r="44499" spans="1:2" x14ac:dyDescent="0.25">
      <c r="A44499">
        <v>90213999110</v>
      </c>
      <c r="B44499" t="s">
        <v>14490</v>
      </c>
    </row>
    <row r="44500" spans="1:2" x14ac:dyDescent="0.25">
      <c r="A44500">
        <v>90213999190</v>
      </c>
      <c r="B44500" t="s">
        <v>10</v>
      </c>
    </row>
    <row r="44501" spans="1:2" x14ac:dyDescent="0.25">
      <c r="A44501">
        <v>90213999900</v>
      </c>
      <c r="B44501" t="s">
        <v>12037</v>
      </c>
    </row>
    <row r="44502" spans="1:2" x14ac:dyDescent="0.25">
      <c r="A44502">
        <v>90214000</v>
      </c>
      <c r="B44502" t="e">
        <f>- Audifonos. excepto sus partes y accesorios</f>
        <v>#NAME?</v>
      </c>
    </row>
    <row r="44503" spans="1:2" x14ac:dyDescent="0.25">
      <c r="A44503">
        <v>90214000100</v>
      </c>
      <c r="B44503" t="s">
        <v>14491</v>
      </c>
    </row>
    <row r="44504" spans="1:2" x14ac:dyDescent="0.25">
      <c r="A44504">
        <v>90214000900</v>
      </c>
      <c r="B44504" t="s">
        <v>10</v>
      </c>
    </row>
    <row r="44505" spans="1:2" x14ac:dyDescent="0.25">
      <c r="A44505">
        <v>90215000000</v>
      </c>
      <c r="B44505" t="s">
        <v>14492</v>
      </c>
    </row>
    <row r="44506" spans="1:2" x14ac:dyDescent="0.25">
      <c r="A44506">
        <v>902190</v>
      </c>
      <c r="B44506" t="e">
        <f>- Los demas</f>
        <v>#NAME?</v>
      </c>
    </row>
    <row r="44507" spans="1:2" x14ac:dyDescent="0.25">
      <c r="A44507">
        <v>9021901</v>
      </c>
      <c r="B44507" t="s">
        <v>14493</v>
      </c>
    </row>
    <row r="44508" spans="1:2" x14ac:dyDescent="0.25">
      <c r="A44508">
        <v>90219011000</v>
      </c>
      <c r="B44508" t="s">
        <v>14494</v>
      </c>
    </row>
    <row r="44509" spans="1:2" x14ac:dyDescent="0.25">
      <c r="A44509">
        <v>90219019</v>
      </c>
      <c r="B44509" t="s">
        <v>10</v>
      </c>
    </row>
    <row r="44510" spans="1:2" x14ac:dyDescent="0.25">
      <c r="A44510">
        <v>90219019100</v>
      </c>
      <c r="B44510" t="s">
        <v>14495</v>
      </c>
    </row>
    <row r="44511" spans="1:2" x14ac:dyDescent="0.25">
      <c r="A44511">
        <v>90219019900</v>
      </c>
      <c r="B44511" t="s">
        <v>10</v>
      </c>
    </row>
    <row r="44512" spans="1:2" x14ac:dyDescent="0.25">
      <c r="A44512">
        <v>9021908</v>
      </c>
      <c r="B44512" t="s">
        <v>10</v>
      </c>
    </row>
    <row r="44513" spans="1:2" x14ac:dyDescent="0.25">
      <c r="A44513">
        <v>90219081000</v>
      </c>
      <c r="B44513" t="s">
        <v>14496</v>
      </c>
    </row>
    <row r="44514" spans="1:2" x14ac:dyDescent="0.25">
      <c r="A44514">
        <v>90219082000</v>
      </c>
      <c r="B44514" t="s">
        <v>14497</v>
      </c>
    </row>
    <row r="44515" spans="1:2" x14ac:dyDescent="0.25">
      <c r="A44515">
        <v>90219089</v>
      </c>
      <c r="B44515" t="s">
        <v>10</v>
      </c>
    </row>
    <row r="44516" spans="1:2" x14ac:dyDescent="0.25">
      <c r="A44516">
        <v>90219089100</v>
      </c>
      <c r="B44516" t="s">
        <v>14498</v>
      </c>
    </row>
    <row r="44517" spans="1:2" x14ac:dyDescent="0.25">
      <c r="A44517">
        <v>90219089900</v>
      </c>
      <c r="B44517" t="s">
        <v>10</v>
      </c>
    </row>
    <row r="44518" spans="1:2" x14ac:dyDescent="0.25">
      <c r="A44518">
        <v>9021909</v>
      </c>
      <c r="B44518" t="s">
        <v>14362</v>
      </c>
    </row>
    <row r="44519" spans="1:2" x14ac:dyDescent="0.25">
      <c r="A44519">
        <v>90219091</v>
      </c>
      <c r="B44519" t="s">
        <v>14499</v>
      </c>
    </row>
    <row r="44520" spans="1:2" x14ac:dyDescent="0.25">
      <c r="A44520">
        <v>90219091100</v>
      </c>
      <c r="B44520" t="s">
        <v>12036</v>
      </c>
    </row>
    <row r="44521" spans="1:2" x14ac:dyDescent="0.25">
      <c r="A44521">
        <v>902190919</v>
      </c>
      <c r="B44521" t="s">
        <v>12037</v>
      </c>
    </row>
    <row r="44522" spans="1:2" x14ac:dyDescent="0.25">
      <c r="A44522">
        <v>90219091910</v>
      </c>
      <c r="B44522" t="s">
        <v>13570</v>
      </c>
    </row>
    <row r="44523" spans="1:2" x14ac:dyDescent="0.25">
      <c r="A44523">
        <v>90219091990</v>
      </c>
      <c r="B44523" t="s">
        <v>10</v>
      </c>
    </row>
    <row r="44524" spans="1:2" x14ac:dyDescent="0.25">
      <c r="A44524">
        <v>90219092</v>
      </c>
      <c r="B44524" t="s">
        <v>14500</v>
      </c>
    </row>
    <row r="44525" spans="1:2" x14ac:dyDescent="0.25">
      <c r="A44525">
        <v>90219092100</v>
      </c>
      <c r="B44525" t="s">
        <v>12036</v>
      </c>
    </row>
    <row r="44526" spans="1:2" x14ac:dyDescent="0.25">
      <c r="A44526">
        <v>90219092900</v>
      </c>
      <c r="B44526" t="s">
        <v>12037</v>
      </c>
    </row>
    <row r="44527" spans="1:2" x14ac:dyDescent="0.25">
      <c r="A44527">
        <v>90219099</v>
      </c>
      <c r="B44527" t="s">
        <v>10</v>
      </c>
    </row>
    <row r="44528" spans="1:2" x14ac:dyDescent="0.25">
      <c r="A44528">
        <v>90219099100</v>
      </c>
      <c r="B44528" t="s">
        <v>12036</v>
      </c>
    </row>
    <row r="44529" spans="1:2" x14ac:dyDescent="0.25">
      <c r="A44529">
        <v>90219099900</v>
      </c>
      <c r="B44529" t="s">
        <v>12037</v>
      </c>
    </row>
    <row r="44530" spans="1:2" x14ac:dyDescent="0.25">
      <c r="A44530">
        <v>9022</v>
      </c>
      <c r="B44530" t="s">
        <v>14501</v>
      </c>
    </row>
    <row r="44531" spans="1:2" x14ac:dyDescent="0.25">
      <c r="A44531">
        <v>90221</v>
      </c>
      <c r="B44531" t="s">
        <v>14502</v>
      </c>
    </row>
    <row r="44532" spans="1:2" x14ac:dyDescent="0.25">
      <c r="A44532">
        <v>90221200000</v>
      </c>
      <c r="B44532" t="e">
        <f>--aparatos de tomografia computarizada</f>
        <v>#NAME?</v>
      </c>
    </row>
    <row r="44533" spans="1:2" x14ac:dyDescent="0.25">
      <c r="A44533">
        <v>902213</v>
      </c>
      <c r="B44533" t="e">
        <f>- - Los demas. para uso odontologico</f>
        <v>#NAME?</v>
      </c>
    </row>
    <row r="44534" spans="1:2" x14ac:dyDescent="0.25">
      <c r="A44534">
        <v>9022131</v>
      </c>
      <c r="B44534" t="s">
        <v>14503</v>
      </c>
    </row>
    <row r="44535" spans="1:2" x14ac:dyDescent="0.25">
      <c r="A44535">
        <v>90221311000</v>
      </c>
      <c r="B44535" t="s">
        <v>14504</v>
      </c>
    </row>
    <row r="44536" spans="1:2" x14ac:dyDescent="0.25">
      <c r="A44536">
        <v>90221319000</v>
      </c>
      <c r="B44536" t="s">
        <v>10</v>
      </c>
    </row>
    <row r="44537" spans="1:2" x14ac:dyDescent="0.25">
      <c r="A44537">
        <v>90221390000</v>
      </c>
      <c r="B44537" t="s">
        <v>10</v>
      </c>
    </row>
    <row r="44538" spans="1:2" x14ac:dyDescent="0.25">
      <c r="A44538">
        <v>902214</v>
      </c>
      <c r="B44538" t="e">
        <f>- - Los demas. para uso medico. quirurgico o veterinario</f>
        <v>#NAME?</v>
      </c>
    </row>
    <row r="44539" spans="1:2" x14ac:dyDescent="0.25">
      <c r="A44539">
        <v>9022141</v>
      </c>
      <c r="B44539" t="s">
        <v>14503</v>
      </c>
    </row>
    <row r="44540" spans="1:2" x14ac:dyDescent="0.25">
      <c r="A44540">
        <v>90221411000</v>
      </c>
      <c r="B44540" t="s">
        <v>14505</v>
      </c>
    </row>
    <row r="44541" spans="1:2" x14ac:dyDescent="0.25">
      <c r="A44541">
        <v>90221412</v>
      </c>
      <c r="B44541" t="s">
        <v>14506</v>
      </c>
    </row>
    <row r="44542" spans="1:2" x14ac:dyDescent="0.25">
      <c r="A44542">
        <v>90221412100</v>
      </c>
      <c r="B44542" t="s">
        <v>14507</v>
      </c>
    </row>
    <row r="44543" spans="1:2" x14ac:dyDescent="0.25">
      <c r="A44543">
        <v>90221412900</v>
      </c>
      <c r="B44543" t="s">
        <v>10</v>
      </c>
    </row>
    <row r="44544" spans="1:2" x14ac:dyDescent="0.25">
      <c r="A44544">
        <v>90221413000</v>
      </c>
      <c r="B44544" t="s">
        <v>14508</v>
      </c>
    </row>
    <row r="44545" spans="1:2" x14ac:dyDescent="0.25">
      <c r="A44545">
        <v>90221419000</v>
      </c>
      <c r="B44545" t="s">
        <v>10</v>
      </c>
    </row>
    <row r="44546" spans="1:2" x14ac:dyDescent="0.25">
      <c r="A44546">
        <v>90221490</v>
      </c>
      <c r="B44546" t="s">
        <v>10</v>
      </c>
    </row>
    <row r="44547" spans="1:2" x14ac:dyDescent="0.25">
      <c r="A44547">
        <v>90221490100</v>
      </c>
      <c r="B44547" t="s">
        <v>14509</v>
      </c>
    </row>
    <row r="44548" spans="1:2" x14ac:dyDescent="0.25">
      <c r="A44548">
        <v>90221490200</v>
      </c>
      <c r="B44548" t="s">
        <v>14510</v>
      </c>
    </row>
    <row r="44549" spans="1:2" x14ac:dyDescent="0.25">
      <c r="A44549">
        <v>90221490900</v>
      </c>
      <c r="B44549" t="s">
        <v>10</v>
      </c>
    </row>
    <row r="44550" spans="1:2" x14ac:dyDescent="0.25">
      <c r="A44550">
        <v>902219</v>
      </c>
      <c r="B44550" t="e">
        <f>- - para otros usos</f>
        <v>#NAME?</v>
      </c>
    </row>
    <row r="44551" spans="1:2" x14ac:dyDescent="0.25">
      <c r="A44551">
        <v>90221910</v>
      </c>
      <c r="B44551" t="s">
        <v>14511</v>
      </c>
    </row>
    <row r="44552" spans="1:2" x14ac:dyDescent="0.25">
      <c r="A44552">
        <v>90221910100</v>
      </c>
      <c r="B44552" t="s">
        <v>14512</v>
      </c>
    </row>
    <row r="44553" spans="1:2" x14ac:dyDescent="0.25">
      <c r="A44553">
        <v>90221910200</v>
      </c>
      <c r="B44553" t="s">
        <v>14513</v>
      </c>
    </row>
    <row r="44554" spans="1:2" x14ac:dyDescent="0.25">
      <c r="A44554">
        <v>90221910900</v>
      </c>
      <c r="B44554" t="s">
        <v>10</v>
      </c>
    </row>
    <row r="44555" spans="1:2" x14ac:dyDescent="0.25">
      <c r="A44555">
        <v>9022199</v>
      </c>
      <c r="B44555" t="s">
        <v>10</v>
      </c>
    </row>
    <row r="44556" spans="1:2" x14ac:dyDescent="0.25">
      <c r="A44556">
        <v>90221991000</v>
      </c>
      <c r="B44556" t="s">
        <v>14514</v>
      </c>
    </row>
    <row r="44557" spans="1:2" x14ac:dyDescent="0.25">
      <c r="A44557">
        <v>90221999</v>
      </c>
      <c r="B44557" t="s">
        <v>10</v>
      </c>
    </row>
    <row r="44558" spans="1:2" x14ac:dyDescent="0.25">
      <c r="A44558">
        <v>90221999100</v>
      </c>
      <c r="B44558" t="s">
        <v>14515</v>
      </c>
    </row>
    <row r="44559" spans="1:2" x14ac:dyDescent="0.25">
      <c r="A44559">
        <v>90221999900</v>
      </c>
      <c r="B44559" t="s">
        <v>10</v>
      </c>
    </row>
    <row r="44560" spans="1:2" x14ac:dyDescent="0.25">
      <c r="A44560">
        <v>90222</v>
      </c>
      <c r="B44560" t="s">
        <v>14516</v>
      </c>
    </row>
    <row r="44561" spans="1:2" x14ac:dyDescent="0.25">
      <c r="A44561">
        <v>902221</v>
      </c>
      <c r="B44561" t="e">
        <f>- - para uso medico. quirurgico. odontologico o veterinario</f>
        <v>#NAME?</v>
      </c>
    </row>
    <row r="44562" spans="1:2" x14ac:dyDescent="0.25">
      <c r="A44562">
        <v>90222110000</v>
      </c>
      <c r="B44562" t="s">
        <v>14517</v>
      </c>
    </row>
    <row r="44563" spans="1:2" x14ac:dyDescent="0.25">
      <c r="A44563">
        <v>90222120000</v>
      </c>
      <c r="B44563" t="s">
        <v>14518</v>
      </c>
    </row>
    <row r="44564" spans="1:2" x14ac:dyDescent="0.25">
      <c r="A44564">
        <v>90222190000</v>
      </c>
      <c r="B44564" t="s">
        <v>10</v>
      </c>
    </row>
    <row r="44565" spans="1:2" x14ac:dyDescent="0.25">
      <c r="A44565">
        <v>902229</v>
      </c>
      <c r="B44565" t="e">
        <f>- - para otros usos</f>
        <v>#NAME?</v>
      </c>
    </row>
    <row r="44566" spans="1:2" x14ac:dyDescent="0.25">
      <c r="A44566">
        <v>90222910000</v>
      </c>
      <c r="B44566" t="s">
        <v>14519</v>
      </c>
    </row>
    <row r="44567" spans="1:2" x14ac:dyDescent="0.25">
      <c r="A44567">
        <v>90222990000</v>
      </c>
      <c r="B44567" t="s">
        <v>10</v>
      </c>
    </row>
    <row r="44568" spans="1:2" x14ac:dyDescent="0.25">
      <c r="A44568">
        <v>90223000</v>
      </c>
      <c r="B44568" t="e">
        <f>- Tubos de rayos X</f>
        <v>#NAME?</v>
      </c>
    </row>
    <row r="44569" spans="1:2" x14ac:dyDescent="0.25">
      <c r="A44569">
        <v>902230001</v>
      </c>
      <c r="B44569" t="s">
        <v>14520</v>
      </c>
    </row>
    <row r="44570" spans="1:2" x14ac:dyDescent="0.25">
      <c r="A44570">
        <v>90223000110</v>
      </c>
      <c r="B44570" t="s">
        <v>14521</v>
      </c>
    </row>
    <row r="44571" spans="1:2" x14ac:dyDescent="0.25">
      <c r="A44571">
        <v>90223000190</v>
      </c>
      <c r="B44571" t="s">
        <v>10</v>
      </c>
    </row>
    <row r="44572" spans="1:2" x14ac:dyDescent="0.25">
      <c r="A44572">
        <v>90223000200</v>
      </c>
      <c r="B44572" t="s">
        <v>14522</v>
      </c>
    </row>
    <row r="44573" spans="1:2" x14ac:dyDescent="0.25">
      <c r="A44573">
        <v>90223000900</v>
      </c>
      <c r="B44573" t="s">
        <v>10</v>
      </c>
    </row>
    <row r="44574" spans="1:2" x14ac:dyDescent="0.25">
      <c r="A44574">
        <v>902290</v>
      </c>
      <c r="B44574" t="e">
        <f>- Los demas. incluidas las partes y accesorios</f>
        <v>#NAME?</v>
      </c>
    </row>
    <row r="44575" spans="1:2" x14ac:dyDescent="0.25">
      <c r="A44575">
        <v>9022901</v>
      </c>
      <c r="B44575" t="s">
        <v>14148</v>
      </c>
    </row>
    <row r="44576" spans="1:2" x14ac:dyDescent="0.25">
      <c r="A44576">
        <v>90229011000</v>
      </c>
      <c r="B44576" t="s">
        <v>14523</v>
      </c>
    </row>
    <row r="44577" spans="1:2" x14ac:dyDescent="0.25">
      <c r="A44577">
        <v>90229012000</v>
      </c>
      <c r="B44577" t="s">
        <v>14524</v>
      </c>
    </row>
    <row r="44578" spans="1:2" x14ac:dyDescent="0.25">
      <c r="A44578">
        <v>90229019000</v>
      </c>
      <c r="B44578" t="s">
        <v>10</v>
      </c>
    </row>
    <row r="44579" spans="1:2" x14ac:dyDescent="0.25">
      <c r="A44579">
        <v>90229080</v>
      </c>
      <c r="B44579" t="s">
        <v>10</v>
      </c>
    </row>
    <row r="44580" spans="1:2" x14ac:dyDescent="0.25">
      <c r="A44580">
        <v>90229080100</v>
      </c>
      <c r="B44580" t="s">
        <v>14525</v>
      </c>
    </row>
    <row r="44581" spans="1:2" x14ac:dyDescent="0.25">
      <c r="A44581">
        <v>90229080900</v>
      </c>
      <c r="B44581" t="s">
        <v>10</v>
      </c>
    </row>
    <row r="44582" spans="1:2" x14ac:dyDescent="0.25">
      <c r="A44582">
        <v>90229090</v>
      </c>
      <c r="B44582" t="s">
        <v>14526</v>
      </c>
    </row>
    <row r="44583" spans="1:2" x14ac:dyDescent="0.25">
      <c r="A44583">
        <v>90229090100</v>
      </c>
      <c r="B44583" t="s">
        <v>14527</v>
      </c>
    </row>
    <row r="44584" spans="1:2" x14ac:dyDescent="0.25">
      <c r="A44584">
        <v>90229090200</v>
      </c>
      <c r="B44584" t="s">
        <v>14528</v>
      </c>
    </row>
    <row r="44585" spans="1:2" x14ac:dyDescent="0.25">
      <c r="A44585">
        <v>90229090800</v>
      </c>
      <c r="B44585" t="s">
        <v>14529</v>
      </c>
    </row>
    <row r="44586" spans="1:2" x14ac:dyDescent="0.25">
      <c r="A44586">
        <v>90229090900</v>
      </c>
      <c r="B44586" t="s">
        <v>10</v>
      </c>
    </row>
    <row r="44587" spans="1:2" x14ac:dyDescent="0.25">
      <c r="A44587">
        <v>90230000</v>
      </c>
      <c r="B44587" t="s">
        <v>14530</v>
      </c>
    </row>
    <row r="44588" spans="1:2" x14ac:dyDescent="0.25">
      <c r="A44588">
        <v>90230000100</v>
      </c>
      <c r="B44588" t="s">
        <v>14531</v>
      </c>
    </row>
    <row r="44589" spans="1:2" x14ac:dyDescent="0.25">
      <c r="A44589">
        <v>90230000900</v>
      </c>
      <c r="B44589" t="s">
        <v>12037</v>
      </c>
    </row>
    <row r="44590" spans="1:2" x14ac:dyDescent="0.25">
      <c r="A44590">
        <v>9024</v>
      </c>
      <c r="B44590" t="s">
        <v>14532</v>
      </c>
    </row>
    <row r="44591" spans="1:2" x14ac:dyDescent="0.25">
      <c r="A44591">
        <v>902410</v>
      </c>
      <c r="B44591" t="e">
        <f>- maquinas y aparatos para ensayos de metales</f>
        <v>#NAME?</v>
      </c>
    </row>
    <row r="44592" spans="1:2" x14ac:dyDescent="0.25">
      <c r="A44592">
        <v>90241010</v>
      </c>
      <c r="B44592" t="s">
        <v>14533</v>
      </c>
    </row>
    <row r="44593" spans="1:2" x14ac:dyDescent="0.25">
      <c r="A44593">
        <v>90241010100</v>
      </c>
      <c r="B44593" t="s">
        <v>14534</v>
      </c>
    </row>
    <row r="44594" spans="1:2" x14ac:dyDescent="0.25">
      <c r="A44594">
        <v>90241010200</v>
      </c>
      <c r="B44594" t="s">
        <v>14535</v>
      </c>
    </row>
    <row r="44595" spans="1:2" x14ac:dyDescent="0.25">
      <c r="A44595">
        <v>90241010900</v>
      </c>
      <c r="B44595" t="s">
        <v>10</v>
      </c>
    </row>
    <row r="44596" spans="1:2" x14ac:dyDescent="0.25">
      <c r="A44596">
        <v>90241020</v>
      </c>
      <c r="B44596" t="s">
        <v>14536</v>
      </c>
    </row>
    <row r="44597" spans="1:2" x14ac:dyDescent="0.25">
      <c r="A44597">
        <v>90241020100</v>
      </c>
      <c r="B44597" t="s">
        <v>14537</v>
      </c>
    </row>
    <row r="44598" spans="1:2" x14ac:dyDescent="0.25">
      <c r="A44598">
        <v>90241020900</v>
      </c>
      <c r="B44598" t="s">
        <v>10</v>
      </c>
    </row>
    <row r="44599" spans="1:2" x14ac:dyDescent="0.25">
      <c r="A44599">
        <v>90241090</v>
      </c>
      <c r="B44599" t="s">
        <v>10</v>
      </c>
    </row>
    <row r="44600" spans="1:2" x14ac:dyDescent="0.25">
      <c r="A44600">
        <v>90241090100</v>
      </c>
      <c r="B44600" t="s">
        <v>14538</v>
      </c>
    </row>
    <row r="44601" spans="1:2" x14ac:dyDescent="0.25">
      <c r="A44601">
        <v>90241090200</v>
      </c>
      <c r="B44601" t="s">
        <v>14539</v>
      </c>
    </row>
    <row r="44602" spans="1:2" x14ac:dyDescent="0.25">
      <c r="A44602">
        <v>90241090900</v>
      </c>
      <c r="B44602" t="s">
        <v>10</v>
      </c>
    </row>
    <row r="44603" spans="1:2" x14ac:dyDescent="0.25">
      <c r="A44603">
        <v>902480</v>
      </c>
      <c r="B44603" t="e">
        <f>- las demas maquinas y aparatos</f>
        <v>#NAME?</v>
      </c>
    </row>
    <row r="44604" spans="1:2" x14ac:dyDescent="0.25">
      <c r="A44604">
        <v>9024801</v>
      </c>
      <c r="B44604" t="s">
        <v>14540</v>
      </c>
    </row>
    <row r="44605" spans="1:2" x14ac:dyDescent="0.25">
      <c r="A44605">
        <v>90248011000</v>
      </c>
      <c r="B44605" t="s">
        <v>14541</v>
      </c>
    </row>
    <row r="44606" spans="1:2" x14ac:dyDescent="0.25">
      <c r="A44606">
        <v>90248019</v>
      </c>
      <c r="B44606" t="s">
        <v>10</v>
      </c>
    </row>
    <row r="44607" spans="1:2" x14ac:dyDescent="0.25">
      <c r="A44607">
        <v>90248019100</v>
      </c>
      <c r="B44607" t="s">
        <v>14542</v>
      </c>
    </row>
    <row r="44608" spans="1:2" x14ac:dyDescent="0.25">
      <c r="A44608">
        <v>90248019200</v>
      </c>
      <c r="B44608" t="s">
        <v>14543</v>
      </c>
    </row>
    <row r="44609" spans="1:2" x14ac:dyDescent="0.25">
      <c r="A44609">
        <v>90248019300</v>
      </c>
      <c r="B44609" t="s">
        <v>14544</v>
      </c>
    </row>
    <row r="44610" spans="1:2" x14ac:dyDescent="0.25">
      <c r="A44610">
        <v>90248019900</v>
      </c>
      <c r="B44610" t="s">
        <v>10</v>
      </c>
    </row>
    <row r="44611" spans="1:2" x14ac:dyDescent="0.25">
      <c r="A44611">
        <v>9024802</v>
      </c>
      <c r="B44611" t="s">
        <v>14545</v>
      </c>
    </row>
    <row r="44612" spans="1:2" x14ac:dyDescent="0.25">
      <c r="A44612">
        <v>90248021000</v>
      </c>
      <c r="B44612" t="s">
        <v>14546</v>
      </c>
    </row>
    <row r="44613" spans="1:2" x14ac:dyDescent="0.25">
      <c r="A44613">
        <v>90248029</v>
      </c>
      <c r="B44613" t="s">
        <v>10</v>
      </c>
    </row>
    <row r="44614" spans="1:2" x14ac:dyDescent="0.25">
      <c r="A44614">
        <v>90248029100</v>
      </c>
      <c r="B44614" t="s">
        <v>14542</v>
      </c>
    </row>
    <row r="44615" spans="1:2" x14ac:dyDescent="0.25">
      <c r="A44615">
        <v>90248029200</v>
      </c>
      <c r="B44615" t="s">
        <v>14544</v>
      </c>
    </row>
    <row r="44616" spans="1:2" x14ac:dyDescent="0.25">
      <c r="A44616">
        <v>90248029300</v>
      </c>
      <c r="B44616" t="s">
        <v>14547</v>
      </c>
    </row>
    <row r="44617" spans="1:2" x14ac:dyDescent="0.25">
      <c r="A44617">
        <v>90248029900</v>
      </c>
      <c r="B44617" t="s">
        <v>10</v>
      </c>
    </row>
    <row r="44618" spans="1:2" x14ac:dyDescent="0.25">
      <c r="A44618">
        <v>90248090000</v>
      </c>
      <c r="B44618" t="s">
        <v>10</v>
      </c>
    </row>
    <row r="44619" spans="1:2" x14ac:dyDescent="0.25">
      <c r="A44619">
        <v>90249000000</v>
      </c>
      <c r="B44619" t="e">
        <f>-partes y accesorios</f>
        <v>#NAME?</v>
      </c>
    </row>
    <row r="44620" spans="1:2" x14ac:dyDescent="0.25">
      <c r="A44620">
        <v>9025</v>
      </c>
      <c r="B44620" t="s">
        <v>14548</v>
      </c>
    </row>
    <row r="44621" spans="1:2" x14ac:dyDescent="0.25">
      <c r="A44621">
        <v>90251</v>
      </c>
      <c r="B44621" t="s">
        <v>14549</v>
      </c>
    </row>
    <row r="44622" spans="1:2" x14ac:dyDescent="0.25">
      <c r="A44622">
        <v>902511</v>
      </c>
      <c r="B44622" t="e">
        <f>- - de liquido. Con lectura directa</f>
        <v>#NAME?</v>
      </c>
    </row>
    <row r="44623" spans="1:2" x14ac:dyDescent="0.25">
      <c r="A44623">
        <v>90251110000</v>
      </c>
      <c r="B44623" t="s">
        <v>14550</v>
      </c>
    </row>
    <row r="44624" spans="1:2" x14ac:dyDescent="0.25">
      <c r="A44624">
        <v>90251190000</v>
      </c>
      <c r="B44624" t="s">
        <v>10</v>
      </c>
    </row>
    <row r="44625" spans="1:2" x14ac:dyDescent="0.25">
      <c r="A44625">
        <v>902519</v>
      </c>
      <c r="B44625" t="e">
        <f>- - Los demas</f>
        <v>#NAME?</v>
      </c>
    </row>
    <row r="44626" spans="1:2" x14ac:dyDescent="0.25">
      <c r="A44626">
        <v>90251910000</v>
      </c>
      <c r="B44626" t="s">
        <v>14551</v>
      </c>
    </row>
    <row r="44627" spans="1:2" x14ac:dyDescent="0.25">
      <c r="A44627">
        <v>90251990</v>
      </c>
      <c r="B44627" t="s">
        <v>10</v>
      </c>
    </row>
    <row r="44628" spans="1:2" x14ac:dyDescent="0.25">
      <c r="A44628">
        <v>90251990100</v>
      </c>
      <c r="B44628" t="s">
        <v>14552</v>
      </c>
    </row>
    <row r="44629" spans="1:2" x14ac:dyDescent="0.25">
      <c r="A44629">
        <v>902519902</v>
      </c>
      <c r="B44629" t="s">
        <v>14553</v>
      </c>
    </row>
    <row r="44630" spans="1:2" x14ac:dyDescent="0.25">
      <c r="A44630">
        <v>9025199021</v>
      </c>
      <c r="B44630" t="s">
        <v>14554</v>
      </c>
    </row>
    <row r="44631" spans="1:2" x14ac:dyDescent="0.25">
      <c r="A44631">
        <v>90251990211</v>
      </c>
      <c r="B44631" t="s">
        <v>14555</v>
      </c>
    </row>
    <row r="44632" spans="1:2" x14ac:dyDescent="0.25">
      <c r="A44632">
        <v>90251990219</v>
      </c>
      <c r="B44632" t="s">
        <v>10</v>
      </c>
    </row>
    <row r="44633" spans="1:2" x14ac:dyDescent="0.25">
      <c r="A44633">
        <v>9025199029</v>
      </c>
      <c r="B44633" t="s">
        <v>10</v>
      </c>
    </row>
    <row r="44634" spans="1:2" x14ac:dyDescent="0.25">
      <c r="A44634">
        <v>90251990291</v>
      </c>
      <c r="B44634" t="s">
        <v>14555</v>
      </c>
    </row>
    <row r="44635" spans="1:2" x14ac:dyDescent="0.25">
      <c r="A44635">
        <v>90251990299</v>
      </c>
      <c r="B44635" t="s">
        <v>10</v>
      </c>
    </row>
    <row r="44636" spans="1:2" x14ac:dyDescent="0.25">
      <c r="A44636">
        <v>90251990900</v>
      </c>
      <c r="B44636" t="s">
        <v>10</v>
      </c>
    </row>
    <row r="44637" spans="1:2" x14ac:dyDescent="0.25">
      <c r="A44637">
        <v>90258000000</v>
      </c>
      <c r="B44637" t="e">
        <f>-Los demas instrumentos</f>
        <v>#NAME?</v>
      </c>
    </row>
    <row r="44638" spans="1:2" x14ac:dyDescent="0.25">
      <c r="A44638">
        <v>902590</v>
      </c>
      <c r="B44638" t="e">
        <f>- partes y accesorios</f>
        <v>#NAME?</v>
      </c>
    </row>
    <row r="44639" spans="1:2" x14ac:dyDescent="0.25">
      <c r="A44639">
        <v>90259010000</v>
      </c>
      <c r="B44639" t="s">
        <v>14556</v>
      </c>
    </row>
    <row r="44640" spans="1:2" x14ac:dyDescent="0.25">
      <c r="A44640">
        <v>90259090</v>
      </c>
      <c r="B44640" t="s">
        <v>10</v>
      </c>
    </row>
    <row r="44641" spans="1:2" x14ac:dyDescent="0.25">
      <c r="A44641">
        <v>90259090100</v>
      </c>
      <c r="B44641" t="s">
        <v>14557</v>
      </c>
    </row>
    <row r="44642" spans="1:2" x14ac:dyDescent="0.25">
      <c r="A44642">
        <v>90259090200</v>
      </c>
      <c r="B44642" t="s">
        <v>14558</v>
      </c>
    </row>
    <row r="44643" spans="1:2" x14ac:dyDescent="0.25">
      <c r="A44643">
        <v>90259090300</v>
      </c>
      <c r="B44643" t="s">
        <v>14559</v>
      </c>
    </row>
    <row r="44644" spans="1:2" x14ac:dyDescent="0.25">
      <c r="A44644">
        <v>90259090900</v>
      </c>
      <c r="B44644" t="s">
        <v>10</v>
      </c>
    </row>
    <row r="44645" spans="1:2" x14ac:dyDescent="0.25">
      <c r="A44645">
        <v>9026</v>
      </c>
      <c r="B44645" t="s">
        <v>14560</v>
      </c>
    </row>
    <row r="44646" spans="1:2" x14ac:dyDescent="0.25">
      <c r="A44646">
        <v>902610</v>
      </c>
      <c r="B44646" t="e">
        <f>- para medida o control del caudal o nivel de liquidos</f>
        <v>#NAME?</v>
      </c>
    </row>
    <row r="44647" spans="1:2" x14ac:dyDescent="0.25">
      <c r="A44647">
        <v>9026101</v>
      </c>
      <c r="B44647" t="s">
        <v>14561</v>
      </c>
    </row>
    <row r="44648" spans="1:2" x14ac:dyDescent="0.25">
      <c r="A44648">
        <v>90261011</v>
      </c>
      <c r="B44648" t="s">
        <v>14562</v>
      </c>
    </row>
    <row r="44649" spans="1:2" x14ac:dyDescent="0.25">
      <c r="A44649">
        <v>90261011100</v>
      </c>
      <c r="B44649" t="s">
        <v>14563</v>
      </c>
    </row>
    <row r="44650" spans="1:2" x14ac:dyDescent="0.25">
      <c r="A44650">
        <v>90261011900</v>
      </c>
      <c r="B44650" t="s">
        <v>10</v>
      </c>
    </row>
    <row r="44651" spans="1:2" x14ac:dyDescent="0.25">
      <c r="A44651">
        <v>90261019</v>
      </c>
      <c r="B44651" t="s">
        <v>10</v>
      </c>
    </row>
    <row r="44652" spans="1:2" x14ac:dyDescent="0.25">
      <c r="A44652">
        <v>90261019100</v>
      </c>
      <c r="B44652" t="s">
        <v>14563</v>
      </c>
    </row>
    <row r="44653" spans="1:2" x14ac:dyDescent="0.25">
      <c r="A44653">
        <v>90261019900</v>
      </c>
      <c r="B44653" t="s">
        <v>10</v>
      </c>
    </row>
    <row r="44654" spans="1:2" x14ac:dyDescent="0.25">
      <c r="A44654">
        <v>9026102</v>
      </c>
      <c r="B44654" t="s">
        <v>14564</v>
      </c>
    </row>
    <row r="44655" spans="1:2" x14ac:dyDescent="0.25">
      <c r="A44655">
        <v>90261021000</v>
      </c>
      <c r="B44655" t="s">
        <v>14565</v>
      </c>
    </row>
    <row r="44656" spans="1:2" x14ac:dyDescent="0.25">
      <c r="A44656">
        <v>90261029</v>
      </c>
      <c r="B44656" t="s">
        <v>10</v>
      </c>
    </row>
    <row r="44657" spans="1:2" x14ac:dyDescent="0.25">
      <c r="A44657">
        <v>90261029100</v>
      </c>
      <c r="B44657" t="s">
        <v>14566</v>
      </c>
    </row>
    <row r="44658" spans="1:2" x14ac:dyDescent="0.25">
      <c r="A44658">
        <v>90261029900</v>
      </c>
      <c r="B44658" t="s">
        <v>10</v>
      </c>
    </row>
    <row r="44659" spans="1:2" x14ac:dyDescent="0.25">
      <c r="A44659">
        <v>902620</v>
      </c>
      <c r="B44659" t="e">
        <f>- para medida o control de presion</f>
        <v>#NAME?</v>
      </c>
    </row>
    <row r="44660" spans="1:2" x14ac:dyDescent="0.25">
      <c r="A44660">
        <v>90262010</v>
      </c>
      <c r="B44660" t="s">
        <v>14567</v>
      </c>
    </row>
    <row r="44661" spans="1:2" x14ac:dyDescent="0.25">
      <c r="A44661">
        <v>90262010100</v>
      </c>
      <c r="B44661" t="s">
        <v>14568</v>
      </c>
    </row>
    <row r="44662" spans="1:2" x14ac:dyDescent="0.25">
      <c r="A44662">
        <v>90262010900</v>
      </c>
      <c r="B44662" t="s">
        <v>10</v>
      </c>
    </row>
    <row r="44663" spans="1:2" x14ac:dyDescent="0.25">
      <c r="A44663">
        <v>90262090</v>
      </c>
      <c r="B44663" t="s">
        <v>10</v>
      </c>
    </row>
    <row r="44664" spans="1:2" x14ac:dyDescent="0.25">
      <c r="A44664">
        <v>90262090100</v>
      </c>
      <c r="B44664" t="s">
        <v>14569</v>
      </c>
    </row>
    <row r="44665" spans="1:2" x14ac:dyDescent="0.25">
      <c r="A44665">
        <v>90262090900</v>
      </c>
      <c r="B44665" t="s">
        <v>10</v>
      </c>
    </row>
    <row r="44666" spans="1:2" x14ac:dyDescent="0.25">
      <c r="A44666">
        <v>90268000000</v>
      </c>
      <c r="B44666" t="e">
        <f>-Los demas instrumentos y aparatos</f>
        <v>#NAME?</v>
      </c>
    </row>
    <row r="44667" spans="1:2" x14ac:dyDescent="0.25">
      <c r="A44667">
        <v>902690</v>
      </c>
      <c r="B44667" t="e">
        <f>- partes y accesorios</f>
        <v>#NAME?</v>
      </c>
    </row>
    <row r="44668" spans="1:2" x14ac:dyDescent="0.25">
      <c r="A44668">
        <v>90269010</v>
      </c>
      <c r="B44668" t="s">
        <v>14570</v>
      </c>
    </row>
    <row r="44669" spans="1:2" x14ac:dyDescent="0.25">
      <c r="A44669">
        <v>90269010100</v>
      </c>
      <c r="B44669" t="s">
        <v>14571</v>
      </c>
    </row>
    <row r="44670" spans="1:2" x14ac:dyDescent="0.25">
      <c r="A44670">
        <v>90269010200</v>
      </c>
      <c r="B44670" t="s">
        <v>14572</v>
      </c>
    </row>
    <row r="44671" spans="1:2" x14ac:dyDescent="0.25">
      <c r="A44671">
        <v>90269010300</v>
      </c>
      <c r="B44671" t="s">
        <v>14573</v>
      </c>
    </row>
    <row r="44672" spans="1:2" x14ac:dyDescent="0.25">
      <c r="A44672">
        <v>90269010900</v>
      </c>
      <c r="B44672" t="s">
        <v>10</v>
      </c>
    </row>
    <row r="44673" spans="1:2" x14ac:dyDescent="0.25">
      <c r="A44673">
        <v>90269020</v>
      </c>
      <c r="B44673" t="s">
        <v>14574</v>
      </c>
    </row>
    <row r="44674" spans="1:2" x14ac:dyDescent="0.25">
      <c r="A44674">
        <v>90269020100</v>
      </c>
      <c r="B44674" t="s">
        <v>14575</v>
      </c>
    </row>
    <row r="44675" spans="1:2" x14ac:dyDescent="0.25">
      <c r="A44675">
        <v>90269020200</v>
      </c>
      <c r="B44675" t="s">
        <v>14576</v>
      </c>
    </row>
    <row r="44676" spans="1:2" x14ac:dyDescent="0.25">
      <c r="A44676">
        <v>90269020300</v>
      </c>
      <c r="B44676" t="s">
        <v>14577</v>
      </c>
    </row>
    <row r="44677" spans="1:2" x14ac:dyDescent="0.25">
      <c r="A44677">
        <v>90269020400</v>
      </c>
      <c r="B44677" t="s">
        <v>14578</v>
      </c>
    </row>
    <row r="44678" spans="1:2" x14ac:dyDescent="0.25">
      <c r="A44678">
        <v>90269020500</v>
      </c>
      <c r="B44678" t="s">
        <v>14579</v>
      </c>
    </row>
    <row r="44679" spans="1:2" x14ac:dyDescent="0.25">
      <c r="A44679">
        <v>90269020900</v>
      </c>
      <c r="B44679" t="s">
        <v>10</v>
      </c>
    </row>
    <row r="44680" spans="1:2" x14ac:dyDescent="0.25">
      <c r="A44680">
        <v>90269090</v>
      </c>
      <c r="B44680" t="s">
        <v>10</v>
      </c>
    </row>
    <row r="44681" spans="1:2" x14ac:dyDescent="0.25">
      <c r="A44681">
        <v>90269090100</v>
      </c>
      <c r="B44681" t="s">
        <v>14580</v>
      </c>
    </row>
    <row r="44682" spans="1:2" x14ac:dyDescent="0.25">
      <c r="A44682">
        <v>90269090900</v>
      </c>
      <c r="B44682" t="s">
        <v>10</v>
      </c>
    </row>
    <row r="44683" spans="1:2" x14ac:dyDescent="0.25">
      <c r="A44683">
        <v>9027</v>
      </c>
      <c r="B44683" t="s">
        <v>14581</v>
      </c>
    </row>
    <row r="44684" spans="1:2" x14ac:dyDescent="0.25">
      <c r="A44684">
        <v>90271000</v>
      </c>
      <c r="B44684" t="e">
        <f>- Analizadores de Gases o humos</f>
        <v>#NAME?</v>
      </c>
    </row>
    <row r="44685" spans="1:2" x14ac:dyDescent="0.25">
      <c r="A44685">
        <v>90271000100</v>
      </c>
      <c r="B44685" t="s">
        <v>14582</v>
      </c>
    </row>
    <row r="44686" spans="1:2" x14ac:dyDescent="0.25">
      <c r="A44686">
        <v>90271000200</v>
      </c>
      <c r="B44686" t="s">
        <v>14583</v>
      </c>
    </row>
    <row r="44687" spans="1:2" x14ac:dyDescent="0.25">
      <c r="A44687">
        <v>90271000900</v>
      </c>
      <c r="B44687" t="s">
        <v>10</v>
      </c>
    </row>
    <row r="44688" spans="1:2" x14ac:dyDescent="0.25">
      <c r="A44688">
        <v>902720</v>
      </c>
      <c r="B44688" t="e">
        <f>- Cromatografos e instrumentos de electroforesis</f>
        <v>#NAME?</v>
      </c>
    </row>
    <row r="44689" spans="1:2" x14ac:dyDescent="0.25">
      <c r="A44689">
        <v>9027201</v>
      </c>
      <c r="B44689" t="s">
        <v>14584</v>
      </c>
    </row>
    <row r="44690" spans="1:2" x14ac:dyDescent="0.25">
      <c r="A44690">
        <v>90272011000</v>
      </c>
      <c r="B44690" t="s">
        <v>14585</v>
      </c>
    </row>
    <row r="44691" spans="1:2" x14ac:dyDescent="0.25">
      <c r="A44691">
        <v>90272012000</v>
      </c>
      <c r="B44691" t="s">
        <v>14586</v>
      </c>
    </row>
    <row r="44692" spans="1:2" x14ac:dyDescent="0.25">
      <c r="A44692">
        <v>90272019000</v>
      </c>
      <c r="B44692" t="s">
        <v>10</v>
      </c>
    </row>
    <row r="44693" spans="1:2" x14ac:dyDescent="0.25">
      <c r="A44693">
        <v>9027202</v>
      </c>
      <c r="B44693" t="s">
        <v>14587</v>
      </c>
    </row>
    <row r="44694" spans="1:2" x14ac:dyDescent="0.25">
      <c r="A44694">
        <v>90272021000</v>
      </c>
      <c r="B44694" t="s">
        <v>14588</v>
      </c>
    </row>
    <row r="44695" spans="1:2" x14ac:dyDescent="0.25">
      <c r="A44695">
        <v>90272029000</v>
      </c>
      <c r="B44695" t="s">
        <v>10</v>
      </c>
    </row>
    <row r="44696" spans="1:2" x14ac:dyDescent="0.25">
      <c r="A44696">
        <v>902730</v>
      </c>
      <c r="B44696" t="e">
        <f>- Espectrometros. espectrofotometros y espectrografos que utilicen radiaciones opticas (UV. visibles. IR)</f>
        <v>#NAME?</v>
      </c>
    </row>
    <row r="44697" spans="1:2" x14ac:dyDescent="0.25">
      <c r="A44697">
        <v>9027301</v>
      </c>
      <c r="B44697" t="s">
        <v>14589</v>
      </c>
    </row>
    <row r="44698" spans="1:2" x14ac:dyDescent="0.25">
      <c r="A44698">
        <v>90273011000</v>
      </c>
      <c r="B44698" t="s">
        <v>14590</v>
      </c>
    </row>
    <row r="44699" spans="1:2" x14ac:dyDescent="0.25">
      <c r="A44699">
        <v>90273019000</v>
      </c>
      <c r="B44699" t="s">
        <v>10</v>
      </c>
    </row>
    <row r="44700" spans="1:2" x14ac:dyDescent="0.25">
      <c r="A44700">
        <v>90273020000</v>
      </c>
      <c r="B44700" t="s">
        <v>14591</v>
      </c>
    </row>
    <row r="44701" spans="1:2" x14ac:dyDescent="0.25">
      <c r="A44701">
        <v>902750</v>
      </c>
      <c r="B44701" t="e">
        <f>- Los demas instrumentos y aparatos que utilicen radiaciones opticas (UV. visibles. IR)</f>
        <v>#NAME?</v>
      </c>
    </row>
    <row r="44702" spans="1:2" x14ac:dyDescent="0.25">
      <c r="A44702">
        <v>90275010000</v>
      </c>
      <c r="B44702" t="s">
        <v>14592</v>
      </c>
    </row>
    <row r="44703" spans="1:2" x14ac:dyDescent="0.25">
      <c r="A44703">
        <v>90275020000</v>
      </c>
      <c r="B44703" t="s">
        <v>14593</v>
      </c>
    </row>
    <row r="44704" spans="1:2" x14ac:dyDescent="0.25">
      <c r="A44704">
        <v>90275030000</v>
      </c>
      <c r="B44704" t="s">
        <v>14594</v>
      </c>
    </row>
    <row r="44705" spans="1:2" x14ac:dyDescent="0.25">
      <c r="A44705">
        <v>90275040000</v>
      </c>
      <c r="B44705" t="s">
        <v>14595</v>
      </c>
    </row>
    <row r="44706" spans="1:2" x14ac:dyDescent="0.25">
      <c r="A44706">
        <v>90275050000</v>
      </c>
      <c r="B44706" t="s">
        <v>14596</v>
      </c>
    </row>
    <row r="44707" spans="1:2" x14ac:dyDescent="0.25">
      <c r="A44707">
        <v>90275090</v>
      </c>
      <c r="B44707" t="s">
        <v>10</v>
      </c>
    </row>
    <row r="44708" spans="1:2" x14ac:dyDescent="0.25">
      <c r="A44708">
        <v>90275090100</v>
      </c>
      <c r="B44708" t="s">
        <v>14597</v>
      </c>
    </row>
    <row r="44709" spans="1:2" x14ac:dyDescent="0.25">
      <c r="A44709">
        <v>90275090900</v>
      </c>
      <c r="B44709" t="s">
        <v>10</v>
      </c>
    </row>
    <row r="44710" spans="1:2" x14ac:dyDescent="0.25">
      <c r="A44710">
        <v>902780</v>
      </c>
      <c r="B44710" t="e">
        <f>- Los demas instrumentos y aparatos</f>
        <v>#NAME?</v>
      </c>
    </row>
    <row r="44711" spans="1:2" x14ac:dyDescent="0.25">
      <c r="A44711">
        <v>9027801</v>
      </c>
      <c r="B44711" t="s">
        <v>14598</v>
      </c>
    </row>
    <row r="44712" spans="1:2" x14ac:dyDescent="0.25">
      <c r="A44712">
        <v>90278011000</v>
      </c>
      <c r="B44712" t="s">
        <v>14599</v>
      </c>
    </row>
    <row r="44713" spans="1:2" x14ac:dyDescent="0.25">
      <c r="A44713">
        <v>90278012000</v>
      </c>
      <c r="B44713" t="s">
        <v>14600</v>
      </c>
    </row>
    <row r="44714" spans="1:2" x14ac:dyDescent="0.25">
      <c r="A44714">
        <v>90278013000</v>
      </c>
      <c r="B44714" t="s">
        <v>14601</v>
      </c>
    </row>
    <row r="44715" spans="1:2" x14ac:dyDescent="0.25">
      <c r="A44715">
        <v>90278014000</v>
      </c>
      <c r="B44715" t="s">
        <v>14602</v>
      </c>
    </row>
    <row r="44716" spans="1:2" x14ac:dyDescent="0.25">
      <c r="A44716">
        <v>90278020000</v>
      </c>
      <c r="B44716" t="s">
        <v>14603</v>
      </c>
    </row>
    <row r="44717" spans="1:2" x14ac:dyDescent="0.25">
      <c r="A44717">
        <v>90278030000</v>
      </c>
      <c r="B44717" t="s">
        <v>14604</v>
      </c>
    </row>
    <row r="44718" spans="1:2" x14ac:dyDescent="0.25">
      <c r="A44718">
        <v>9027809</v>
      </c>
      <c r="B44718" t="s">
        <v>10</v>
      </c>
    </row>
    <row r="44719" spans="1:2" x14ac:dyDescent="0.25">
      <c r="A44719">
        <v>90278091000</v>
      </c>
      <c r="B44719" t="s">
        <v>14605</v>
      </c>
    </row>
    <row r="44720" spans="1:2" x14ac:dyDescent="0.25">
      <c r="A44720">
        <v>90278099</v>
      </c>
      <c r="B44720" t="s">
        <v>10</v>
      </c>
    </row>
    <row r="44721" spans="1:2" x14ac:dyDescent="0.25">
      <c r="A44721">
        <v>90278099100</v>
      </c>
      <c r="B44721" t="s">
        <v>14606</v>
      </c>
    </row>
    <row r="44722" spans="1:2" x14ac:dyDescent="0.25">
      <c r="A44722">
        <v>90278099200</v>
      </c>
      <c r="B44722" t="s">
        <v>14607</v>
      </c>
    </row>
    <row r="44723" spans="1:2" x14ac:dyDescent="0.25">
      <c r="A44723">
        <v>90278099300</v>
      </c>
      <c r="B44723" t="s">
        <v>14608</v>
      </c>
    </row>
    <row r="44724" spans="1:2" x14ac:dyDescent="0.25">
      <c r="A44724">
        <v>90278099400</v>
      </c>
      <c r="B44724" t="s">
        <v>14609</v>
      </c>
    </row>
    <row r="44725" spans="1:2" x14ac:dyDescent="0.25">
      <c r="A44725">
        <v>90278099500</v>
      </c>
      <c r="B44725" t="s">
        <v>14610</v>
      </c>
    </row>
    <row r="44726" spans="1:2" x14ac:dyDescent="0.25">
      <c r="A44726">
        <v>90278099600</v>
      </c>
      <c r="B44726" t="s">
        <v>14611</v>
      </c>
    </row>
    <row r="44727" spans="1:2" x14ac:dyDescent="0.25">
      <c r="A44727">
        <v>90278099700</v>
      </c>
      <c r="B44727" t="s">
        <v>14612</v>
      </c>
    </row>
    <row r="44728" spans="1:2" x14ac:dyDescent="0.25">
      <c r="A44728">
        <v>90278099900</v>
      </c>
      <c r="B44728" t="s">
        <v>10</v>
      </c>
    </row>
    <row r="44729" spans="1:2" x14ac:dyDescent="0.25">
      <c r="A44729">
        <v>902790</v>
      </c>
      <c r="B44729" t="e">
        <f>- Microtomos, partes y accesorios</f>
        <v>#NAME?</v>
      </c>
    </row>
    <row r="44730" spans="1:2" x14ac:dyDescent="0.25">
      <c r="A44730">
        <v>90279010000</v>
      </c>
      <c r="B44730" t="s">
        <v>14613</v>
      </c>
    </row>
    <row r="44731" spans="1:2" x14ac:dyDescent="0.25">
      <c r="A44731">
        <v>9027909</v>
      </c>
      <c r="B44731" t="s">
        <v>14362</v>
      </c>
    </row>
    <row r="44732" spans="1:2" x14ac:dyDescent="0.25">
      <c r="A44732">
        <v>90279091000</v>
      </c>
      <c r="B44732" t="s">
        <v>14614</v>
      </c>
    </row>
    <row r="44733" spans="1:2" x14ac:dyDescent="0.25">
      <c r="A44733">
        <v>90279093000</v>
      </c>
      <c r="B44733" t="s">
        <v>14615</v>
      </c>
    </row>
    <row r="44734" spans="1:2" x14ac:dyDescent="0.25">
      <c r="A44734">
        <v>90279099</v>
      </c>
      <c r="B44734" t="s">
        <v>10</v>
      </c>
    </row>
    <row r="44735" spans="1:2" x14ac:dyDescent="0.25">
      <c r="A44735">
        <v>90279099100</v>
      </c>
      <c r="B44735" t="s">
        <v>14616</v>
      </c>
    </row>
    <row r="44736" spans="1:2" x14ac:dyDescent="0.25">
      <c r="A44736">
        <v>90279099200</v>
      </c>
      <c r="B44736" t="s">
        <v>14617</v>
      </c>
    </row>
    <row r="44737" spans="1:2" x14ac:dyDescent="0.25">
      <c r="A44737">
        <v>90279099300</v>
      </c>
      <c r="B44737" t="s">
        <v>14618</v>
      </c>
    </row>
    <row r="44738" spans="1:2" x14ac:dyDescent="0.25">
      <c r="A44738">
        <v>90279099900</v>
      </c>
      <c r="B44738" t="s">
        <v>10</v>
      </c>
    </row>
    <row r="44739" spans="1:2" x14ac:dyDescent="0.25">
      <c r="A44739">
        <v>9028</v>
      </c>
      <c r="B44739" t="s">
        <v>14619</v>
      </c>
    </row>
    <row r="44740" spans="1:2" x14ac:dyDescent="0.25">
      <c r="A44740">
        <v>902810</v>
      </c>
      <c r="B44740" t="e">
        <f>- Contadores de Gas</f>
        <v>#NAME?</v>
      </c>
    </row>
    <row r="44741" spans="1:2" x14ac:dyDescent="0.25">
      <c r="A44741">
        <v>9028101</v>
      </c>
      <c r="B44741" t="s">
        <v>14620</v>
      </c>
    </row>
    <row r="44742" spans="1:2" x14ac:dyDescent="0.25">
      <c r="A44742">
        <v>90281011000</v>
      </c>
      <c r="B44742" t="s">
        <v>14621</v>
      </c>
    </row>
    <row r="44743" spans="1:2" x14ac:dyDescent="0.25">
      <c r="A44743">
        <v>90281019000</v>
      </c>
      <c r="B44743" t="s">
        <v>10</v>
      </c>
    </row>
    <row r="44744" spans="1:2" x14ac:dyDescent="0.25">
      <c r="A44744">
        <v>90281090</v>
      </c>
      <c r="B44744" t="s">
        <v>10</v>
      </c>
    </row>
    <row r="44745" spans="1:2" x14ac:dyDescent="0.25">
      <c r="A44745">
        <v>90281090100</v>
      </c>
      <c r="B44745" t="s">
        <v>14622</v>
      </c>
    </row>
    <row r="44746" spans="1:2" x14ac:dyDescent="0.25">
      <c r="A44746">
        <v>90281090900</v>
      </c>
      <c r="B44746" t="s">
        <v>10</v>
      </c>
    </row>
    <row r="44747" spans="1:2" x14ac:dyDescent="0.25">
      <c r="A44747">
        <v>902820</v>
      </c>
      <c r="B44747" t="e">
        <f>- Contadores de liquido</f>
        <v>#NAME?</v>
      </c>
    </row>
    <row r="44748" spans="1:2" x14ac:dyDescent="0.25">
      <c r="A44748">
        <v>90282010000</v>
      </c>
      <c r="B44748" t="s">
        <v>14623</v>
      </c>
    </row>
    <row r="44749" spans="1:2" x14ac:dyDescent="0.25">
      <c r="A44749">
        <v>90282020000</v>
      </c>
      <c r="B44749" t="s">
        <v>14624</v>
      </c>
    </row>
    <row r="44750" spans="1:2" x14ac:dyDescent="0.25">
      <c r="A44750">
        <v>902830</v>
      </c>
      <c r="B44750" t="e">
        <f>- Contadores de electricidad</f>
        <v>#NAME?</v>
      </c>
    </row>
    <row r="44751" spans="1:2" x14ac:dyDescent="0.25">
      <c r="A44751">
        <v>9028301</v>
      </c>
      <c r="B44751" t="s">
        <v>14625</v>
      </c>
    </row>
    <row r="44752" spans="1:2" x14ac:dyDescent="0.25">
      <c r="A44752">
        <v>90283011000</v>
      </c>
      <c r="B44752" t="s">
        <v>14626</v>
      </c>
    </row>
    <row r="44753" spans="1:2" x14ac:dyDescent="0.25">
      <c r="A44753">
        <v>90283019000</v>
      </c>
      <c r="B44753" t="s">
        <v>10</v>
      </c>
    </row>
    <row r="44754" spans="1:2" x14ac:dyDescent="0.25">
      <c r="A44754">
        <v>9028302</v>
      </c>
      <c r="B44754" t="s">
        <v>14627</v>
      </c>
    </row>
    <row r="44755" spans="1:2" x14ac:dyDescent="0.25">
      <c r="A44755">
        <v>90283021000</v>
      </c>
      <c r="B44755" t="s">
        <v>14626</v>
      </c>
    </row>
    <row r="44756" spans="1:2" x14ac:dyDescent="0.25">
      <c r="A44756">
        <v>90283029000</v>
      </c>
      <c r="B44756" t="s">
        <v>10</v>
      </c>
    </row>
    <row r="44757" spans="1:2" x14ac:dyDescent="0.25">
      <c r="A44757">
        <v>9028303</v>
      </c>
      <c r="B44757" t="s">
        <v>12805</v>
      </c>
    </row>
    <row r="44758" spans="1:2" x14ac:dyDescent="0.25">
      <c r="A44758">
        <v>90283031000</v>
      </c>
      <c r="B44758" t="s">
        <v>14626</v>
      </c>
    </row>
    <row r="44759" spans="1:2" x14ac:dyDescent="0.25">
      <c r="A44759">
        <v>90283039000</v>
      </c>
      <c r="B44759" t="s">
        <v>10</v>
      </c>
    </row>
    <row r="44760" spans="1:2" x14ac:dyDescent="0.25">
      <c r="A44760">
        <v>90283090000</v>
      </c>
      <c r="B44760" t="s">
        <v>10</v>
      </c>
    </row>
    <row r="44761" spans="1:2" x14ac:dyDescent="0.25">
      <c r="A44761">
        <v>902890</v>
      </c>
      <c r="B44761" t="e">
        <f>- partes y accesorios</f>
        <v>#NAME?</v>
      </c>
    </row>
    <row r="44762" spans="1:2" x14ac:dyDescent="0.25">
      <c r="A44762">
        <v>90289010000</v>
      </c>
      <c r="B44762" t="s">
        <v>14628</v>
      </c>
    </row>
    <row r="44763" spans="1:2" x14ac:dyDescent="0.25">
      <c r="A44763">
        <v>90289090000</v>
      </c>
      <c r="B44763" t="s">
        <v>10</v>
      </c>
    </row>
    <row r="44764" spans="1:2" x14ac:dyDescent="0.25">
      <c r="A44764">
        <v>9029</v>
      </c>
      <c r="B44764" t="s">
        <v>14629</v>
      </c>
    </row>
    <row r="44765" spans="1:2" x14ac:dyDescent="0.25">
      <c r="A44765">
        <v>902910</v>
      </c>
      <c r="B44765" t="e">
        <f>- Cuentarrevoluciones. Contadores de produccion. taximetros. cuentakilometros. podometros y Contadores similares</f>
        <v>#NAME?</v>
      </c>
    </row>
    <row r="44766" spans="1:2" x14ac:dyDescent="0.25">
      <c r="A44766">
        <v>90291010</v>
      </c>
      <c r="B44766" t="s">
        <v>14630</v>
      </c>
    </row>
    <row r="44767" spans="1:2" x14ac:dyDescent="0.25">
      <c r="A44767">
        <v>90291010100</v>
      </c>
      <c r="B44767" t="s">
        <v>14631</v>
      </c>
    </row>
    <row r="44768" spans="1:2" x14ac:dyDescent="0.25">
      <c r="A44768">
        <v>90291010200</v>
      </c>
      <c r="B44768" t="s">
        <v>14632</v>
      </c>
    </row>
    <row r="44769" spans="1:2" x14ac:dyDescent="0.25">
      <c r="A44769">
        <v>90291090</v>
      </c>
      <c r="B44769" t="s">
        <v>10</v>
      </c>
    </row>
    <row r="44770" spans="1:2" x14ac:dyDescent="0.25">
      <c r="A44770">
        <v>90291090100</v>
      </c>
      <c r="B44770" t="s">
        <v>14633</v>
      </c>
    </row>
    <row r="44771" spans="1:2" x14ac:dyDescent="0.25">
      <c r="A44771">
        <v>90291090200</v>
      </c>
      <c r="B44771" t="s">
        <v>14634</v>
      </c>
    </row>
    <row r="44772" spans="1:2" x14ac:dyDescent="0.25">
      <c r="A44772">
        <v>90291090300</v>
      </c>
      <c r="B44772" t="s">
        <v>14635</v>
      </c>
    </row>
    <row r="44773" spans="1:2" x14ac:dyDescent="0.25">
      <c r="A44773">
        <v>90291090900</v>
      </c>
      <c r="B44773" t="s">
        <v>10</v>
      </c>
    </row>
    <row r="44774" spans="1:2" x14ac:dyDescent="0.25">
      <c r="A44774">
        <v>902920</v>
      </c>
      <c r="B44774" t="e">
        <f>- Velocimetros y tacometros, estroboscopios</f>
        <v>#NAME?</v>
      </c>
    </row>
    <row r="44775" spans="1:2" x14ac:dyDescent="0.25">
      <c r="A44775">
        <v>90292010</v>
      </c>
      <c r="B44775" t="s">
        <v>14636</v>
      </c>
    </row>
    <row r="44776" spans="1:2" x14ac:dyDescent="0.25">
      <c r="A44776">
        <v>90292010100</v>
      </c>
      <c r="B44776" t="s">
        <v>14637</v>
      </c>
    </row>
    <row r="44777" spans="1:2" x14ac:dyDescent="0.25">
      <c r="A44777">
        <v>90292010200</v>
      </c>
      <c r="B44777" t="s">
        <v>14638</v>
      </c>
    </row>
    <row r="44778" spans="1:2" x14ac:dyDescent="0.25">
      <c r="A44778">
        <v>90292020000</v>
      </c>
      <c r="B44778" t="s">
        <v>14639</v>
      </c>
    </row>
    <row r="44779" spans="1:2" x14ac:dyDescent="0.25">
      <c r="A44779">
        <v>902990</v>
      </c>
      <c r="B44779" t="e">
        <f>- partes y accesorios</f>
        <v>#NAME?</v>
      </c>
    </row>
    <row r="44780" spans="1:2" x14ac:dyDescent="0.25">
      <c r="A44780">
        <v>90299010000</v>
      </c>
      <c r="B44780" t="s">
        <v>14640</v>
      </c>
    </row>
    <row r="44781" spans="1:2" x14ac:dyDescent="0.25">
      <c r="A44781">
        <v>90299090000</v>
      </c>
      <c r="B44781" t="s">
        <v>10</v>
      </c>
    </row>
    <row r="44782" spans="1:2" x14ac:dyDescent="0.25">
      <c r="A44782">
        <v>9030</v>
      </c>
      <c r="B44782" t="s">
        <v>14641</v>
      </c>
    </row>
    <row r="44783" spans="1:2" x14ac:dyDescent="0.25">
      <c r="A44783">
        <v>903010</v>
      </c>
      <c r="B44783" t="e">
        <f>- instrumentos y aparatos para medida o deteccion de radiaciones ionizantes</f>
        <v>#NAME?</v>
      </c>
    </row>
    <row r="44784" spans="1:2" x14ac:dyDescent="0.25">
      <c r="A44784">
        <v>90301010</v>
      </c>
      <c r="B44784" t="s">
        <v>14642</v>
      </c>
    </row>
    <row r="44785" spans="1:2" x14ac:dyDescent="0.25">
      <c r="A44785">
        <v>90301010100</v>
      </c>
      <c r="B44785" t="s">
        <v>14643</v>
      </c>
    </row>
    <row r="44786" spans="1:2" x14ac:dyDescent="0.25">
      <c r="A44786">
        <v>90301010200</v>
      </c>
      <c r="B44786" t="s">
        <v>14644</v>
      </c>
    </row>
    <row r="44787" spans="1:2" x14ac:dyDescent="0.25">
      <c r="A44787">
        <v>90301010300</v>
      </c>
      <c r="B44787" t="s">
        <v>14645</v>
      </c>
    </row>
    <row r="44788" spans="1:2" x14ac:dyDescent="0.25">
      <c r="A44788">
        <v>90301010900</v>
      </c>
      <c r="B44788" t="s">
        <v>10</v>
      </c>
    </row>
    <row r="44789" spans="1:2" x14ac:dyDescent="0.25">
      <c r="A44789">
        <v>90301090</v>
      </c>
      <c r="B44789" t="s">
        <v>10</v>
      </c>
    </row>
    <row r="44790" spans="1:2" x14ac:dyDescent="0.25">
      <c r="A44790">
        <v>90301090100</v>
      </c>
      <c r="B44790" t="s">
        <v>14646</v>
      </c>
    </row>
    <row r="44791" spans="1:2" x14ac:dyDescent="0.25">
      <c r="A44791">
        <v>90301090900</v>
      </c>
      <c r="B44791" t="s">
        <v>10</v>
      </c>
    </row>
    <row r="44792" spans="1:2" x14ac:dyDescent="0.25">
      <c r="A44792">
        <v>903020</v>
      </c>
      <c r="B44792" t="e">
        <f>- Osciloscopios y oscilografos</f>
        <v>#NAME?</v>
      </c>
    </row>
    <row r="44793" spans="1:2" x14ac:dyDescent="0.25">
      <c r="A44793">
        <v>90302010</v>
      </c>
      <c r="B44793" t="s">
        <v>14647</v>
      </c>
    </row>
    <row r="44794" spans="1:2" x14ac:dyDescent="0.25">
      <c r="A44794">
        <v>90302010100</v>
      </c>
      <c r="B44794" t="s">
        <v>14648</v>
      </c>
    </row>
    <row r="44795" spans="1:2" x14ac:dyDescent="0.25">
      <c r="A44795">
        <v>90302010200</v>
      </c>
      <c r="B44795" t="s">
        <v>14649</v>
      </c>
    </row>
    <row r="44796" spans="1:2" x14ac:dyDescent="0.25">
      <c r="A44796">
        <v>90302010300</v>
      </c>
      <c r="B44796" t="s">
        <v>14650</v>
      </c>
    </row>
    <row r="44797" spans="1:2" x14ac:dyDescent="0.25">
      <c r="A44797">
        <v>90302010900</v>
      </c>
      <c r="B44797" t="s">
        <v>10</v>
      </c>
    </row>
    <row r="44798" spans="1:2" x14ac:dyDescent="0.25">
      <c r="A44798">
        <v>9030202</v>
      </c>
      <c r="B44798" t="s">
        <v>14651</v>
      </c>
    </row>
    <row r="44799" spans="1:2" x14ac:dyDescent="0.25">
      <c r="A44799">
        <v>90302021000</v>
      </c>
      <c r="B44799" t="s">
        <v>14652</v>
      </c>
    </row>
    <row r="44800" spans="1:2" x14ac:dyDescent="0.25">
      <c r="A44800">
        <v>90302022000</v>
      </c>
      <c r="B44800" t="s">
        <v>14653</v>
      </c>
    </row>
    <row r="44801" spans="1:2" x14ac:dyDescent="0.25">
      <c r="A44801">
        <v>90302029</v>
      </c>
      <c r="B44801" t="s">
        <v>10</v>
      </c>
    </row>
    <row r="44802" spans="1:2" x14ac:dyDescent="0.25">
      <c r="A44802">
        <v>90302029100</v>
      </c>
      <c r="B44802" t="s">
        <v>14654</v>
      </c>
    </row>
    <row r="44803" spans="1:2" x14ac:dyDescent="0.25">
      <c r="A44803">
        <v>90302029200</v>
      </c>
      <c r="B44803" t="s">
        <v>14655</v>
      </c>
    </row>
    <row r="44804" spans="1:2" x14ac:dyDescent="0.25">
      <c r="A44804">
        <v>90302029300</v>
      </c>
      <c r="B44804" t="s">
        <v>14656</v>
      </c>
    </row>
    <row r="44805" spans="1:2" x14ac:dyDescent="0.25">
      <c r="A44805">
        <v>90302029400</v>
      </c>
      <c r="B44805" t="s">
        <v>14649</v>
      </c>
    </row>
    <row r="44806" spans="1:2" x14ac:dyDescent="0.25">
      <c r="A44806">
        <v>90302029900</v>
      </c>
      <c r="B44806" t="s">
        <v>10</v>
      </c>
    </row>
    <row r="44807" spans="1:2" x14ac:dyDescent="0.25">
      <c r="A44807">
        <v>90302030000</v>
      </c>
      <c r="B44807" t="s">
        <v>14657</v>
      </c>
    </row>
    <row r="44808" spans="1:2" x14ac:dyDescent="0.25">
      <c r="A44808">
        <v>90303</v>
      </c>
      <c r="B44808" t="s">
        <v>14658</v>
      </c>
    </row>
    <row r="44809" spans="1:2" x14ac:dyDescent="0.25">
      <c r="A44809">
        <v>90303100000</v>
      </c>
      <c r="B44809" t="e">
        <f>--Multimetros. sin dispositivo registrador</f>
        <v>#NAME?</v>
      </c>
    </row>
    <row r="44810" spans="1:2" x14ac:dyDescent="0.25">
      <c r="A44810">
        <v>90303200000</v>
      </c>
      <c r="B44810" t="e">
        <f>--Multimetros. Con dispositivo registrador</f>
        <v>#NAME?</v>
      </c>
    </row>
    <row r="44811" spans="1:2" x14ac:dyDescent="0.25">
      <c r="A44811">
        <v>903033</v>
      </c>
      <c r="B44811" t="e">
        <f>- - Los demas. sin dispositivo registrador</f>
        <v>#NAME?</v>
      </c>
    </row>
    <row r="44812" spans="1:2" x14ac:dyDescent="0.25">
      <c r="A44812">
        <v>9030331</v>
      </c>
      <c r="B44812" t="s">
        <v>14659</v>
      </c>
    </row>
    <row r="44813" spans="1:2" x14ac:dyDescent="0.25">
      <c r="A44813">
        <v>90303311000</v>
      </c>
      <c r="B44813" t="s">
        <v>14626</v>
      </c>
    </row>
    <row r="44814" spans="1:2" x14ac:dyDescent="0.25">
      <c r="A44814">
        <v>90303319000</v>
      </c>
      <c r="B44814" t="s">
        <v>10</v>
      </c>
    </row>
    <row r="44815" spans="1:2" x14ac:dyDescent="0.25">
      <c r="A44815">
        <v>9030332</v>
      </c>
      <c r="B44815" t="s">
        <v>14660</v>
      </c>
    </row>
    <row r="44816" spans="1:2" x14ac:dyDescent="0.25">
      <c r="A44816">
        <v>90303321000</v>
      </c>
      <c r="B44816" t="s">
        <v>6673</v>
      </c>
    </row>
    <row r="44817" spans="1:2" x14ac:dyDescent="0.25">
      <c r="A44817">
        <v>90303329000</v>
      </c>
      <c r="B44817" t="s">
        <v>10</v>
      </c>
    </row>
    <row r="44818" spans="1:2" x14ac:dyDescent="0.25">
      <c r="A44818">
        <v>90303390</v>
      </c>
      <c r="B44818" t="s">
        <v>10</v>
      </c>
    </row>
    <row r="44819" spans="1:2" x14ac:dyDescent="0.25">
      <c r="A44819">
        <v>90303390100</v>
      </c>
      <c r="B44819" t="s">
        <v>14661</v>
      </c>
    </row>
    <row r="44820" spans="1:2" x14ac:dyDescent="0.25">
      <c r="A44820">
        <v>90303390200</v>
      </c>
      <c r="B44820" t="s">
        <v>14662</v>
      </c>
    </row>
    <row r="44821" spans="1:2" x14ac:dyDescent="0.25">
      <c r="A44821">
        <v>90303390900</v>
      </c>
      <c r="B44821" t="s">
        <v>10</v>
      </c>
    </row>
    <row r="44822" spans="1:2" x14ac:dyDescent="0.25">
      <c r="A44822">
        <v>903039</v>
      </c>
      <c r="B44822" t="e">
        <f>- - Los demas. Con dispositivo registrador</f>
        <v>#NAME?</v>
      </c>
    </row>
    <row r="44823" spans="1:2" x14ac:dyDescent="0.25">
      <c r="A44823">
        <v>90303910000</v>
      </c>
      <c r="B44823" t="s">
        <v>14663</v>
      </c>
    </row>
    <row r="44824" spans="1:2" x14ac:dyDescent="0.25">
      <c r="A44824">
        <v>90303990000</v>
      </c>
      <c r="B44824" t="s">
        <v>10</v>
      </c>
    </row>
    <row r="44825" spans="1:2" x14ac:dyDescent="0.25">
      <c r="A44825">
        <v>903040</v>
      </c>
      <c r="B44825" t="e">
        <f>- Los demas instrumentos y aparatos. especialmente concebidos para tecnicas de telecomunicacion (por ejemplo: hipsometros. kerdometros. distorsiometros. sofometros)</f>
        <v>#NAME?</v>
      </c>
    </row>
    <row r="44826" spans="1:2" x14ac:dyDescent="0.25">
      <c r="A44826">
        <v>90304010000</v>
      </c>
      <c r="B44826" t="s">
        <v>14664</v>
      </c>
    </row>
    <row r="44827" spans="1:2" x14ac:dyDescent="0.25">
      <c r="A44827">
        <v>90304020000</v>
      </c>
      <c r="B44827" t="s">
        <v>14665</v>
      </c>
    </row>
    <row r="44828" spans="1:2" x14ac:dyDescent="0.25">
      <c r="A44828">
        <v>90304030000</v>
      </c>
      <c r="B44828" t="s">
        <v>14666</v>
      </c>
    </row>
    <row r="44829" spans="1:2" x14ac:dyDescent="0.25">
      <c r="A44829">
        <v>90304090000</v>
      </c>
      <c r="B44829" t="s">
        <v>10</v>
      </c>
    </row>
    <row r="44830" spans="1:2" x14ac:dyDescent="0.25">
      <c r="A44830">
        <v>90308</v>
      </c>
      <c r="B44830" t="s">
        <v>14667</v>
      </c>
    </row>
    <row r="44831" spans="1:2" x14ac:dyDescent="0.25">
      <c r="A44831">
        <v>903082</v>
      </c>
      <c r="B44831" t="s">
        <v>14668</v>
      </c>
    </row>
    <row r="44832" spans="1:2" x14ac:dyDescent="0.25">
      <c r="A44832">
        <v>90308210000</v>
      </c>
      <c r="B44832" t="s">
        <v>14669</v>
      </c>
    </row>
    <row r="44833" spans="1:2" x14ac:dyDescent="0.25">
      <c r="A44833">
        <v>90308290000</v>
      </c>
      <c r="B44833" t="s">
        <v>10</v>
      </c>
    </row>
    <row r="44834" spans="1:2" x14ac:dyDescent="0.25">
      <c r="A44834">
        <v>903084</v>
      </c>
      <c r="B44834" t="e">
        <f>- - Los demas. Con dispositivo registrador</f>
        <v>#NAME?</v>
      </c>
    </row>
    <row r="44835" spans="1:2" x14ac:dyDescent="0.25">
      <c r="A44835">
        <v>90308410000</v>
      </c>
      <c r="B44835" t="s">
        <v>14670</v>
      </c>
    </row>
    <row r="44836" spans="1:2" x14ac:dyDescent="0.25">
      <c r="A44836">
        <v>90308420000</v>
      </c>
      <c r="B44836" t="s">
        <v>14671</v>
      </c>
    </row>
    <row r="44837" spans="1:2" x14ac:dyDescent="0.25">
      <c r="A44837">
        <v>90308490000</v>
      </c>
      <c r="B44837" t="s">
        <v>10</v>
      </c>
    </row>
    <row r="44838" spans="1:2" x14ac:dyDescent="0.25">
      <c r="A44838">
        <v>903089</v>
      </c>
      <c r="B44838" t="e">
        <f>- - Los demas</f>
        <v>#NAME?</v>
      </c>
    </row>
    <row r="44839" spans="1:2" x14ac:dyDescent="0.25">
      <c r="A44839">
        <v>90308910000</v>
      </c>
      <c r="B44839" t="s">
        <v>14672</v>
      </c>
    </row>
    <row r="44840" spans="1:2" x14ac:dyDescent="0.25">
      <c r="A44840">
        <v>90308920000</v>
      </c>
      <c r="B44840" t="s">
        <v>14673</v>
      </c>
    </row>
    <row r="44841" spans="1:2" x14ac:dyDescent="0.25">
      <c r="A44841">
        <v>90308930000</v>
      </c>
      <c r="B44841" t="s">
        <v>14674</v>
      </c>
    </row>
    <row r="44842" spans="1:2" x14ac:dyDescent="0.25">
      <c r="A44842">
        <v>90308940000</v>
      </c>
      <c r="B44842" t="s">
        <v>14675</v>
      </c>
    </row>
    <row r="44843" spans="1:2" x14ac:dyDescent="0.25">
      <c r="A44843">
        <v>90308990</v>
      </c>
      <c r="B44843" t="s">
        <v>10</v>
      </c>
    </row>
    <row r="44844" spans="1:2" x14ac:dyDescent="0.25">
      <c r="A44844">
        <v>90308990100</v>
      </c>
      <c r="B44844" t="s">
        <v>14676</v>
      </c>
    </row>
    <row r="44845" spans="1:2" x14ac:dyDescent="0.25">
      <c r="A44845">
        <v>90308990900</v>
      </c>
      <c r="B44845" t="s">
        <v>10</v>
      </c>
    </row>
    <row r="44846" spans="1:2" x14ac:dyDescent="0.25">
      <c r="A44846">
        <v>903090</v>
      </c>
      <c r="B44846" t="e">
        <f>- partes y accesorios</f>
        <v>#NAME?</v>
      </c>
    </row>
    <row r="44847" spans="1:2" x14ac:dyDescent="0.25">
      <c r="A44847">
        <v>90309010</v>
      </c>
      <c r="B44847" t="s">
        <v>14677</v>
      </c>
    </row>
    <row r="44848" spans="1:2" x14ac:dyDescent="0.25">
      <c r="A44848">
        <v>90309010100</v>
      </c>
      <c r="B44848" t="s">
        <v>14678</v>
      </c>
    </row>
    <row r="44849" spans="1:2" x14ac:dyDescent="0.25">
      <c r="A44849">
        <v>90309010900</v>
      </c>
      <c r="B44849" t="s">
        <v>10</v>
      </c>
    </row>
    <row r="44850" spans="1:2" x14ac:dyDescent="0.25">
      <c r="A44850">
        <v>90309090000</v>
      </c>
      <c r="B44850" t="s">
        <v>10</v>
      </c>
    </row>
    <row r="44851" spans="1:2" x14ac:dyDescent="0.25">
      <c r="A44851">
        <v>9031</v>
      </c>
      <c r="B44851" t="s">
        <v>14679</v>
      </c>
    </row>
    <row r="44852" spans="1:2" x14ac:dyDescent="0.25">
      <c r="A44852">
        <v>90311000</v>
      </c>
      <c r="B44852" t="e">
        <f>- maquinas para equilibrar piezas Mecanicas</f>
        <v>#NAME?</v>
      </c>
    </row>
    <row r="44853" spans="1:2" x14ac:dyDescent="0.25">
      <c r="A44853">
        <v>90311000100</v>
      </c>
      <c r="B44853" t="s">
        <v>14680</v>
      </c>
    </row>
    <row r="44854" spans="1:2" x14ac:dyDescent="0.25">
      <c r="A44854">
        <v>90311000900</v>
      </c>
      <c r="B44854" t="s">
        <v>57</v>
      </c>
    </row>
    <row r="44855" spans="1:2" x14ac:dyDescent="0.25">
      <c r="A44855">
        <v>903120</v>
      </c>
      <c r="B44855" t="e">
        <f>- Bancos de pruebas</f>
        <v>#NAME?</v>
      </c>
    </row>
    <row r="44856" spans="1:2" x14ac:dyDescent="0.25">
      <c r="A44856">
        <v>90312010000</v>
      </c>
      <c r="B44856" t="s">
        <v>14681</v>
      </c>
    </row>
    <row r="44857" spans="1:2" x14ac:dyDescent="0.25">
      <c r="A44857">
        <v>90312090</v>
      </c>
      <c r="B44857" t="s">
        <v>10</v>
      </c>
    </row>
    <row r="44858" spans="1:2" x14ac:dyDescent="0.25">
      <c r="A44858">
        <v>90312090100</v>
      </c>
      <c r="B44858" t="s">
        <v>14682</v>
      </c>
    </row>
    <row r="44859" spans="1:2" x14ac:dyDescent="0.25">
      <c r="A44859">
        <v>90312090900</v>
      </c>
      <c r="B44859" t="s">
        <v>10</v>
      </c>
    </row>
    <row r="44860" spans="1:2" x14ac:dyDescent="0.25">
      <c r="A44860">
        <v>90314</v>
      </c>
      <c r="B44860" t="s">
        <v>14683</v>
      </c>
    </row>
    <row r="44861" spans="1:2" x14ac:dyDescent="0.25">
      <c r="A44861">
        <v>90314100000</v>
      </c>
      <c r="B44861" t="s">
        <v>14684</v>
      </c>
    </row>
    <row r="44862" spans="1:2" x14ac:dyDescent="0.25">
      <c r="A44862">
        <v>903149</v>
      </c>
      <c r="B44862" t="e">
        <f>- - Los demas</f>
        <v>#NAME?</v>
      </c>
    </row>
    <row r="44863" spans="1:2" x14ac:dyDescent="0.25">
      <c r="A44863">
        <v>90314910000</v>
      </c>
      <c r="B44863" t="s">
        <v>14685</v>
      </c>
    </row>
    <row r="44864" spans="1:2" x14ac:dyDescent="0.25">
      <c r="A44864">
        <v>90314920000</v>
      </c>
      <c r="B44864" t="s">
        <v>14686</v>
      </c>
    </row>
    <row r="44865" spans="1:2" x14ac:dyDescent="0.25">
      <c r="A44865">
        <v>90314990000</v>
      </c>
      <c r="B44865" t="s">
        <v>10</v>
      </c>
    </row>
    <row r="44866" spans="1:2" x14ac:dyDescent="0.25">
      <c r="A44866">
        <v>903180</v>
      </c>
      <c r="B44866" t="e">
        <f>- Los demas instrumentos. aparatos y maquinas</f>
        <v>#NAME?</v>
      </c>
    </row>
    <row r="44867" spans="1:2" x14ac:dyDescent="0.25">
      <c r="A44867">
        <v>9031801</v>
      </c>
      <c r="B44867" t="s">
        <v>14687</v>
      </c>
    </row>
    <row r="44868" spans="1:2" x14ac:dyDescent="0.25">
      <c r="A44868">
        <v>90318011000</v>
      </c>
      <c r="B44868" t="s">
        <v>14542</v>
      </c>
    </row>
    <row r="44869" spans="1:2" x14ac:dyDescent="0.25">
      <c r="A44869">
        <v>90318012000</v>
      </c>
      <c r="B44869" t="s">
        <v>14688</v>
      </c>
    </row>
    <row r="44870" spans="1:2" x14ac:dyDescent="0.25">
      <c r="A44870">
        <v>90318020000</v>
      </c>
      <c r="B44870" t="s">
        <v>14689</v>
      </c>
    </row>
    <row r="44871" spans="1:2" x14ac:dyDescent="0.25">
      <c r="A44871">
        <v>90318030000</v>
      </c>
      <c r="B44871" t="s">
        <v>14690</v>
      </c>
    </row>
    <row r="44872" spans="1:2" x14ac:dyDescent="0.25">
      <c r="A44872">
        <v>90318040000</v>
      </c>
      <c r="B44872" t="s">
        <v>14691</v>
      </c>
    </row>
    <row r="44873" spans="1:2" x14ac:dyDescent="0.25">
      <c r="A44873">
        <v>90318050000</v>
      </c>
      <c r="B44873" t="s">
        <v>14692</v>
      </c>
    </row>
    <row r="44874" spans="1:2" x14ac:dyDescent="0.25">
      <c r="A44874">
        <v>90318060</v>
      </c>
      <c r="B44874" t="s">
        <v>14693</v>
      </c>
    </row>
    <row r="44875" spans="1:2" x14ac:dyDescent="0.25">
      <c r="A44875">
        <v>90318060100</v>
      </c>
      <c r="B44875" t="s">
        <v>14694</v>
      </c>
    </row>
    <row r="44876" spans="1:2" x14ac:dyDescent="0.25">
      <c r="A44876">
        <v>90318060900</v>
      </c>
      <c r="B44876" t="s">
        <v>57</v>
      </c>
    </row>
    <row r="44877" spans="1:2" x14ac:dyDescent="0.25">
      <c r="A44877">
        <v>9031809</v>
      </c>
      <c r="B44877" t="s">
        <v>10</v>
      </c>
    </row>
    <row r="44878" spans="1:2" x14ac:dyDescent="0.25">
      <c r="A44878">
        <v>90318091000</v>
      </c>
      <c r="B44878" t="s">
        <v>14695</v>
      </c>
    </row>
    <row r="44879" spans="1:2" x14ac:dyDescent="0.25">
      <c r="A44879">
        <v>90318099</v>
      </c>
      <c r="B44879" t="s">
        <v>10</v>
      </c>
    </row>
    <row r="44880" spans="1:2" x14ac:dyDescent="0.25">
      <c r="A44880">
        <v>90318099100</v>
      </c>
      <c r="B44880" t="s">
        <v>14696</v>
      </c>
    </row>
    <row r="44881" spans="1:2" x14ac:dyDescent="0.25">
      <c r="A44881">
        <v>90318099200</v>
      </c>
      <c r="B44881" t="s">
        <v>14697</v>
      </c>
    </row>
    <row r="44882" spans="1:2" x14ac:dyDescent="0.25">
      <c r="A44882">
        <v>903180993</v>
      </c>
      <c r="B44882" t="s">
        <v>14698</v>
      </c>
    </row>
    <row r="44883" spans="1:2" x14ac:dyDescent="0.25">
      <c r="A44883">
        <v>90318099310</v>
      </c>
      <c r="B44883" t="s">
        <v>14699</v>
      </c>
    </row>
    <row r="44884" spans="1:2" x14ac:dyDescent="0.25">
      <c r="A44884">
        <v>90318099320</v>
      </c>
      <c r="B44884" t="s">
        <v>14700</v>
      </c>
    </row>
    <row r="44885" spans="1:2" x14ac:dyDescent="0.25">
      <c r="A44885">
        <v>90318099330</v>
      </c>
      <c r="B44885" t="s">
        <v>14701</v>
      </c>
    </row>
    <row r="44886" spans="1:2" x14ac:dyDescent="0.25">
      <c r="A44886">
        <v>90318099340</v>
      </c>
      <c r="B44886" t="s">
        <v>14702</v>
      </c>
    </row>
    <row r="44887" spans="1:2" x14ac:dyDescent="0.25">
      <c r="A44887">
        <v>90318099390</v>
      </c>
      <c r="B44887" t="s">
        <v>10</v>
      </c>
    </row>
    <row r="44888" spans="1:2" x14ac:dyDescent="0.25">
      <c r="A44888">
        <v>903180994</v>
      </c>
      <c r="B44888" t="s">
        <v>14703</v>
      </c>
    </row>
    <row r="44889" spans="1:2" x14ac:dyDescent="0.25">
      <c r="A44889">
        <v>9031809941</v>
      </c>
      <c r="B44889" t="s">
        <v>14704</v>
      </c>
    </row>
    <row r="44890" spans="1:2" x14ac:dyDescent="0.25">
      <c r="A44890">
        <v>90318099411</v>
      </c>
      <c r="B44890" t="s">
        <v>14705</v>
      </c>
    </row>
    <row r="44891" spans="1:2" x14ac:dyDescent="0.25">
      <c r="A44891">
        <v>90318099419</v>
      </c>
      <c r="B44891" t="s">
        <v>10</v>
      </c>
    </row>
    <row r="44892" spans="1:2" x14ac:dyDescent="0.25">
      <c r="A44892">
        <v>9031809949</v>
      </c>
      <c r="B44892" t="s">
        <v>10</v>
      </c>
    </row>
    <row r="44893" spans="1:2" x14ac:dyDescent="0.25">
      <c r="A44893">
        <v>90318099491</v>
      </c>
      <c r="B44893" t="s">
        <v>14705</v>
      </c>
    </row>
    <row r="44894" spans="1:2" x14ac:dyDescent="0.25">
      <c r="A44894">
        <v>90318099499</v>
      </c>
      <c r="B44894" t="s">
        <v>10</v>
      </c>
    </row>
    <row r="44895" spans="1:2" x14ac:dyDescent="0.25">
      <c r="A44895">
        <v>903180995</v>
      </c>
      <c r="B44895" t="s">
        <v>14706</v>
      </c>
    </row>
    <row r="44896" spans="1:2" x14ac:dyDescent="0.25">
      <c r="A44896">
        <v>90318099510</v>
      </c>
      <c r="B44896" t="s">
        <v>14707</v>
      </c>
    </row>
    <row r="44897" spans="1:2" x14ac:dyDescent="0.25">
      <c r="A44897">
        <v>90318099520</v>
      </c>
      <c r="B44897" t="s">
        <v>14708</v>
      </c>
    </row>
    <row r="44898" spans="1:2" x14ac:dyDescent="0.25">
      <c r="A44898">
        <v>90318099530</v>
      </c>
      <c r="B44898" t="s">
        <v>14709</v>
      </c>
    </row>
    <row r="44899" spans="1:2" x14ac:dyDescent="0.25">
      <c r="A44899">
        <v>90318099590</v>
      </c>
      <c r="B44899" t="s">
        <v>10</v>
      </c>
    </row>
    <row r="44900" spans="1:2" x14ac:dyDescent="0.25">
      <c r="A44900">
        <v>903180996</v>
      </c>
      <c r="B44900" t="s">
        <v>14710</v>
      </c>
    </row>
    <row r="44901" spans="1:2" x14ac:dyDescent="0.25">
      <c r="A44901">
        <v>9031809961</v>
      </c>
      <c r="B44901" t="s">
        <v>14711</v>
      </c>
    </row>
    <row r="44902" spans="1:2" x14ac:dyDescent="0.25">
      <c r="A44902">
        <v>90318099611</v>
      </c>
      <c r="B44902" t="s">
        <v>10097</v>
      </c>
    </row>
    <row r="44903" spans="1:2" x14ac:dyDescent="0.25">
      <c r="A44903">
        <v>90318099619</v>
      </c>
      <c r="B44903" t="s">
        <v>10</v>
      </c>
    </row>
    <row r="44904" spans="1:2" x14ac:dyDescent="0.25">
      <c r="A44904">
        <v>9031809962</v>
      </c>
      <c r="B44904" t="s">
        <v>14712</v>
      </c>
    </row>
    <row r="44905" spans="1:2" x14ac:dyDescent="0.25">
      <c r="A44905">
        <v>90318099621</v>
      </c>
      <c r="B44905" t="s">
        <v>14713</v>
      </c>
    </row>
    <row r="44906" spans="1:2" x14ac:dyDescent="0.25">
      <c r="A44906">
        <v>90318099622</v>
      </c>
      <c r="B44906" t="s">
        <v>14714</v>
      </c>
    </row>
    <row r="44907" spans="1:2" x14ac:dyDescent="0.25">
      <c r="A44907">
        <v>90318099623</v>
      </c>
      <c r="B44907" t="s">
        <v>14715</v>
      </c>
    </row>
    <row r="44908" spans="1:2" x14ac:dyDescent="0.25">
      <c r="A44908">
        <v>90318099629</v>
      </c>
      <c r="B44908" t="s">
        <v>10</v>
      </c>
    </row>
    <row r="44909" spans="1:2" x14ac:dyDescent="0.25">
      <c r="A44909">
        <v>90318099690</v>
      </c>
      <c r="B44909" t="s">
        <v>10</v>
      </c>
    </row>
    <row r="44910" spans="1:2" x14ac:dyDescent="0.25">
      <c r="A44910">
        <v>90318099700</v>
      </c>
      <c r="B44910" t="s">
        <v>14716</v>
      </c>
    </row>
    <row r="44911" spans="1:2" x14ac:dyDescent="0.25">
      <c r="A44911">
        <v>90318099800</v>
      </c>
      <c r="B44911" t="s">
        <v>14717</v>
      </c>
    </row>
    <row r="44912" spans="1:2" x14ac:dyDescent="0.25">
      <c r="A44912">
        <v>903180999</v>
      </c>
      <c r="B44912" t="s">
        <v>10</v>
      </c>
    </row>
    <row r="44913" spans="1:2" x14ac:dyDescent="0.25">
      <c r="A44913">
        <v>90318099910</v>
      </c>
      <c r="B44913" t="s">
        <v>14718</v>
      </c>
    </row>
    <row r="44914" spans="1:2" x14ac:dyDescent="0.25">
      <c r="A44914">
        <v>90318099920</v>
      </c>
      <c r="B44914" t="s">
        <v>14719</v>
      </c>
    </row>
    <row r="44915" spans="1:2" x14ac:dyDescent="0.25">
      <c r="A44915">
        <v>90318099930</v>
      </c>
      <c r="B44915" t="s">
        <v>14720</v>
      </c>
    </row>
    <row r="44916" spans="1:2" x14ac:dyDescent="0.25">
      <c r="A44916">
        <v>90318099990</v>
      </c>
      <c r="B44916" t="s">
        <v>10</v>
      </c>
    </row>
    <row r="44917" spans="1:2" x14ac:dyDescent="0.25">
      <c r="A44917">
        <v>903190</v>
      </c>
      <c r="B44917" t="e">
        <f>- partes y accesorios</f>
        <v>#NAME?</v>
      </c>
    </row>
    <row r="44918" spans="1:2" x14ac:dyDescent="0.25">
      <c r="A44918">
        <v>90319010000</v>
      </c>
      <c r="B44918" t="s">
        <v>14721</v>
      </c>
    </row>
    <row r="44919" spans="1:2" x14ac:dyDescent="0.25">
      <c r="A44919">
        <v>90319090</v>
      </c>
      <c r="B44919" t="s">
        <v>10</v>
      </c>
    </row>
    <row r="44920" spans="1:2" x14ac:dyDescent="0.25">
      <c r="A44920">
        <v>903190901</v>
      </c>
      <c r="B44920" t="s">
        <v>14722</v>
      </c>
    </row>
    <row r="44921" spans="1:2" x14ac:dyDescent="0.25">
      <c r="A44921">
        <v>90319090110</v>
      </c>
      <c r="B44921" t="s">
        <v>14705</v>
      </c>
    </row>
    <row r="44922" spans="1:2" x14ac:dyDescent="0.25">
      <c r="A44922">
        <v>90319090190</v>
      </c>
      <c r="B44922" t="s">
        <v>10</v>
      </c>
    </row>
    <row r="44923" spans="1:2" x14ac:dyDescent="0.25">
      <c r="A44923">
        <v>90319090900</v>
      </c>
      <c r="B44923" t="s">
        <v>10</v>
      </c>
    </row>
    <row r="44924" spans="1:2" x14ac:dyDescent="0.25">
      <c r="A44924">
        <v>9032</v>
      </c>
      <c r="B44924" t="s">
        <v>14723</v>
      </c>
    </row>
    <row r="44925" spans="1:2" x14ac:dyDescent="0.25">
      <c r="A44925">
        <v>903210</v>
      </c>
      <c r="B44925" t="e">
        <f>- Termostatos</f>
        <v>#NAME?</v>
      </c>
    </row>
    <row r="44926" spans="1:2" x14ac:dyDescent="0.25">
      <c r="A44926">
        <v>90321010</v>
      </c>
      <c r="B44926" t="s">
        <v>14724</v>
      </c>
    </row>
    <row r="44927" spans="1:2" x14ac:dyDescent="0.25">
      <c r="A44927">
        <v>90321010100</v>
      </c>
      <c r="B44927" t="s">
        <v>14725</v>
      </c>
    </row>
    <row r="44928" spans="1:2" x14ac:dyDescent="0.25">
      <c r="A44928">
        <v>90321010900</v>
      </c>
      <c r="B44928" t="s">
        <v>10</v>
      </c>
    </row>
    <row r="44929" spans="1:2" x14ac:dyDescent="0.25">
      <c r="A44929">
        <v>90321090000</v>
      </c>
      <c r="B44929" t="s">
        <v>10</v>
      </c>
    </row>
    <row r="44930" spans="1:2" x14ac:dyDescent="0.25">
      <c r="A44930">
        <v>90322000000</v>
      </c>
      <c r="B44930" t="e">
        <f>-Manostatos (presostatos)</f>
        <v>#NAME?</v>
      </c>
    </row>
    <row r="44931" spans="1:2" x14ac:dyDescent="0.25">
      <c r="A44931">
        <v>90328</v>
      </c>
      <c r="B44931" t="s">
        <v>14667</v>
      </c>
    </row>
    <row r="44932" spans="1:2" x14ac:dyDescent="0.25">
      <c r="A44932">
        <v>90328100000</v>
      </c>
      <c r="B44932" t="e">
        <f>--hidraulicos o Neumaticos</f>
        <v>#NAME?</v>
      </c>
    </row>
    <row r="44933" spans="1:2" x14ac:dyDescent="0.25">
      <c r="A44933">
        <v>903289</v>
      </c>
      <c r="B44933" t="e">
        <f>- - Los demas</f>
        <v>#NAME?</v>
      </c>
    </row>
    <row r="44934" spans="1:2" x14ac:dyDescent="0.25">
      <c r="A44934">
        <v>9032891</v>
      </c>
      <c r="B44934" t="s">
        <v>14726</v>
      </c>
    </row>
    <row r="44935" spans="1:2" x14ac:dyDescent="0.25">
      <c r="A44935">
        <v>90328911</v>
      </c>
      <c r="B44935" t="s">
        <v>14727</v>
      </c>
    </row>
    <row r="44936" spans="1:2" x14ac:dyDescent="0.25">
      <c r="A44936">
        <v>903289111</v>
      </c>
      <c r="B44936" t="s">
        <v>14728</v>
      </c>
    </row>
    <row r="44937" spans="1:2" x14ac:dyDescent="0.25">
      <c r="A44937">
        <v>90328911110</v>
      </c>
      <c r="B44937" t="s">
        <v>14729</v>
      </c>
    </row>
    <row r="44938" spans="1:2" x14ac:dyDescent="0.25">
      <c r="A44938">
        <v>90328911120</v>
      </c>
      <c r="B44938" t="s">
        <v>14730</v>
      </c>
    </row>
    <row r="44939" spans="1:2" x14ac:dyDescent="0.25">
      <c r="A44939">
        <v>90328911200</v>
      </c>
      <c r="B44939" t="s">
        <v>6673</v>
      </c>
    </row>
    <row r="44940" spans="1:2" x14ac:dyDescent="0.25">
      <c r="A44940">
        <v>90328911900</v>
      </c>
      <c r="B44940" t="s">
        <v>10</v>
      </c>
    </row>
    <row r="44941" spans="1:2" x14ac:dyDescent="0.25">
      <c r="A44941">
        <v>90328919000</v>
      </c>
      <c r="B44941" t="s">
        <v>10</v>
      </c>
    </row>
    <row r="44942" spans="1:2" x14ac:dyDescent="0.25">
      <c r="A44942">
        <v>9032892</v>
      </c>
      <c r="B44942" t="s">
        <v>14731</v>
      </c>
    </row>
    <row r="44943" spans="1:2" x14ac:dyDescent="0.25">
      <c r="A44943">
        <v>90328921000</v>
      </c>
      <c r="B44943" t="s">
        <v>14732</v>
      </c>
    </row>
    <row r="44944" spans="1:2" x14ac:dyDescent="0.25">
      <c r="A44944">
        <v>90328922000</v>
      </c>
      <c r="B44944" t="s">
        <v>14733</v>
      </c>
    </row>
    <row r="44945" spans="1:2" x14ac:dyDescent="0.25">
      <c r="A44945">
        <v>90328923000</v>
      </c>
      <c r="B44945" t="s">
        <v>14734</v>
      </c>
    </row>
    <row r="44946" spans="1:2" x14ac:dyDescent="0.25">
      <c r="A44946">
        <v>90328924000</v>
      </c>
      <c r="B44946" t="s">
        <v>14735</v>
      </c>
    </row>
    <row r="44947" spans="1:2" x14ac:dyDescent="0.25">
      <c r="A44947">
        <v>90328925</v>
      </c>
      <c r="B44947" t="s">
        <v>14736</v>
      </c>
    </row>
    <row r="44948" spans="1:2" x14ac:dyDescent="0.25">
      <c r="A44948">
        <v>90328925100</v>
      </c>
      <c r="B44948" t="s">
        <v>14737</v>
      </c>
    </row>
    <row r="44949" spans="1:2" x14ac:dyDescent="0.25">
      <c r="A44949">
        <v>90328925900</v>
      </c>
      <c r="B44949" t="s">
        <v>14738</v>
      </c>
    </row>
    <row r="44950" spans="1:2" x14ac:dyDescent="0.25">
      <c r="A44950">
        <v>90328929</v>
      </c>
      <c r="B44950" t="s">
        <v>10</v>
      </c>
    </row>
    <row r="44951" spans="1:2" x14ac:dyDescent="0.25">
      <c r="A44951">
        <v>90328929100</v>
      </c>
      <c r="B44951" t="s">
        <v>14739</v>
      </c>
    </row>
    <row r="44952" spans="1:2" x14ac:dyDescent="0.25">
      <c r="A44952">
        <v>90328929900</v>
      </c>
      <c r="B44952" t="s">
        <v>10</v>
      </c>
    </row>
    <row r="44953" spans="1:2" x14ac:dyDescent="0.25">
      <c r="A44953">
        <v>90328930000</v>
      </c>
      <c r="B44953" t="s">
        <v>14740</v>
      </c>
    </row>
    <row r="44954" spans="1:2" x14ac:dyDescent="0.25">
      <c r="A44954">
        <v>9032898</v>
      </c>
      <c r="B44954" t="s">
        <v>14741</v>
      </c>
    </row>
    <row r="44955" spans="1:2" x14ac:dyDescent="0.25">
      <c r="A44955">
        <v>90328981000</v>
      </c>
      <c r="B44955" t="s">
        <v>14742</v>
      </c>
    </row>
    <row r="44956" spans="1:2" x14ac:dyDescent="0.25">
      <c r="A44956">
        <v>90328982000</v>
      </c>
      <c r="B44956" t="s">
        <v>14743</v>
      </c>
    </row>
    <row r="44957" spans="1:2" x14ac:dyDescent="0.25">
      <c r="A44957">
        <v>90328983000</v>
      </c>
      <c r="B44957" t="s">
        <v>14744</v>
      </c>
    </row>
    <row r="44958" spans="1:2" x14ac:dyDescent="0.25">
      <c r="A44958">
        <v>90328984000</v>
      </c>
      <c r="B44958" t="s">
        <v>14745</v>
      </c>
    </row>
    <row r="44959" spans="1:2" x14ac:dyDescent="0.25">
      <c r="A44959">
        <v>90328989000</v>
      </c>
      <c r="B44959" t="s">
        <v>10</v>
      </c>
    </row>
    <row r="44960" spans="1:2" x14ac:dyDescent="0.25">
      <c r="A44960">
        <v>90328990000</v>
      </c>
      <c r="B44960" t="s">
        <v>10</v>
      </c>
    </row>
    <row r="44961" spans="1:2" x14ac:dyDescent="0.25">
      <c r="A44961">
        <v>903290</v>
      </c>
      <c r="B44961" t="e">
        <f>- partes y accesorios</f>
        <v>#NAME?</v>
      </c>
    </row>
    <row r="44962" spans="1:2" x14ac:dyDescent="0.25">
      <c r="A44962">
        <v>90329010000</v>
      </c>
      <c r="B44962" t="s">
        <v>12439</v>
      </c>
    </row>
    <row r="44963" spans="1:2" x14ac:dyDescent="0.25">
      <c r="A44963">
        <v>9032909</v>
      </c>
      <c r="B44963" t="s">
        <v>10</v>
      </c>
    </row>
    <row r="44964" spans="1:2" x14ac:dyDescent="0.25">
      <c r="A44964">
        <v>90329091000</v>
      </c>
      <c r="B44964" t="s">
        <v>14746</v>
      </c>
    </row>
    <row r="44965" spans="1:2" x14ac:dyDescent="0.25">
      <c r="A44965">
        <v>90329099</v>
      </c>
      <c r="B44965" t="s">
        <v>10</v>
      </c>
    </row>
    <row r="44966" spans="1:2" x14ac:dyDescent="0.25">
      <c r="A44966">
        <v>90329099100</v>
      </c>
      <c r="B44966" t="s">
        <v>14747</v>
      </c>
    </row>
    <row r="44967" spans="1:2" x14ac:dyDescent="0.25">
      <c r="A44967">
        <v>90329099200</v>
      </c>
      <c r="B44967" t="s">
        <v>14748</v>
      </c>
    </row>
    <row r="44968" spans="1:2" x14ac:dyDescent="0.25">
      <c r="A44968">
        <v>90329099900</v>
      </c>
      <c r="B44968" t="s">
        <v>10</v>
      </c>
    </row>
    <row r="44969" spans="1:2" x14ac:dyDescent="0.25">
      <c r="A44969">
        <v>90330000000</v>
      </c>
      <c r="B44969" t="s">
        <v>14749</v>
      </c>
    </row>
    <row r="44970" spans="1:2" x14ac:dyDescent="0.25">
      <c r="A44970">
        <v>9101</v>
      </c>
      <c r="B44970" t="s">
        <v>14750</v>
      </c>
    </row>
    <row r="44971" spans="1:2" x14ac:dyDescent="0.25">
      <c r="A44971">
        <v>91011</v>
      </c>
      <c r="B44971" t="s">
        <v>14751</v>
      </c>
    </row>
    <row r="44972" spans="1:2" x14ac:dyDescent="0.25">
      <c r="A44972">
        <v>91011100000</v>
      </c>
      <c r="B44972" t="e">
        <f>--Con indicador mecanico solamente</f>
        <v>#NAME?</v>
      </c>
    </row>
    <row r="44973" spans="1:2" x14ac:dyDescent="0.25">
      <c r="A44973">
        <v>91011900000</v>
      </c>
      <c r="B44973" t="e">
        <f>--Los demas</f>
        <v>#NAME?</v>
      </c>
    </row>
    <row r="44974" spans="1:2" x14ac:dyDescent="0.25">
      <c r="A44974">
        <v>91012</v>
      </c>
      <c r="B44974" t="s">
        <v>14752</v>
      </c>
    </row>
    <row r="44975" spans="1:2" x14ac:dyDescent="0.25">
      <c r="A44975">
        <v>91012100000</v>
      </c>
      <c r="B44975" t="e">
        <f>--automaticos</f>
        <v>#NAME?</v>
      </c>
    </row>
    <row r="44976" spans="1:2" x14ac:dyDescent="0.25">
      <c r="A44976">
        <v>91012900000</v>
      </c>
      <c r="B44976" t="e">
        <f>--Los demas</f>
        <v>#NAME?</v>
      </c>
    </row>
    <row r="44977" spans="1:2" x14ac:dyDescent="0.25">
      <c r="A44977">
        <v>91019</v>
      </c>
      <c r="B44977" t="s">
        <v>28</v>
      </c>
    </row>
    <row r="44978" spans="1:2" x14ac:dyDescent="0.25">
      <c r="A44978">
        <v>91019100000</v>
      </c>
      <c r="B44978" t="e">
        <f>--electricos</f>
        <v>#NAME?</v>
      </c>
    </row>
    <row r="44979" spans="1:2" x14ac:dyDescent="0.25">
      <c r="A44979">
        <v>91019900000</v>
      </c>
      <c r="B44979" t="e">
        <f>--Los demas</f>
        <v>#NAME?</v>
      </c>
    </row>
    <row r="44980" spans="1:2" x14ac:dyDescent="0.25">
      <c r="A44980">
        <v>9102</v>
      </c>
      <c r="B44980" t="s">
        <v>14753</v>
      </c>
    </row>
    <row r="44981" spans="1:2" x14ac:dyDescent="0.25">
      <c r="A44981">
        <v>91021</v>
      </c>
      <c r="B44981" t="s">
        <v>14751</v>
      </c>
    </row>
    <row r="44982" spans="1:2" x14ac:dyDescent="0.25">
      <c r="A44982">
        <v>910211</v>
      </c>
      <c r="B44982" t="e">
        <f>- - Con indicador mecanico solamente</f>
        <v>#NAME?</v>
      </c>
    </row>
    <row r="44983" spans="1:2" x14ac:dyDescent="0.25">
      <c r="A44983">
        <v>91021110</v>
      </c>
      <c r="B44983" t="s">
        <v>14754</v>
      </c>
    </row>
    <row r="44984" spans="1:2" x14ac:dyDescent="0.25">
      <c r="A44984">
        <v>910211101</v>
      </c>
      <c r="B44984" t="s">
        <v>14755</v>
      </c>
    </row>
    <row r="44985" spans="1:2" x14ac:dyDescent="0.25">
      <c r="A44985">
        <v>9102111011</v>
      </c>
      <c r="B44985" t="s">
        <v>14756</v>
      </c>
    </row>
    <row r="44986" spans="1:2" x14ac:dyDescent="0.25">
      <c r="A44986">
        <v>91021110111</v>
      </c>
      <c r="B44986" t="s">
        <v>14757</v>
      </c>
    </row>
    <row r="44987" spans="1:2" x14ac:dyDescent="0.25">
      <c r="A44987">
        <v>91021110119</v>
      </c>
      <c r="B44987" t="s">
        <v>10</v>
      </c>
    </row>
    <row r="44988" spans="1:2" x14ac:dyDescent="0.25">
      <c r="A44988">
        <v>9102111012</v>
      </c>
      <c r="B44988" t="s">
        <v>14758</v>
      </c>
    </row>
    <row r="44989" spans="1:2" x14ac:dyDescent="0.25">
      <c r="A44989">
        <v>91021110121</v>
      </c>
      <c r="B44989" t="s">
        <v>14759</v>
      </c>
    </row>
    <row r="44990" spans="1:2" x14ac:dyDescent="0.25">
      <c r="A44990">
        <v>91021110122</v>
      </c>
      <c r="B44990" t="s">
        <v>14760</v>
      </c>
    </row>
    <row r="44991" spans="1:2" x14ac:dyDescent="0.25">
      <c r="A44991">
        <v>91021110123</v>
      </c>
      <c r="B44991" t="s">
        <v>14761</v>
      </c>
    </row>
    <row r="44992" spans="1:2" x14ac:dyDescent="0.25">
      <c r="A44992">
        <v>91021110129</v>
      </c>
      <c r="B44992" t="s">
        <v>10</v>
      </c>
    </row>
    <row r="44993" spans="1:2" x14ac:dyDescent="0.25">
      <c r="A44993">
        <v>9102111013</v>
      </c>
      <c r="B44993" t="s">
        <v>14762</v>
      </c>
    </row>
    <row r="44994" spans="1:2" x14ac:dyDescent="0.25">
      <c r="A44994">
        <v>91021110131</v>
      </c>
      <c r="B44994" t="s">
        <v>14759</v>
      </c>
    </row>
    <row r="44995" spans="1:2" x14ac:dyDescent="0.25">
      <c r="A44995">
        <v>91021110132</v>
      </c>
      <c r="B44995" t="s">
        <v>14760</v>
      </c>
    </row>
    <row r="44996" spans="1:2" x14ac:dyDescent="0.25">
      <c r="A44996">
        <v>91021110133</v>
      </c>
      <c r="B44996" t="s">
        <v>14761</v>
      </c>
    </row>
    <row r="44997" spans="1:2" x14ac:dyDescent="0.25">
      <c r="A44997">
        <v>91021110139</v>
      </c>
      <c r="B44997" t="s">
        <v>10</v>
      </c>
    </row>
    <row r="44998" spans="1:2" x14ac:dyDescent="0.25">
      <c r="A44998">
        <v>9102111014</v>
      </c>
      <c r="B44998" t="s">
        <v>14763</v>
      </c>
    </row>
    <row r="44999" spans="1:2" x14ac:dyDescent="0.25">
      <c r="A44999">
        <v>91021110141</v>
      </c>
      <c r="B44999" t="s">
        <v>14759</v>
      </c>
    </row>
    <row r="45000" spans="1:2" x14ac:dyDescent="0.25">
      <c r="A45000">
        <v>91021110142</v>
      </c>
      <c r="B45000" t="s">
        <v>14760</v>
      </c>
    </row>
    <row r="45001" spans="1:2" x14ac:dyDescent="0.25">
      <c r="A45001">
        <v>91021110143</v>
      </c>
      <c r="B45001" t="s">
        <v>14761</v>
      </c>
    </row>
    <row r="45002" spans="1:2" x14ac:dyDescent="0.25">
      <c r="A45002">
        <v>91021110149</v>
      </c>
      <c r="B45002" t="s">
        <v>10</v>
      </c>
    </row>
    <row r="45003" spans="1:2" x14ac:dyDescent="0.25">
      <c r="A45003">
        <v>9102111015</v>
      </c>
      <c r="B45003" t="s">
        <v>14764</v>
      </c>
    </row>
    <row r="45004" spans="1:2" x14ac:dyDescent="0.25">
      <c r="A45004">
        <v>91021110151</v>
      </c>
      <c r="B45004" t="s">
        <v>14759</v>
      </c>
    </row>
    <row r="45005" spans="1:2" x14ac:dyDescent="0.25">
      <c r="A45005">
        <v>91021110152</v>
      </c>
      <c r="B45005" t="s">
        <v>14760</v>
      </c>
    </row>
    <row r="45006" spans="1:2" x14ac:dyDescent="0.25">
      <c r="A45006">
        <v>91021110153</v>
      </c>
      <c r="B45006" t="s">
        <v>14761</v>
      </c>
    </row>
    <row r="45007" spans="1:2" x14ac:dyDescent="0.25">
      <c r="A45007">
        <v>91021110159</v>
      </c>
      <c r="B45007" t="s">
        <v>10</v>
      </c>
    </row>
    <row r="45008" spans="1:2" x14ac:dyDescent="0.25">
      <c r="A45008">
        <v>910211109</v>
      </c>
      <c r="B45008" t="s">
        <v>10</v>
      </c>
    </row>
    <row r="45009" spans="1:2" x14ac:dyDescent="0.25">
      <c r="A45009">
        <v>9102111091</v>
      </c>
      <c r="B45009" t="s">
        <v>14756</v>
      </c>
    </row>
    <row r="45010" spans="1:2" x14ac:dyDescent="0.25">
      <c r="A45010">
        <v>91021110911</v>
      </c>
      <c r="B45010" t="s">
        <v>14757</v>
      </c>
    </row>
    <row r="45011" spans="1:2" x14ac:dyDescent="0.25">
      <c r="A45011">
        <v>91021110919</v>
      </c>
      <c r="B45011" t="s">
        <v>10</v>
      </c>
    </row>
    <row r="45012" spans="1:2" x14ac:dyDescent="0.25">
      <c r="A45012">
        <v>9102111092</v>
      </c>
      <c r="B45012" t="s">
        <v>14758</v>
      </c>
    </row>
    <row r="45013" spans="1:2" x14ac:dyDescent="0.25">
      <c r="A45013">
        <v>91021110921</v>
      </c>
      <c r="B45013" t="s">
        <v>14759</v>
      </c>
    </row>
    <row r="45014" spans="1:2" x14ac:dyDescent="0.25">
      <c r="A45014">
        <v>91021110922</v>
      </c>
      <c r="B45014" t="s">
        <v>14760</v>
      </c>
    </row>
    <row r="45015" spans="1:2" x14ac:dyDescent="0.25">
      <c r="A45015">
        <v>91021110923</v>
      </c>
      <c r="B45015" t="s">
        <v>14761</v>
      </c>
    </row>
    <row r="45016" spans="1:2" x14ac:dyDescent="0.25">
      <c r="A45016">
        <v>91021110929</v>
      </c>
      <c r="B45016" t="s">
        <v>10</v>
      </c>
    </row>
    <row r="45017" spans="1:2" x14ac:dyDescent="0.25">
      <c r="A45017">
        <v>9102111093</v>
      </c>
      <c r="B45017" t="s">
        <v>14762</v>
      </c>
    </row>
    <row r="45018" spans="1:2" x14ac:dyDescent="0.25">
      <c r="A45018">
        <v>91021110931</v>
      </c>
      <c r="B45018" t="s">
        <v>14759</v>
      </c>
    </row>
    <row r="45019" spans="1:2" x14ac:dyDescent="0.25">
      <c r="A45019">
        <v>91021110932</v>
      </c>
      <c r="B45019" t="s">
        <v>14760</v>
      </c>
    </row>
    <row r="45020" spans="1:2" x14ac:dyDescent="0.25">
      <c r="A45020">
        <v>91021110933</v>
      </c>
      <c r="B45020" t="s">
        <v>14761</v>
      </c>
    </row>
    <row r="45021" spans="1:2" x14ac:dyDescent="0.25">
      <c r="A45021">
        <v>91021110939</v>
      </c>
      <c r="B45021" t="s">
        <v>10</v>
      </c>
    </row>
    <row r="45022" spans="1:2" x14ac:dyDescent="0.25">
      <c r="A45022">
        <v>9102111094</v>
      </c>
      <c r="B45022" t="s">
        <v>14763</v>
      </c>
    </row>
    <row r="45023" spans="1:2" x14ac:dyDescent="0.25">
      <c r="A45023">
        <v>91021110941</v>
      </c>
      <c r="B45023" t="s">
        <v>14759</v>
      </c>
    </row>
    <row r="45024" spans="1:2" x14ac:dyDescent="0.25">
      <c r="A45024">
        <v>91021110942</v>
      </c>
      <c r="B45024" t="s">
        <v>14760</v>
      </c>
    </row>
    <row r="45025" spans="1:2" x14ac:dyDescent="0.25">
      <c r="A45025">
        <v>91021110943</v>
      </c>
      <c r="B45025" t="s">
        <v>14761</v>
      </c>
    </row>
    <row r="45026" spans="1:2" x14ac:dyDescent="0.25">
      <c r="A45026">
        <v>91021110949</v>
      </c>
      <c r="B45026" t="s">
        <v>10</v>
      </c>
    </row>
    <row r="45027" spans="1:2" x14ac:dyDescent="0.25">
      <c r="A45027">
        <v>9102111095</v>
      </c>
      <c r="B45027" t="s">
        <v>14764</v>
      </c>
    </row>
    <row r="45028" spans="1:2" x14ac:dyDescent="0.25">
      <c r="A45028">
        <v>91021110951</v>
      </c>
      <c r="B45028" t="s">
        <v>14759</v>
      </c>
    </row>
    <row r="45029" spans="1:2" x14ac:dyDescent="0.25">
      <c r="A45029">
        <v>91021110952</v>
      </c>
      <c r="B45029" t="s">
        <v>14760</v>
      </c>
    </row>
    <row r="45030" spans="1:2" x14ac:dyDescent="0.25">
      <c r="A45030">
        <v>91021110953</v>
      </c>
      <c r="B45030" t="s">
        <v>14761</v>
      </c>
    </row>
    <row r="45031" spans="1:2" x14ac:dyDescent="0.25">
      <c r="A45031">
        <v>91021110959</v>
      </c>
      <c r="B45031" t="s">
        <v>10</v>
      </c>
    </row>
    <row r="45032" spans="1:2" x14ac:dyDescent="0.25">
      <c r="A45032">
        <v>91021190</v>
      </c>
      <c r="B45032" t="s">
        <v>10</v>
      </c>
    </row>
    <row r="45033" spans="1:2" x14ac:dyDescent="0.25">
      <c r="A45033">
        <v>910211901</v>
      </c>
      <c r="B45033" t="s">
        <v>14765</v>
      </c>
    </row>
    <row r="45034" spans="1:2" x14ac:dyDescent="0.25">
      <c r="A45034">
        <v>9102119011</v>
      </c>
      <c r="B45034" t="s">
        <v>14766</v>
      </c>
    </row>
    <row r="45035" spans="1:2" x14ac:dyDescent="0.25">
      <c r="A45035">
        <v>91021190111</v>
      </c>
      <c r="B45035" t="s">
        <v>14767</v>
      </c>
    </row>
    <row r="45036" spans="1:2" x14ac:dyDescent="0.25">
      <c r="A45036">
        <v>91021190112</v>
      </c>
      <c r="B45036" t="s">
        <v>14757</v>
      </c>
    </row>
    <row r="45037" spans="1:2" x14ac:dyDescent="0.25">
      <c r="A45037">
        <v>91021190113</v>
      </c>
      <c r="B45037" t="s">
        <v>14768</v>
      </c>
    </row>
    <row r="45038" spans="1:2" x14ac:dyDescent="0.25">
      <c r="A45038">
        <v>91021190114</v>
      </c>
      <c r="B45038" t="s">
        <v>14769</v>
      </c>
    </row>
    <row r="45039" spans="1:2" x14ac:dyDescent="0.25">
      <c r="A45039">
        <v>91021190119</v>
      </c>
      <c r="B45039" t="s">
        <v>10</v>
      </c>
    </row>
    <row r="45040" spans="1:2" x14ac:dyDescent="0.25">
      <c r="A45040">
        <v>9102119012</v>
      </c>
      <c r="B45040" t="s">
        <v>14770</v>
      </c>
    </row>
    <row r="45041" spans="1:2" x14ac:dyDescent="0.25">
      <c r="A45041">
        <v>91021190121</v>
      </c>
      <c r="B45041" t="s">
        <v>14767</v>
      </c>
    </row>
    <row r="45042" spans="1:2" x14ac:dyDescent="0.25">
      <c r="A45042">
        <v>91021190122</v>
      </c>
      <c r="B45042" t="s">
        <v>14757</v>
      </c>
    </row>
    <row r="45043" spans="1:2" x14ac:dyDescent="0.25">
      <c r="A45043">
        <v>91021190123</v>
      </c>
      <c r="B45043" t="s">
        <v>14768</v>
      </c>
    </row>
    <row r="45044" spans="1:2" x14ac:dyDescent="0.25">
      <c r="A45044">
        <v>91021190124</v>
      </c>
      <c r="B45044" t="s">
        <v>14769</v>
      </c>
    </row>
    <row r="45045" spans="1:2" x14ac:dyDescent="0.25">
      <c r="A45045">
        <v>91021190129</v>
      </c>
      <c r="B45045" t="s">
        <v>10</v>
      </c>
    </row>
    <row r="45046" spans="1:2" x14ac:dyDescent="0.25">
      <c r="A45046">
        <v>910211902</v>
      </c>
      <c r="B45046" t="s">
        <v>14771</v>
      </c>
    </row>
    <row r="45047" spans="1:2" x14ac:dyDescent="0.25">
      <c r="A45047">
        <v>91021190210</v>
      </c>
      <c r="B45047" t="s">
        <v>14759</v>
      </c>
    </row>
    <row r="45048" spans="1:2" x14ac:dyDescent="0.25">
      <c r="A45048">
        <v>9102119022</v>
      </c>
      <c r="B45048" t="s">
        <v>14760</v>
      </c>
    </row>
    <row r="45049" spans="1:2" x14ac:dyDescent="0.25">
      <c r="A45049">
        <v>91021190221</v>
      </c>
      <c r="B45049" t="s">
        <v>5635</v>
      </c>
    </row>
    <row r="45050" spans="1:2" x14ac:dyDescent="0.25">
      <c r="A45050">
        <v>91021190229</v>
      </c>
      <c r="B45050" t="s">
        <v>10</v>
      </c>
    </row>
    <row r="45051" spans="1:2" x14ac:dyDescent="0.25">
      <c r="A45051">
        <v>91021190230</v>
      </c>
      <c r="B45051" t="s">
        <v>14761</v>
      </c>
    </row>
    <row r="45052" spans="1:2" x14ac:dyDescent="0.25">
      <c r="A45052">
        <v>91021190290</v>
      </c>
      <c r="B45052" t="s">
        <v>10</v>
      </c>
    </row>
    <row r="45053" spans="1:2" x14ac:dyDescent="0.25">
      <c r="A45053">
        <v>910211909</v>
      </c>
      <c r="B45053" t="s">
        <v>10</v>
      </c>
    </row>
    <row r="45054" spans="1:2" x14ac:dyDescent="0.25">
      <c r="A45054">
        <v>91021190910</v>
      </c>
      <c r="B45054" t="s">
        <v>14759</v>
      </c>
    </row>
    <row r="45055" spans="1:2" x14ac:dyDescent="0.25">
      <c r="A45055">
        <v>91021190920</v>
      </c>
      <c r="B45055" t="s">
        <v>14760</v>
      </c>
    </row>
    <row r="45056" spans="1:2" x14ac:dyDescent="0.25">
      <c r="A45056">
        <v>91021190930</v>
      </c>
      <c r="B45056" t="s">
        <v>14761</v>
      </c>
    </row>
    <row r="45057" spans="1:2" x14ac:dyDescent="0.25">
      <c r="A45057">
        <v>91021190990</v>
      </c>
      <c r="B45057" t="s">
        <v>10</v>
      </c>
    </row>
    <row r="45058" spans="1:2" x14ac:dyDescent="0.25">
      <c r="A45058">
        <v>910212</v>
      </c>
      <c r="B45058" t="e">
        <f>- - Con indicador optoelectronico solamente</f>
        <v>#NAME?</v>
      </c>
    </row>
    <row r="45059" spans="1:2" x14ac:dyDescent="0.25">
      <c r="A45059">
        <v>91021210</v>
      </c>
      <c r="B45059" t="s">
        <v>14754</v>
      </c>
    </row>
    <row r="45060" spans="1:2" x14ac:dyDescent="0.25">
      <c r="A45060">
        <v>910212101</v>
      </c>
      <c r="B45060" t="s">
        <v>14756</v>
      </c>
    </row>
    <row r="45061" spans="1:2" x14ac:dyDescent="0.25">
      <c r="A45061">
        <v>91021210110</v>
      </c>
      <c r="B45061" t="s">
        <v>14757</v>
      </c>
    </row>
    <row r="45062" spans="1:2" x14ac:dyDescent="0.25">
      <c r="A45062">
        <v>91021210190</v>
      </c>
      <c r="B45062" t="s">
        <v>10</v>
      </c>
    </row>
    <row r="45063" spans="1:2" x14ac:dyDescent="0.25">
      <c r="A45063">
        <v>910212102</v>
      </c>
      <c r="B45063" t="s">
        <v>14758</v>
      </c>
    </row>
    <row r="45064" spans="1:2" x14ac:dyDescent="0.25">
      <c r="A45064">
        <v>91021210210</v>
      </c>
      <c r="B45064" t="s">
        <v>14759</v>
      </c>
    </row>
    <row r="45065" spans="1:2" x14ac:dyDescent="0.25">
      <c r="A45065">
        <v>91021210220</v>
      </c>
      <c r="B45065" t="s">
        <v>14760</v>
      </c>
    </row>
    <row r="45066" spans="1:2" x14ac:dyDescent="0.25">
      <c r="A45066">
        <v>91021210230</v>
      </c>
      <c r="B45066" t="s">
        <v>14761</v>
      </c>
    </row>
    <row r="45067" spans="1:2" x14ac:dyDescent="0.25">
      <c r="A45067">
        <v>91021210290</v>
      </c>
      <c r="B45067" t="s">
        <v>10</v>
      </c>
    </row>
    <row r="45068" spans="1:2" x14ac:dyDescent="0.25">
      <c r="A45068">
        <v>910212103</v>
      </c>
      <c r="B45068" t="s">
        <v>14762</v>
      </c>
    </row>
    <row r="45069" spans="1:2" x14ac:dyDescent="0.25">
      <c r="A45069">
        <v>91021210310</v>
      </c>
      <c r="B45069" t="s">
        <v>14759</v>
      </c>
    </row>
    <row r="45070" spans="1:2" x14ac:dyDescent="0.25">
      <c r="A45070">
        <v>91021210320</v>
      </c>
      <c r="B45070" t="s">
        <v>14760</v>
      </c>
    </row>
    <row r="45071" spans="1:2" x14ac:dyDescent="0.25">
      <c r="A45071">
        <v>91021210330</v>
      </c>
      <c r="B45071" t="s">
        <v>14761</v>
      </c>
    </row>
    <row r="45072" spans="1:2" x14ac:dyDescent="0.25">
      <c r="A45072">
        <v>91021210390</v>
      </c>
      <c r="B45072" t="s">
        <v>10</v>
      </c>
    </row>
    <row r="45073" spans="1:2" x14ac:dyDescent="0.25">
      <c r="A45073">
        <v>910212104</v>
      </c>
      <c r="B45073" t="s">
        <v>14763</v>
      </c>
    </row>
    <row r="45074" spans="1:2" x14ac:dyDescent="0.25">
      <c r="A45074">
        <v>91021210410</v>
      </c>
      <c r="B45074" t="s">
        <v>14759</v>
      </c>
    </row>
    <row r="45075" spans="1:2" x14ac:dyDescent="0.25">
      <c r="A45075">
        <v>91021210420</v>
      </c>
      <c r="B45075" t="s">
        <v>14760</v>
      </c>
    </row>
    <row r="45076" spans="1:2" x14ac:dyDescent="0.25">
      <c r="A45076">
        <v>91021210430</v>
      </c>
      <c r="B45076" t="s">
        <v>14761</v>
      </c>
    </row>
    <row r="45077" spans="1:2" x14ac:dyDescent="0.25">
      <c r="A45077">
        <v>91021210490</v>
      </c>
      <c r="B45077" t="s">
        <v>10</v>
      </c>
    </row>
    <row r="45078" spans="1:2" x14ac:dyDescent="0.25">
      <c r="A45078">
        <v>910212105</v>
      </c>
      <c r="B45078" t="s">
        <v>14764</v>
      </c>
    </row>
    <row r="45079" spans="1:2" x14ac:dyDescent="0.25">
      <c r="A45079">
        <v>91021210510</v>
      </c>
      <c r="B45079" t="s">
        <v>14759</v>
      </c>
    </row>
    <row r="45080" spans="1:2" x14ac:dyDescent="0.25">
      <c r="A45080">
        <v>91021210520</v>
      </c>
      <c r="B45080" t="s">
        <v>14760</v>
      </c>
    </row>
    <row r="45081" spans="1:2" x14ac:dyDescent="0.25">
      <c r="A45081">
        <v>91021210530</v>
      </c>
      <c r="B45081" t="s">
        <v>14761</v>
      </c>
    </row>
    <row r="45082" spans="1:2" x14ac:dyDescent="0.25">
      <c r="A45082">
        <v>91021210590</v>
      </c>
      <c r="B45082" t="s">
        <v>10</v>
      </c>
    </row>
    <row r="45083" spans="1:2" x14ac:dyDescent="0.25">
      <c r="A45083">
        <v>91021220</v>
      </c>
      <c r="B45083" t="s">
        <v>14772</v>
      </c>
    </row>
    <row r="45084" spans="1:2" x14ac:dyDescent="0.25">
      <c r="A45084">
        <v>91021220100</v>
      </c>
      <c r="B45084" t="s">
        <v>5635</v>
      </c>
    </row>
    <row r="45085" spans="1:2" x14ac:dyDescent="0.25">
      <c r="A45085">
        <v>91021220900</v>
      </c>
      <c r="B45085" t="s">
        <v>10</v>
      </c>
    </row>
    <row r="45086" spans="1:2" x14ac:dyDescent="0.25">
      <c r="A45086">
        <v>91021290</v>
      </c>
      <c r="B45086" t="s">
        <v>10</v>
      </c>
    </row>
    <row r="45087" spans="1:2" x14ac:dyDescent="0.25">
      <c r="A45087">
        <v>910212901</v>
      </c>
      <c r="B45087" t="s">
        <v>14765</v>
      </c>
    </row>
    <row r="45088" spans="1:2" x14ac:dyDescent="0.25">
      <c r="A45088">
        <v>9102129011</v>
      </c>
      <c r="B45088" t="s">
        <v>14766</v>
      </c>
    </row>
    <row r="45089" spans="1:2" x14ac:dyDescent="0.25">
      <c r="A45089">
        <v>91021290111</v>
      </c>
      <c r="B45089" t="s">
        <v>14767</v>
      </c>
    </row>
    <row r="45090" spans="1:2" x14ac:dyDescent="0.25">
      <c r="A45090">
        <v>91021290112</v>
      </c>
      <c r="B45090" t="s">
        <v>14757</v>
      </c>
    </row>
    <row r="45091" spans="1:2" x14ac:dyDescent="0.25">
      <c r="A45091">
        <v>91021290113</v>
      </c>
      <c r="B45091" t="s">
        <v>14768</v>
      </c>
    </row>
    <row r="45092" spans="1:2" x14ac:dyDescent="0.25">
      <c r="A45092">
        <v>91021290114</v>
      </c>
      <c r="B45092" t="s">
        <v>14769</v>
      </c>
    </row>
    <row r="45093" spans="1:2" x14ac:dyDescent="0.25">
      <c r="A45093">
        <v>91021290119</v>
      </c>
      <c r="B45093" t="s">
        <v>10</v>
      </c>
    </row>
    <row r="45094" spans="1:2" x14ac:dyDescent="0.25">
      <c r="A45094">
        <v>9102129012</v>
      </c>
      <c r="B45094" t="s">
        <v>14770</v>
      </c>
    </row>
    <row r="45095" spans="1:2" x14ac:dyDescent="0.25">
      <c r="A45095">
        <v>91021290121</v>
      </c>
      <c r="B45095" t="s">
        <v>14767</v>
      </c>
    </row>
    <row r="45096" spans="1:2" x14ac:dyDescent="0.25">
      <c r="A45096">
        <v>91021290122</v>
      </c>
      <c r="B45096" t="s">
        <v>14757</v>
      </c>
    </row>
    <row r="45097" spans="1:2" x14ac:dyDescent="0.25">
      <c r="A45097">
        <v>91021290123</v>
      </c>
      <c r="B45097" t="s">
        <v>14768</v>
      </c>
    </row>
    <row r="45098" spans="1:2" x14ac:dyDescent="0.25">
      <c r="A45098">
        <v>91021290124</v>
      </c>
      <c r="B45098" t="s">
        <v>14769</v>
      </c>
    </row>
    <row r="45099" spans="1:2" x14ac:dyDescent="0.25">
      <c r="A45099">
        <v>91021290129</v>
      </c>
      <c r="B45099" t="s">
        <v>10</v>
      </c>
    </row>
    <row r="45100" spans="1:2" x14ac:dyDescent="0.25">
      <c r="A45100">
        <v>910212902</v>
      </c>
      <c r="B45100" t="s">
        <v>14773</v>
      </c>
    </row>
    <row r="45101" spans="1:2" x14ac:dyDescent="0.25">
      <c r="A45101">
        <v>91021290210</v>
      </c>
      <c r="B45101" t="s">
        <v>14759</v>
      </c>
    </row>
    <row r="45102" spans="1:2" x14ac:dyDescent="0.25">
      <c r="A45102">
        <v>91021290220</v>
      </c>
      <c r="B45102" t="s">
        <v>14760</v>
      </c>
    </row>
    <row r="45103" spans="1:2" x14ac:dyDescent="0.25">
      <c r="A45103">
        <v>91021290230</v>
      </c>
      <c r="B45103" t="s">
        <v>14761</v>
      </c>
    </row>
    <row r="45104" spans="1:2" x14ac:dyDescent="0.25">
      <c r="A45104">
        <v>91021290290</v>
      </c>
      <c r="B45104" t="s">
        <v>10</v>
      </c>
    </row>
    <row r="45105" spans="1:2" x14ac:dyDescent="0.25">
      <c r="A45105">
        <v>910212909</v>
      </c>
      <c r="B45105" t="s">
        <v>10</v>
      </c>
    </row>
    <row r="45106" spans="1:2" x14ac:dyDescent="0.25">
      <c r="A45106">
        <v>91021290910</v>
      </c>
      <c r="B45106" t="s">
        <v>14759</v>
      </c>
    </row>
    <row r="45107" spans="1:2" x14ac:dyDescent="0.25">
      <c r="A45107">
        <v>91021290920</v>
      </c>
      <c r="B45107" t="s">
        <v>14760</v>
      </c>
    </row>
    <row r="45108" spans="1:2" x14ac:dyDescent="0.25">
      <c r="A45108">
        <v>91021290930</v>
      </c>
      <c r="B45108" t="s">
        <v>14761</v>
      </c>
    </row>
    <row r="45109" spans="1:2" x14ac:dyDescent="0.25">
      <c r="A45109">
        <v>91021290990</v>
      </c>
      <c r="B45109" t="s">
        <v>10</v>
      </c>
    </row>
    <row r="45110" spans="1:2" x14ac:dyDescent="0.25">
      <c r="A45110">
        <v>91021900</v>
      </c>
      <c r="B45110" t="e">
        <f>- - Los demas</f>
        <v>#NAME?</v>
      </c>
    </row>
    <row r="45111" spans="1:2" x14ac:dyDescent="0.25">
      <c r="A45111">
        <v>910219001</v>
      </c>
      <c r="B45111" t="s">
        <v>14756</v>
      </c>
    </row>
    <row r="45112" spans="1:2" x14ac:dyDescent="0.25">
      <c r="A45112">
        <v>91021900110</v>
      </c>
      <c r="B45112" t="s">
        <v>14757</v>
      </c>
    </row>
    <row r="45113" spans="1:2" x14ac:dyDescent="0.25">
      <c r="A45113">
        <v>91021900190</v>
      </c>
      <c r="B45113" t="s">
        <v>10</v>
      </c>
    </row>
    <row r="45114" spans="1:2" x14ac:dyDescent="0.25">
      <c r="A45114">
        <v>910219002</v>
      </c>
      <c r="B45114" t="s">
        <v>14758</v>
      </c>
    </row>
    <row r="45115" spans="1:2" x14ac:dyDescent="0.25">
      <c r="A45115">
        <v>91021900210</v>
      </c>
      <c r="B45115" t="s">
        <v>14759</v>
      </c>
    </row>
    <row r="45116" spans="1:2" x14ac:dyDescent="0.25">
      <c r="A45116">
        <v>91021900220</v>
      </c>
      <c r="B45116" t="s">
        <v>14760</v>
      </c>
    </row>
    <row r="45117" spans="1:2" x14ac:dyDescent="0.25">
      <c r="A45117">
        <v>91021900230</v>
      </c>
      <c r="B45117" t="s">
        <v>14761</v>
      </c>
    </row>
    <row r="45118" spans="1:2" x14ac:dyDescent="0.25">
      <c r="A45118">
        <v>91021900290</v>
      </c>
      <c r="B45118" t="s">
        <v>10</v>
      </c>
    </row>
    <row r="45119" spans="1:2" x14ac:dyDescent="0.25">
      <c r="A45119">
        <v>910219003</v>
      </c>
      <c r="B45119" t="s">
        <v>14762</v>
      </c>
    </row>
    <row r="45120" spans="1:2" x14ac:dyDescent="0.25">
      <c r="A45120">
        <v>91021900310</v>
      </c>
      <c r="B45120" t="s">
        <v>14759</v>
      </c>
    </row>
    <row r="45121" spans="1:2" x14ac:dyDescent="0.25">
      <c r="A45121">
        <v>91021900320</v>
      </c>
      <c r="B45121" t="s">
        <v>14760</v>
      </c>
    </row>
    <row r="45122" spans="1:2" x14ac:dyDescent="0.25">
      <c r="A45122">
        <v>91021900330</v>
      </c>
      <c r="B45122" t="s">
        <v>14761</v>
      </c>
    </row>
    <row r="45123" spans="1:2" x14ac:dyDescent="0.25">
      <c r="A45123">
        <v>91021900390</v>
      </c>
      <c r="B45123" t="s">
        <v>10</v>
      </c>
    </row>
    <row r="45124" spans="1:2" x14ac:dyDescent="0.25">
      <c r="A45124">
        <v>910219004</v>
      </c>
      <c r="B45124" t="s">
        <v>14763</v>
      </c>
    </row>
    <row r="45125" spans="1:2" x14ac:dyDescent="0.25">
      <c r="A45125">
        <v>91021900410</v>
      </c>
      <c r="B45125" t="s">
        <v>14759</v>
      </c>
    </row>
    <row r="45126" spans="1:2" x14ac:dyDescent="0.25">
      <c r="A45126">
        <v>91021900420</v>
      </c>
      <c r="B45126" t="s">
        <v>14760</v>
      </c>
    </row>
    <row r="45127" spans="1:2" x14ac:dyDescent="0.25">
      <c r="A45127">
        <v>91021900430</v>
      </c>
      <c r="B45127" t="s">
        <v>14761</v>
      </c>
    </row>
    <row r="45128" spans="1:2" x14ac:dyDescent="0.25">
      <c r="A45128">
        <v>91021900490</v>
      </c>
      <c r="B45128" t="s">
        <v>10</v>
      </c>
    </row>
    <row r="45129" spans="1:2" x14ac:dyDescent="0.25">
      <c r="A45129">
        <v>910219005</v>
      </c>
      <c r="B45129" t="s">
        <v>14764</v>
      </c>
    </row>
    <row r="45130" spans="1:2" x14ac:dyDescent="0.25">
      <c r="A45130">
        <v>91021900510</v>
      </c>
      <c r="B45130" t="s">
        <v>14759</v>
      </c>
    </row>
    <row r="45131" spans="1:2" x14ac:dyDescent="0.25">
      <c r="A45131">
        <v>91021900520</v>
      </c>
      <c r="B45131" t="s">
        <v>14760</v>
      </c>
    </row>
    <row r="45132" spans="1:2" x14ac:dyDescent="0.25">
      <c r="A45132">
        <v>91021900530</v>
      </c>
      <c r="B45132" t="s">
        <v>14761</v>
      </c>
    </row>
    <row r="45133" spans="1:2" x14ac:dyDescent="0.25">
      <c r="A45133">
        <v>91021900590</v>
      </c>
      <c r="B45133" t="s">
        <v>10</v>
      </c>
    </row>
    <row r="45134" spans="1:2" x14ac:dyDescent="0.25">
      <c r="A45134">
        <v>910219006</v>
      </c>
      <c r="B45134" t="s">
        <v>14765</v>
      </c>
    </row>
    <row r="45135" spans="1:2" x14ac:dyDescent="0.25">
      <c r="A45135">
        <v>9102190061</v>
      </c>
      <c r="B45135" t="s">
        <v>14766</v>
      </c>
    </row>
    <row r="45136" spans="1:2" x14ac:dyDescent="0.25">
      <c r="A45136">
        <v>91021900611</v>
      </c>
      <c r="B45136" t="s">
        <v>14767</v>
      </c>
    </row>
    <row r="45137" spans="1:2" x14ac:dyDescent="0.25">
      <c r="A45137">
        <v>91021900612</v>
      </c>
      <c r="B45137" t="s">
        <v>14757</v>
      </c>
    </row>
    <row r="45138" spans="1:2" x14ac:dyDescent="0.25">
      <c r="A45138">
        <v>91021900613</v>
      </c>
      <c r="B45138" t="s">
        <v>14768</v>
      </c>
    </row>
    <row r="45139" spans="1:2" x14ac:dyDescent="0.25">
      <c r="A45139">
        <v>91021900614</v>
      </c>
      <c r="B45139" t="s">
        <v>14769</v>
      </c>
    </row>
    <row r="45140" spans="1:2" x14ac:dyDescent="0.25">
      <c r="A45140">
        <v>91021900619</v>
      </c>
      <c r="B45140" t="s">
        <v>10</v>
      </c>
    </row>
    <row r="45141" spans="1:2" x14ac:dyDescent="0.25">
      <c r="A45141">
        <v>9102190062</v>
      </c>
      <c r="B45141" t="s">
        <v>14770</v>
      </c>
    </row>
    <row r="45142" spans="1:2" x14ac:dyDescent="0.25">
      <c r="A45142">
        <v>91021900621</v>
      </c>
      <c r="B45142" t="s">
        <v>14767</v>
      </c>
    </row>
    <row r="45143" spans="1:2" x14ac:dyDescent="0.25">
      <c r="A45143">
        <v>91021900622</v>
      </c>
      <c r="B45143" t="s">
        <v>14757</v>
      </c>
    </row>
    <row r="45144" spans="1:2" x14ac:dyDescent="0.25">
      <c r="A45144">
        <v>91021900623</v>
      </c>
      <c r="B45144" t="s">
        <v>14768</v>
      </c>
    </row>
    <row r="45145" spans="1:2" x14ac:dyDescent="0.25">
      <c r="A45145">
        <v>91021900624</v>
      </c>
      <c r="B45145" t="s">
        <v>14769</v>
      </c>
    </row>
    <row r="45146" spans="1:2" x14ac:dyDescent="0.25">
      <c r="A45146">
        <v>91021900629</v>
      </c>
      <c r="B45146" t="s">
        <v>10</v>
      </c>
    </row>
    <row r="45147" spans="1:2" x14ac:dyDescent="0.25">
      <c r="A45147">
        <v>910219007</v>
      </c>
      <c r="B45147" t="s">
        <v>14771</v>
      </c>
    </row>
    <row r="45148" spans="1:2" x14ac:dyDescent="0.25">
      <c r="A45148">
        <v>91021900710</v>
      </c>
      <c r="B45148" t="s">
        <v>14759</v>
      </c>
    </row>
    <row r="45149" spans="1:2" x14ac:dyDescent="0.25">
      <c r="A45149">
        <v>9102190072</v>
      </c>
      <c r="B45149" t="s">
        <v>14760</v>
      </c>
    </row>
    <row r="45150" spans="1:2" x14ac:dyDescent="0.25">
      <c r="A45150">
        <v>91021900721</v>
      </c>
      <c r="B45150" t="s">
        <v>5635</v>
      </c>
    </row>
    <row r="45151" spans="1:2" x14ac:dyDescent="0.25">
      <c r="A45151">
        <v>91021900729</v>
      </c>
      <c r="B45151" t="s">
        <v>10</v>
      </c>
    </row>
    <row r="45152" spans="1:2" x14ac:dyDescent="0.25">
      <c r="A45152">
        <v>91021900730</v>
      </c>
      <c r="B45152" t="s">
        <v>14761</v>
      </c>
    </row>
    <row r="45153" spans="1:2" x14ac:dyDescent="0.25">
      <c r="A45153">
        <v>91021900790</v>
      </c>
      <c r="B45153" t="s">
        <v>10</v>
      </c>
    </row>
    <row r="45154" spans="1:2" x14ac:dyDescent="0.25">
      <c r="A45154">
        <v>910219009</v>
      </c>
      <c r="B45154" t="s">
        <v>10</v>
      </c>
    </row>
    <row r="45155" spans="1:2" x14ac:dyDescent="0.25">
      <c r="A45155">
        <v>91021900910</v>
      </c>
      <c r="B45155" t="s">
        <v>14759</v>
      </c>
    </row>
    <row r="45156" spans="1:2" x14ac:dyDescent="0.25">
      <c r="A45156">
        <v>91021900920</v>
      </c>
      <c r="B45156" t="s">
        <v>14760</v>
      </c>
    </row>
    <row r="45157" spans="1:2" x14ac:dyDescent="0.25">
      <c r="A45157">
        <v>91021900930</v>
      </c>
      <c r="B45157" t="s">
        <v>14761</v>
      </c>
    </row>
    <row r="45158" spans="1:2" x14ac:dyDescent="0.25">
      <c r="A45158">
        <v>91021900990</v>
      </c>
      <c r="B45158" t="s">
        <v>10</v>
      </c>
    </row>
    <row r="45159" spans="1:2" x14ac:dyDescent="0.25">
      <c r="A45159">
        <v>91022</v>
      </c>
      <c r="B45159" t="s">
        <v>14752</v>
      </c>
    </row>
    <row r="45160" spans="1:2" x14ac:dyDescent="0.25">
      <c r="A45160">
        <v>91022100</v>
      </c>
      <c r="B45160" t="e">
        <f>- - automaticos</f>
        <v>#NAME?</v>
      </c>
    </row>
    <row r="45161" spans="1:2" x14ac:dyDescent="0.25">
      <c r="A45161">
        <v>910221001</v>
      </c>
      <c r="B45161" t="s">
        <v>14765</v>
      </c>
    </row>
    <row r="45162" spans="1:2" x14ac:dyDescent="0.25">
      <c r="A45162">
        <v>9102210011</v>
      </c>
      <c r="B45162" t="s">
        <v>14766</v>
      </c>
    </row>
    <row r="45163" spans="1:2" x14ac:dyDescent="0.25">
      <c r="A45163">
        <v>91022100111</v>
      </c>
      <c r="B45163" t="s">
        <v>14767</v>
      </c>
    </row>
    <row r="45164" spans="1:2" x14ac:dyDescent="0.25">
      <c r="A45164">
        <v>91022100112</v>
      </c>
      <c r="B45164" t="s">
        <v>14757</v>
      </c>
    </row>
    <row r="45165" spans="1:2" x14ac:dyDescent="0.25">
      <c r="A45165">
        <v>91022100113</v>
      </c>
      <c r="B45165" t="s">
        <v>14768</v>
      </c>
    </row>
    <row r="45166" spans="1:2" x14ac:dyDescent="0.25">
      <c r="A45166">
        <v>91022100114</v>
      </c>
      <c r="B45166" t="s">
        <v>14769</v>
      </c>
    </row>
    <row r="45167" spans="1:2" x14ac:dyDescent="0.25">
      <c r="A45167">
        <v>91022100119</v>
      </c>
      <c r="B45167" t="s">
        <v>10</v>
      </c>
    </row>
    <row r="45168" spans="1:2" x14ac:dyDescent="0.25">
      <c r="A45168">
        <v>9102210012</v>
      </c>
      <c r="B45168" t="s">
        <v>14770</v>
      </c>
    </row>
    <row r="45169" spans="1:2" x14ac:dyDescent="0.25">
      <c r="A45169">
        <v>91022100121</v>
      </c>
      <c r="B45169" t="s">
        <v>14767</v>
      </c>
    </row>
    <row r="45170" spans="1:2" x14ac:dyDescent="0.25">
      <c r="A45170">
        <v>91022100122</v>
      </c>
      <c r="B45170" t="s">
        <v>14757</v>
      </c>
    </row>
    <row r="45171" spans="1:2" x14ac:dyDescent="0.25">
      <c r="A45171">
        <v>91022100123</v>
      </c>
      <c r="B45171" t="s">
        <v>14768</v>
      </c>
    </row>
    <row r="45172" spans="1:2" x14ac:dyDescent="0.25">
      <c r="A45172">
        <v>91022100124</v>
      </c>
      <c r="B45172" t="s">
        <v>14769</v>
      </c>
    </row>
    <row r="45173" spans="1:2" x14ac:dyDescent="0.25">
      <c r="A45173">
        <v>91022100129</v>
      </c>
      <c r="B45173" t="s">
        <v>10</v>
      </c>
    </row>
    <row r="45174" spans="1:2" x14ac:dyDescent="0.25">
      <c r="A45174">
        <v>910221002</v>
      </c>
      <c r="B45174" t="s">
        <v>14756</v>
      </c>
    </row>
    <row r="45175" spans="1:2" x14ac:dyDescent="0.25">
      <c r="A45175">
        <v>91022100210</v>
      </c>
      <c r="B45175" t="s">
        <v>14757</v>
      </c>
    </row>
    <row r="45176" spans="1:2" x14ac:dyDescent="0.25">
      <c r="A45176">
        <v>91022100290</v>
      </c>
      <c r="B45176" t="s">
        <v>10</v>
      </c>
    </row>
    <row r="45177" spans="1:2" x14ac:dyDescent="0.25">
      <c r="A45177">
        <v>910221003</v>
      </c>
      <c r="B45177" t="s">
        <v>14758</v>
      </c>
    </row>
    <row r="45178" spans="1:2" x14ac:dyDescent="0.25">
      <c r="A45178">
        <v>91022100310</v>
      </c>
      <c r="B45178" t="s">
        <v>14759</v>
      </c>
    </row>
    <row r="45179" spans="1:2" x14ac:dyDescent="0.25">
      <c r="A45179">
        <v>91022100320</v>
      </c>
      <c r="B45179" t="s">
        <v>14760</v>
      </c>
    </row>
    <row r="45180" spans="1:2" x14ac:dyDescent="0.25">
      <c r="A45180">
        <v>91022100330</v>
      </c>
      <c r="B45180" t="s">
        <v>14761</v>
      </c>
    </row>
    <row r="45181" spans="1:2" x14ac:dyDescent="0.25">
      <c r="A45181">
        <v>91022100390</v>
      </c>
      <c r="B45181" t="s">
        <v>10</v>
      </c>
    </row>
    <row r="45182" spans="1:2" x14ac:dyDescent="0.25">
      <c r="A45182">
        <v>910221004</v>
      </c>
      <c r="B45182" t="s">
        <v>14762</v>
      </c>
    </row>
    <row r="45183" spans="1:2" x14ac:dyDescent="0.25">
      <c r="A45183">
        <v>91022100410</v>
      </c>
      <c r="B45183" t="s">
        <v>14759</v>
      </c>
    </row>
    <row r="45184" spans="1:2" x14ac:dyDescent="0.25">
      <c r="A45184">
        <v>91022100420</v>
      </c>
      <c r="B45184" t="s">
        <v>14760</v>
      </c>
    </row>
    <row r="45185" spans="1:2" x14ac:dyDescent="0.25">
      <c r="A45185">
        <v>91022100430</v>
      </c>
      <c r="B45185" t="s">
        <v>14761</v>
      </c>
    </row>
    <row r="45186" spans="1:2" x14ac:dyDescent="0.25">
      <c r="A45186">
        <v>91022100490</v>
      </c>
      <c r="B45186" t="s">
        <v>10</v>
      </c>
    </row>
    <row r="45187" spans="1:2" x14ac:dyDescent="0.25">
      <c r="A45187">
        <v>910221005</v>
      </c>
      <c r="B45187" t="s">
        <v>14763</v>
      </c>
    </row>
    <row r="45188" spans="1:2" x14ac:dyDescent="0.25">
      <c r="A45188">
        <v>91022100510</v>
      </c>
      <c r="B45188" t="s">
        <v>14759</v>
      </c>
    </row>
    <row r="45189" spans="1:2" x14ac:dyDescent="0.25">
      <c r="A45189">
        <v>91022100520</v>
      </c>
      <c r="B45189" t="s">
        <v>14760</v>
      </c>
    </row>
    <row r="45190" spans="1:2" x14ac:dyDescent="0.25">
      <c r="A45190">
        <v>91022100530</v>
      </c>
      <c r="B45190" t="s">
        <v>14761</v>
      </c>
    </row>
    <row r="45191" spans="1:2" x14ac:dyDescent="0.25">
      <c r="A45191">
        <v>91022100590</v>
      </c>
      <c r="B45191" t="s">
        <v>10</v>
      </c>
    </row>
    <row r="45192" spans="1:2" x14ac:dyDescent="0.25">
      <c r="A45192">
        <v>910221006</v>
      </c>
      <c r="B45192" t="s">
        <v>14764</v>
      </c>
    </row>
    <row r="45193" spans="1:2" x14ac:dyDescent="0.25">
      <c r="A45193">
        <v>91022100610</v>
      </c>
      <c r="B45193" t="s">
        <v>14759</v>
      </c>
    </row>
    <row r="45194" spans="1:2" x14ac:dyDescent="0.25">
      <c r="A45194">
        <v>91022100620</v>
      </c>
      <c r="B45194" t="s">
        <v>14760</v>
      </c>
    </row>
    <row r="45195" spans="1:2" x14ac:dyDescent="0.25">
      <c r="A45195">
        <v>91022100630</v>
      </c>
      <c r="B45195" t="s">
        <v>14761</v>
      </c>
    </row>
    <row r="45196" spans="1:2" x14ac:dyDescent="0.25">
      <c r="A45196">
        <v>91022100690</v>
      </c>
      <c r="B45196" t="s">
        <v>10</v>
      </c>
    </row>
    <row r="45197" spans="1:2" x14ac:dyDescent="0.25">
      <c r="A45197">
        <v>910221007</v>
      </c>
      <c r="B45197" t="s">
        <v>14771</v>
      </c>
    </row>
    <row r="45198" spans="1:2" x14ac:dyDescent="0.25">
      <c r="A45198">
        <v>91022100710</v>
      </c>
      <c r="B45198" t="s">
        <v>14759</v>
      </c>
    </row>
    <row r="45199" spans="1:2" x14ac:dyDescent="0.25">
      <c r="A45199">
        <v>91022100720</v>
      </c>
      <c r="B45199" t="s">
        <v>14760</v>
      </c>
    </row>
    <row r="45200" spans="1:2" x14ac:dyDescent="0.25">
      <c r="A45200">
        <v>91022100730</v>
      </c>
      <c r="B45200" t="s">
        <v>14761</v>
      </c>
    </row>
    <row r="45201" spans="1:2" x14ac:dyDescent="0.25">
      <c r="A45201">
        <v>91022100790</v>
      </c>
      <c r="B45201" t="s">
        <v>10</v>
      </c>
    </row>
    <row r="45202" spans="1:2" x14ac:dyDescent="0.25">
      <c r="A45202">
        <v>910221009</v>
      </c>
      <c r="B45202" t="s">
        <v>10</v>
      </c>
    </row>
    <row r="45203" spans="1:2" x14ac:dyDescent="0.25">
      <c r="A45203">
        <v>91022100910</v>
      </c>
      <c r="B45203" t="s">
        <v>14759</v>
      </c>
    </row>
    <row r="45204" spans="1:2" x14ac:dyDescent="0.25">
      <c r="A45204">
        <v>91022100920</v>
      </c>
      <c r="B45204" t="s">
        <v>14760</v>
      </c>
    </row>
    <row r="45205" spans="1:2" x14ac:dyDescent="0.25">
      <c r="A45205">
        <v>91022100930</v>
      </c>
      <c r="B45205" t="s">
        <v>14761</v>
      </c>
    </row>
    <row r="45206" spans="1:2" x14ac:dyDescent="0.25">
      <c r="A45206">
        <v>91022100990</v>
      </c>
      <c r="B45206" t="s">
        <v>10</v>
      </c>
    </row>
    <row r="45207" spans="1:2" x14ac:dyDescent="0.25">
      <c r="A45207">
        <v>91022900</v>
      </c>
      <c r="B45207" t="e">
        <f>- - Los demas</f>
        <v>#NAME?</v>
      </c>
    </row>
    <row r="45208" spans="1:2" x14ac:dyDescent="0.25">
      <c r="A45208">
        <v>91022900100</v>
      </c>
      <c r="B45208" t="s">
        <v>14765</v>
      </c>
    </row>
    <row r="45209" spans="1:2" x14ac:dyDescent="0.25">
      <c r="A45209">
        <v>91022900900</v>
      </c>
      <c r="B45209" t="s">
        <v>10</v>
      </c>
    </row>
    <row r="45210" spans="1:2" x14ac:dyDescent="0.25">
      <c r="A45210">
        <v>91029</v>
      </c>
      <c r="B45210" t="s">
        <v>28</v>
      </c>
    </row>
    <row r="45211" spans="1:2" x14ac:dyDescent="0.25">
      <c r="A45211">
        <v>91029100</v>
      </c>
      <c r="B45211" t="e">
        <f>- - electricos</f>
        <v>#NAME?</v>
      </c>
    </row>
    <row r="45212" spans="1:2" x14ac:dyDescent="0.25">
      <c r="A45212">
        <v>91029100100</v>
      </c>
      <c r="B45212" t="s">
        <v>14754</v>
      </c>
    </row>
    <row r="45213" spans="1:2" x14ac:dyDescent="0.25">
      <c r="A45213">
        <v>91029100200</v>
      </c>
      <c r="B45213" t="s">
        <v>14765</v>
      </c>
    </row>
    <row r="45214" spans="1:2" x14ac:dyDescent="0.25">
      <c r="A45214">
        <v>91029100900</v>
      </c>
      <c r="B45214" t="s">
        <v>10</v>
      </c>
    </row>
    <row r="45215" spans="1:2" x14ac:dyDescent="0.25">
      <c r="A45215">
        <v>91029900</v>
      </c>
      <c r="B45215" t="e">
        <f>- - Los demas</f>
        <v>#NAME?</v>
      </c>
    </row>
    <row r="45216" spans="1:2" x14ac:dyDescent="0.25">
      <c r="A45216">
        <v>91029900100</v>
      </c>
      <c r="B45216" t="s">
        <v>14754</v>
      </c>
    </row>
    <row r="45217" spans="1:2" x14ac:dyDescent="0.25">
      <c r="A45217">
        <v>91029900200</v>
      </c>
      <c r="B45217" t="s">
        <v>14765</v>
      </c>
    </row>
    <row r="45218" spans="1:2" x14ac:dyDescent="0.25">
      <c r="A45218">
        <v>91029900900</v>
      </c>
      <c r="B45218" t="s">
        <v>10</v>
      </c>
    </row>
    <row r="45219" spans="1:2" x14ac:dyDescent="0.25">
      <c r="A45219">
        <v>9103</v>
      </c>
      <c r="B45219" t="s">
        <v>14774</v>
      </c>
    </row>
    <row r="45220" spans="1:2" x14ac:dyDescent="0.25">
      <c r="A45220">
        <v>91031000</v>
      </c>
      <c r="B45220" t="e">
        <f>- electricos</f>
        <v>#NAME?</v>
      </c>
    </row>
    <row r="45221" spans="1:2" x14ac:dyDescent="0.25">
      <c r="A45221">
        <v>91031000100</v>
      </c>
      <c r="B45221" t="s">
        <v>14775</v>
      </c>
    </row>
    <row r="45222" spans="1:2" x14ac:dyDescent="0.25">
      <c r="A45222">
        <v>91031000900</v>
      </c>
      <c r="B45222" t="s">
        <v>10</v>
      </c>
    </row>
    <row r="45223" spans="1:2" x14ac:dyDescent="0.25">
      <c r="A45223">
        <v>91039000000</v>
      </c>
      <c r="B45223" t="e">
        <f>-Los demas</f>
        <v>#NAME?</v>
      </c>
    </row>
    <row r="45224" spans="1:2" x14ac:dyDescent="0.25">
      <c r="A45224">
        <v>91040000</v>
      </c>
      <c r="B45224" t="s">
        <v>14776</v>
      </c>
    </row>
    <row r="45225" spans="1:2" x14ac:dyDescent="0.25">
      <c r="A45225">
        <v>91040000100</v>
      </c>
      <c r="B45225" t="s">
        <v>6673</v>
      </c>
    </row>
    <row r="45226" spans="1:2" x14ac:dyDescent="0.25">
      <c r="A45226">
        <v>91040000900</v>
      </c>
      <c r="B45226" t="s">
        <v>10</v>
      </c>
    </row>
    <row r="45227" spans="1:2" x14ac:dyDescent="0.25">
      <c r="A45227">
        <v>9105</v>
      </c>
      <c r="B45227" t="s">
        <v>14777</v>
      </c>
    </row>
    <row r="45228" spans="1:2" x14ac:dyDescent="0.25">
      <c r="A45228">
        <v>91051</v>
      </c>
      <c r="B45228" t="s">
        <v>14778</v>
      </c>
    </row>
    <row r="45229" spans="1:2" x14ac:dyDescent="0.25">
      <c r="A45229">
        <v>91051100</v>
      </c>
      <c r="B45229" t="e">
        <f>- - electricos</f>
        <v>#NAME?</v>
      </c>
    </row>
    <row r="45230" spans="1:2" x14ac:dyDescent="0.25">
      <c r="A45230">
        <v>910511001</v>
      </c>
      <c r="B45230" t="s">
        <v>14779</v>
      </c>
    </row>
    <row r="45231" spans="1:2" x14ac:dyDescent="0.25">
      <c r="A45231">
        <v>91051100110</v>
      </c>
      <c r="B45231" t="s">
        <v>5635</v>
      </c>
    </row>
    <row r="45232" spans="1:2" x14ac:dyDescent="0.25">
      <c r="A45232">
        <v>91051100190</v>
      </c>
      <c r="B45232" t="s">
        <v>10</v>
      </c>
    </row>
    <row r="45233" spans="1:2" x14ac:dyDescent="0.25">
      <c r="A45233">
        <v>91051100200</v>
      </c>
      <c r="B45233" t="s">
        <v>14780</v>
      </c>
    </row>
    <row r="45234" spans="1:2" x14ac:dyDescent="0.25">
      <c r="A45234">
        <v>91051900000</v>
      </c>
      <c r="B45234" t="e">
        <f>--Los demas</f>
        <v>#NAME?</v>
      </c>
    </row>
    <row r="45235" spans="1:2" x14ac:dyDescent="0.25">
      <c r="A45235">
        <v>91052</v>
      </c>
      <c r="B45235" t="s">
        <v>14781</v>
      </c>
    </row>
    <row r="45236" spans="1:2" x14ac:dyDescent="0.25">
      <c r="A45236">
        <v>91052100</v>
      </c>
      <c r="B45236" t="e">
        <f>- - electricos</f>
        <v>#NAME?</v>
      </c>
    </row>
    <row r="45237" spans="1:2" x14ac:dyDescent="0.25">
      <c r="A45237">
        <v>91052100100</v>
      </c>
      <c r="B45237" t="s">
        <v>14779</v>
      </c>
    </row>
    <row r="45238" spans="1:2" x14ac:dyDescent="0.25">
      <c r="A45238">
        <v>91052100200</v>
      </c>
      <c r="B45238" t="s">
        <v>14780</v>
      </c>
    </row>
    <row r="45239" spans="1:2" x14ac:dyDescent="0.25">
      <c r="A45239">
        <v>91052900000</v>
      </c>
      <c r="B45239" t="e">
        <f>--Los demas</f>
        <v>#NAME?</v>
      </c>
    </row>
    <row r="45240" spans="1:2" x14ac:dyDescent="0.25">
      <c r="A45240">
        <v>91059</v>
      </c>
      <c r="B45240" t="s">
        <v>28</v>
      </c>
    </row>
    <row r="45241" spans="1:2" x14ac:dyDescent="0.25">
      <c r="A45241">
        <v>91059100</v>
      </c>
      <c r="B45241" t="e">
        <f>- - electricos</f>
        <v>#NAME?</v>
      </c>
    </row>
    <row r="45242" spans="1:2" x14ac:dyDescent="0.25">
      <c r="A45242">
        <v>91059100100</v>
      </c>
      <c r="B45242" t="s">
        <v>14779</v>
      </c>
    </row>
    <row r="45243" spans="1:2" x14ac:dyDescent="0.25">
      <c r="A45243">
        <v>91059100200</v>
      </c>
      <c r="B45243" t="s">
        <v>14780</v>
      </c>
    </row>
    <row r="45244" spans="1:2" x14ac:dyDescent="0.25">
      <c r="A45244">
        <v>91059900000</v>
      </c>
      <c r="B45244" t="e">
        <f>--Los demas</f>
        <v>#NAME?</v>
      </c>
    </row>
    <row r="45245" spans="1:2" x14ac:dyDescent="0.25">
      <c r="A45245">
        <v>9106</v>
      </c>
      <c r="B45245" t="s">
        <v>14782</v>
      </c>
    </row>
    <row r="45246" spans="1:2" x14ac:dyDescent="0.25">
      <c r="A45246">
        <v>91061000</v>
      </c>
      <c r="B45246" t="e">
        <f>- Registradores de asistencia, Registradores fechadores y Registradores Contadores</f>
        <v>#NAME?</v>
      </c>
    </row>
    <row r="45247" spans="1:2" x14ac:dyDescent="0.25">
      <c r="A45247">
        <v>910610001</v>
      </c>
      <c r="B45247" t="s">
        <v>14783</v>
      </c>
    </row>
    <row r="45248" spans="1:2" x14ac:dyDescent="0.25">
      <c r="A45248">
        <v>91061000110</v>
      </c>
      <c r="B45248" t="s">
        <v>14727</v>
      </c>
    </row>
    <row r="45249" spans="1:2" x14ac:dyDescent="0.25">
      <c r="A45249">
        <v>91061000190</v>
      </c>
      <c r="B45249" t="s">
        <v>10</v>
      </c>
    </row>
    <row r="45250" spans="1:2" x14ac:dyDescent="0.25">
      <c r="A45250">
        <v>91061000200</v>
      </c>
      <c r="B45250" t="s">
        <v>14784</v>
      </c>
    </row>
    <row r="45251" spans="1:2" x14ac:dyDescent="0.25">
      <c r="A45251">
        <v>91069000000</v>
      </c>
      <c r="B45251" t="e">
        <f>-Los demas</f>
        <v>#NAME?</v>
      </c>
    </row>
    <row r="45252" spans="1:2" x14ac:dyDescent="0.25">
      <c r="A45252">
        <v>910700</v>
      </c>
      <c r="B45252" t="s">
        <v>14785</v>
      </c>
    </row>
    <row r="45253" spans="1:2" x14ac:dyDescent="0.25">
      <c r="A45253">
        <v>91070010</v>
      </c>
      <c r="B45253" t="s">
        <v>14786</v>
      </c>
    </row>
    <row r="45254" spans="1:2" x14ac:dyDescent="0.25">
      <c r="A45254">
        <v>91070010100</v>
      </c>
      <c r="B45254" t="s">
        <v>14780</v>
      </c>
    </row>
    <row r="45255" spans="1:2" x14ac:dyDescent="0.25">
      <c r="A45255">
        <v>91070010900</v>
      </c>
      <c r="B45255" t="s">
        <v>10</v>
      </c>
    </row>
    <row r="45256" spans="1:2" x14ac:dyDescent="0.25">
      <c r="A45256">
        <v>91070090000</v>
      </c>
      <c r="B45256" t="s">
        <v>10</v>
      </c>
    </row>
    <row r="45257" spans="1:2" x14ac:dyDescent="0.25">
      <c r="A45257">
        <v>9108</v>
      </c>
      <c r="B45257" t="s">
        <v>14787</v>
      </c>
    </row>
    <row r="45258" spans="1:2" x14ac:dyDescent="0.25">
      <c r="A45258">
        <v>91081</v>
      </c>
      <c r="B45258" t="s">
        <v>14788</v>
      </c>
    </row>
    <row r="45259" spans="1:2" x14ac:dyDescent="0.25">
      <c r="A45259">
        <v>910811</v>
      </c>
      <c r="B45259" t="e">
        <f>- - Con indicador mecanico solamente o Con dispositivo que permita incorporarlo</f>
        <v>#NAME?</v>
      </c>
    </row>
    <row r="45260" spans="1:2" x14ac:dyDescent="0.25">
      <c r="A45260">
        <v>91081110000</v>
      </c>
      <c r="B45260" t="s">
        <v>14789</v>
      </c>
    </row>
    <row r="45261" spans="1:2" x14ac:dyDescent="0.25">
      <c r="A45261">
        <v>91081190000</v>
      </c>
      <c r="B45261" t="s">
        <v>10</v>
      </c>
    </row>
    <row r="45262" spans="1:2" x14ac:dyDescent="0.25">
      <c r="A45262">
        <v>91081200000</v>
      </c>
      <c r="B45262" t="e">
        <f>--Con indicador optoelectronico solamente</f>
        <v>#NAME?</v>
      </c>
    </row>
    <row r="45263" spans="1:2" x14ac:dyDescent="0.25">
      <c r="A45263">
        <v>91081900000</v>
      </c>
      <c r="B45263" t="e">
        <f>--Los demas</f>
        <v>#NAME?</v>
      </c>
    </row>
    <row r="45264" spans="1:2" x14ac:dyDescent="0.25">
      <c r="A45264">
        <v>91082000000</v>
      </c>
      <c r="B45264" t="e">
        <f>-automaticos</f>
        <v>#NAME?</v>
      </c>
    </row>
    <row r="45265" spans="1:2" x14ac:dyDescent="0.25">
      <c r="A45265">
        <v>91089000000</v>
      </c>
      <c r="B45265" t="e">
        <f>-Los demas</f>
        <v>#NAME?</v>
      </c>
    </row>
    <row r="45266" spans="1:2" x14ac:dyDescent="0.25">
      <c r="A45266">
        <v>9109</v>
      </c>
      <c r="B45266" t="s">
        <v>14790</v>
      </c>
    </row>
    <row r="45267" spans="1:2" x14ac:dyDescent="0.25">
      <c r="A45267">
        <v>91091000</v>
      </c>
      <c r="B45267" t="e">
        <f>- electricos</f>
        <v>#NAME?</v>
      </c>
    </row>
    <row r="45268" spans="1:2" x14ac:dyDescent="0.25">
      <c r="A45268">
        <v>91091000100</v>
      </c>
      <c r="B45268" t="s">
        <v>14791</v>
      </c>
    </row>
    <row r="45269" spans="1:2" x14ac:dyDescent="0.25">
      <c r="A45269">
        <v>91091000900</v>
      </c>
      <c r="B45269" t="s">
        <v>10</v>
      </c>
    </row>
    <row r="45270" spans="1:2" x14ac:dyDescent="0.25">
      <c r="A45270">
        <v>91099000000</v>
      </c>
      <c r="B45270" t="e">
        <f>-Los demas</f>
        <v>#NAME?</v>
      </c>
    </row>
    <row r="45271" spans="1:2" x14ac:dyDescent="0.25">
      <c r="A45271">
        <v>9110</v>
      </c>
      <c r="B45271" t="s">
        <v>14792</v>
      </c>
    </row>
    <row r="45272" spans="1:2" x14ac:dyDescent="0.25">
      <c r="A45272">
        <v>91101</v>
      </c>
      <c r="B45272" t="s">
        <v>14793</v>
      </c>
    </row>
    <row r="45273" spans="1:2" x14ac:dyDescent="0.25">
      <c r="A45273">
        <v>911011</v>
      </c>
      <c r="B45273" t="s">
        <v>14794</v>
      </c>
    </row>
    <row r="45274" spans="1:2" x14ac:dyDescent="0.25">
      <c r="A45274">
        <v>91101110000</v>
      </c>
      <c r="B45274" t="s">
        <v>14789</v>
      </c>
    </row>
    <row r="45275" spans="1:2" x14ac:dyDescent="0.25">
      <c r="A45275">
        <v>91101190000</v>
      </c>
      <c r="B45275" t="s">
        <v>10</v>
      </c>
    </row>
    <row r="45276" spans="1:2" x14ac:dyDescent="0.25">
      <c r="A45276">
        <v>91101200000</v>
      </c>
      <c r="B45276" t="e">
        <f>--Mecanismos incompletos. montados</f>
        <v>#NAME?</v>
      </c>
    </row>
    <row r="45277" spans="1:2" x14ac:dyDescent="0.25">
      <c r="A45277">
        <v>91101900000</v>
      </c>
      <c r="B45277" t="s">
        <v>14795</v>
      </c>
    </row>
    <row r="45278" spans="1:2" x14ac:dyDescent="0.25">
      <c r="A45278">
        <v>91109000000</v>
      </c>
      <c r="B45278" t="e">
        <f>-Los demas</f>
        <v>#NAME?</v>
      </c>
    </row>
    <row r="45279" spans="1:2" x14ac:dyDescent="0.25">
      <c r="A45279">
        <v>9111</v>
      </c>
      <c r="B45279" t="s">
        <v>14796</v>
      </c>
    </row>
    <row r="45280" spans="1:2" x14ac:dyDescent="0.25">
      <c r="A45280">
        <v>91111000000</v>
      </c>
      <c r="B45280" t="e">
        <f>-Cajas de Metal precioso o chapado de Metal precioso (plaque)</f>
        <v>#NAME?</v>
      </c>
    </row>
    <row r="45281" spans="1:2" x14ac:dyDescent="0.25">
      <c r="A45281">
        <v>911120</v>
      </c>
      <c r="B45281" t="e">
        <f>- Cajas de Metal comun. incluso dorado o plateado</f>
        <v>#NAME?</v>
      </c>
    </row>
    <row r="45282" spans="1:2" x14ac:dyDescent="0.25">
      <c r="A45282">
        <v>91112010000</v>
      </c>
      <c r="B45282" t="s">
        <v>14797</v>
      </c>
    </row>
    <row r="45283" spans="1:2" x14ac:dyDescent="0.25">
      <c r="A45283">
        <v>91112090000</v>
      </c>
      <c r="B45283" t="s">
        <v>57</v>
      </c>
    </row>
    <row r="45284" spans="1:2" x14ac:dyDescent="0.25">
      <c r="A45284">
        <v>91118000000</v>
      </c>
      <c r="B45284" t="e">
        <f>-las demas Cajas</f>
        <v>#NAME?</v>
      </c>
    </row>
    <row r="45285" spans="1:2" x14ac:dyDescent="0.25">
      <c r="A45285">
        <v>911190</v>
      </c>
      <c r="B45285" t="e">
        <f>- partes</f>
        <v>#NAME?</v>
      </c>
    </row>
    <row r="45286" spans="1:2" x14ac:dyDescent="0.25">
      <c r="A45286">
        <v>91119010000</v>
      </c>
      <c r="B45286" t="s">
        <v>14798</v>
      </c>
    </row>
    <row r="45287" spans="1:2" x14ac:dyDescent="0.25">
      <c r="A45287">
        <v>91119090000</v>
      </c>
      <c r="B45287" t="s">
        <v>57</v>
      </c>
    </row>
    <row r="45288" spans="1:2" x14ac:dyDescent="0.25">
      <c r="A45288">
        <v>9112</v>
      </c>
      <c r="B45288" t="s">
        <v>14799</v>
      </c>
    </row>
    <row r="45289" spans="1:2" x14ac:dyDescent="0.25">
      <c r="A45289">
        <v>91122000000</v>
      </c>
      <c r="B45289" t="e">
        <f>-Cajas y envolturas similares</f>
        <v>#NAME?</v>
      </c>
    </row>
    <row r="45290" spans="1:2" x14ac:dyDescent="0.25">
      <c r="A45290">
        <v>91129000000</v>
      </c>
      <c r="B45290" t="e">
        <f>-partes</f>
        <v>#NAME?</v>
      </c>
    </row>
    <row r="45291" spans="1:2" x14ac:dyDescent="0.25">
      <c r="A45291">
        <v>9113</v>
      </c>
      <c r="B45291" t="s">
        <v>14800</v>
      </c>
    </row>
    <row r="45292" spans="1:2" x14ac:dyDescent="0.25">
      <c r="A45292">
        <v>91131000000</v>
      </c>
      <c r="B45292" t="e">
        <f>-de Metal precioso o chapado de Metal precioso (plaque)</f>
        <v>#NAME?</v>
      </c>
    </row>
    <row r="45293" spans="1:2" x14ac:dyDescent="0.25">
      <c r="A45293">
        <v>91132000000</v>
      </c>
      <c r="B45293" t="e">
        <f>-de Metal comun. incluso dorado o plateado</f>
        <v>#NAME?</v>
      </c>
    </row>
    <row r="45294" spans="1:2" x14ac:dyDescent="0.25">
      <c r="A45294">
        <v>91139000</v>
      </c>
      <c r="B45294" t="e">
        <f>- las demas</f>
        <v>#NAME?</v>
      </c>
    </row>
    <row r="45295" spans="1:2" x14ac:dyDescent="0.25">
      <c r="A45295">
        <v>911390001</v>
      </c>
      <c r="B45295" t="s">
        <v>14801</v>
      </c>
    </row>
    <row r="45296" spans="1:2" x14ac:dyDescent="0.25">
      <c r="A45296">
        <v>9113900011</v>
      </c>
      <c r="B45296" t="s">
        <v>14802</v>
      </c>
    </row>
    <row r="45297" spans="1:2" x14ac:dyDescent="0.25">
      <c r="A45297">
        <v>91139000111</v>
      </c>
      <c r="B45297" t="s">
        <v>14803</v>
      </c>
    </row>
    <row r="45298" spans="1:2" x14ac:dyDescent="0.25">
      <c r="A45298">
        <v>91139000112</v>
      </c>
      <c r="B45298" t="s">
        <v>14804</v>
      </c>
    </row>
    <row r="45299" spans="1:2" x14ac:dyDescent="0.25">
      <c r="A45299">
        <v>91139000113</v>
      </c>
      <c r="B45299" t="s">
        <v>14805</v>
      </c>
    </row>
    <row r="45300" spans="1:2" x14ac:dyDescent="0.25">
      <c r="A45300">
        <v>91139000119</v>
      </c>
      <c r="B45300" t="s">
        <v>57</v>
      </c>
    </row>
    <row r="45301" spans="1:2" x14ac:dyDescent="0.25">
      <c r="A45301">
        <v>9113900019</v>
      </c>
      <c r="B45301" t="s">
        <v>57</v>
      </c>
    </row>
    <row r="45302" spans="1:2" x14ac:dyDescent="0.25">
      <c r="A45302">
        <v>91139000191</v>
      </c>
      <c r="B45302" t="s">
        <v>14803</v>
      </c>
    </row>
    <row r="45303" spans="1:2" x14ac:dyDescent="0.25">
      <c r="A45303">
        <v>91139000192</v>
      </c>
      <c r="B45303" t="s">
        <v>14804</v>
      </c>
    </row>
    <row r="45304" spans="1:2" x14ac:dyDescent="0.25">
      <c r="A45304">
        <v>91139000193</v>
      </c>
      <c r="B45304" t="s">
        <v>14805</v>
      </c>
    </row>
    <row r="45305" spans="1:2" x14ac:dyDescent="0.25">
      <c r="A45305">
        <v>91139000194</v>
      </c>
      <c r="B45305" t="s">
        <v>7612</v>
      </c>
    </row>
    <row r="45306" spans="1:2" x14ac:dyDescent="0.25">
      <c r="A45306">
        <v>91139000199</v>
      </c>
      <c r="B45306" t="s">
        <v>57</v>
      </c>
    </row>
    <row r="45307" spans="1:2" x14ac:dyDescent="0.25">
      <c r="A45307">
        <v>91139000200</v>
      </c>
      <c r="B45307" t="s">
        <v>10194</v>
      </c>
    </row>
    <row r="45308" spans="1:2" x14ac:dyDescent="0.25">
      <c r="A45308">
        <v>9114</v>
      </c>
      <c r="B45308" t="s">
        <v>14806</v>
      </c>
    </row>
    <row r="45309" spans="1:2" x14ac:dyDescent="0.25">
      <c r="A45309">
        <v>91141000000</v>
      </c>
      <c r="B45309" t="s">
        <v>14807</v>
      </c>
    </row>
    <row r="45310" spans="1:2" x14ac:dyDescent="0.25">
      <c r="A45310">
        <v>91143000000</v>
      </c>
      <c r="B45310" t="e">
        <f>-Esferas o cuadrantes</f>
        <v>#NAME?</v>
      </c>
    </row>
    <row r="45311" spans="1:2" x14ac:dyDescent="0.25">
      <c r="A45311">
        <v>91144000000</v>
      </c>
      <c r="B45311" t="e">
        <f>-Platinas y Puentes</f>
        <v>#NAME?</v>
      </c>
    </row>
    <row r="45312" spans="1:2" x14ac:dyDescent="0.25">
      <c r="A45312">
        <v>911490</v>
      </c>
      <c r="B45312" t="e">
        <f>- las demas</f>
        <v>#NAME?</v>
      </c>
    </row>
    <row r="45313" spans="1:2" x14ac:dyDescent="0.25">
      <c r="A45313">
        <v>91149010000</v>
      </c>
      <c r="B45313" t="s">
        <v>10809</v>
      </c>
    </row>
    <row r="45314" spans="1:2" x14ac:dyDescent="0.25">
      <c r="A45314">
        <v>91149020000</v>
      </c>
      <c r="B45314" t="s">
        <v>14395</v>
      </c>
    </row>
    <row r="45315" spans="1:2" x14ac:dyDescent="0.25">
      <c r="A45315">
        <v>91149030000</v>
      </c>
      <c r="B45315" t="s">
        <v>14808</v>
      </c>
    </row>
    <row r="45316" spans="1:2" x14ac:dyDescent="0.25">
      <c r="A45316">
        <v>91149040000</v>
      </c>
      <c r="B45316" t="s">
        <v>14809</v>
      </c>
    </row>
    <row r="45317" spans="1:2" x14ac:dyDescent="0.25">
      <c r="A45317">
        <v>91149050000</v>
      </c>
      <c r="B45317" t="s">
        <v>14810</v>
      </c>
    </row>
    <row r="45318" spans="1:2" x14ac:dyDescent="0.25">
      <c r="A45318">
        <v>91149060000</v>
      </c>
      <c r="B45318" t="s">
        <v>13917</v>
      </c>
    </row>
    <row r="45319" spans="1:2" x14ac:dyDescent="0.25">
      <c r="A45319">
        <v>91149070000</v>
      </c>
      <c r="B45319" t="s">
        <v>11095</v>
      </c>
    </row>
    <row r="45320" spans="1:2" x14ac:dyDescent="0.25">
      <c r="A45320">
        <v>91149090000</v>
      </c>
      <c r="B45320" t="s">
        <v>57</v>
      </c>
    </row>
    <row r="45321" spans="1:2" x14ac:dyDescent="0.25">
      <c r="A45321">
        <v>9201</v>
      </c>
      <c r="B45321" t="s">
        <v>14811</v>
      </c>
    </row>
    <row r="45322" spans="1:2" x14ac:dyDescent="0.25">
      <c r="A45322">
        <v>92011000000</v>
      </c>
      <c r="B45322" t="e">
        <f>-Pianos verticales</f>
        <v>#NAME?</v>
      </c>
    </row>
    <row r="45323" spans="1:2" x14ac:dyDescent="0.25">
      <c r="A45323">
        <v>92012000000</v>
      </c>
      <c r="B45323" t="e">
        <f>-Pianos de cola</f>
        <v>#NAME?</v>
      </c>
    </row>
    <row r="45324" spans="1:2" x14ac:dyDescent="0.25">
      <c r="A45324">
        <v>92019000000</v>
      </c>
      <c r="B45324" t="e">
        <f>-Los demas</f>
        <v>#NAME?</v>
      </c>
    </row>
    <row r="45325" spans="1:2" x14ac:dyDescent="0.25">
      <c r="A45325">
        <v>9202</v>
      </c>
      <c r="B45325" t="s">
        <v>14812</v>
      </c>
    </row>
    <row r="45326" spans="1:2" x14ac:dyDescent="0.25">
      <c r="A45326">
        <v>92021000000</v>
      </c>
      <c r="B45326" t="e">
        <f>-de arco</f>
        <v>#NAME?</v>
      </c>
    </row>
    <row r="45327" spans="1:2" x14ac:dyDescent="0.25">
      <c r="A45327">
        <v>92029000</v>
      </c>
      <c r="B45327" t="e">
        <f>- Los demas</f>
        <v>#NAME?</v>
      </c>
    </row>
    <row r="45328" spans="1:2" x14ac:dyDescent="0.25">
      <c r="A45328">
        <v>920290001</v>
      </c>
      <c r="B45328" t="s">
        <v>14813</v>
      </c>
    </row>
    <row r="45329" spans="1:2" x14ac:dyDescent="0.25">
      <c r="A45329">
        <v>9202900011</v>
      </c>
      <c r="B45329" t="s">
        <v>14814</v>
      </c>
    </row>
    <row r="45330" spans="1:2" x14ac:dyDescent="0.25">
      <c r="A45330">
        <v>92029000111</v>
      </c>
      <c r="B45330" t="s">
        <v>14815</v>
      </c>
    </row>
    <row r="45331" spans="1:2" x14ac:dyDescent="0.25">
      <c r="A45331">
        <v>92029000112</v>
      </c>
      <c r="B45331" t="s">
        <v>14816</v>
      </c>
    </row>
    <row r="45332" spans="1:2" x14ac:dyDescent="0.25">
      <c r="A45332">
        <v>92029000119</v>
      </c>
      <c r="B45332" t="s">
        <v>57</v>
      </c>
    </row>
    <row r="45333" spans="1:2" x14ac:dyDescent="0.25">
      <c r="A45333">
        <v>92029000190</v>
      </c>
      <c r="B45333" t="s">
        <v>10</v>
      </c>
    </row>
    <row r="45334" spans="1:2" x14ac:dyDescent="0.25">
      <c r="A45334">
        <v>92029000900</v>
      </c>
      <c r="B45334" t="s">
        <v>10</v>
      </c>
    </row>
    <row r="45335" spans="1:2" x14ac:dyDescent="0.25">
      <c r="A45335">
        <v>9205</v>
      </c>
      <c r="B45335" t="s">
        <v>14817</v>
      </c>
    </row>
    <row r="45336" spans="1:2" x14ac:dyDescent="0.25">
      <c r="A45336">
        <v>92051000</v>
      </c>
      <c r="B45336" t="s">
        <v>14818</v>
      </c>
    </row>
    <row r="45337" spans="1:2" x14ac:dyDescent="0.25">
      <c r="A45337">
        <v>92051000100</v>
      </c>
      <c r="B45337" t="s">
        <v>14819</v>
      </c>
    </row>
    <row r="45338" spans="1:2" x14ac:dyDescent="0.25">
      <c r="A45338">
        <v>92051000200</v>
      </c>
      <c r="B45338" t="s">
        <v>14820</v>
      </c>
    </row>
    <row r="45339" spans="1:2" x14ac:dyDescent="0.25">
      <c r="A45339">
        <v>92051000300</v>
      </c>
      <c r="B45339" t="s">
        <v>14821</v>
      </c>
    </row>
    <row r="45340" spans="1:2" x14ac:dyDescent="0.25">
      <c r="A45340">
        <v>92051000400</v>
      </c>
      <c r="B45340" t="s">
        <v>14822</v>
      </c>
    </row>
    <row r="45341" spans="1:2" x14ac:dyDescent="0.25">
      <c r="A45341">
        <v>92051000500</v>
      </c>
      <c r="B45341" t="s">
        <v>14823</v>
      </c>
    </row>
    <row r="45342" spans="1:2" x14ac:dyDescent="0.25">
      <c r="A45342">
        <v>92051000900</v>
      </c>
      <c r="B45342" t="s">
        <v>10</v>
      </c>
    </row>
    <row r="45343" spans="1:2" x14ac:dyDescent="0.25">
      <c r="A45343">
        <v>92059000</v>
      </c>
      <c r="B45343" t="e">
        <f>- Los demas</f>
        <v>#NAME?</v>
      </c>
    </row>
    <row r="45344" spans="1:2" x14ac:dyDescent="0.25">
      <c r="A45344">
        <v>920590001</v>
      </c>
      <c r="B45344" t="s">
        <v>14824</v>
      </c>
    </row>
    <row r="45345" spans="1:2" x14ac:dyDescent="0.25">
      <c r="A45345">
        <v>92059000110</v>
      </c>
      <c r="B45345" t="s">
        <v>14825</v>
      </c>
    </row>
    <row r="45346" spans="1:2" x14ac:dyDescent="0.25">
      <c r="A45346">
        <v>92059000120</v>
      </c>
      <c r="B45346" t="s">
        <v>14826</v>
      </c>
    </row>
    <row r="45347" spans="1:2" x14ac:dyDescent="0.25">
      <c r="A45347">
        <v>92059000130</v>
      </c>
      <c r="B45347" t="s">
        <v>14827</v>
      </c>
    </row>
    <row r="45348" spans="1:2" x14ac:dyDescent="0.25">
      <c r="A45348">
        <v>92059000190</v>
      </c>
      <c r="B45348" t="s">
        <v>10</v>
      </c>
    </row>
    <row r="45349" spans="1:2" x14ac:dyDescent="0.25">
      <c r="A45349">
        <v>92059000200</v>
      </c>
      <c r="B45349" t="s">
        <v>14828</v>
      </c>
    </row>
    <row r="45350" spans="1:2" x14ac:dyDescent="0.25">
      <c r="A45350">
        <v>92059000300</v>
      </c>
      <c r="B45350" t="s">
        <v>14829</v>
      </c>
    </row>
    <row r="45351" spans="1:2" x14ac:dyDescent="0.25">
      <c r="A45351">
        <v>92059000900</v>
      </c>
      <c r="B45351" t="s">
        <v>10</v>
      </c>
    </row>
    <row r="45352" spans="1:2" x14ac:dyDescent="0.25">
      <c r="A45352">
        <v>92060000</v>
      </c>
      <c r="B45352" t="s">
        <v>14830</v>
      </c>
    </row>
    <row r="45353" spans="1:2" x14ac:dyDescent="0.25">
      <c r="A45353">
        <v>920600001</v>
      </c>
      <c r="B45353" t="s">
        <v>14831</v>
      </c>
    </row>
    <row r="45354" spans="1:2" x14ac:dyDescent="0.25">
      <c r="A45354">
        <v>92060000110</v>
      </c>
      <c r="B45354" t="s">
        <v>14832</v>
      </c>
    </row>
    <row r="45355" spans="1:2" x14ac:dyDescent="0.25">
      <c r="A45355">
        <v>92060000120</v>
      </c>
      <c r="B45355" t="s">
        <v>14833</v>
      </c>
    </row>
    <row r="45356" spans="1:2" x14ac:dyDescent="0.25">
      <c r="A45356">
        <v>92060000130</v>
      </c>
      <c r="B45356" t="s">
        <v>14834</v>
      </c>
    </row>
    <row r="45357" spans="1:2" x14ac:dyDescent="0.25">
      <c r="A45357">
        <v>92060000140</v>
      </c>
      <c r="B45357" t="s">
        <v>14835</v>
      </c>
    </row>
    <row r="45358" spans="1:2" x14ac:dyDescent="0.25">
      <c r="A45358">
        <v>92060000150</v>
      </c>
      <c r="B45358" t="s">
        <v>14836</v>
      </c>
    </row>
    <row r="45359" spans="1:2" x14ac:dyDescent="0.25">
      <c r="A45359">
        <v>92060000190</v>
      </c>
      <c r="B45359" t="s">
        <v>10</v>
      </c>
    </row>
    <row r="45360" spans="1:2" x14ac:dyDescent="0.25">
      <c r="A45360">
        <v>920600009</v>
      </c>
      <c r="B45360" t="s">
        <v>10</v>
      </c>
    </row>
    <row r="45361" spans="1:2" x14ac:dyDescent="0.25">
      <c r="A45361">
        <v>92060000910</v>
      </c>
      <c r="B45361" t="s">
        <v>14837</v>
      </c>
    </row>
    <row r="45362" spans="1:2" x14ac:dyDescent="0.25">
      <c r="A45362">
        <v>92060000920</v>
      </c>
      <c r="B45362" t="s">
        <v>14838</v>
      </c>
    </row>
    <row r="45363" spans="1:2" x14ac:dyDescent="0.25">
      <c r="A45363">
        <v>92060000930</v>
      </c>
      <c r="B45363" t="s">
        <v>14839</v>
      </c>
    </row>
    <row r="45364" spans="1:2" x14ac:dyDescent="0.25">
      <c r="A45364">
        <v>92060000940</v>
      </c>
      <c r="B45364" t="s">
        <v>14840</v>
      </c>
    </row>
    <row r="45365" spans="1:2" x14ac:dyDescent="0.25">
      <c r="A45365">
        <v>92060000990</v>
      </c>
      <c r="B45365" t="s">
        <v>10</v>
      </c>
    </row>
    <row r="45366" spans="1:2" x14ac:dyDescent="0.25">
      <c r="A45366">
        <v>9207</v>
      </c>
      <c r="B45366" t="s">
        <v>14841</v>
      </c>
    </row>
    <row r="45367" spans="1:2" x14ac:dyDescent="0.25">
      <c r="A45367">
        <v>920710</v>
      </c>
      <c r="B45367" t="e">
        <f>- instrumentos de teclado. excepto Los acordeones</f>
        <v>#NAME?</v>
      </c>
    </row>
    <row r="45368" spans="1:2" x14ac:dyDescent="0.25">
      <c r="A45368">
        <v>92071010000</v>
      </c>
      <c r="B45368" t="s">
        <v>14842</v>
      </c>
    </row>
    <row r="45369" spans="1:2" x14ac:dyDescent="0.25">
      <c r="A45369">
        <v>92071090000</v>
      </c>
      <c r="B45369" t="s">
        <v>10</v>
      </c>
    </row>
    <row r="45370" spans="1:2" x14ac:dyDescent="0.25">
      <c r="A45370">
        <v>920790</v>
      </c>
      <c r="B45370" t="e">
        <f>- Los demas</f>
        <v>#NAME?</v>
      </c>
    </row>
    <row r="45371" spans="1:2" x14ac:dyDescent="0.25">
      <c r="A45371">
        <v>92079010</v>
      </c>
      <c r="B45371" t="s">
        <v>14843</v>
      </c>
    </row>
    <row r="45372" spans="1:2" x14ac:dyDescent="0.25">
      <c r="A45372">
        <v>92079010100</v>
      </c>
      <c r="B45372" t="s">
        <v>14814</v>
      </c>
    </row>
    <row r="45373" spans="1:2" x14ac:dyDescent="0.25">
      <c r="A45373">
        <v>92079010200</v>
      </c>
      <c r="B45373" t="s">
        <v>14844</v>
      </c>
    </row>
    <row r="45374" spans="1:2" x14ac:dyDescent="0.25">
      <c r="A45374">
        <v>92079090000</v>
      </c>
      <c r="B45374" t="s">
        <v>10</v>
      </c>
    </row>
    <row r="45375" spans="1:2" x14ac:dyDescent="0.25">
      <c r="A45375">
        <v>9208</v>
      </c>
      <c r="B45375" t="s">
        <v>14845</v>
      </c>
    </row>
    <row r="45376" spans="1:2" x14ac:dyDescent="0.25">
      <c r="A45376">
        <v>92081000000</v>
      </c>
      <c r="B45376" t="e">
        <f>-Cajas de musica</f>
        <v>#NAME?</v>
      </c>
    </row>
    <row r="45377" spans="1:2" x14ac:dyDescent="0.25">
      <c r="A45377">
        <v>92089000</v>
      </c>
      <c r="B45377" t="e">
        <f>- Los demas</f>
        <v>#NAME?</v>
      </c>
    </row>
    <row r="45378" spans="1:2" x14ac:dyDescent="0.25">
      <c r="A45378">
        <v>92089000100</v>
      </c>
      <c r="B45378" t="s">
        <v>5635</v>
      </c>
    </row>
    <row r="45379" spans="1:2" x14ac:dyDescent="0.25">
      <c r="A45379">
        <v>92089000900</v>
      </c>
      <c r="B45379" t="s">
        <v>10</v>
      </c>
    </row>
    <row r="45380" spans="1:2" x14ac:dyDescent="0.25">
      <c r="A45380">
        <v>9209</v>
      </c>
      <c r="B45380" t="s">
        <v>14846</v>
      </c>
    </row>
    <row r="45381" spans="1:2" x14ac:dyDescent="0.25">
      <c r="A45381">
        <v>92093000</v>
      </c>
      <c r="B45381" t="e">
        <f>- cuerdas armonicas</f>
        <v>#NAME?</v>
      </c>
    </row>
    <row r="45382" spans="1:2" x14ac:dyDescent="0.25">
      <c r="A45382">
        <v>92093000100</v>
      </c>
      <c r="B45382" t="s">
        <v>14847</v>
      </c>
    </row>
    <row r="45383" spans="1:2" x14ac:dyDescent="0.25">
      <c r="A45383">
        <v>92093000200</v>
      </c>
      <c r="B45383" t="s">
        <v>8881</v>
      </c>
    </row>
    <row r="45384" spans="1:2" x14ac:dyDescent="0.25">
      <c r="A45384">
        <v>92093000300</v>
      </c>
      <c r="B45384" t="s">
        <v>14848</v>
      </c>
    </row>
    <row r="45385" spans="1:2" x14ac:dyDescent="0.25">
      <c r="A45385">
        <v>92093000400</v>
      </c>
      <c r="B45385" t="s">
        <v>14239</v>
      </c>
    </row>
    <row r="45386" spans="1:2" x14ac:dyDescent="0.25">
      <c r="A45386">
        <v>92093000900</v>
      </c>
      <c r="B45386" t="s">
        <v>57</v>
      </c>
    </row>
    <row r="45387" spans="1:2" x14ac:dyDescent="0.25">
      <c r="A45387">
        <v>92099</v>
      </c>
      <c r="B45387" t="s">
        <v>28</v>
      </c>
    </row>
    <row r="45388" spans="1:2" x14ac:dyDescent="0.25">
      <c r="A45388">
        <v>92099100000</v>
      </c>
      <c r="B45388" t="e">
        <f>--partes y accesorios de Pianos</f>
        <v>#NAME?</v>
      </c>
    </row>
    <row r="45389" spans="1:2" x14ac:dyDescent="0.25">
      <c r="A45389">
        <v>92099200000</v>
      </c>
      <c r="B45389" t="s">
        <v>14849</v>
      </c>
    </row>
    <row r="45390" spans="1:2" x14ac:dyDescent="0.25">
      <c r="A45390">
        <v>92099400000</v>
      </c>
      <c r="B45390" t="s">
        <v>14850</v>
      </c>
    </row>
    <row r="45391" spans="1:2" x14ac:dyDescent="0.25">
      <c r="A45391">
        <v>92099900</v>
      </c>
      <c r="B45391" t="e">
        <f>- - Los demas</f>
        <v>#NAME?</v>
      </c>
    </row>
    <row r="45392" spans="1:2" x14ac:dyDescent="0.25">
      <c r="A45392">
        <v>92099900100</v>
      </c>
      <c r="B45392" t="s">
        <v>14851</v>
      </c>
    </row>
    <row r="45393" spans="1:2" x14ac:dyDescent="0.25">
      <c r="A45393">
        <v>92099900900</v>
      </c>
      <c r="B45393" t="s">
        <v>10</v>
      </c>
    </row>
    <row r="45394" spans="1:2" x14ac:dyDescent="0.25">
      <c r="A45394">
        <v>9301</v>
      </c>
      <c r="B45394" t="s">
        <v>14852</v>
      </c>
    </row>
    <row r="45395" spans="1:2" x14ac:dyDescent="0.25">
      <c r="A45395">
        <v>93011000</v>
      </c>
      <c r="B45395" t="e">
        <f>- piezas de artilleria (por ejemplo: cañones. obuses y morteros)</f>
        <v>#NAME?</v>
      </c>
    </row>
    <row r="45396" spans="1:2" x14ac:dyDescent="0.25">
      <c r="A45396">
        <v>93011000100</v>
      </c>
      <c r="B45396" t="s">
        <v>11759</v>
      </c>
    </row>
    <row r="45397" spans="1:2" x14ac:dyDescent="0.25">
      <c r="A45397">
        <v>93011000900</v>
      </c>
      <c r="B45397" t="s">
        <v>57</v>
      </c>
    </row>
    <row r="45398" spans="1:2" x14ac:dyDescent="0.25">
      <c r="A45398">
        <v>93012000000</v>
      </c>
      <c r="B45398" t="e">
        <f>-Lanzacohetes, lanzallamas, lanzagranadas, lanzatorpedos y lanzadores similares</f>
        <v>#NAME?</v>
      </c>
    </row>
    <row r="45399" spans="1:2" x14ac:dyDescent="0.25">
      <c r="A45399">
        <v>93019000000</v>
      </c>
      <c r="B45399" t="e">
        <f>-las demas</f>
        <v>#NAME?</v>
      </c>
    </row>
    <row r="45400" spans="1:2" x14ac:dyDescent="0.25">
      <c r="A45400">
        <v>93020000000</v>
      </c>
      <c r="B45400" t="s">
        <v>14853</v>
      </c>
    </row>
    <row r="45401" spans="1:2" x14ac:dyDescent="0.25">
      <c r="A45401">
        <v>9303</v>
      </c>
      <c r="B45401" t="s">
        <v>14854</v>
      </c>
    </row>
    <row r="45402" spans="1:2" x14ac:dyDescent="0.25">
      <c r="A45402">
        <v>93031000000</v>
      </c>
      <c r="B45402" t="e">
        <f>-armas de avancarga</f>
        <v>#NAME?</v>
      </c>
    </row>
    <row r="45403" spans="1:2" x14ac:dyDescent="0.25">
      <c r="A45403">
        <v>93032000000</v>
      </c>
      <c r="B45403" t="e">
        <f>-las demas armas largas de caza o tiro deportivo que tengan. por lo menos. un cañon de anima lisa</f>
        <v>#NAME?</v>
      </c>
    </row>
    <row r="45404" spans="1:2" x14ac:dyDescent="0.25">
      <c r="A45404">
        <v>93033000000</v>
      </c>
      <c r="B45404" t="e">
        <f>-las demas armas largas de caza o tiro deportivo</f>
        <v>#NAME?</v>
      </c>
    </row>
    <row r="45405" spans="1:2" x14ac:dyDescent="0.25">
      <c r="A45405">
        <v>93039000</v>
      </c>
      <c r="B45405" t="e">
        <f>- las demas</f>
        <v>#NAME?</v>
      </c>
    </row>
    <row r="45406" spans="1:2" x14ac:dyDescent="0.25">
      <c r="A45406">
        <v>93039000100</v>
      </c>
      <c r="B45406" t="s">
        <v>14855</v>
      </c>
    </row>
    <row r="45407" spans="1:2" x14ac:dyDescent="0.25">
      <c r="A45407">
        <v>930390002</v>
      </c>
      <c r="B45407" t="s">
        <v>14856</v>
      </c>
    </row>
    <row r="45408" spans="1:2" x14ac:dyDescent="0.25">
      <c r="A45408">
        <v>93039000210</v>
      </c>
      <c r="B45408" t="s">
        <v>14857</v>
      </c>
    </row>
    <row r="45409" spans="1:2" x14ac:dyDescent="0.25">
      <c r="A45409">
        <v>93039000290</v>
      </c>
      <c r="B45409" t="s">
        <v>57</v>
      </c>
    </row>
    <row r="45410" spans="1:2" x14ac:dyDescent="0.25">
      <c r="A45410">
        <v>93039000900</v>
      </c>
      <c r="B45410" t="s">
        <v>57</v>
      </c>
    </row>
    <row r="45411" spans="1:2" x14ac:dyDescent="0.25">
      <c r="A45411">
        <v>93040000</v>
      </c>
      <c r="B45411" t="s">
        <v>14858</v>
      </c>
    </row>
    <row r="45412" spans="1:2" x14ac:dyDescent="0.25">
      <c r="A45412">
        <v>93040000100</v>
      </c>
      <c r="B45412" t="s">
        <v>14859</v>
      </c>
    </row>
    <row r="45413" spans="1:2" x14ac:dyDescent="0.25">
      <c r="A45413">
        <v>930400003</v>
      </c>
      <c r="B45413" t="s">
        <v>14860</v>
      </c>
    </row>
    <row r="45414" spans="1:2" x14ac:dyDescent="0.25">
      <c r="A45414">
        <v>93040000310</v>
      </c>
      <c r="B45414" t="s">
        <v>14861</v>
      </c>
    </row>
    <row r="45415" spans="1:2" x14ac:dyDescent="0.25">
      <c r="A45415">
        <v>93040000390</v>
      </c>
      <c r="B45415" t="s">
        <v>57</v>
      </c>
    </row>
    <row r="45416" spans="1:2" x14ac:dyDescent="0.25">
      <c r="A45416">
        <v>930400004</v>
      </c>
      <c r="B45416" t="s">
        <v>14862</v>
      </c>
    </row>
    <row r="45417" spans="1:2" x14ac:dyDescent="0.25">
      <c r="A45417">
        <v>93040000410</v>
      </c>
      <c r="B45417" t="s">
        <v>14861</v>
      </c>
    </row>
    <row r="45418" spans="1:2" x14ac:dyDescent="0.25">
      <c r="A45418">
        <v>93040000490</v>
      </c>
      <c r="B45418" t="s">
        <v>57</v>
      </c>
    </row>
    <row r="45419" spans="1:2" x14ac:dyDescent="0.25">
      <c r="A45419">
        <v>93040000500</v>
      </c>
      <c r="B45419" t="s">
        <v>14863</v>
      </c>
    </row>
    <row r="45420" spans="1:2" x14ac:dyDescent="0.25">
      <c r="A45420">
        <v>93040000900</v>
      </c>
      <c r="B45420" t="s">
        <v>57</v>
      </c>
    </row>
    <row r="45421" spans="1:2" x14ac:dyDescent="0.25">
      <c r="A45421">
        <v>9305</v>
      </c>
      <c r="B45421" t="s">
        <v>14864</v>
      </c>
    </row>
    <row r="45422" spans="1:2" x14ac:dyDescent="0.25">
      <c r="A45422">
        <v>93051000</v>
      </c>
      <c r="B45422" t="e">
        <f>- de revolveres o Pistolas</f>
        <v>#NAME?</v>
      </c>
    </row>
    <row r="45423" spans="1:2" x14ac:dyDescent="0.25">
      <c r="A45423">
        <v>93051000100</v>
      </c>
      <c r="B45423" t="s">
        <v>14865</v>
      </c>
    </row>
    <row r="45424" spans="1:2" x14ac:dyDescent="0.25">
      <c r="A45424">
        <v>93051000900</v>
      </c>
      <c r="B45424" t="s">
        <v>10</v>
      </c>
    </row>
    <row r="45425" spans="1:2" x14ac:dyDescent="0.25">
      <c r="A45425">
        <v>93052000</v>
      </c>
      <c r="B45425" t="s">
        <v>14866</v>
      </c>
    </row>
    <row r="45426" spans="1:2" x14ac:dyDescent="0.25">
      <c r="A45426">
        <v>93052000100</v>
      </c>
      <c r="B45426" t="s">
        <v>14867</v>
      </c>
    </row>
    <row r="45427" spans="1:2" x14ac:dyDescent="0.25">
      <c r="A45427">
        <v>930520009</v>
      </c>
      <c r="B45427" t="s">
        <v>10</v>
      </c>
    </row>
    <row r="45428" spans="1:2" x14ac:dyDescent="0.25">
      <c r="A45428">
        <v>93052000910</v>
      </c>
      <c r="B45428" t="s">
        <v>14868</v>
      </c>
    </row>
    <row r="45429" spans="1:2" x14ac:dyDescent="0.25">
      <c r="A45429">
        <v>93052000990</v>
      </c>
      <c r="B45429" t="s">
        <v>10</v>
      </c>
    </row>
    <row r="45430" spans="1:2" x14ac:dyDescent="0.25">
      <c r="A45430">
        <v>93059</v>
      </c>
      <c r="B45430" t="s">
        <v>28</v>
      </c>
    </row>
    <row r="45431" spans="1:2" x14ac:dyDescent="0.25">
      <c r="A45431">
        <v>93059100</v>
      </c>
      <c r="B45431" t="s">
        <v>14869</v>
      </c>
    </row>
    <row r="45432" spans="1:2" x14ac:dyDescent="0.25">
      <c r="A45432">
        <v>93059100100</v>
      </c>
      <c r="B45432" t="s">
        <v>14870</v>
      </c>
    </row>
    <row r="45433" spans="1:2" x14ac:dyDescent="0.25">
      <c r="A45433">
        <v>93059100900</v>
      </c>
      <c r="B45433" t="s">
        <v>10</v>
      </c>
    </row>
    <row r="45434" spans="1:2" x14ac:dyDescent="0.25">
      <c r="A45434">
        <v>93059900</v>
      </c>
      <c r="B45434" t="e">
        <f>- - Los demas</f>
        <v>#NAME?</v>
      </c>
    </row>
    <row r="45435" spans="1:2" x14ac:dyDescent="0.25">
      <c r="A45435">
        <v>93059900100</v>
      </c>
      <c r="B45435" t="s">
        <v>14871</v>
      </c>
    </row>
    <row r="45436" spans="1:2" x14ac:dyDescent="0.25">
      <c r="A45436">
        <v>93059900200</v>
      </c>
      <c r="B45436" t="s">
        <v>14872</v>
      </c>
    </row>
    <row r="45437" spans="1:2" x14ac:dyDescent="0.25">
      <c r="A45437">
        <v>93059900900</v>
      </c>
      <c r="B45437" t="s">
        <v>10</v>
      </c>
    </row>
    <row r="45438" spans="1:2" x14ac:dyDescent="0.25">
      <c r="A45438">
        <v>9306</v>
      </c>
      <c r="B45438" t="s">
        <v>14873</v>
      </c>
    </row>
    <row r="45439" spans="1:2" x14ac:dyDescent="0.25">
      <c r="A45439">
        <v>93062</v>
      </c>
      <c r="B45439" t="s">
        <v>14874</v>
      </c>
    </row>
    <row r="45440" spans="1:2" x14ac:dyDescent="0.25">
      <c r="A45440">
        <v>93062100</v>
      </c>
      <c r="B45440" t="e">
        <f>- - cartuchos</f>
        <v>#NAME?</v>
      </c>
    </row>
    <row r="45441" spans="1:2" x14ac:dyDescent="0.25">
      <c r="A45441">
        <v>93062100100</v>
      </c>
      <c r="B45441" t="s">
        <v>14875</v>
      </c>
    </row>
    <row r="45442" spans="1:2" x14ac:dyDescent="0.25">
      <c r="A45442">
        <v>93062100900</v>
      </c>
      <c r="B45442" t="s">
        <v>10</v>
      </c>
    </row>
    <row r="45443" spans="1:2" x14ac:dyDescent="0.25">
      <c r="A45443">
        <v>93062900</v>
      </c>
      <c r="B45443" t="e">
        <f>- - Los demas</f>
        <v>#NAME?</v>
      </c>
    </row>
    <row r="45444" spans="1:2" x14ac:dyDescent="0.25">
      <c r="A45444">
        <v>93062900100</v>
      </c>
      <c r="B45444" t="s">
        <v>14876</v>
      </c>
    </row>
    <row r="45445" spans="1:2" x14ac:dyDescent="0.25">
      <c r="A45445">
        <v>93062900200</v>
      </c>
      <c r="B45445" t="s">
        <v>14877</v>
      </c>
    </row>
    <row r="45446" spans="1:2" x14ac:dyDescent="0.25">
      <c r="A45446">
        <v>93062900300</v>
      </c>
      <c r="B45446" t="s">
        <v>14878</v>
      </c>
    </row>
    <row r="45447" spans="1:2" x14ac:dyDescent="0.25">
      <c r="A45447">
        <v>93062900400</v>
      </c>
      <c r="B45447" t="s">
        <v>14879</v>
      </c>
    </row>
    <row r="45448" spans="1:2" x14ac:dyDescent="0.25">
      <c r="A45448">
        <v>93062900900</v>
      </c>
      <c r="B45448" t="s">
        <v>10</v>
      </c>
    </row>
    <row r="45449" spans="1:2" x14ac:dyDescent="0.25">
      <c r="A45449">
        <v>93063000</v>
      </c>
      <c r="B45449" t="e">
        <f>- Los demas cartuchos y sus partes</f>
        <v>#NAME?</v>
      </c>
    </row>
    <row r="45450" spans="1:2" x14ac:dyDescent="0.25">
      <c r="A45450">
        <v>93063000100</v>
      </c>
      <c r="B45450" t="s">
        <v>14880</v>
      </c>
    </row>
    <row r="45451" spans="1:2" x14ac:dyDescent="0.25">
      <c r="A45451">
        <v>93063000200</v>
      </c>
      <c r="B45451" t="s">
        <v>14881</v>
      </c>
    </row>
    <row r="45452" spans="1:2" x14ac:dyDescent="0.25">
      <c r="A45452">
        <v>93063000300</v>
      </c>
      <c r="B45452" t="s">
        <v>14879</v>
      </c>
    </row>
    <row r="45453" spans="1:2" x14ac:dyDescent="0.25">
      <c r="A45453">
        <v>93063000900</v>
      </c>
      <c r="B45453" t="s">
        <v>10</v>
      </c>
    </row>
    <row r="45454" spans="1:2" x14ac:dyDescent="0.25">
      <c r="A45454">
        <v>93069000</v>
      </c>
      <c r="B45454" t="e">
        <f>- Los demas</f>
        <v>#NAME?</v>
      </c>
    </row>
    <row r="45455" spans="1:2" x14ac:dyDescent="0.25">
      <c r="A45455">
        <v>93069000100</v>
      </c>
      <c r="B45455" t="s">
        <v>14882</v>
      </c>
    </row>
    <row r="45456" spans="1:2" x14ac:dyDescent="0.25">
      <c r="A45456">
        <v>93069000200</v>
      </c>
      <c r="B45456" t="s">
        <v>14883</v>
      </c>
    </row>
    <row r="45457" spans="1:2" x14ac:dyDescent="0.25">
      <c r="A45457">
        <v>93069000300</v>
      </c>
      <c r="B45457" t="s">
        <v>14884</v>
      </c>
    </row>
    <row r="45458" spans="1:2" x14ac:dyDescent="0.25">
      <c r="A45458">
        <v>93069000400</v>
      </c>
      <c r="B45458" t="s">
        <v>14885</v>
      </c>
    </row>
    <row r="45459" spans="1:2" x14ac:dyDescent="0.25">
      <c r="A45459">
        <v>930690005</v>
      </c>
      <c r="B45459" t="s">
        <v>14886</v>
      </c>
    </row>
    <row r="45460" spans="1:2" x14ac:dyDescent="0.25">
      <c r="A45460">
        <v>93069000510</v>
      </c>
      <c r="B45460" t="s">
        <v>14887</v>
      </c>
    </row>
    <row r="45461" spans="1:2" x14ac:dyDescent="0.25">
      <c r="A45461">
        <v>93069000590</v>
      </c>
      <c r="B45461" t="s">
        <v>57</v>
      </c>
    </row>
    <row r="45462" spans="1:2" x14ac:dyDescent="0.25">
      <c r="A45462">
        <v>93069000600</v>
      </c>
      <c r="B45462" t="s">
        <v>14888</v>
      </c>
    </row>
    <row r="45463" spans="1:2" x14ac:dyDescent="0.25">
      <c r="A45463">
        <v>93069000900</v>
      </c>
      <c r="B45463" t="s">
        <v>10</v>
      </c>
    </row>
    <row r="45464" spans="1:2" x14ac:dyDescent="0.25">
      <c r="A45464">
        <v>93070000000</v>
      </c>
      <c r="B45464" t="s">
        <v>14889</v>
      </c>
    </row>
    <row r="45465" spans="1:2" x14ac:dyDescent="0.25">
      <c r="A45465">
        <v>9401</v>
      </c>
      <c r="B45465" t="s">
        <v>14890</v>
      </c>
    </row>
    <row r="45466" spans="1:2" x14ac:dyDescent="0.25">
      <c r="A45466">
        <v>940110</v>
      </c>
      <c r="B45466" t="e">
        <f>- Asientos de Los tipos utilizados En aeronaves</f>
        <v>#NAME?</v>
      </c>
    </row>
    <row r="45467" spans="1:2" x14ac:dyDescent="0.25">
      <c r="A45467">
        <v>94011010000</v>
      </c>
      <c r="B45467" t="s">
        <v>14891</v>
      </c>
    </row>
    <row r="45468" spans="1:2" x14ac:dyDescent="0.25">
      <c r="A45468">
        <v>94011090000</v>
      </c>
      <c r="B45468" t="s">
        <v>10</v>
      </c>
    </row>
    <row r="45469" spans="1:2" x14ac:dyDescent="0.25">
      <c r="A45469">
        <v>94012000000</v>
      </c>
      <c r="B45469" t="e">
        <f>-Asientos de Los tipos utilizados En vehiculos automoviles</f>
        <v>#NAME?</v>
      </c>
    </row>
    <row r="45470" spans="1:2" x14ac:dyDescent="0.25">
      <c r="A45470">
        <v>940130</v>
      </c>
      <c r="B45470" t="e">
        <f>- Asientos giratorios de altura ajustable</f>
        <v>#NAME?</v>
      </c>
    </row>
    <row r="45471" spans="1:2" x14ac:dyDescent="0.25">
      <c r="A45471">
        <v>94013010000</v>
      </c>
      <c r="B45471" t="s">
        <v>7614</v>
      </c>
    </row>
    <row r="45472" spans="1:2" x14ac:dyDescent="0.25">
      <c r="A45472">
        <v>94013090</v>
      </c>
      <c r="B45472" t="s">
        <v>10</v>
      </c>
    </row>
    <row r="45473" spans="1:2" x14ac:dyDescent="0.25">
      <c r="A45473">
        <v>94013090100</v>
      </c>
      <c r="B45473" t="s">
        <v>14892</v>
      </c>
    </row>
    <row r="45474" spans="1:2" x14ac:dyDescent="0.25">
      <c r="A45474">
        <v>94013090200</v>
      </c>
      <c r="B45474" t="s">
        <v>7612</v>
      </c>
    </row>
    <row r="45475" spans="1:2" x14ac:dyDescent="0.25">
      <c r="A45475">
        <v>94013090900</v>
      </c>
      <c r="B45475" t="s">
        <v>10</v>
      </c>
    </row>
    <row r="45476" spans="1:2" x14ac:dyDescent="0.25">
      <c r="A45476">
        <v>940140</v>
      </c>
      <c r="B45476" t="e">
        <f>- Asientos transformables En cama. excepto el Material de acampar o de jardin</f>
        <v>#NAME?</v>
      </c>
    </row>
    <row r="45477" spans="1:2" x14ac:dyDescent="0.25">
      <c r="A45477">
        <v>94014010000</v>
      </c>
      <c r="B45477" t="s">
        <v>7614</v>
      </c>
    </row>
    <row r="45478" spans="1:2" x14ac:dyDescent="0.25">
      <c r="A45478">
        <v>94014090000</v>
      </c>
      <c r="B45478" t="s">
        <v>10</v>
      </c>
    </row>
    <row r="45479" spans="1:2" x14ac:dyDescent="0.25">
      <c r="A45479">
        <v>94015</v>
      </c>
      <c r="B45479" t="s">
        <v>14893</v>
      </c>
    </row>
    <row r="45480" spans="1:2" x14ac:dyDescent="0.25">
      <c r="A45480">
        <v>94015200000</v>
      </c>
      <c r="B45480" t="e">
        <f>--de Bambu</f>
        <v>#NAME?</v>
      </c>
    </row>
    <row r="45481" spans="1:2" x14ac:dyDescent="0.25">
      <c r="A45481">
        <v>94015300000</v>
      </c>
      <c r="B45481" t="s">
        <v>7940</v>
      </c>
    </row>
    <row r="45482" spans="1:2" x14ac:dyDescent="0.25">
      <c r="A45482">
        <v>94015900</v>
      </c>
      <c r="B45482" t="e">
        <f>- - Los demas</f>
        <v>#NAME?</v>
      </c>
    </row>
    <row r="45483" spans="1:2" x14ac:dyDescent="0.25">
      <c r="A45483">
        <v>94015900100</v>
      </c>
      <c r="B45483" t="s">
        <v>14894</v>
      </c>
    </row>
    <row r="45484" spans="1:2" x14ac:dyDescent="0.25">
      <c r="A45484">
        <v>94015900900</v>
      </c>
      <c r="B45484" t="s">
        <v>10</v>
      </c>
    </row>
    <row r="45485" spans="1:2" x14ac:dyDescent="0.25">
      <c r="A45485">
        <v>94016</v>
      </c>
      <c r="B45485" t="s">
        <v>14895</v>
      </c>
    </row>
    <row r="45486" spans="1:2" x14ac:dyDescent="0.25">
      <c r="A45486">
        <v>94016100</v>
      </c>
      <c r="B45486" t="e">
        <f>- - Con relleno</f>
        <v>#NAME?</v>
      </c>
    </row>
    <row r="45487" spans="1:2" x14ac:dyDescent="0.25">
      <c r="A45487">
        <v>94016100100</v>
      </c>
      <c r="B45487" t="s">
        <v>14896</v>
      </c>
    </row>
    <row r="45488" spans="1:2" x14ac:dyDescent="0.25">
      <c r="A45488">
        <v>940161002</v>
      </c>
      <c r="B45488" t="s">
        <v>14897</v>
      </c>
    </row>
    <row r="45489" spans="1:2" x14ac:dyDescent="0.25">
      <c r="A45489">
        <v>94016100210</v>
      </c>
      <c r="B45489" t="s">
        <v>5635</v>
      </c>
    </row>
    <row r="45490" spans="1:2" x14ac:dyDescent="0.25">
      <c r="A45490">
        <v>94016100290</v>
      </c>
      <c r="B45490" t="s">
        <v>10</v>
      </c>
    </row>
    <row r="45491" spans="1:2" x14ac:dyDescent="0.25">
      <c r="A45491">
        <v>94016100300</v>
      </c>
      <c r="B45491" t="s">
        <v>14898</v>
      </c>
    </row>
    <row r="45492" spans="1:2" x14ac:dyDescent="0.25">
      <c r="A45492">
        <v>94016100400</v>
      </c>
      <c r="B45492" t="s">
        <v>14899</v>
      </c>
    </row>
    <row r="45493" spans="1:2" x14ac:dyDescent="0.25">
      <c r="A45493">
        <v>94016100500</v>
      </c>
      <c r="B45493" t="s">
        <v>14900</v>
      </c>
    </row>
    <row r="45494" spans="1:2" x14ac:dyDescent="0.25">
      <c r="A45494">
        <v>94016100600</v>
      </c>
      <c r="B45494" t="s">
        <v>14901</v>
      </c>
    </row>
    <row r="45495" spans="1:2" x14ac:dyDescent="0.25">
      <c r="A45495">
        <v>94016100900</v>
      </c>
      <c r="B45495" t="s">
        <v>10</v>
      </c>
    </row>
    <row r="45496" spans="1:2" x14ac:dyDescent="0.25">
      <c r="A45496">
        <v>94016900</v>
      </c>
      <c r="B45496" t="e">
        <f>- - Los demas</f>
        <v>#NAME?</v>
      </c>
    </row>
    <row r="45497" spans="1:2" x14ac:dyDescent="0.25">
      <c r="A45497">
        <v>94016900100</v>
      </c>
      <c r="B45497" t="s">
        <v>14902</v>
      </c>
    </row>
    <row r="45498" spans="1:2" x14ac:dyDescent="0.25">
      <c r="A45498">
        <v>94016900900</v>
      </c>
      <c r="B45498" t="s">
        <v>10</v>
      </c>
    </row>
    <row r="45499" spans="1:2" x14ac:dyDescent="0.25">
      <c r="A45499">
        <v>94017</v>
      </c>
      <c r="B45499" t="s">
        <v>14903</v>
      </c>
    </row>
    <row r="45500" spans="1:2" x14ac:dyDescent="0.25">
      <c r="A45500">
        <v>94017100</v>
      </c>
      <c r="B45500" t="e">
        <f>- - Con relleno</f>
        <v>#NAME?</v>
      </c>
    </row>
    <row r="45501" spans="1:2" x14ac:dyDescent="0.25">
      <c r="A45501">
        <v>94017100100</v>
      </c>
      <c r="B45501" t="s">
        <v>14896</v>
      </c>
    </row>
    <row r="45502" spans="1:2" x14ac:dyDescent="0.25">
      <c r="A45502">
        <v>940171002</v>
      </c>
      <c r="B45502" t="s">
        <v>14897</v>
      </c>
    </row>
    <row r="45503" spans="1:2" x14ac:dyDescent="0.25">
      <c r="A45503">
        <v>94017100210</v>
      </c>
      <c r="B45503" t="s">
        <v>14904</v>
      </c>
    </row>
    <row r="45504" spans="1:2" x14ac:dyDescent="0.25">
      <c r="A45504">
        <v>94017100290</v>
      </c>
      <c r="B45504" t="s">
        <v>10</v>
      </c>
    </row>
    <row r="45505" spans="1:2" x14ac:dyDescent="0.25">
      <c r="A45505">
        <v>94017100300</v>
      </c>
      <c r="B45505" t="s">
        <v>14898</v>
      </c>
    </row>
    <row r="45506" spans="1:2" x14ac:dyDescent="0.25">
      <c r="A45506">
        <v>94017100400</v>
      </c>
      <c r="B45506" t="s">
        <v>14899</v>
      </c>
    </row>
    <row r="45507" spans="1:2" x14ac:dyDescent="0.25">
      <c r="A45507">
        <v>94017100500</v>
      </c>
      <c r="B45507" t="s">
        <v>14901</v>
      </c>
    </row>
    <row r="45508" spans="1:2" x14ac:dyDescent="0.25">
      <c r="A45508">
        <v>94017100900</v>
      </c>
      <c r="B45508" t="s">
        <v>10</v>
      </c>
    </row>
    <row r="45509" spans="1:2" x14ac:dyDescent="0.25">
      <c r="A45509">
        <v>94017900</v>
      </c>
      <c r="B45509" t="e">
        <f>- - Los demas</f>
        <v>#NAME?</v>
      </c>
    </row>
    <row r="45510" spans="1:2" x14ac:dyDescent="0.25">
      <c r="A45510">
        <v>940179001</v>
      </c>
      <c r="B45510" t="s">
        <v>14897</v>
      </c>
    </row>
    <row r="45511" spans="1:2" x14ac:dyDescent="0.25">
      <c r="A45511">
        <v>94017900110</v>
      </c>
      <c r="B45511" t="s">
        <v>14905</v>
      </c>
    </row>
    <row r="45512" spans="1:2" x14ac:dyDescent="0.25">
      <c r="A45512">
        <v>94017900120</v>
      </c>
      <c r="B45512" t="s">
        <v>14906</v>
      </c>
    </row>
    <row r="45513" spans="1:2" x14ac:dyDescent="0.25">
      <c r="A45513">
        <v>94017900190</v>
      </c>
      <c r="B45513" t="s">
        <v>10</v>
      </c>
    </row>
    <row r="45514" spans="1:2" x14ac:dyDescent="0.25">
      <c r="A45514">
        <v>94017900200</v>
      </c>
      <c r="B45514" t="s">
        <v>14906</v>
      </c>
    </row>
    <row r="45515" spans="1:2" x14ac:dyDescent="0.25">
      <c r="A45515">
        <v>94017900900</v>
      </c>
      <c r="B45515" t="s">
        <v>10</v>
      </c>
    </row>
    <row r="45516" spans="1:2" x14ac:dyDescent="0.25">
      <c r="A45516">
        <v>94018000</v>
      </c>
      <c r="B45516" t="e">
        <f>- Los demas Asientos</f>
        <v>#NAME?</v>
      </c>
    </row>
    <row r="45517" spans="1:2" x14ac:dyDescent="0.25">
      <c r="A45517">
        <v>94018000100</v>
      </c>
      <c r="B45517" t="s">
        <v>14907</v>
      </c>
    </row>
    <row r="45518" spans="1:2" x14ac:dyDescent="0.25">
      <c r="A45518">
        <v>940180002</v>
      </c>
      <c r="B45518" t="s">
        <v>14896</v>
      </c>
    </row>
    <row r="45519" spans="1:2" x14ac:dyDescent="0.25">
      <c r="A45519">
        <v>9401800021</v>
      </c>
      <c r="B45519" t="s">
        <v>7612</v>
      </c>
    </row>
    <row r="45520" spans="1:2" x14ac:dyDescent="0.25">
      <c r="A45520">
        <v>94018000211</v>
      </c>
      <c r="B45520" t="s">
        <v>14897</v>
      </c>
    </row>
    <row r="45521" spans="1:2" x14ac:dyDescent="0.25">
      <c r="A45521">
        <v>94018000219</v>
      </c>
      <c r="B45521" t="s">
        <v>10</v>
      </c>
    </row>
    <row r="45522" spans="1:2" x14ac:dyDescent="0.25">
      <c r="A45522">
        <v>9401800029</v>
      </c>
      <c r="B45522" t="s">
        <v>10</v>
      </c>
    </row>
    <row r="45523" spans="1:2" x14ac:dyDescent="0.25">
      <c r="A45523">
        <v>94018000291</v>
      </c>
      <c r="B45523" t="s">
        <v>14897</v>
      </c>
    </row>
    <row r="45524" spans="1:2" x14ac:dyDescent="0.25">
      <c r="A45524">
        <v>94018000299</v>
      </c>
      <c r="B45524" t="s">
        <v>10</v>
      </c>
    </row>
    <row r="45525" spans="1:2" x14ac:dyDescent="0.25">
      <c r="A45525">
        <v>940180003</v>
      </c>
      <c r="B45525" t="s">
        <v>14901</v>
      </c>
    </row>
    <row r="45526" spans="1:2" x14ac:dyDescent="0.25">
      <c r="A45526">
        <v>9401800031</v>
      </c>
      <c r="B45526" t="s">
        <v>7612</v>
      </c>
    </row>
    <row r="45527" spans="1:2" x14ac:dyDescent="0.25">
      <c r="A45527">
        <v>94018000311</v>
      </c>
      <c r="B45527" t="s">
        <v>14904</v>
      </c>
    </row>
    <row r="45528" spans="1:2" x14ac:dyDescent="0.25">
      <c r="A45528">
        <v>94018000319</v>
      </c>
      <c r="B45528" t="s">
        <v>10</v>
      </c>
    </row>
    <row r="45529" spans="1:2" x14ac:dyDescent="0.25">
      <c r="A45529">
        <v>9401800039</v>
      </c>
      <c r="B45529" t="s">
        <v>10</v>
      </c>
    </row>
    <row r="45530" spans="1:2" x14ac:dyDescent="0.25">
      <c r="A45530">
        <v>94018000391</v>
      </c>
      <c r="B45530" t="s">
        <v>14904</v>
      </c>
    </row>
    <row r="45531" spans="1:2" x14ac:dyDescent="0.25">
      <c r="A45531">
        <v>94018000399</v>
      </c>
      <c r="B45531" t="s">
        <v>10</v>
      </c>
    </row>
    <row r="45532" spans="1:2" x14ac:dyDescent="0.25">
      <c r="A45532">
        <v>94018000400</v>
      </c>
      <c r="B45532" t="s">
        <v>14898</v>
      </c>
    </row>
    <row r="45533" spans="1:2" x14ac:dyDescent="0.25">
      <c r="A45533">
        <v>94018000900</v>
      </c>
      <c r="B45533" t="s">
        <v>10</v>
      </c>
    </row>
    <row r="45534" spans="1:2" x14ac:dyDescent="0.25">
      <c r="A45534">
        <v>940190</v>
      </c>
      <c r="B45534" t="e">
        <f>- partes</f>
        <v>#NAME?</v>
      </c>
    </row>
    <row r="45535" spans="1:2" x14ac:dyDescent="0.25">
      <c r="A45535">
        <v>94019010</v>
      </c>
      <c r="B45535" t="s">
        <v>7614</v>
      </c>
    </row>
    <row r="45536" spans="1:2" x14ac:dyDescent="0.25">
      <c r="A45536">
        <v>94019010100</v>
      </c>
      <c r="B45536" t="s">
        <v>14908</v>
      </c>
    </row>
    <row r="45537" spans="1:2" x14ac:dyDescent="0.25">
      <c r="A45537">
        <v>94019010200</v>
      </c>
      <c r="B45537" t="s">
        <v>13929</v>
      </c>
    </row>
    <row r="45538" spans="1:2" x14ac:dyDescent="0.25">
      <c r="A45538">
        <v>94019010300</v>
      </c>
      <c r="B45538" t="s">
        <v>14909</v>
      </c>
    </row>
    <row r="45539" spans="1:2" x14ac:dyDescent="0.25">
      <c r="A45539">
        <v>94019010400</v>
      </c>
      <c r="B45539" t="s">
        <v>14910</v>
      </c>
    </row>
    <row r="45540" spans="1:2" x14ac:dyDescent="0.25">
      <c r="A45540">
        <v>94019010900</v>
      </c>
      <c r="B45540" t="s">
        <v>10</v>
      </c>
    </row>
    <row r="45541" spans="1:2" x14ac:dyDescent="0.25">
      <c r="A45541">
        <v>94019090</v>
      </c>
      <c r="B45541" t="s">
        <v>57</v>
      </c>
    </row>
    <row r="45542" spans="1:2" x14ac:dyDescent="0.25">
      <c r="A45542">
        <v>940190901</v>
      </c>
      <c r="B45542" t="s">
        <v>7605</v>
      </c>
    </row>
    <row r="45543" spans="1:2" x14ac:dyDescent="0.25">
      <c r="A45543">
        <v>94019090110</v>
      </c>
      <c r="B45543" t="s">
        <v>14911</v>
      </c>
    </row>
    <row r="45544" spans="1:2" x14ac:dyDescent="0.25">
      <c r="A45544">
        <v>94019090120</v>
      </c>
      <c r="B45544" t="s">
        <v>14912</v>
      </c>
    </row>
    <row r="45545" spans="1:2" x14ac:dyDescent="0.25">
      <c r="A45545">
        <v>9401909013</v>
      </c>
      <c r="B45545" t="s">
        <v>14913</v>
      </c>
    </row>
    <row r="45546" spans="1:2" x14ac:dyDescent="0.25">
      <c r="A45546">
        <v>94019090131</v>
      </c>
      <c r="B45546" t="s">
        <v>14914</v>
      </c>
    </row>
    <row r="45547" spans="1:2" x14ac:dyDescent="0.25">
      <c r="A45547">
        <v>94019090139</v>
      </c>
      <c r="B45547" t="s">
        <v>10</v>
      </c>
    </row>
    <row r="45548" spans="1:2" x14ac:dyDescent="0.25">
      <c r="A45548">
        <v>94019090140</v>
      </c>
      <c r="B45548" t="s">
        <v>14915</v>
      </c>
    </row>
    <row r="45549" spans="1:2" x14ac:dyDescent="0.25">
      <c r="A45549">
        <v>9401909019</v>
      </c>
      <c r="B45549" t="s">
        <v>10</v>
      </c>
    </row>
    <row r="45550" spans="1:2" x14ac:dyDescent="0.25">
      <c r="A45550">
        <v>94019090191</v>
      </c>
      <c r="B45550" t="s">
        <v>14914</v>
      </c>
    </row>
    <row r="45551" spans="1:2" x14ac:dyDescent="0.25">
      <c r="A45551">
        <v>94019090199</v>
      </c>
      <c r="B45551" t="s">
        <v>10</v>
      </c>
    </row>
    <row r="45552" spans="1:2" x14ac:dyDescent="0.25">
      <c r="A45552">
        <v>940190902</v>
      </c>
      <c r="B45552" t="s">
        <v>14916</v>
      </c>
    </row>
    <row r="45553" spans="1:2" x14ac:dyDescent="0.25">
      <c r="A45553">
        <v>9401909021</v>
      </c>
      <c r="B45553" t="s">
        <v>14917</v>
      </c>
    </row>
    <row r="45554" spans="1:2" x14ac:dyDescent="0.25">
      <c r="A45554">
        <v>94019090211</v>
      </c>
      <c r="B45554" t="s">
        <v>14918</v>
      </c>
    </row>
    <row r="45555" spans="1:2" x14ac:dyDescent="0.25">
      <c r="A45555">
        <v>94019090212</v>
      </c>
      <c r="B45555" t="s">
        <v>14919</v>
      </c>
    </row>
    <row r="45556" spans="1:2" x14ac:dyDescent="0.25">
      <c r="A45556">
        <v>94019090219</v>
      </c>
      <c r="B45556" t="s">
        <v>57</v>
      </c>
    </row>
    <row r="45557" spans="1:2" x14ac:dyDescent="0.25">
      <c r="A45557">
        <v>94019090220</v>
      </c>
      <c r="B45557" t="s">
        <v>14920</v>
      </c>
    </row>
    <row r="45558" spans="1:2" x14ac:dyDescent="0.25">
      <c r="A45558">
        <v>94019090230</v>
      </c>
      <c r="B45558" t="s">
        <v>14921</v>
      </c>
    </row>
    <row r="45559" spans="1:2" x14ac:dyDescent="0.25">
      <c r="A45559">
        <v>94019090290</v>
      </c>
      <c r="B45559" t="s">
        <v>57</v>
      </c>
    </row>
    <row r="45560" spans="1:2" x14ac:dyDescent="0.25">
      <c r="A45560">
        <v>940190903</v>
      </c>
      <c r="B45560" t="s">
        <v>7612</v>
      </c>
    </row>
    <row r="45561" spans="1:2" x14ac:dyDescent="0.25">
      <c r="A45561">
        <v>9401909031</v>
      </c>
      <c r="B45561" t="s">
        <v>14917</v>
      </c>
    </row>
    <row r="45562" spans="1:2" x14ac:dyDescent="0.25">
      <c r="A45562">
        <v>94019090311</v>
      </c>
      <c r="B45562" t="s">
        <v>14913</v>
      </c>
    </row>
    <row r="45563" spans="1:2" x14ac:dyDescent="0.25">
      <c r="A45563">
        <v>94019090312</v>
      </c>
      <c r="B45563" t="s">
        <v>14922</v>
      </c>
    </row>
    <row r="45564" spans="1:2" x14ac:dyDescent="0.25">
      <c r="A45564">
        <v>94019090319</v>
      </c>
      <c r="B45564" t="s">
        <v>57</v>
      </c>
    </row>
    <row r="45565" spans="1:2" x14ac:dyDescent="0.25">
      <c r="A45565">
        <v>9401909032</v>
      </c>
      <c r="B45565" t="s">
        <v>14920</v>
      </c>
    </row>
    <row r="45566" spans="1:2" x14ac:dyDescent="0.25">
      <c r="A45566">
        <v>94019090321</v>
      </c>
      <c r="B45566" t="s">
        <v>14913</v>
      </c>
    </row>
    <row r="45567" spans="1:2" x14ac:dyDescent="0.25">
      <c r="A45567">
        <v>94019090329</v>
      </c>
      <c r="B45567" t="s">
        <v>57</v>
      </c>
    </row>
    <row r="45568" spans="1:2" x14ac:dyDescent="0.25">
      <c r="A45568">
        <v>9401909033</v>
      </c>
      <c r="B45568" t="s">
        <v>14921</v>
      </c>
    </row>
    <row r="45569" spans="1:2" x14ac:dyDescent="0.25">
      <c r="A45569">
        <v>94019090331</v>
      </c>
      <c r="B45569" t="s">
        <v>14913</v>
      </c>
    </row>
    <row r="45570" spans="1:2" x14ac:dyDescent="0.25">
      <c r="A45570">
        <v>94019090339</v>
      </c>
      <c r="B45570" t="s">
        <v>57</v>
      </c>
    </row>
    <row r="45571" spans="1:2" x14ac:dyDescent="0.25">
      <c r="A45571">
        <v>94019090390</v>
      </c>
      <c r="B45571" t="s">
        <v>57</v>
      </c>
    </row>
    <row r="45572" spans="1:2" x14ac:dyDescent="0.25">
      <c r="A45572">
        <v>940190909</v>
      </c>
      <c r="B45572" t="s">
        <v>10</v>
      </c>
    </row>
    <row r="45573" spans="1:2" x14ac:dyDescent="0.25">
      <c r="A45573">
        <v>9401909091</v>
      </c>
      <c r="B45573" t="s">
        <v>14913</v>
      </c>
    </row>
    <row r="45574" spans="1:2" x14ac:dyDescent="0.25">
      <c r="A45574">
        <v>94019090911</v>
      </c>
      <c r="B45574" t="s">
        <v>14914</v>
      </c>
    </row>
    <row r="45575" spans="1:2" x14ac:dyDescent="0.25">
      <c r="A45575">
        <v>94019090919</v>
      </c>
      <c r="B45575" t="s">
        <v>10</v>
      </c>
    </row>
    <row r="45576" spans="1:2" x14ac:dyDescent="0.25">
      <c r="A45576">
        <v>94019090920</v>
      </c>
      <c r="B45576" t="s">
        <v>14915</v>
      </c>
    </row>
    <row r="45577" spans="1:2" x14ac:dyDescent="0.25">
      <c r="A45577">
        <v>9401909099</v>
      </c>
      <c r="B45577" t="s">
        <v>10</v>
      </c>
    </row>
    <row r="45578" spans="1:2" x14ac:dyDescent="0.25">
      <c r="A45578">
        <v>94019090991</v>
      </c>
      <c r="B45578" t="s">
        <v>14914</v>
      </c>
    </row>
    <row r="45579" spans="1:2" x14ac:dyDescent="0.25">
      <c r="A45579">
        <v>94019090999</v>
      </c>
      <c r="B45579" t="s">
        <v>10</v>
      </c>
    </row>
    <row r="45580" spans="1:2" x14ac:dyDescent="0.25">
      <c r="A45580">
        <v>9402</v>
      </c>
      <c r="B45580" t="s">
        <v>14923</v>
      </c>
    </row>
    <row r="45581" spans="1:2" x14ac:dyDescent="0.25">
      <c r="A45581">
        <v>94021000</v>
      </c>
      <c r="B45581" t="e">
        <f>- sillones de dentista. de peluqueria y sillones similares. y sus partes</f>
        <v>#NAME?</v>
      </c>
    </row>
    <row r="45582" spans="1:2" x14ac:dyDescent="0.25">
      <c r="A45582">
        <v>94021000100</v>
      </c>
      <c r="B45582" t="s">
        <v>14924</v>
      </c>
    </row>
    <row r="45583" spans="1:2" x14ac:dyDescent="0.25">
      <c r="A45583">
        <v>94021000900</v>
      </c>
      <c r="B45583" t="s">
        <v>10194</v>
      </c>
    </row>
    <row r="45584" spans="1:2" x14ac:dyDescent="0.25">
      <c r="A45584">
        <v>940290</v>
      </c>
      <c r="B45584" t="e">
        <f>- Los demas</f>
        <v>#NAME?</v>
      </c>
    </row>
    <row r="45585" spans="1:2" x14ac:dyDescent="0.25">
      <c r="A45585">
        <v>94029010000</v>
      </c>
      <c r="B45585" t="s">
        <v>14925</v>
      </c>
    </row>
    <row r="45586" spans="1:2" x14ac:dyDescent="0.25">
      <c r="A45586">
        <v>94029020000</v>
      </c>
      <c r="B45586" t="s">
        <v>14926</v>
      </c>
    </row>
    <row r="45587" spans="1:2" x14ac:dyDescent="0.25">
      <c r="A45587">
        <v>94029090</v>
      </c>
      <c r="B45587" t="s">
        <v>10</v>
      </c>
    </row>
    <row r="45588" spans="1:2" x14ac:dyDescent="0.25">
      <c r="A45588">
        <v>94029090100</v>
      </c>
      <c r="B45588" t="s">
        <v>14927</v>
      </c>
    </row>
    <row r="45589" spans="1:2" x14ac:dyDescent="0.25">
      <c r="A45589">
        <v>94029090900</v>
      </c>
      <c r="B45589" t="s">
        <v>823</v>
      </c>
    </row>
    <row r="45590" spans="1:2" x14ac:dyDescent="0.25">
      <c r="A45590">
        <v>9403</v>
      </c>
      <c r="B45590" t="s">
        <v>14928</v>
      </c>
    </row>
    <row r="45591" spans="1:2" x14ac:dyDescent="0.25">
      <c r="A45591">
        <v>94031000</v>
      </c>
      <c r="B45591" t="e">
        <f>- muebles de Metal de Los tipos utilizados En oficinas</f>
        <v>#NAME?</v>
      </c>
    </row>
    <row r="45592" spans="1:2" x14ac:dyDescent="0.25">
      <c r="A45592">
        <v>94031000100</v>
      </c>
      <c r="B45592" t="s">
        <v>14929</v>
      </c>
    </row>
    <row r="45593" spans="1:2" x14ac:dyDescent="0.25">
      <c r="A45593">
        <v>94031000200</v>
      </c>
      <c r="B45593" t="s">
        <v>14930</v>
      </c>
    </row>
    <row r="45594" spans="1:2" x14ac:dyDescent="0.25">
      <c r="A45594">
        <v>94031000300</v>
      </c>
      <c r="B45594" t="s">
        <v>14931</v>
      </c>
    </row>
    <row r="45595" spans="1:2" x14ac:dyDescent="0.25">
      <c r="A45595">
        <v>94031000400</v>
      </c>
      <c r="B45595" t="s">
        <v>14932</v>
      </c>
    </row>
    <row r="45596" spans="1:2" x14ac:dyDescent="0.25">
      <c r="A45596">
        <v>94031000500</v>
      </c>
      <c r="B45596" t="s">
        <v>14933</v>
      </c>
    </row>
    <row r="45597" spans="1:2" x14ac:dyDescent="0.25">
      <c r="A45597">
        <v>94031000900</v>
      </c>
      <c r="B45597" t="s">
        <v>10</v>
      </c>
    </row>
    <row r="45598" spans="1:2" x14ac:dyDescent="0.25">
      <c r="A45598">
        <v>94032000</v>
      </c>
      <c r="B45598" t="e">
        <f>- Los demas muebles de Metal</f>
        <v>#NAME?</v>
      </c>
    </row>
    <row r="45599" spans="1:2" x14ac:dyDescent="0.25">
      <c r="A45599">
        <v>940320001</v>
      </c>
      <c r="B45599" t="s">
        <v>14934</v>
      </c>
    </row>
    <row r="45600" spans="1:2" x14ac:dyDescent="0.25">
      <c r="A45600">
        <v>94032000110</v>
      </c>
      <c r="B45600" t="s">
        <v>14935</v>
      </c>
    </row>
    <row r="45601" spans="1:2" x14ac:dyDescent="0.25">
      <c r="A45601">
        <v>94032000190</v>
      </c>
      <c r="B45601" t="s">
        <v>10</v>
      </c>
    </row>
    <row r="45602" spans="1:2" x14ac:dyDescent="0.25">
      <c r="A45602">
        <v>940320002</v>
      </c>
      <c r="B45602" t="s">
        <v>14936</v>
      </c>
    </row>
    <row r="45603" spans="1:2" x14ac:dyDescent="0.25">
      <c r="A45603">
        <v>94032000210</v>
      </c>
      <c r="B45603" t="s">
        <v>14937</v>
      </c>
    </row>
    <row r="45604" spans="1:2" x14ac:dyDescent="0.25">
      <c r="A45604">
        <v>94032000220</v>
      </c>
      <c r="B45604" t="s">
        <v>14938</v>
      </c>
    </row>
    <row r="45605" spans="1:2" x14ac:dyDescent="0.25">
      <c r="A45605">
        <v>94032000290</v>
      </c>
      <c r="B45605" t="s">
        <v>57</v>
      </c>
    </row>
    <row r="45606" spans="1:2" x14ac:dyDescent="0.25">
      <c r="A45606">
        <v>940320003</v>
      </c>
      <c r="B45606" t="s">
        <v>14931</v>
      </c>
    </row>
    <row r="45607" spans="1:2" x14ac:dyDescent="0.25">
      <c r="A45607">
        <v>9403200031</v>
      </c>
      <c r="B45607" t="s">
        <v>14939</v>
      </c>
    </row>
    <row r="45608" spans="1:2" x14ac:dyDescent="0.25">
      <c r="A45608">
        <v>94032000311</v>
      </c>
      <c r="B45608" t="s">
        <v>14940</v>
      </c>
    </row>
    <row r="45609" spans="1:2" x14ac:dyDescent="0.25">
      <c r="A45609">
        <v>94032000319</v>
      </c>
      <c r="B45609" t="s">
        <v>57</v>
      </c>
    </row>
    <row r="45610" spans="1:2" x14ac:dyDescent="0.25">
      <c r="A45610">
        <v>94032000320</v>
      </c>
      <c r="B45610" t="s">
        <v>14941</v>
      </c>
    </row>
    <row r="45611" spans="1:2" x14ac:dyDescent="0.25">
      <c r="A45611">
        <v>94032000390</v>
      </c>
      <c r="B45611" t="s">
        <v>57</v>
      </c>
    </row>
    <row r="45612" spans="1:2" x14ac:dyDescent="0.25">
      <c r="A45612">
        <v>94032000400</v>
      </c>
      <c r="B45612" t="s">
        <v>14942</v>
      </c>
    </row>
    <row r="45613" spans="1:2" x14ac:dyDescent="0.25">
      <c r="A45613">
        <v>940320009</v>
      </c>
      <c r="B45613" t="s">
        <v>10</v>
      </c>
    </row>
    <row r="45614" spans="1:2" x14ac:dyDescent="0.25">
      <c r="A45614">
        <v>94032000910</v>
      </c>
      <c r="B45614" t="s">
        <v>14935</v>
      </c>
    </row>
    <row r="45615" spans="1:2" x14ac:dyDescent="0.25">
      <c r="A45615">
        <v>94032000920</v>
      </c>
      <c r="B45615" t="s">
        <v>14943</v>
      </c>
    </row>
    <row r="45616" spans="1:2" x14ac:dyDescent="0.25">
      <c r="A45616">
        <v>94032000990</v>
      </c>
      <c r="B45616" t="s">
        <v>10</v>
      </c>
    </row>
    <row r="45617" spans="1:2" x14ac:dyDescent="0.25">
      <c r="A45617">
        <v>94033000</v>
      </c>
      <c r="B45617" t="e">
        <f>- muebles de madera de Los tipos utilizados En oficinas</f>
        <v>#NAME?</v>
      </c>
    </row>
    <row r="45618" spans="1:2" x14ac:dyDescent="0.25">
      <c r="A45618">
        <v>94033000100</v>
      </c>
      <c r="B45618" t="s">
        <v>14929</v>
      </c>
    </row>
    <row r="45619" spans="1:2" x14ac:dyDescent="0.25">
      <c r="A45619">
        <v>94033000200</v>
      </c>
      <c r="B45619" t="s">
        <v>14930</v>
      </c>
    </row>
    <row r="45620" spans="1:2" x14ac:dyDescent="0.25">
      <c r="A45620">
        <v>94033000300</v>
      </c>
      <c r="B45620" t="s">
        <v>14931</v>
      </c>
    </row>
    <row r="45621" spans="1:2" x14ac:dyDescent="0.25">
      <c r="A45621">
        <v>94033000900</v>
      </c>
      <c r="B45621" t="s">
        <v>10</v>
      </c>
    </row>
    <row r="45622" spans="1:2" x14ac:dyDescent="0.25">
      <c r="A45622">
        <v>94034000</v>
      </c>
      <c r="B45622" t="e">
        <f>- muebles de madera de Los tipos utilizados En cocinas</f>
        <v>#NAME?</v>
      </c>
    </row>
    <row r="45623" spans="1:2" x14ac:dyDescent="0.25">
      <c r="A45623">
        <v>94034000100</v>
      </c>
      <c r="B45623" t="s">
        <v>14944</v>
      </c>
    </row>
    <row r="45624" spans="1:2" x14ac:dyDescent="0.25">
      <c r="A45624">
        <v>94034000200</v>
      </c>
      <c r="B45624" t="s">
        <v>14945</v>
      </c>
    </row>
    <row r="45625" spans="1:2" x14ac:dyDescent="0.25">
      <c r="A45625">
        <v>94034000300</v>
      </c>
      <c r="B45625" t="s">
        <v>14929</v>
      </c>
    </row>
    <row r="45626" spans="1:2" x14ac:dyDescent="0.25">
      <c r="A45626">
        <v>94034000900</v>
      </c>
      <c r="B45626" t="s">
        <v>10</v>
      </c>
    </row>
    <row r="45627" spans="1:2" x14ac:dyDescent="0.25">
      <c r="A45627">
        <v>94035000</v>
      </c>
      <c r="B45627" t="e">
        <f>- muebles de madera de Los tipos utilizados En dormitorios</f>
        <v>#NAME?</v>
      </c>
    </row>
    <row r="45628" spans="1:2" x14ac:dyDescent="0.25">
      <c r="A45628">
        <v>940350001</v>
      </c>
      <c r="B45628" t="s">
        <v>14936</v>
      </c>
    </row>
    <row r="45629" spans="1:2" x14ac:dyDescent="0.25">
      <c r="A45629">
        <v>94035000110</v>
      </c>
      <c r="B45629" t="s">
        <v>14946</v>
      </c>
    </row>
    <row r="45630" spans="1:2" x14ac:dyDescent="0.25">
      <c r="A45630">
        <v>94035000190</v>
      </c>
      <c r="B45630" t="s">
        <v>57</v>
      </c>
    </row>
    <row r="45631" spans="1:2" x14ac:dyDescent="0.25">
      <c r="A45631">
        <v>94035000200</v>
      </c>
      <c r="B45631" t="s">
        <v>14947</v>
      </c>
    </row>
    <row r="45632" spans="1:2" x14ac:dyDescent="0.25">
      <c r="A45632">
        <v>94035000300</v>
      </c>
      <c r="B45632" t="s">
        <v>14942</v>
      </c>
    </row>
    <row r="45633" spans="1:2" x14ac:dyDescent="0.25">
      <c r="A45633">
        <v>940350004</v>
      </c>
      <c r="B45633" t="s">
        <v>14929</v>
      </c>
    </row>
    <row r="45634" spans="1:2" x14ac:dyDescent="0.25">
      <c r="A45634">
        <v>94035000410</v>
      </c>
      <c r="B45634" t="s">
        <v>14948</v>
      </c>
    </row>
    <row r="45635" spans="1:2" x14ac:dyDescent="0.25">
      <c r="A45635">
        <v>94035000490</v>
      </c>
      <c r="B45635" t="s">
        <v>10</v>
      </c>
    </row>
    <row r="45636" spans="1:2" x14ac:dyDescent="0.25">
      <c r="A45636">
        <v>94035000900</v>
      </c>
      <c r="B45636" t="s">
        <v>10</v>
      </c>
    </row>
    <row r="45637" spans="1:2" x14ac:dyDescent="0.25">
      <c r="A45637">
        <v>94036000</v>
      </c>
      <c r="B45637" t="e">
        <f>- Los demas muebles de madera</f>
        <v>#NAME?</v>
      </c>
    </row>
    <row r="45638" spans="1:2" x14ac:dyDescent="0.25">
      <c r="A45638">
        <v>940360001</v>
      </c>
      <c r="B45638" t="s">
        <v>14931</v>
      </c>
    </row>
    <row r="45639" spans="1:2" x14ac:dyDescent="0.25">
      <c r="A45639">
        <v>94036000110</v>
      </c>
      <c r="B45639" t="s">
        <v>14904</v>
      </c>
    </row>
    <row r="45640" spans="1:2" x14ac:dyDescent="0.25">
      <c r="A45640">
        <v>94036000120</v>
      </c>
      <c r="B45640" t="s">
        <v>14941</v>
      </c>
    </row>
    <row r="45641" spans="1:2" x14ac:dyDescent="0.25">
      <c r="A45641">
        <v>94036000130</v>
      </c>
      <c r="B45641" t="s">
        <v>14949</v>
      </c>
    </row>
    <row r="45642" spans="1:2" x14ac:dyDescent="0.25">
      <c r="A45642">
        <v>94036000190</v>
      </c>
      <c r="B45642" t="s">
        <v>10</v>
      </c>
    </row>
    <row r="45643" spans="1:2" x14ac:dyDescent="0.25">
      <c r="A45643">
        <v>94036000900</v>
      </c>
      <c r="B45643" t="s">
        <v>10</v>
      </c>
    </row>
    <row r="45644" spans="1:2" x14ac:dyDescent="0.25">
      <c r="A45644">
        <v>94037000</v>
      </c>
      <c r="B45644" t="e">
        <f>- muebles de plastico</f>
        <v>#NAME?</v>
      </c>
    </row>
    <row r="45645" spans="1:2" x14ac:dyDescent="0.25">
      <c r="A45645">
        <v>94037000100</v>
      </c>
      <c r="B45645" t="s">
        <v>14950</v>
      </c>
    </row>
    <row r="45646" spans="1:2" x14ac:dyDescent="0.25">
      <c r="A45646">
        <v>940370002</v>
      </c>
      <c r="B45646" t="s">
        <v>14931</v>
      </c>
    </row>
    <row r="45647" spans="1:2" x14ac:dyDescent="0.25">
      <c r="A45647">
        <v>94037000210</v>
      </c>
      <c r="B45647" t="s">
        <v>14904</v>
      </c>
    </row>
    <row r="45648" spans="1:2" x14ac:dyDescent="0.25">
      <c r="A45648">
        <v>94037000220</v>
      </c>
      <c r="B45648" t="s">
        <v>14941</v>
      </c>
    </row>
    <row r="45649" spans="1:2" x14ac:dyDescent="0.25">
      <c r="A45649">
        <v>94037000230</v>
      </c>
      <c r="B45649" t="s">
        <v>14949</v>
      </c>
    </row>
    <row r="45650" spans="1:2" x14ac:dyDescent="0.25">
      <c r="A45650">
        <v>94037000290</v>
      </c>
      <c r="B45650" t="s">
        <v>10</v>
      </c>
    </row>
    <row r="45651" spans="1:2" x14ac:dyDescent="0.25">
      <c r="A45651">
        <v>94037000300</v>
      </c>
      <c r="B45651" t="s">
        <v>14929</v>
      </c>
    </row>
    <row r="45652" spans="1:2" x14ac:dyDescent="0.25">
      <c r="A45652">
        <v>940370009</v>
      </c>
      <c r="B45652" t="s">
        <v>10</v>
      </c>
    </row>
    <row r="45653" spans="1:2" x14ac:dyDescent="0.25">
      <c r="A45653">
        <v>9403700091</v>
      </c>
      <c r="B45653" t="s">
        <v>14951</v>
      </c>
    </row>
    <row r="45654" spans="1:2" x14ac:dyDescent="0.25">
      <c r="A45654">
        <v>94037000911</v>
      </c>
      <c r="B45654" t="s">
        <v>14904</v>
      </c>
    </row>
    <row r="45655" spans="1:2" x14ac:dyDescent="0.25">
      <c r="A45655">
        <v>94037000919</v>
      </c>
      <c r="B45655" t="s">
        <v>10</v>
      </c>
    </row>
    <row r="45656" spans="1:2" x14ac:dyDescent="0.25">
      <c r="A45656">
        <v>94037000990</v>
      </c>
      <c r="B45656" t="s">
        <v>10</v>
      </c>
    </row>
    <row r="45657" spans="1:2" x14ac:dyDescent="0.25">
      <c r="A45657">
        <v>94038</v>
      </c>
      <c r="B45657" t="s">
        <v>14952</v>
      </c>
    </row>
    <row r="45658" spans="1:2" x14ac:dyDescent="0.25">
      <c r="A45658">
        <v>94038200000</v>
      </c>
      <c r="B45658" t="s">
        <v>14953</v>
      </c>
    </row>
    <row r="45659" spans="1:2" x14ac:dyDescent="0.25">
      <c r="A45659">
        <v>94038300000</v>
      </c>
      <c r="B45659" t="s">
        <v>7940</v>
      </c>
    </row>
    <row r="45660" spans="1:2" x14ac:dyDescent="0.25">
      <c r="A45660">
        <v>94038900000</v>
      </c>
      <c r="B45660" t="s">
        <v>10</v>
      </c>
    </row>
    <row r="45661" spans="1:2" x14ac:dyDescent="0.25">
      <c r="A45661">
        <v>940390</v>
      </c>
      <c r="B45661" t="e">
        <f>- partes</f>
        <v>#NAME?</v>
      </c>
    </row>
    <row r="45662" spans="1:2" x14ac:dyDescent="0.25">
      <c r="A45662">
        <v>94039010000</v>
      </c>
      <c r="B45662" t="s">
        <v>7614</v>
      </c>
    </row>
    <row r="45663" spans="1:2" x14ac:dyDescent="0.25">
      <c r="A45663">
        <v>94039090</v>
      </c>
      <c r="B45663" t="s">
        <v>57</v>
      </c>
    </row>
    <row r="45664" spans="1:2" x14ac:dyDescent="0.25">
      <c r="A45664">
        <v>94039090100</v>
      </c>
      <c r="B45664" t="s">
        <v>14916</v>
      </c>
    </row>
    <row r="45665" spans="1:2" x14ac:dyDescent="0.25">
      <c r="A45665">
        <v>94039090200</v>
      </c>
      <c r="B45665" t="s">
        <v>7612</v>
      </c>
    </row>
    <row r="45666" spans="1:2" x14ac:dyDescent="0.25">
      <c r="A45666">
        <v>94039090900</v>
      </c>
      <c r="B45666" t="s">
        <v>57</v>
      </c>
    </row>
    <row r="45667" spans="1:2" x14ac:dyDescent="0.25">
      <c r="A45667">
        <v>9404</v>
      </c>
      <c r="B45667" t="s">
        <v>14954</v>
      </c>
    </row>
    <row r="45668" spans="1:2" x14ac:dyDescent="0.25">
      <c r="A45668">
        <v>94041000000</v>
      </c>
      <c r="B45668" t="e">
        <f>-Somieres</f>
        <v>#NAME?</v>
      </c>
    </row>
    <row r="45669" spans="1:2" x14ac:dyDescent="0.25">
      <c r="A45669">
        <v>94042</v>
      </c>
      <c r="B45669" t="s">
        <v>14955</v>
      </c>
    </row>
    <row r="45670" spans="1:2" x14ac:dyDescent="0.25">
      <c r="A45670">
        <v>94042100000</v>
      </c>
      <c r="B45670" t="e">
        <f>--de caucho o plastico celulares. recubiertos o no</f>
        <v>#NAME?</v>
      </c>
    </row>
    <row r="45671" spans="1:2" x14ac:dyDescent="0.25">
      <c r="A45671">
        <v>94042900000</v>
      </c>
      <c r="B45671" t="e">
        <f>--de otras materias</f>
        <v>#NAME?</v>
      </c>
    </row>
    <row r="45672" spans="1:2" x14ac:dyDescent="0.25">
      <c r="A45672">
        <v>94043000000</v>
      </c>
      <c r="B45672" t="e">
        <f>-Sacos (bolsas) de dormir</f>
        <v>#NAME?</v>
      </c>
    </row>
    <row r="45673" spans="1:2" x14ac:dyDescent="0.25">
      <c r="A45673">
        <v>94049000</v>
      </c>
      <c r="B45673" t="e">
        <f>- Los demas</f>
        <v>#NAME?</v>
      </c>
    </row>
    <row r="45674" spans="1:2" x14ac:dyDescent="0.25">
      <c r="A45674">
        <v>94049000100</v>
      </c>
      <c r="B45674" t="s">
        <v>14956</v>
      </c>
    </row>
    <row r="45675" spans="1:2" x14ac:dyDescent="0.25">
      <c r="A45675">
        <v>94049000200</v>
      </c>
      <c r="B45675" t="s">
        <v>14957</v>
      </c>
    </row>
    <row r="45676" spans="1:2" x14ac:dyDescent="0.25">
      <c r="A45676">
        <v>94049000900</v>
      </c>
      <c r="B45676" t="s">
        <v>10</v>
      </c>
    </row>
    <row r="45677" spans="1:2" x14ac:dyDescent="0.25">
      <c r="A45677">
        <v>9405</v>
      </c>
      <c r="B45677" t="s">
        <v>14958</v>
      </c>
    </row>
    <row r="45678" spans="1:2" x14ac:dyDescent="0.25">
      <c r="A45678">
        <v>940510</v>
      </c>
      <c r="B45678" t="e">
        <f>- Lamparas y demas aparatos electricos de alumbrado. para colgar o fijar al techo o a la pared. excepto Los de Los tipos utilizados para el alumbrado de espacios o vias publicos</f>
        <v>#NAME?</v>
      </c>
    </row>
    <row r="45679" spans="1:2" x14ac:dyDescent="0.25">
      <c r="A45679">
        <v>94051010000</v>
      </c>
      <c r="B45679" t="s">
        <v>14959</v>
      </c>
    </row>
    <row r="45680" spans="1:2" x14ac:dyDescent="0.25">
      <c r="A45680">
        <v>9405109</v>
      </c>
      <c r="B45680" t="s">
        <v>10</v>
      </c>
    </row>
    <row r="45681" spans="1:2" x14ac:dyDescent="0.25">
      <c r="A45681">
        <v>94051091000</v>
      </c>
      <c r="B45681" t="s">
        <v>14960</v>
      </c>
    </row>
    <row r="45682" spans="1:2" x14ac:dyDescent="0.25">
      <c r="A45682">
        <v>94051092000</v>
      </c>
      <c r="B45682" t="s">
        <v>14961</v>
      </c>
    </row>
    <row r="45683" spans="1:2" x14ac:dyDescent="0.25">
      <c r="A45683">
        <v>94051093</v>
      </c>
      <c r="B45683" t="s">
        <v>14892</v>
      </c>
    </row>
    <row r="45684" spans="1:2" x14ac:dyDescent="0.25">
      <c r="A45684">
        <v>94051093100</v>
      </c>
      <c r="B45684" t="s">
        <v>14962</v>
      </c>
    </row>
    <row r="45685" spans="1:2" x14ac:dyDescent="0.25">
      <c r="A45685">
        <v>940510932</v>
      </c>
      <c r="B45685" t="s">
        <v>14963</v>
      </c>
    </row>
    <row r="45686" spans="1:2" x14ac:dyDescent="0.25">
      <c r="A45686">
        <v>94051093210</v>
      </c>
      <c r="B45686" t="s">
        <v>14964</v>
      </c>
    </row>
    <row r="45687" spans="1:2" x14ac:dyDescent="0.25">
      <c r="A45687">
        <v>94051093220</v>
      </c>
      <c r="B45687" t="s">
        <v>14965</v>
      </c>
    </row>
    <row r="45688" spans="1:2" x14ac:dyDescent="0.25">
      <c r="A45688">
        <v>94051093230</v>
      </c>
      <c r="B45688" t="s">
        <v>14966</v>
      </c>
    </row>
    <row r="45689" spans="1:2" x14ac:dyDescent="0.25">
      <c r="A45689">
        <v>94051093300</v>
      </c>
      <c r="B45689" t="s">
        <v>14967</v>
      </c>
    </row>
    <row r="45690" spans="1:2" x14ac:dyDescent="0.25">
      <c r="A45690">
        <v>940510934</v>
      </c>
      <c r="B45690" t="s">
        <v>14968</v>
      </c>
    </row>
    <row r="45691" spans="1:2" x14ac:dyDescent="0.25">
      <c r="A45691">
        <v>94051093410</v>
      </c>
      <c r="B45691" t="s">
        <v>14969</v>
      </c>
    </row>
    <row r="45692" spans="1:2" x14ac:dyDescent="0.25">
      <c r="A45692">
        <v>94051093490</v>
      </c>
      <c r="B45692" t="s">
        <v>10</v>
      </c>
    </row>
    <row r="45693" spans="1:2" x14ac:dyDescent="0.25">
      <c r="A45693">
        <v>94051093900</v>
      </c>
      <c r="B45693" t="s">
        <v>10</v>
      </c>
    </row>
    <row r="45694" spans="1:2" x14ac:dyDescent="0.25">
      <c r="A45694">
        <v>94051099</v>
      </c>
      <c r="B45694" t="s">
        <v>10</v>
      </c>
    </row>
    <row r="45695" spans="1:2" x14ac:dyDescent="0.25">
      <c r="A45695">
        <v>94051099100</v>
      </c>
      <c r="B45695" t="s">
        <v>14970</v>
      </c>
    </row>
    <row r="45696" spans="1:2" x14ac:dyDescent="0.25">
      <c r="A45696">
        <v>94051099900</v>
      </c>
      <c r="B45696" t="s">
        <v>10</v>
      </c>
    </row>
    <row r="45697" spans="1:2" x14ac:dyDescent="0.25">
      <c r="A45697">
        <v>94052000000</v>
      </c>
      <c r="B45697" t="e">
        <f>-Lamparas electricas de cabecera. mesa. oficina o de pie</f>
        <v>#NAME?</v>
      </c>
    </row>
    <row r="45698" spans="1:2" x14ac:dyDescent="0.25">
      <c r="A45698">
        <v>94053000000</v>
      </c>
      <c r="B45698" t="e">
        <f>-Guirnaldas electricas de Los tipos utilizados En arboles de Navidad</f>
        <v>#NAME?</v>
      </c>
    </row>
    <row r="45699" spans="1:2" x14ac:dyDescent="0.25">
      <c r="A45699">
        <v>940540</v>
      </c>
      <c r="B45699" t="e">
        <f>- Los demas aparatos electricos de alumbrado</f>
        <v>#NAME?</v>
      </c>
    </row>
    <row r="45700" spans="1:2" x14ac:dyDescent="0.25">
      <c r="A45700">
        <v>94054010</v>
      </c>
      <c r="B45700" t="s">
        <v>14892</v>
      </c>
    </row>
    <row r="45701" spans="1:2" x14ac:dyDescent="0.25">
      <c r="A45701">
        <v>940540101</v>
      </c>
      <c r="B45701" t="s">
        <v>14971</v>
      </c>
    </row>
    <row r="45702" spans="1:2" x14ac:dyDescent="0.25">
      <c r="A45702">
        <v>94054010110</v>
      </c>
      <c r="B45702" t="s">
        <v>14972</v>
      </c>
    </row>
    <row r="45703" spans="1:2" x14ac:dyDescent="0.25">
      <c r="A45703">
        <v>94054010120</v>
      </c>
      <c r="B45703" t="s">
        <v>14973</v>
      </c>
    </row>
    <row r="45704" spans="1:2" x14ac:dyDescent="0.25">
      <c r="A45704">
        <v>94054010130</v>
      </c>
      <c r="B45704" t="s">
        <v>14974</v>
      </c>
    </row>
    <row r="45705" spans="1:2" x14ac:dyDescent="0.25">
      <c r="A45705">
        <v>940540102</v>
      </c>
      <c r="B45705" t="s">
        <v>14975</v>
      </c>
    </row>
    <row r="45706" spans="1:2" x14ac:dyDescent="0.25">
      <c r="A45706">
        <v>94054010210</v>
      </c>
      <c r="B45706" t="s">
        <v>14972</v>
      </c>
    </row>
    <row r="45707" spans="1:2" x14ac:dyDescent="0.25">
      <c r="A45707">
        <v>94054010220</v>
      </c>
      <c r="B45707" t="s">
        <v>14973</v>
      </c>
    </row>
    <row r="45708" spans="1:2" x14ac:dyDescent="0.25">
      <c r="A45708">
        <v>94054010230</v>
      </c>
      <c r="B45708" t="s">
        <v>14974</v>
      </c>
    </row>
    <row r="45709" spans="1:2" x14ac:dyDescent="0.25">
      <c r="A45709">
        <v>940540103</v>
      </c>
      <c r="B45709" t="s">
        <v>14976</v>
      </c>
    </row>
    <row r="45710" spans="1:2" x14ac:dyDescent="0.25">
      <c r="A45710">
        <v>94054010310</v>
      </c>
      <c r="B45710" t="s">
        <v>14972</v>
      </c>
    </row>
    <row r="45711" spans="1:2" x14ac:dyDescent="0.25">
      <c r="A45711">
        <v>94054010320</v>
      </c>
      <c r="B45711" t="s">
        <v>14973</v>
      </c>
    </row>
    <row r="45712" spans="1:2" x14ac:dyDescent="0.25">
      <c r="A45712">
        <v>94054010330</v>
      </c>
      <c r="B45712" t="s">
        <v>14974</v>
      </c>
    </row>
    <row r="45713" spans="1:2" x14ac:dyDescent="0.25">
      <c r="A45713">
        <v>940540104</v>
      </c>
      <c r="B45713" t="s">
        <v>14977</v>
      </c>
    </row>
    <row r="45714" spans="1:2" x14ac:dyDescent="0.25">
      <c r="A45714">
        <v>94054010410</v>
      </c>
      <c r="B45714" t="s">
        <v>14972</v>
      </c>
    </row>
    <row r="45715" spans="1:2" x14ac:dyDescent="0.25">
      <c r="A45715">
        <v>94054010420</v>
      </c>
      <c r="B45715" t="s">
        <v>14973</v>
      </c>
    </row>
    <row r="45716" spans="1:2" x14ac:dyDescent="0.25">
      <c r="A45716">
        <v>94054010430</v>
      </c>
      <c r="B45716" t="s">
        <v>14974</v>
      </c>
    </row>
    <row r="45717" spans="1:2" x14ac:dyDescent="0.25">
      <c r="A45717">
        <v>940540105</v>
      </c>
      <c r="B45717" t="s">
        <v>14978</v>
      </c>
    </row>
    <row r="45718" spans="1:2" x14ac:dyDescent="0.25">
      <c r="A45718">
        <v>94054010510</v>
      </c>
      <c r="B45718" t="s">
        <v>14972</v>
      </c>
    </row>
    <row r="45719" spans="1:2" x14ac:dyDescent="0.25">
      <c r="A45719">
        <v>94054010520</v>
      </c>
      <c r="B45719" t="s">
        <v>14973</v>
      </c>
    </row>
    <row r="45720" spans="1:2" x14ac:dyDescent="0.25">
      <c r="A45720">
        <v>94054010530</v>
      </c>
      <c r="B45720" t="s">
        <v>14979</v>
      </c>
    </row>
    <row r="45721" spans="1:2" x14ac:dyDescent="0.25">
      <c r="A45721">
        <v>94054010540</v>
      </c>
      <c r="B45721" t="s">
        <v>14980</v>
      </c>
    </row>
    <row r="45722" spans="1:2" x14ac:dyDescent="0.25">
      <c r="A45722">
        <v>94054010900</v>
      </c>
      <c r="B45722" t="s">
        <v>10</v>
      </c>
    </row>
    <row r="45723" spans="1:2" x14ac:dyDescent="0.25">
      <c r="A45723">
        <v>94054090000</v>
      </c>
      <c r="B45723" t="s">
        <v>10</v>
      </c>
    </row>
    <row r="45724" spans="1:2" x14ac:dyDescent="0.25">
      <c r="A45724">
        <v>94055000000</v>
      </c>
      <c r="B45724" t="e">
        <f>-aparatos de alumbrado no electricos</f>
        <v>#NAME?</v>
      </c>
    </row>
    <row r="45725" spans="1:2" x14ac:dyDescent="0.25">
      <c r="A45725">
        <v>94056000</v>
      </c>
      <c r="B45725" t="e">
        <f>- Anuncios. letreros y placas indicadoras. luminosos y Articulos similares</f>
        <v>#NAME?</v>
      </c>
    </row>
    <row r="45726" spans="1:2" x14ac:dyDescent="0.25">
      <c r="A45726">
        <v>94056000100</v>
      </c>
      <c r="B45726" t="s">
        <v>14981</v>
      </c>
    </row>
    <row r="45727" spans="1:2" x14ac:dyDescent="0.25">
      <c r="A45727">
        <v>94056000200</v>
      </c>
      <c r="B45727" t="s">
        <v>14982</v>
      </c>
    </row>
    <row r="45728" spans="1:2" x14ac:dyDescent="0.25">
      <c r="A45728">
        <v>940560009</v>
      </c>
      <c r="B45728" t="s">
        <v>10</v>
      </c>
    </row>
    <row r="45729" spans="1:2" x14ac:dyDescent="0.25">
      <c r="A45729">
        <v>94056000910</v>
      </c>
      <c r="B45729" t="s">
        <v>14983</v>
      </c>
    </row>
    <row r="45730" spans="1:2" x14ac:dyDescent="0.25">
      <c r="A45730">
        <v>94056000990</v>
      </c>
      <c r="B45730" t="s">
        <v>10</v>
      </c>
    </row>
    <row r="45731" spans="1:2" x14ac:dyDescent="0.25">
      <c r="A45731">
        <v>94059</v>
      </c>
      <c r="B45731" t="s">
        <v>11167</v>
      </c>
    </row>
    <row r="45732" spans="1:2" x14ac:dyDescent="0.25">
      <c r="A45732">
        <v>94059100</v>
      </c>
      <c r="B45732" t="e">
        <f>- - de vidrio</f>
        <v>#NAME?</v>
      </c>
    </row>
    <row r="45733" spans="1:2" x14ac:dyDescent="0.25">
      <c r="A45733">
        <v>940591001</v>
      </c>
      <c r="B45733" t="s">
        <v>14984</v>
      </c>
    </row>
    <row r="45734" spans="1:2" x14ac:dyDescent="0.25">
      <c r="A45734">
        <v>94059100110</v>
      </c>
      <c r="B45734" t="s">
        <v>14985</v>
      </c>
    </row>
    <row r="45735" spans="1:2" x14ac:dyDescent="0.25">
      <c r="A45735">
        <v>94059100190</v>
      </c>
      <c r="B45735" t="s">
        <v>10</v>
      </c>
    </row>
    <row r="45736" spans="1:2" x14ac:dyDescent="0.25">
      <c r="A45736">
        <v>94059100900</v>
      </c>
      <c r="B45736" t="s">
        <v>10</v>
      </c>
    </row>
    <row r="45737" spans="1:2" x14ac:dyDescent="0.25">
      <c r="A45737">
        <v>94059200</v>
      </c>
      <c r="B45737" t="e">
        <f>- - de plastico</f>
        <v>#NAME?</v>
      </c>
    </row>
    <row r="45738" spans="1:2" x14ac:dyDescent="0.25">
      <c r="A45738">
        <v>940592001</v>
      </c>
      <c r="B45738" t="s">
        <v>14984</v>
      </c>
    </row>
    <row r="45739" spans="1:2" x14ac:dyDescent="0.25">
      <c r="A45739">
        <v>94059200110</v>
      </c>
      <c r="B45739" t="s">
        <v>14985</v>
      </c>
    </row>
    <row r="45740" spans="1:2" x14ac:dyDescent="0.25">
      <c r="A45740">
        <v>94059200190</v>
      </c>
      <c r="B45740" t="s">
        <v>10</v>
      </c>
    </row>
    <row r="45741" spans="1:2" x14ac:dyDescent="0.25">
      <c r="A45741">
        <v>94059200200</v>
      </c>
      <c r="B45741" t="s">
        <v>14986</v>
      </c>
    </row>
    <row r="45742" spans="1:2" x14ac:dyDescent="0.25">
      <c r="A45742">
        <v>94059200900</v>
      </c>
      <c r="B45742" t="s">
        <v>10</v>
      </c>
    </row>
    <row r="45743" spans="1:2" x14ac:dyDescent="0.25">
      <c r="A45743">
        <v>94059900</v>
      </c>
      <c r="B45743" t="e">
        <f>- - las demas</f>
        <v>#NAME?</v>
      </c>
    </row>
    <row r="45744" spans="1:2" x14ac:dyDescent="0.25">
      <c r="A45744">
        <v>94059900100</v>
      </c>
      <c r="B45744" t="s">
        <v>14987</v>
      </c>
    </row>
    <row r="45745" spans="1:2" x14ac:dyDescent="0.25">
      <c r="A45745">
        <v>94059900900</v>
      </c>
      <c r="B45745" t="s">
        <v>10</v>
      </c>
    </row>
    <row r="45746" spans="1:2" x14ac:dyDescent="0.25">
      <c r="A45746">
        <v>9406</v>
      </c>
      <c r="B45746" t="s">
        <v>14988</v>
      </c>
    </row>
    <row r="45747" spans="1:2" x14ac:dyDescent="0.25">
      <c r="A45747">
        <v>940610</v>
      </c>
      <c r="B45747" t="e">
        <f>- de madera</f>
        <v>#NAME?</v>
      </c>
    </row>
    <row r="45748" spans="1:2" x14ac:dyDescent="0.25">
      <c r="A45748">
        <v>94061010000</v>
      </c>
      <c r="B45748" t="s">
        <v>14989</v>
      </c>
    </row>
    <row r="45749" spans="1:2" x14ac:dyDescent="0.25">
      <c r="A45749">
        <v>94061090</v>
      </c>
      <c r="B45749" t="s">
        <v>10</v>
      </c>
    </row>
    <row r="45750" spans="1:2" x14ac:dyDescent="0.25">
      <c r="A45750">
        <v>94061090100</v>
      </c>
      <c r="B45750" t="s">
        <v>14990</v>
      </c>
    </row>
    <row r="45751" spans="1:2" x14ac:dyDescent="0.25">
      <c r="A45751">
        <v>94061090900</v>
      </c>
      <c r="B45751" t="s">
        <v>57</v>
      </c>
    </row>
    <row r="45752" spans="1:2" x14ac:dyDescent="0.25">
      <c r="A45752">
        <v>940690</v>
      </c>
      <c r="B45752" t="e">
        <f>- las demas</f>
        <v>#NAME?</v>
      </c>
    </row>
    <row r="45753" spans="1:2" x14ac:dyDescent="0.25">
      <c r="A45753">
        <v>94069010000</v>
      </c>
      <c r="B45753" t="s">
        <v>14989</v>
      </c>
    </row>
    <row r="45754" spans="1:2" x14ac:dyDescent="0.25">
      <c r="A45754">
        <v>94069020</v>
      </c>
      <c r="B45754" t="s">
        <v>14991</v>
      </c>
    </row>
    <row r="45755" spans="1:2" x14ac:dyDescent="0.25">
      <c r="A45755">
        <v>94069020100</v>
      </c>
      <c r="B45755" t="s">
        <v>14990</v>
      </c>
    </row>
    <row r="45756" spans="1:2" x14ac:dyDescent="0.25">
      <c r="A45756">
        <v>94069020900</v>
      </c>
      <c r="B45756" t="s">
        <v>57</v>
      </c>
    </row>
    <row r="45757" spans="1:2" x14ac:dyDescent="0.25">
      <c r="A45757">
        <v>94069090</v>
      </c>
      <c r="B45757" t="s">
        <v>10</v>
      </c>
    </row>
    <row r="45758" spans="1:2" x14ac:dyDescent="0.25">
      <c r="A45758">
        <v>94069090100</v>
      </c>
      <c r="B45758" t="s">
        <v>14990</v>
      </c>
    </row>
    <row r="45759" spans="1:2" x14ac:dyDescent="0.25">
      <c r="A45759">
        <v>94069090200</v>
      </c>
      <c r="B45759" t="s">
        <v>14992</v>
      </c>
    </row>
    <row r="45760" spans="1:2" x14ac:dyDescent="0.25">
      <c r="A45760">
        <v>94069090900</v>
      </c>
      <c r="B45760" t="s">
        <v>57</v>
      </c>
    </row>
    <row r="45761" spans="1:2" x14ac:dyDescent="0.25">
      <c r="A45761">
        <v>950300</v>
      </c>
      <c r="B45761" t="s">
        <v>14993</v>
      </c>
    </row>
    <row r="45762" spans="1:2" x14ac:dyDescent="0.25">
      <c r="A45762">
        <v>95030010</v>
      </c>
      <c r="B45762" t="s">
        <v>14994</v>
      </c>
    </row>
    <row r="45763" spans="1:2" x14ac:dyDescent="0.25">
      <c r="A45763">
        <v>950300101</v>
      </c>
      <c r="B45763" t="s">
        <v>14995</v>
      </c>
    </row>
    <row r="45764" spans="1:2" x14ac:dyDescent="0.25">
      <c r="A45764">
        <v>9503001011</v>
      </c>
      <c r="B45764" t="s">
        <v>14892</v>
      </c>
    </row>
    <row r="45765" spans="1:2" x14ac:dyDescent="0.25">
      <c r="A45765">
        <v>95030010111</v>
      </c>
      <c r="B45765" t="s">
        <v>14996</v>
      </c>
    </row>
    <row r="45766" spans="1:2" x14ac:dyDescent="0.25">
      <c r="A45766">
        <v>95030010112</v>
      </c>
      <c r="B45766" t="s">
        <v>14997</v>
      </c>
    </row>
    <row r="45767" spans="1:2" x14ac:dyDescent="0.25">
      <c r="A45767">
        <v>95030010113</v>
      </c>
      <c r="B45767" t="s">
        <v>14998</v>
      </c>
    </row>
    <row r="45768" spans="1:2" x14ac:dyDescent="0.25">
      <c r="A45768">
        <v>95030010119</v>
      </c>
      <c r="B45768" t="s">
        <v>10</v>
      </c>
    </row>
    <row r="45769" spans="1:2" x14ac:dyDescent="0.25">
      <c r="A45769">
        <v>9503001012</v>
      </c>
      <c r="B45769" t="s">
        <v>14999</v>
      </c>
    </row>
    <row r="45770" spans="1:2" x14ac:dyDescent="0.25">
      <c r="A45770">
        <v>95030010121</v>
      </c>
      <c r="B45770" t="s">
        <v>14996</v>
      </c>
    </row>
    <row r="45771" spans="1:2" x14ac:dyDescent="0.25">
      <c r="A45771">
        <v>95030010122</v>
      </c>
      <c r="B45771" t="s">
        <v>14997</v>
      </c>
    </row>
    <row r="45772" spans="1:2" x14ac:dyDescent="0.25">
      <c r="A45772">
        <v>95030010123</v>
      </c>
      <c r="B45772" t="s">
        <v>14998</v>
      </c>
    </row>
    <row r="45773" spans="1:2" x14ac:dyDescent="0.25">
      <c r="A45773">
        <v>95030010129</v>
      </c>
      <c r="B45773" t="s">
        <v>10</v>
      </c>
    </row>
    <row r="45774" spans="1:2" x14ac:dyDescent="0.25">
      <c r="A45774">
        <v>9503001013</v>
      </c>
      <c r="B45774" t="s">
        <v>15000</v>
      </c>
    </row>
    <row r="45775" spans="1:2" x14ac:dyDescent="0.25">
      <c r="A45775">
        <v>95030010131</v>
      </c>
      <c r="B45775" t="s">
        <v>14996</v>
      </c>
    </row>
    <row r="45776" spans="1:2" x14ac:dyDescent="0.25">
      <c r="A45776">
        <v>95030010132</v>
      </c>
      <c r="B45776" t="s">
        <v>14997</v>
      </c>
    </row>
    <row r="45777" spans="1:2" x14ac:dyDescent="0.25">
      <c r="A45777">
        <v>95030010133</v>
      </c>
      <c r="B45777" t="s">
        <v>14998</v>
      </c>
    </row>
    <row r="45778" spans="1:2" x14ac:dyDescent="0.25">
      <c r="A45778">
        <v>95030010139</v>
      </c>
      <c r="B45778" t="s">
        <v>10</v>
      </c>
    </row>
    <row r="45779" spans="1:2" x14ac:dyDescent="0.25">
      <c r="A45779">
        <v>9503001019</v>
      </c>
      <c r="B45779" t="s">
        <v>10</v>
      </c>
    </row>
    <row r="45780" spans="1:2" x14ac:dyDescent="0.25">
      <c r="A45780">
        <v>95030010191</v>
      </c>
      <c r="B45780" t="s">
        <v>14996</v>
      </c>
    </row>
    <row r="45781" spans="1:2" x14ac:dyDescent="0.25">
      <c r="A45781">
        <v>95030010192</v>
      </c>
      <c r="B45781" t="s">
        <v>14997</v>
      </c>
    </row>
    <row r="45782" spans="1:2" x14ac:dyDescent="0.25">
      <c r="A45782">
        <v>95030010193</v>
      </c>
      <c r="B45782" t="s">
        <v>14998</v>
      </c>
    </row>
    <row r="45783" spans="1:2" x14ac:dyDescent="0.25">
      <c r="A45783">
        <v>95030010199</v>
      </c>
      <c r="B45783" t="s">
        <v>10</v>
      </c>
    </row>
    <row r="45784" spans="1:2" x14ac:dyDescent="0.25">
      <c r="A45784">
        <v>950300102</v>
      </c>
      <c r="B45784" t="s">
        <v>15001</v>
      </c>
    </row>
    <row r="45785" spans="1:2" x14ac:dyDescent="0.25">
      <c r="A45785">
        <v>9503001021</v>
      </c>
      <c r="B45785" t="s">
        <v>14892</v>
      </c>
    </row>
    <row r="45786" spans="1:2" x14ac:dyDescent="0.25">
      <c r="A45786">
        <v>95030010211</v>
      </c>
      <c r="B45786" t="s">
        <v>14996</v>
      </c>
    </row>
    <row r="45787" spans="1:2" x14ac:dyDescent="0.25">
      <c r="A45787">
        <v>95030010212</v>
      </c>
      <c r="B45787" t="s">
        <v>14997</v>
      </c>
    </row>
    <row r="45788" spans="1:2" x14ac:dyDescent="0.25">
      <c r="A45788">
        <v>95030010213</v>
      </c>
      <c r="B45788" t="s">
        <v>14998</v>
      </c>
    </row>
    <row r="45789" spans="1:2" x14ac:dyDescent="0.25">
      <c r="A45789">
        <v>95030010219</v>
      </c>
      <c r="B45789" t="s">
        <v>10</v>
      </c>
    </row>
    <row r="45790" spans="1:2" x14ac:dyDescent="0.25">
      <c r="A45790">
        <v>9503001022</v>
      </c>
      <c r="B45790" t="s">
        <v>14999</v>
      </c>
    </row>
    <row r="45791" spans="1:2" x14ac:dyDescent="0.25">
      <c r="A45791">
        <v>95030010221</v>
      </c>
      <c r="B45791" t="s">
        <v>14996</v>
      </c>
    </row>
    <row r="45792" spans="1:2" x14ac:dyDescent="0.25">
      <c r="A45792">
        <v>95030010222</v>
      </c>
      <c r="B45792" t="s">
        <v>14997</v>
      </c>
    </row>
    <row r="45793" spans="1:2" x14ac:dyDescent="0.25">
      <c r="A45793">
        <v>95030010223</v>
      </c>
      <c r="B45793" t="s">
        <v>14998</v>
      </c>
    </row>
    <row r="45794" spans="1:2" x14ac:dyDescent="0.25">
      <c r="A45794">
        <v>95030010229</v>
      </c>
      <c r="B45794" t="s">
        <v>10</v>
      </c>
    </row>
    <row r="45795" spans="1:2" x14ac:dyDescent="0.25">
      <c r="A45795">
        <v>9503001023</v>
      </c>
      <c r="B45795" t="s">
        <v>15000</v>
      </c>
    </row>
    <row r="45796" spans="1:2" x14ac:dyDescent="0.25">
      <c r="A45796">
        <v>95030010231</v>
      </c>
      <c r="B45796" t="s">
        <v>14996</v>
      </c>
    </row>
    <row r="45797" spans="1:2" x14ac:dyDescent="0.25">
      <c r="A45797">
        <v>95030010232</v>
      </c>
      <c r="B45797" t="s">
        <v>14997</v>
      </c>
    </row>
    <row r="45798" spans="1:2" x14ac:dyDescent="0.25">
      <c r="A45798">
        <v>95030010233</v>
      </c>
      <c r="B45798" t="s">
        <v>14998</v>
      </c>
    </row>
    <row r="45799" spans="1:2" x14ac:dyDescent="0.25">
      <c r="A45799">
        <v>95030010239</v>
      </c>
      <c r="B45799" t="s">
        <v>10</v>
      </c>
    </row>
    <row r="45800" spans="1:2" x14ac:dyDescent="0.25">
      <c r="A45800">
        <v>9503001029</v>
      </c>
      <c r="B45800" t="s">
        <v>10</v>
      </c>
    </row>
    <row r="45801" spans="1:2" x14ac:dyDescent="0.25">
      <c r="A45801">
        <v>95030010291</v>
      </c>
      <c r="B45801" t="s">
        <v>14996</v>
      </c>
    </row>
    <row r="45802" spans="1:2" x14ac:dyDescent="0.25">
      <c r="A45802">
        <v>95030010292</v>
      </c>
      <c r="B45802" t="s">
        <v>14997</v>
      </c>
    </row>
    <row r="45803" spans="1:2" x14ac:dyDescent="0.25">
      <c r="A45803">
        <v>95030010293</v>
      </c>
      <c r="B45803" t="s">
        <v>14998</v>
      </c>
    </row>
    <row r="45804" spans="1:2" x14ac:dyDescent="0.25">
      <c r="A45804">
        <v>95030010299</v>
      </c>
      <c r="B45804" t="s">
        <v>10</v>
      </c>
    </row>
    <row r="45805" spans="1:2" x14ac:dyDescent="0.25">
      <c r="A45805">
        <v>950300103</v>
      </c>
      <c r="B45805" t="s">
        <v>15002</v>
      </c>
    </row>
    <row r="45806" spans="1:2" x14ac:dyDescent="0.25">
      <c r="A45806">
        <v>95030010310</v>
      </c>
      <c r="B45806" t="s">
        <v>14892</v>
      </c>
    </row>
    <row r="45807" spans="1:2" x14ac:dyDescent="0.25">
      <c r="A45807">
        <v>95030010320</v>
      </c>
      <c r="B45807" t="s">
        <v>7612</v>
      </c>
    </row>
    <row r="45808" spans="1:2" x14ac:dyDescent="0.25">
      <c r="A45808">
        <v>95030010390</v>
      </c>
      <c r="B45808" t="s">
        <v>10</v>
      </c>
    </row>
    <row r="45809" spans="1:2" x14ac:dyDescent="0.25">
      <c r="A45809">
        <v>95030010400</v>
      </c>
      <c r="B45809" t="s">
        <v>15003</v>
      </c>
    </row>
    <row r="45810" spans="1:2" x14ac:dyDescent="0.25">
      <c r="A45810">
        <v>950300105</v>
      </c>
      <c r="B45810" t="s">
        <v>10</v>
      </c>
    </row>
    <row r="45811" spans="1:2" x14ac:dyDescent="0.25">
      <c r="A45811">
        <v>9503001051</v>
      </c>
      <c r="B45811" t="s">
        <v>14892</v>
      </c>
    </row>
    <row r="45812" spans="1:2" x14ac:dyDescent="0.25">
      <c r="A45812">
        <v>95030010511</v>
      </c>
      <c r="B45812" t="s">
        <v>14996</v>
      </c>
    </row>
    <row r="45813" spans="1:2" x14ac:dyDescent="0.25">
      <c r="A45813">
        <v>95030010512</v>
      </c>
      <c r="B45813" t="s">
        <v>14997</v>
      </c>
    </row>
    <row r="45814" spans="1:2" x14ac:dyDescent="0.25">
      <c r="A45814">
        <v>95030010519</v>
      </c>
      <c r="B45814" t="s">
        <v>10</v>
      </c>
    </row>
    <row r="45815" spans="1:2" x14ac:dyDescent="0.25">
      <c r="A45815">
        <v>9503001052</v>
      </c>
      <c r="B45815" t="s">
        <v>14999</v>
      </c>
    </row>
    <row r="45816" spans="1:2" x14ac:dyDescent="0.25">
      <c r="A45816">
        <v>95030010521</v>
      </c>
      <c r="B45816" t="s">
        <v>14996</v>
      </c>
    </row>
    <row r="45817" spans="1:2" x14ac:dyDescent="0.25">
      <c r="A45817">
        <v>95030010522</v>
      </c>
      <c r="B45817" t="s">
        <v>14997</v>
      </c>
    </row>
    <row r="45818" spans="1:2" x14ac:dyDescent="0.25">
      <c r="A45818">
        <v>95030010529</v>
      </c>
      <c r="B45818" t="s">
        <v>10</v>
      </c>
    </row>
    <row r="45819" spans="1:2" x14ac:dyDescent="0.25">
      <c r="A45819">
        <v>9503001053</v>
      </c>
      <c r="B45819" t="s">
        <v>15000</v>
      </c>
    </row>
    <row r="45820" spans="1:2" x14ac:dyDescent="0.25">
      <c r="A45820">
        <v>95030010531</v>
      </c>
      <c r="B45820" t="s">
        <v>14996</v>
      </c>
    </row>
    <row r="45821" spans="1:2" x14ac:dyDescent="0.25">
      <c r="A45821">
        <v>95030010532</v>
      </c>
      <c r="B45821" t="s">
        <v>14997</v>
      </c>
    </row>
    <row r="45822" spans="1:2" x14ac:dyDescent="0.25">
      <c r="A45822">
        <v>95030010539</v>
      </c>
      <c r="B45822" t="s">
        <v>10</v>
      </c>
    </row>
    <row r="45823" spans="1:2" x14ac:dyDescent="0.25">
      <c r="A45823">
        <v>9503001059</v>
      </c>
      <c r="B45823" t="s">
        <v>10</v>
      </c>
    </row>
    <row r="45824" spans="1:2" x14ac:dyDescent="0.25">
      <c r="A45824">
        <v>95030010591</v>
      </c>
      <c r="B45824" t="s">
        <v>14996</v>
      </c>
    </row>
    <row r="45825" spans="1:2" x14ac:dyDescent="0.25">
      <c r="A45825">
        <v>95030010592</v>
      </c>
      <c r="B45825" t="s">
        <v>14997</v>
      </c>
    </row>
    <row r="45826" spans="1:2" x14ac:dyDescent="0.25">
      <c r="A45826">
        <v>95030010599</v>
      </c>
      <c r="B45826" t="s">
        <v>10</v>
      </c>
    </row>
    <row r="45827" spans="1:2" x14ac:dyDescent="0.25">
      <c r="A45827">
        <v>950300109</v>
      </c>
      <c r="B45827" t="s">
        <v>14362</v>
      </c>
    </row>
    <row r="45828" spans="1:2" x14ac:dyDescent="0.25">
      <c r="A45828">
        <v>9503001091</v>
      </c>
      <c r="B45828" t="s">
        <v>15004</v>
      </c>
    </row>
    <row r="45829" spans="1:2" x14ac:dyDescent="0.25">
      <c r="A45829">
        <v>95030010911</v>
      </c>
      <c r="B45829" t="s">
        <v>15005</v>
      </c>
    </row>
    <row r="45830" spans="1:2" x14ac:dyDescent="0.25">
      <c r="A45830">
        <v>95030010912</v>
      </c>
      <c r="B45830" t="s">
        <v>14081</v>
      </c>
    </row>
    <row r="45831" spans="1:2" x14ac:dyDescent="0.25">
      <c r="A45831">
        <v>95030010913</v>
      </c>
      <c r="B45831" t="s">
        <v>15006</v>
      </c>
    </row>
    <row r="45832" spans="1:2" x14ac:dyDescent="0.25">
      <c r="A45832">
        <v>95030010914</v>
      </c>
      <c r="B45832" t="s">
        <v>15007</v>
      </c>
    </row>
    <row r="45833" spans="1:2" x14ac:dyDescent="0.25">
      <c r="A45833">
        <v>95030010915</v>
      </c>
      <c r="B45833" t="s">
        <v>15008</v>
      </c>
    </row>
    <row r="45834" spans="1:2" x14ac:dyDescent="0.25">
      <c r="A45834">
        <v>95030010919</v>
      </c>
      <c r="B45834" t="s">
        <v>10</v>
      </c>
    </row>
    <row r="45835" spans="1:2" x14ac:dyDescent="0.25">
      <c r="A45835">
        <v>9503001092</v>
      </c>
      <c r="B45835" t="s">
        <v>15009</v>
      </c>
    </row>
    <row r="45836" spans="1:2" x14ac:dyDescent="0.25">
      <c r="A45836">
        <v>95030010921</v>
      </c>
      <c r="B45836" t="s">
        <v>15010</v>
      </c>
    </row>
    <row r="45837" spans="1:2" x14ac:dyDescent="0.25">
      <c r="A45837">
        <v>95030010922</v>
      </c>
      <c r="B45837" t="s">
        <v>14081</v>
      </c>
    </row>
    <row r="45838" spans="1:2" x14ac:dyDescent="0.25">
      <c r="A45838">
        <v>95030010923</v>
      </c>
      <c r="B45838" t="s">
        <v>15006</v>
      </c>
    </row>
    <row r="45839" spans="1:2" x14ac:dyDescent="0.25">
      <c r="A45839">
        <v>95030010924</v>
      </c>
      <c r="B45839" t="s">
        <v>15007</v>
      </c>
    </row>
    <row r="45840" spans="1:2" x14ac:dyDescent="0.25">
      <c r="A45840">
        <v>95030010925</v>
      </c>
      <c r="B45840" t="s">
        <v>15008</v>
      </c>
    </row>
    <row r="45841" spans="1:2" x14ac:dyDescent="0.25">
      <c r="A45841">
        <v>95030010929</v>
      </c>
      <c r="B45841" t="s">
        <v>10</v>
      </c>
    </row>
    <row r="45842" spans="1:2" x14ac:dyDescent="0.25">
      <c r="A45842">
        <v>9503001099</v>
      </c>
      <c r="B45842" t="s">
        <v>10</v>
      </c>
    </row>
    <row r="45843" spans="1:2" x14ac:dyDescent="0.25">
      <c r="A45843">
        <v>95030010991</v>
      </c>
      <c r="B45843" t="s">
        <v>15010</v>
      </c>
    </row>
    <row r="45844" spans="1:2" x14ac:dyDescent="0.25">
      <c r="A45844">
        <v>95030010992</v>
      </c>
      <c r="B45844" t="s">
        <v>14081</v>
      </c>
    </row>
    <row r="45845" spans="1:2" x14ac:dyDescent="0.25">
      <c r="A45845">
        <v>95030010993</v>
      </c>
      <c r="B45845" t="s">
        <v>15006</v>
      </c>
    </row>
    <row r="45846" spans="1:2" x14ac:dyDescent="0.25">
      <c r="A45846">
        <v>95030010994</v>
      </c>
      <c r="B45846" t="s">
        <v>15007</v>
      </c>
    </row>
    <row r="45847" spans="1:2" x14ac:dyDescent="0.25">
      <c r="A45847">
        <v>95030010995</v>
      </c>
      <c r="B45847" t="s">
        <v>15008</v>
      </c>
    </row>
    <row r="45848" spans="1:2" x14ac:dyDescent="0.25">
      <c r="A45848">
        <v>95030010999</v>
      </c>
      <c r="B45848" t="s">
        <v>10</v>
      </c>
    </row>
    <row r="45849" spans="1:2" x14ac:dyDescent="0.25">
      <c r="A45849">
        <v>9503002</v>
      </c>
      <c r="B45849" t="s">
        <v>15011</v>
      </c>
    </row>
    <row r="45850" spans="1:2" x14ac:dyDescent="0.25">
      <c r="A45850">
        <v>95030021</v>
      </c>
      <c r="B45850" t="s">
        <v>15012</v>
      </c>
    </row>
    <row r="45851" spans="1:2" x14ac:dyDescent="0.25">
      <c r="A45851">
        <v>950300211</v>
      </c>
      <c r="B45851" t="s">
        <v>15013</v>
      </c>
    </row>
    <row r="45852" spans="1:2" x14ac:dyDescent="0.25">
      <c r="A45852">
        <v>9503002111</v>
      </c>
      <c r="B45852" t="s">
        <v>15014</v>
      </c>
    </row>
    <row r="45853" spans="1:2" x14ac:dyDescent="0.25">
      <c r="A45853">
        <v>95030021111</v>
      </c>
      <c r="B45853" t="s">
        <v>15015</v>
      </c>
    </row>
    <row r="45854" spans="1:2" x14ac:dyDescent="0.25">
      <c r="A45854">
        <v>95030021119</v>
      </c>
      <c r="B45854" t="s">
        <v>10</v>
      </c>
    </row>
    <row r="45855" spans="1:2" x14ac:dyDescent="0.25">
      <c r="A45855">
        <v>9503002112</v>
      </c>
      <c r="B45855" t="s">
        <v>15016</v>
      </c>
    </row>
    <row r="45856" spans="1:2" x14ac:dyDescent="0.25">
      <c r="A45856">
        <v>95030021121</v>
      </c>
      <c r="B45856" t="s">
        <v>15015</v>
      </c>
    </row>
    <row r="45857" spans="1:2" x14ac:dyDescent="0.25">
      <c r="A45857">
        <v>95030021129</v>
      </c>
      <c r="B45857" t="s">
        <v>10</v>
      </c>
    </row>
    <row r="45858" spans="1:2" x14ac:dyDescent="0.25">
      <c r="A45858">
        <v>9503002113</v>
      </c>
      <c r="B45858" t="s">
        <v>15017</v>
      </c>
    </row>
    <row r="45859" spans="1:2" x14ac:dyDescent="0.25">
      <c r="A45859">
        <v>95030021131</v>
      </c>
      <c r="B45859" t="s">
        <v>15015</v>
      </c>
    </row>
    <row r="45860" spans="1:2" x14ac:dyDescent="0.25">
      <c r="A45860">
        <v>95030021139</v>
      </c>
      <c r="B45860" t="s">
        <v>10</v>
      </c>
    </row>
    <row r="45861" spans="1:2" x14ac:dyDescent="0.25">
      <c r="A45861">
        <v>9503002114</v>
      </c>
      <c r="B45861" t="s">
        <v>15018</v>
      </c>
    </row>
    <row r="45862" spans="1:2" x14ac:dyDescent="0.25">
      <c r="A45862">
        <v>95030021141</v>
      </c>
      <c r="B45862" t="s">
        <v>15015</v>
      </c>
    </row>
    <row r="45863" spans="1:2" x14ac:dyDescent="0.25">
      <c r="A45863">
        <v>95030021149</v>
      </c>
      <c r="B45863" t="s">
        <v>10</v>
      </c>
    </row>
    <row r="45864" spans="1:2" x14ac:dyDescent="0.25">
      <c r="A45864">
        <v>9503002115</v>
      </c>
      <c r="B45864" t="s">
        <v>15019</v>
      </c>
    </row>
    <row r="45865" spans="1:2" x14ac:dyDescent="0.25">
      <c r="A45865">
        <v>95030021151</v>
      </c>
      <c r="B45865" t="s">
        <v>15020</v>
      </c>
    </row>
    <row r="45866" spans="1:2" x14ac:dyDescent="0.25">
      <c r="A45866">
        <v>95030021152</v>
      </c>
      <c r="B45866" t="s">
        <v>15021</v>
      </c>
    </row>
    <row r="45867" spans="1:2" x14ac:dyDescent="0.25">
      <c r="A45867">
        <v>95030021153</v>
      </c>
      <c r="B45867" t="s">
        <v>15022</v>
      </c>
    </row>
    <row r="45868" spans="1:2" x14ac:dyDescent="0.25">
      <c r="A45868">
        <v>95030021159</v>
      </c>
      <c r="B45868" t="s">
        <v>10</v>
      </c>
    </row>
    <row r="45869" spans="1:2" x14ac:dyDescent="0.25">
      <c r="A45869">
        <v>95030021160</v>
      </c>
      <c r="B45869" t="s">
        <v>15023</v>
      </c>
    </row>
    <row r="45870" spans="1:2" x14ac:dyDescent="0.25">
      <c r="A45870">
        <v>95030021190</v>
      </c>
      <c r="B45870" t="s">
        <v>10</v>
      </c>
    </row>
    <row r="45871" spans="1:2" x14ac:dyDescent="0.25">
      <c r="A45871">
        <v>950300219</v>
      </c>
      <c r="B45871" t="s">
        <v>10</v>
      </c>
    </row>
    <row r="45872" spans="1:2" x14ac:dyDescent="0.25">
      <c r="A45872">
        <v>9503002191</v>
      </c>
      <c r="B45872" t="s">
        <v>15014</v>
      </c>
    </row>
    <row r="45873" spans="1:2" x14ac:dyDescent="0.25">
      <c r="A45873">
        <v>95030021911</v>
      </c>
      <c r="B45873" t="s">
        <v>15015</v>
      </c>
    </row>
    <row r="45874" spans="1:2" x14ac:dyDescent="0.25">
      <c r="A45874">
        <v>95030021919</v>
      </c>
      <c r="B45874" t="s">
        <v>10</v>
      </c>
    </row>
    <row r="45875" spans="1:2" x14ac:dyDescent="0.25">
      <c r="A45875">
        <v>9503002192</v>
      </c>
      <c r="B45875" t="s">
        <v>15016</v>
      </c>
    </row>
    <row r="45876" spans="1:2" x14ac:dyDescent="0.25">
      <c r="A45876">
        <v>95030021921</v>
      </c>
      <c r="B45876" t="s">
        <v>15015</v>
      </c>
    </row>
    <row r="45877" spans="1:2" x14ac:dyDescent="0.25">
      <c r="A45877">
        <v>95030021929</v>
      </c>
      <c r="B45877" t="s">
        <v>10</v>
      </c>
    </row>
    <row r="45878" spans="1:2" x14ac:dyDescent="0.25">
      <c r="A45878">
        <v>9503002193</v>
      </c>
      <c r="B45878" t="s">
        <v>15017</v>
      </c>
    </row>
    <row r="45879" spans="1:2" x14ac:dyDescent="0.25">
      <c r="A45879">
        <v>95030021931</v>
      </c>
      <c r="B45879" t="s">
        <v>15015</v>
      </c>
    </row>
    <row r="45880" spans="1:2" x14ac:dyDescent="0.25">
      <c r="A45880">
        <v>95030021939</v>
      </c>
      <c r="B45880" t="s">
        <v>10</v>
      </c>
    </row>
    <row r="45881" spans="1:2" x14ac:dyDescent="0.25">
      <c r="A45881">
        <v>9503002194</v>
      </c>
      <c r="B45881" t="s">
        <v>15018</v>
      </c>
    </row>
    <row r="45882" spans="1:2" x14ac:dyDescent="0.25">
      <c r="A45882">
        <v>95030021941</v>
      </c>
      <c r="B45882" t="s">
        <v>15015</v>
      </c>
    </row>
    <row r="45883" spans="1:2" x14ac:dyDescent="0.25">
      <c r="A45883">
        <v>95030021949</v>
      </c>
      <c r="B45883" t="s">
        <v>10</v>
      </c>
    </row>
    <row r="45884" spans="1:2" x14ac:dyDescent="0.25">
      <c r="A45884">
        <v>9503002195</v>
      </c>
      <c r="B45884" t="s">
        <v>15019</v>
      </c>
    </row>
    <row r="45885" spans="1:2" x14ac:dyDescent="0.25">
      <c r="A45885">
        <v>95030021951</v>
      </c>
      <c r="B45885" t="s">
        <v>15020</v>
      </c>
    </row>
    <row r="45886" spans="1:2" x14ac:dyDescent="0.25">
      <c r="A45886">
        <v>95030021952</v>
      </c>
      <c r="B45886" t="s">
        <v>15021</v>
      </c>
    </row>
    <row r="45887" spans="1:2" x14ac:dyDescent="0.25">
      <c r="A45887">
        <v>95030021953</v>
      </c>
      <c r="B45887" t="s">
        <v>15022</v>
      </c>
    </row>
    <row r="45888" spans="1:2" x14ac:dyDescent="0.25">
      <c r="A45888">
        <v>95030021959</v>
      </c>
      <c r="B45888" t="s">
        <v>10</v>
      </c>
    </row>
    <row r="45889" spans="1:2" x14ac:dyDescent="0.25">
      <c r="A45889">
        <v>95030021960</v>
      </c>
      <c r="B45889" t="s">
        <v>15023</v>
      </c>
    </row>
    <row r="45890" spans="1:2" x14ac:dyDescent="0.25">
      <c r="A45890">
        <v>95030021990</v>
      </c>
      <c r="B45890" t="s">
        <v>10</v>
      </c>
    </row>
    <row r="45891" spans="1:2" x14ac:dyDescent="0.25">
      <c r="A45891">
        <v>95030022</v>
      </c>
      <c r="B45891" t="s">
        <v>15024</v>
      </c>
    </row>
    <row r="45892" spans="1:2" x14ac:dyDescent="0.25">
      <c r="A45892">
        <v>950300221</v>
      </c>
      <c r="B45892" t="s">
        <v>15013</v>
      </c>
    </row>
    <row r="45893" spans="1:2" x14ac:dyDescent="0.25">
      <c r="A45893">
        <v>9503002211</v>
      </c>
      <c r="B45893" t="s">
        <v>15014</v>
      </c>
    </row>
    <row r="45894" spans="1:2" x14ac:dyDescent="0.25">
      <c r="A45894">
        <v>95030022111</v>
      </c>
      <c r="B45894" t="s">
        <v>15015</v>
      </c>
    </row>
    <row r="45895" spans="1:2" x14ac:dyDescent="0.25">
      <c r="A45895">
        <v>95030022119</v>
      </c>
      <c r="B45895" t="s">
        <v>10</v>
      </c>
    </row>
    <row r="45896" spans="1:2" x14ac:dyDescent="0.25">
      <c r="A45896">
        <v>9503002212</v>
      </c>
      <c r="B45896" t="s">
        <v>15016</v>
      </c>
    </row>
    <row r="45897" spans="1:2" x14ac:dyDescent="0.25">
      <c r="A45897">
        <v>95030022121</v>
      </c>
      <c r="B45897" t="s">
        <v>15015</v>
      </c>
    </row>
    <row r="45898" spans="1:2" x14ac:dyDescent="0.25">
      <c r="A45898">
        <v>95030022129</v>
      </c>
      <c r="B45898" t="s">
        <v>10</v>
      </c>
    </row>
    <row r="45899" spans="1:2" x14ac:dyDescent="0.25">
      <c r="A45899">
        <v>9503002213</v>
      </c>
      <c r="B45899" t="s">
        <v>15017</v>
      </c>
    </row>
    <row r="45900" spans="1:2" x14ac:dyDescent="0.25">
      <c r="A45900">
        <v>95030022131</v>
      </c>
      <c r="B45900" t="s">
        <v>15015</v>
      </c>
    </row>
    <row r="45901" spans="1:2" x14ac:dyDescent="0.25">
      <c r="A45901">
        <v>95030022139</v>
      </c>
      <c r="B45901" t="s">
        <v>10</v>
      </c>
    </row>
    <row r="45902" spans="1:2" x14ac:dyDescent="0.25">
      <c r="A45902">
        <v>9503002214</v>
      </c>
      <c r="B45902" t="s">
        <v>15018</v>
      </c>
    </row>
    <row r="45903" spans="1:2" x14ac:dyDescent="0.25">
      <c r="A45903">
        <v>95030022141</v>
      </c>
      <c r="B45903" t="s">
        <v>15015</v>
      </c>
    </row>
    <row r="45904" spans="1:2" x14ac:dyDescent="0.25">
      <c r="A45904">
        <v>95030022149</v>
      </c>
      <c r="B45904" t="s">
        <v>10</v>
      </c>
    </row>
    <row r="45905" spans="1:2" x14ac:dyDescent="0.25">
      <c r="A45905">
        <v>9503002215</v>
      </c>
      <c r="B45905" t="s">
        <v>15019</v>
      </c>
    </row>
    <row r="45906" spans="1:2" x14ac:dyDescent="0.25">
      <c r="A45906">
        <v>95030022151</v>
      </c>
      <c r="B45906" t="s">
        <v>15020</v>
      </c>
    </row>
    <row r="45907" spans="1:2" x14ac:dyDescent="0.25">
      <c r="A45907">
        <v>95030022152</v>
      </c>
      <c r="B45907" t="s">
        <v>15021</v>
      </c>
    </row>
    <row r="45908" spans="1:2" x14ac:dyDescent="0.25">
      <c r="A45908">
        <v>95030022153</v>
      </c>
      <c r="B45908" t="s">
        <v>15022</v>
      </c>
    </row>
    <row r="45909" spans="1:2" x14ac:dyDescent="0.25">
      <c r="A45909">
        <v>95030022159</v>
      </c>
      <c r="B45909" t="s">
        <v>10</v>
      </c>
    </row>
    <row r="45910" spans="1:2" x14ac:dyDescent="0.25">
      <c r="A45910">
        <v>95030022160</v>
      </c>
      <c r="B45910" t="s">
        <v>15023</v>
      </c>
    </row>
    <row r="45911" spans="1:2" x14ac:dyDescent="0.25">
      <c r="A45911">
        <v>95030022190</v>
      </c>
      <c r="B45911" t="s">
        <v>10</v>
      </c>
    </row>
    <row r="45912" spans="1:2" x14ac:dyDescent="0.25">
      <c r="A45912">
        <v>950300222</v>
      </c>
      <c r="B45912" t="s">
        <v>15025</v>
      </c>
    </row>
    <row r="45913" spans="1:2" x14ac:dyDescent="0.25">
      <c r="A45913">
        <v>95030022210</v>
      </c>
      <c r="B45913" t="s">
        <v>15026</v>
      </c>
    </row>
    <row r="45914" spans="1:2" x14ac:dyDescent="0.25">
      <c r="A45914">
        <v>95030022290</v>
      </c>
      <c r="B45914" t="s">
        <v>10</v>
      </c>
    </row>
    <row r="45915" spans="1:2" x14ac:dyDescent="0.25">
      <c r="A45915">
        <v>95030022800</v>
      </c>
      <c r="B45915" t="s">
        <v>15027</v>
      </c>
    </row>
    <row r="45916" spans="1:2" x14ac:dyDescent="0.25">
      <c r="A45916">
        <v>950300229</v>
      </c>
      <c r="B45916" t="s">
        <v>10</v>
      </c>
    </row>
    <row r="45917" spans="1:2" x14ac:dyDescent="0.25">
      <c r="A45917">
        <v>9503002291</v>
      </c>
      <c r="B45917" t="s">
        <v>15014</v>
      </c>
    </row>
    <row r="45918" spans="1:2" x14ac:dyDescent="0.25">
      <c r="A45918">
        <v>95030022911</v>
      </c>
      <c r="B45918" t="s">
        <v>15015</v>
      </c>
    </row>
    <row r="45919" spans="1:2" x14ac:dyDescent="0.25">
      <c r="A45919">
        <v>95030022919</v>
      </c>
      <c r="B45919" t="s">
        <v>10</v>
      </c>
    </row>
    <row r="45920" spans="1:2" x14ac:dyDescent="0.25">
      <c r="A45920">
        <v>9503002292</v>
      </c>
      <c r="B45920" t="s">
        <v>15016</v>
      </c>
    </row>
    <row r="45921" spans="1:2" x14ac:dyDescent="0.25">
      <c r="A45921">
        <v>95030022921</v>
      </c>
      <c r="B45921" t="s">
        <v>15015</v>
      </c>
    </row>
    <row r="45922" spans="1:2" x14ac:dyDescent="0.25">
      <c r="A45922">
        <v>95030022929</v>
      </c>
      <c r="B45922" t="s">
        <v>10</v>
      </c>
    </row>
    <row r="45923" spans="1:2" x14ac:dyDescent="0.25">
      <c r="A45923">
        <v>9503002293</v>
      </c>
      <c r="B45923" t="s">
        <v>15017</v>
      </c>
    </row>
    <row r="45924" spans="1:2" x14ac:dyDescent="0.25">
      <c r="A45924">
        <v>95030022931</v>
      </c>
      <c r="B45924" t="s">
        <v>15015</v>
      </c>
    </row>
    <row r="45925" spans="1:2" x14ac:dyDescent="0.25">
      <c r="A45925">
        <v>95030022939</v>
      </c>
      <c r="B45925" t="s">
        <v>10</v>
      </c>
    </row>
    <row r="45926" spans="1:2" x14ac:dyDescent="0.25">
      <c r="A45926">
        <v>9503002294</v>
      </c>
      <c r="B45926" t="s">
        <v>15018</v>
      </c>
    </row>
    <row r="45927" spans="1:2" x14ac:dyDescent="0.25">
      <c r="A45927">
        <v>95030022941</v>
      </c>
      <c r="B45927" t="s">
        <v>15015</v>
      </c>
    </row>
    <row r="45928" spans="1:2" x14ac:dyDescent="0.25">
      <c r="A45928">
        <v>95030022949</v>
      </c>
      <c r="B45928" t="s">
        <v>10</v>
      </c>
    </row>
    <row r="45929" spans="1:2" x14ac:dyDescent="0.25">
      <c r="A45929">
        <v>9503002295</v>
      </c>
      <c r="B45929" t="s">
        <v>15019</v>
      </c>
    </row>
    <row r="45930" spans="1:2" x14ac:dyDescent="0.25">
      <c r="A45930">
        <v>95030022951</v>
      </c>
      <c r="B45930" t="s">
        <v>15020</v>
      </c>
    </row>
    <row r="45931" spans="1:2" x14ac:dyDescent="0.25">
      <c r="A45931">
        <v>95030022952</v>
      </c>
      <c r="B45931" t="s">
        <v>15021</v>
      </c>
    </row>
    <row r="45932" spans="1:2" x14ac:dyDescent="0.25">
      <c r="A45932">
        <v>95030022953</v>
      </c>
      <c r="B45932" t="s">
        <v>15022</v>
      </c>
    </row>
    <row r="45933" spans="1:2" x14ac:dyDescent="0.25">
      <c r="A45933">
        <v>95030022959</v>
      </c>
      <c r="B45933" t="s">
        <v>10</v>
      </c>
    </row>
    <row r="45934" spans="1:2" x14ac:dyDescent="0.25">
      <c r="A45934">
        <v>95030022960</v>
      </c>
      <c r="B45934" t="s">
        <v>15023</v>
      </c>
    </row>
    <row r="45935" spans="1:2" x14ac:dyDescent="0.25">
      <c r="A45935">
        <v>95030022990</v>
      </c>
      <c r="B45935" t="s">
        <v>10</v>
      </c>
    </row>
    <row r="45936" spans="1:2" x14ac:dyDescent="0.25">
      <c r="A45936">
        <v>95030029</v>
      </c>
      <c r="B45936" t="s">
        <v>14362</v>
      </c>
    </row>
    <row r="45937" spans="1:2" x14ac:dyDescent="0.25">
      <c r="A45937">
        <v>950300291</v>
      </c>
      <c r="B45937" t="s">
        <v>15028</v>
      </c>
    </row>
    <row r="45938" spans="1:2" x14ac:dyDescent="0.25">
      <c r="A45938">
        <v>9503002911</v>
      </c>
      <c r="B45938" t="s">
        <v>7658</v>
      </c>
    </row>
    <row r="45939" spans="1:2" x14ac:dyDescent="0.25">
      <c r="A45939">
        <v>95030029111</v>
      </c>
      <c r="B45939" t="s">
        <v>9350</v>
      </c>
    </row>
    <row r="45940" spans="1:2" x14ac:dyDescent="0.25">
      <c r="A45940">
        <v>95030029119</v>
      </c>
      <c r="B45940" t="s">
        <v>57</v>
      </c>
    </row>
    <row r="45941" spans="1:2" x14ac:dyDescent="0.25">
      <c r="A45941">
        <v>9503002912</v>
      </c>
      <c r="B45941" t="s">
        <v>15029</v>
      </c>
    </row>
    <row r="45942" spans="1:2" x14ac:dyDescent="0.25">
      <c r="A45942">
        <v>95030029121</v>
      </c>
      <c r="B45942" t="s">
        <v>9350</v>
      </c>
    </row>
    <row r="45943" spans="1:2" x14ac:dyDescent="0.25">
      <c r="A45943">
        <v>95030029129</v>
      </c>
      <c r="B45943" t="s">
        <v>10</v>
      </c>
    </row>
    <row r="45944" spans="1:2" x14ac:dyDescent="0.25">
      <c r="A45944">
        <v>95030029130</v>
      </c>
      <c r="B45944" t="s">
        <v>15030</v>
      </c>
    </row>
    <row r="45945" spans="1:2" x14ac:dyDescent="0.25">
      <c r="A45945">
        <v>95030029140</v>
      </c>
      <c r="B45945" t="s">
        <v>15031</v>
      </c>
    </row>
    <row r="45946" spans="1:2" x14ac:dyDescent="0.25">
      <c r="A45946">
        <v>950300299</v>
      </c>
      <c r="B45946" t="s">
        <v>10</v>
      </c>
    </row>
    <row r="45947" spans="1:2" x14ac:dyDescent="0.25">
      <c r="A45947">
        <v>9503002991</v>
      </c>
      <c r="B45947" t="s">
        <v>10194</v>
      </c>
    </row>
    <row r="45948" spans="1:2" x14ac:dyDescent="0.25">
      <c r="A45948">
        <v>95030029911</v>
      </c>
      <c r="B45948" t="s">
        <v>372</v>
      </c>
    </row>
    <row r="45949" spans="1:2" x14ac:dyDescent="0.25">
      <c r="A45949">
        <v>95030029912</v>
      </c>
      <c r="B45949" t="s">
        <v>14260</v>
      </c>
    </row>
    <row r="45950" spans="1:2" x14ac:dyDescent="0.25">
      <c r="A45950">
        <v>95030029913</v>
      </c>
      <c r="B45950" t="s">
        <v>15032</v>
      </c>
    </row>
    <row r="45951" spans="1:2" x14ac:dyDescent="0.25">
      <c r="A45951">
        <v>95030029919</v>
      </c>
      <c r="B45951" t="s">
        <v>57</v>
      </c>
    </row>
    <row r="45952" spans="1:2" x14ac:dyDescent="0.25">
      <c r="A45952">
        <v>9503002992</v>
      </c>
      <c r="B45952" t="s">
        <v>12036</v>
      </c>
    </row>
    <row r="45953" spans="1:2" x14ac:dyDescent="0.25">
      <c r="A45953">
        <v>95030029921</v>
      </c>
      <c r="B45953" t="s">
        <v>15033</v>
      </c>
    </row>
    <row r="45954" spans="1:2" x14ac:dyDescent="0.25">
      <c r="A45954">
        <v>95030029929</v>
      </c>
      <c r="B45954" t="s">
        <v>10</v>
      </c>
    </row>
    <row r="45955" spans="1:2" x14ac:dyDescent="0.25">
      <c r="A45955">
        <v>9503003</v>
      </c>
      <c r="B45955" t="s">
        <v>15034</v>
      </c>
    </row>
    <row r="45956" spans="1:2" x14ac:dyDescent="0.25">
      <c r="A45956">
        <v>95030031</v>
      </c>
      <c r="B45956" t="s">
        <v>1390</v>
      </c>
    </row>
    <row r="45957" spans="1:2" x14ac:dyDescent="0.25">
      <c r="A45957">
        <v>950300311</v>
      </c>
      <c r="B45957" t="s">
        <v>15035</v>
      </c>
    </row>
    <row r="45958" spans="1:2" x14ac:dyDescent="0.25">
      <c r="A45958">
        <v>95030031110</v>
      </c>
      <c r="B45958" t="s">
        <v>372</v>
      </c>
    </row>
    <row r="45959" spans="1:2" x14ac:dyDescent="0.25">
      <c r="A45959">
        <v>95030031120</v>
      </c>
      <c r="B45959" t="s">
        <v>14260</v>
      </c>
    </row>
    <row r="45960" spans="1:2" x14ac:dyDescent="0.25">
      <c r="A45960">
        <v>95030031130</v>
      </c>
      <c r="B45960" t="s">
        <v>15032</v>
      </c>
    </row>
    <row r="45961" spans="1:2" x14ac:dyDescent="0.25">
      <c r="A45961">
        <v>95030031140</v>
      </c>
      <c r="B45961" t="s">
        <v>15036</v>
      </c>
    </row>
    <row r="45962" spans="1:2" x14ac:dyDescent="0.25">
      <c r="A45962">
        <v>95030031150</v>
      </c>
      <c r="B45962" t="s">
        <v>15037</v>
      </c>
    </row>
    <row r="45963" spans="1:2" x14ac:dyDescent="0.25">
      <c r="A45963">
        <v>95030031160</v>
      </c>
      <c r="B45963" t="s">
        <v>15038</v>
      </c>
    </row>
    <row r="45964" spans="1:2" x14ac:dyDescent="0.25">
      <c r="A45964">
        <v>95030031190</v>
      </c>
      <c r="B45964" t="s">
        <v>10</v>
      </c>
    </row>
    <row r="45965" spans="1:2" x14ac:dyDescent="0.25">
      <c r="A45965">
        <v>950300312</v>
      </c>
      <c r="B45965" t="s">
        <v>15039</v>
      </c>
    </row>
    <row r="45966" spans="1:2" x14ac:dyDescent="0.25">
      <c r="A45966">
        <v>95030031210</v>
      </c>
      <c r="B45966" t="s">
        <v>15040</v>
      </c>
    </row>
    <row r="45967" spans="1:2" x14ac:dyDescent="0.25">
      <c r="A45967">
        <v>9503003122</v>
      </c>
      <c r="B45967" t="s">
        <v>15041</v>
      </c>
    </row>
    <row r="45968" spans="1:2" x14ac:dyDescent="0.25">
      <c r="A45968">
        <v>95030031221</v>
      </c>
      <c r="B45968" t="s">
        <v>15042</v>
      </c>
    </row>
    <row r="45969" spans="1:2" x14ac:dyDescent="0.25">
      <c r="A45969">
        <v>95030031229</v>
      </c>
      <c r="B45969" t="s">
        <v>10</v>
      </c>
    </row>
    <row r="45970" spans="1:2" x14ac:dyDescent="0.25">
      <c r="A45970">
        <v>9503003129</v>
      </c>
      <c r="B45970" t="s">
        <v>10</v>
      </c>
    </row>
    <row r="45971" spans="1:2" x14ac:dyDescent="0.25">
      <c r="A45971">
        <v>95030031291</v>
      </c>
      <c r="B45971" t="s">
        <v>15042</v>
      </c>
    </row>
    <row r="45972" spans="1:2" x14ac:dyDescent="0.25">
      <c r="A45972">
        <v>95030031299</v>
      </c>
      <c r="B45972" t="s">
        <v>10</v>
      </c>
    </row>
    <row r="45973" spans="1:2" x14ac:dyDescent="0.25">
      <c r="A45973">
        <v>950300313</v>
      </c>
      <c r="B45973" t="s">
        <v>15043</v>
      </c>
    </row>
    <row r="45974" spans="1:2" x14ac:dyDescent="0.25">
      <c r="A45974">
        <v>95030031310</v>
      </c>
      <c r="B45974" t="s">
        <v>15040</v>
      </c>
    </row>
    <row r="45975" spans="1:2" x14ac:dyDescent="0.25">
      <c r="A45975">
        <v>9503003132</v>
      </c>
      <c r="B45975" t="s">
        <v>15041</v>
      </c>
    </row>
    <row r="45976" spans="1:2" x14ac:dyDescent="0.25">
      <c r="A45976">
        <v>95030031321</v>
      </c>
      <c r="B45976" t="s">
        <v>15042</v>
      </c>
    </row>
    <row r="45977" spans="1:2" x14ac:dyDescent="0.25">
      <c r="A45977">
        <v>95030031329</v>
      </c>
      <c r="B45977" t="s">
        <v>10</v>
      </c>
    </row>
    <row r="45978" spans="1:2" x14ac:dyDescent="0.25">
      <c r="A45978">
        <v>9503003139</v>
      </c>
      <c r="B45978" t="s">
        <v>10</v>
      </c>
    </row>
    <row r="45979" spans="1:2" x14ac:dyDescent="0.25">
      <c r="A45979">
        <v>95030031391</v>
      </c>
      <c r="B45979" t="s">
        <v>15042</v>
      </c>
    </row>
    <row r="45980" spans="1:2" x14ac:dyDescent="0.25">
      <c r="A45980">
        <v>95030031399</v>
      </c>
      <c r="B45980" t="s">
        <v>10</v>
      </c>
    </row>
    <row r="45981" spans="1:2" x14ac:dyDescent="0.25">
      <c r="A45981">
        <v>950300314</v>
      </c>
      <c r="B45981" t="s">
        <v>15044</v>
      </c>
    </row>
    <row r="45982" spans="1:2" x14ac:dyDescent="0.25">
      <c r="A45982">
        <v>9503003141</v>
      </c>
      <c r="B45982" t="s">
        <v>9039</v>
      </c>
    </row>
    <row r="45983" spans="1:2" x14ac:dyDescent="0.25">
      <c r="A45983">
        <v>95030031411</v>
      </c>
      <c r="B45983" t="s">
        <v>15042</v>
      </c>
    </row>
    <row r="45984" spans="1:2" x14ac:dyDescent="0.25">
      <c r="A45984">
        <v>95030031419</v>
      </c>
      <c r="B45984" t="s">
        <v>10</v>
      </c>
    </row>
    <row r="45985" spans="1:2" x14ac:dyDescent="0.25">
      <c r="A45985">
        <v>9503003149</v>
      </c>
      <c r="B45985" t="s">
        <v>10</v>
      </c>
    </row>
    <row r="45986" spans="1:2" x14ac:dyDescent="0.25">
      <c r="A45986">
        <v>95030031491</v>
      </c>
      <c r="B45986" t="s">
        <v>15042</v>
      </c>
    </row>
    <row r="45987" spans="1:2" x14ac:dyDescent="0.25">
      <c r="A45987">
        <v>95030031499</v>
      </c>
      <c r="B45987" t="s">
        <v>10</v>
      </c>
    </row>
    <row r="45988" spans="1:2" x14ac:dyDescent="0.25">
      <c r="A45988">
        <v>950300319</v>
      </c>
      <c r="B45988" t="s">
        <v>10</v>
      </c>
    </row>
    <row r="45989" spans="1:2" x14ac:dyDescent="0.25">
      <c r="A45989">
        <v>9503003191</v>
      </c>
      <c r="B45989" t="s">
        <v>9039</v>
      </c>
    </row>
    <row r="45990" spans="1:2" x14ac:dyDescent="0.25">
      <c r="A45990">
        <v>95030031911</v>
      </c>
      <c r="B45990" t="s">
        <v>15042</v>
      </c>
    </row>
    <row r="45991" spans="1:2" x14ac:dyDescent="0.25">
      <c r="A45991">
        <v>95030031919</v>
      </c>
      <c r="B45991" t="s">
        <v>10</v>
      </c>
    </row>
    <row r="45992" spans="1:2" x14ac:dyDescent="0.25">
      <c r="A45992">
        <v>9503003199</v>
      </c>
      <c r="B45992" t="s">
        <v>10</v>
      </c>
    </row>
    <row r="45993" spans="1:2" x14ac:dyDescent="0.25">
      <c r="A45993">
        <v>95030031991</v>
      </c>
      <c r="B45993" t="s">
        <v>15042</v>
      </c>
    </row>
    <row r="45994" spans="1:2" x14ac:dyDescent="0.25">
      <c r="A45994">
        <v>95030031999</v>
      </c>
      <c r="B45994" t="s">
        <v>10</v>
      </c>
    </row>
    <row r="45995" spans="1:2" x14ac:dyDescent="0.25">
      <c r="A45995">
        <v>95030039</v>
      </c>
      <c r="B45995" t="s">
        <v>10</v>
      </c>
    </row>
    <row r="45996" spans="1:2" x14ac:dyDescent="0.25">
      <c r="A45996">
        <v>950300391</v>
      </c>
      <c r="B45996" t="s">
        <v>15035</v>
      </c>
    </row>
    <row r="45997" spans="1:2" x14ac:dyDescent="0.25">
      <c r="A45997">
        <v>9503003911</v>
      </c>
      <c r="B45997" t="s">
        <v>15045</v>
      </c>
    </row>
    <row r="45998" spans="1:2" x14ac:dyDescent="0.25">
      <c r="A45998">
        <v>95030039111</v>
      </c>
      <c r="B45998" t="s">
        <v>14892</v>
      </c>
    </row>
    <row r="45999" spans="1:2" x14ac:dyDescent="0.25">
      <c r="A45999">
        <v>95030039112</v>
      </c>
      <c r="B45999" t="s">
        <v>7612</v>
      </c>
    </row>
    <row r="46000" spans="1:2" x14ac:dyDescent="0.25">
      <c r="A46000">
        <v>95030039113</v>
      </c>
      <c r="B46000" t="s">
        <v>7614</v>
      </c>
    </row>
    <row r="46001" spans="1:2" x14ac:dyDescent="0.25">
      <c r="A46001">
        <v>95030039119</v>
      </c>
      <c r="B46001" t="s">
        <v>10</v>
      </c>
    </row>
    <row r="46002" spans="1:2" x14ac:dyDescent="0.25">
      <c r="A46002">
        <v>9503003919</v>
      </c>
      <c r="B46002" t="s">
        <v>10</v>
      </c>
    </row>
    <row r="46003" spans="1:2" x14ac:dyDescent="0.25">
      <c r="A46003">
        <v>95030039191</v>
      </c>
      <c r="B46003" t="s">
        <v>372</v>
      </c>
    </row>
    <row r="46004" spans="1:2" x14ac:dyDescent="0.25">
      <c r="A46004">
        <v>95030039192</v>
      </c>
      <c r="B46004" t="s">
        <v>14260</v>
      </c>
    </row>
    <row r="46005" spans="1:2" x14ac:dyDescent="0.25">
      <c r="A46005">
        <v>95030039193</v>
      </c>
      <c r="B46005" t="s">
        <v>15032</v>
      </c>
    </row>
    <row r="46006" spans="1:2" x14ac:dyDescent="0.25">
      <c r="A46006">
        <v>95030039194</v>
      </c>
      <c r="B46006" t="s">
        <v>15036</v>
      </c>
    </row>
    <row r="46007" spans="1:2" x14ac:dyDescent="0.25">
      <c r="A46007">
        <v>95030039195</v>
      </c>
      <c r="B46007" t="s">
        <v>15037</v>
      </c>
    </row>
    <row r="46008" spans="1:2" x14ac:dyDescent="0.25">
      <c r="A46008">
        <v>95030039196</v>
      </c>
      <c r="B46008" t="s">
        <v>15038</v>
      </c>
    </row>
    <row r="46009" spans="1:2" x14ac:dyDescent="0.25">
      <c r="A46009">
        <v>95030039199</v>
      </c>
      <c r="B46009" t="s">
        <v>10</v>
      </c>
    </row>
    <row r="46010" spans="1:2" x14ac:dyDescent="0.25">
      <c r="A46010">
        <v>950300392</v>
      </c>
      <c r="B46010" t="s">
        <v>15046</v>
      </c>
    </row>
    <row r="46011" spans="1:2" x14ac:dyDescent="0.25">
      <c r="A46011">
        <v>9503003921</v>
      </c>
      <c r="B46011" t="s">
        <v>11385</v>
      </c>
    </row>
    <row r="46012" spans="1:2" x14ac:dyDescent="0.25">
      <c r="A46012">
        <v>95030039211</v>
      </c>
      <c r="B46012" t="s">
        <v>13815</v>
      </c>
    </row>
    <row r="46013" spans="1:2" x14ac:dyDescent="0.25">
      <c r="A46013">
        <v>95030039219</v>
      </c>
      <c r="B46013" t="s">
        <v>10</v>
      </c>
    </row>
    <row r="46014" spans="1:2" x14ac:dyDescent="0.25">
      <c r="A46014">
        <v>9503003922</v>
      </c>
      <c r="B46014" t="s">
        <v>15047</v>
      </c>
    </row>
    <row r="46015" spans="1:2" x14ac:dyDescent="0.25">
      <c r="A46015">
        <v>95030039221</v>
      </c>
      <c r="B46015" t="s">
        <v>13815</v>
      </c>
    </row>
    <row r="46016" spans="1:2" x14ac:dyDescent="0.25">
      <c r="A46016">
        <v>95030039229</v>
      </c>
      <c r="B46016" t="s">
        <v>10</v>
      </c>
    </row>
    <row r="46017" spans="1:2" x14ac:dyDescent="0.25">
      <c r="A46017">
        <v>9503003929</v>
      </c>
      <c r="B46017" t="s">
        <v>10</v>
      </c>
    </row>
    <row r="46018" spans="1:2" x14ac:dyDescent="0.25">
      <c r="A46018">
        <v>95030039291</v>
      </c>
      <c r="B46018" t="s">
        <v>15048</v>
      </c>
    </row>
    <row r="46019" spans="1:2" x14ac:dyDescent="0.25">
      <c r="A46019">
        <v>95030039292</v>
      </c>
      <c r="B46019" t="s">
        <v>15049</v>
      </c>
    </row>
    <row r="46020" spans="1:2" x14ac:dyDescent="0.25">
      <c r="A46020">
        <v>95030039293</v>
      </c>
      <c r="B46020" t="s">
        <v>15050</v>
      </c>
    </row>
    <row r="46021" spans="1:2" x14ac:dyDescent="0.25">
      <c r="A46021">
        <v>95030039299</v>
      </c>
      <c r="B46021" t="s">
        <v>10</v>
      </c>
    </row>
    <row r="46022" spans="1:2" x14ac:dyDescent="0.25">
      <c r="A46022">
        <v>950300393</v>
      </c>
      <c r="B46022" t="s">
        <v>15051</v>
      </c>
    </row>
    <row r="46023" spans="1:2" x14ac:dyDescent="0.25">
      <c r="A46023">
        <v>95030039310</v>
      </c>
      <c r="B46023" t="s">
        <v>15026</v>
      </c>
    </row>
    <row r="46024" spans="1:2" x14ac:dyDescent="0.25">
      <c r="A46024">
        <v>95030039390</v>
      </c>
      <c r="B46024" t="s">
        <v>10</v>
      </c>
    </row>
    <row r="46025" spans="1:2" x14ac:dyDescent="0.25">
      <c r="A46025">
        <v>95030039800</v>
      </c>
      <c r="B46025" t="s">
        <v>15027</v>
      </c>
    </row>
    <row r="46026" spans="1:2" x14ac:dyDescent="0.25">
      <c r="A46026">
        <v>950300399</v>
      </c>
      <c r="B46026" t="s">
        <v>10</v>
      </c>
    </row>
    <row r="46027" spans="1:2" x14ac:dyDescent="0.25">
      <c r="A46027">
        <v>9503003991</v>
      </c>
      <c r="B46027" t="s">
        <v>11385</v>
      </c>
    </row>
    <row r="46028" spans="1:2" x14ac:dyDescent="0.25">
      <c r="A46028">
        <v>95030039911</v>
      </c>
      <c r="B46028" t="s">
        <v>13815</v>
      </c>
    </row>
    <row r="46029" spans="1:2" x14ac:dyDescent="0.25">
      <c r="A46029">
        <v>95030039919</v>
      </c>
      <c r="B46029" t="s">
        <v>10</v>
      </c>
    </row>
    <row r="46030" spans="1:2" x14ac:dyDescent="0.25">
      <c r="A46030">
        <v>9503003992</v>
      </c>
      <c r="B46030" t="s">
        <v>15047</v>
      </c>
    </row>
    <row r="46031" spans="1:2" x14ac:dyDescent="0.25">
      <c r="A46031">
        <v>95030039921</v>
      </c>
      <c r="B46031" t="s">
        <v>13815</v>
      </c>
    </row>
    <row r="46032" spans="1:2" x14ac:dyDescent="0.25">
      <c r="A46032">
        <v>95030039929</v>
      </c>
      <c r="B46032" t="s">
        <v>10</v>
      </c>
    </row>
    <row r="46033" spans="1:2" x14ac:dyDescent="0.25">
      <c r="A46033">
        <v>9503003999</v>
      </c>
      <c r="B46033" t="s">
        <v>10</v>
      </c>
    </row>
    <row r="46034" spans="1:2" x14ac:dyDescent="0.25">
      <c r="A46034">
        <v>95030039991</v>
      </c>
      <c r="B46034" t="s">
        <v>15048</v>
      </c>
    </row>
    <row r="46035" spans="1:2" x14ac:dyDescent="0.25">
      <c r="A46035">
        <v>95030039992</v>
      </c>
      <c r="B46035" t="s">
        <v>15049</v>
      </c>
    </row>
    <row r="46036" spans="1:2" x14ac:dyDescent="0.25">
      <c r="A46036">
        <v>95030039993</v>
      </c>
      <c r="B46036" t="s">
        <v>15050</v>
      </c>
    </row>
    <row r="46037" spans="1:2" x14ac:dyDescent="0.25">
      <c r="A46037">
        <v>95030039999</v>
      </c>
      <c r="B46037" t="s">
        <v>10</v>
      </c>
    </row>
    <row r="46038" spans="1:2" x14ac:dyDescent="0.25">
      <c r="A46038">
        <v>95030040</v>
      </c>
      <c r="B46038" t="s">
        <v>15052</v>
      </c>
    </row>
    <row r="46039" spans="1:2" x14ac:dyDescent="0.25">
      <c r="A46039">
        <v>950300401</v>
      </c>
      <c r="B46039" t="s">
        <v>15053</v>
      </c>
    </row>
    <row r="46040" spans="1:2" x14ac:dyDescent="0.25">
      <c r="A46040">
        <v>9503004011</v>
      </c>
      <c r="B46040" t="s">
        <v>15054</v>
      </c>
    </row>
    <row r="46041" spans="1:2" x14ac:dyDescent="0.25">
      <c r="A46041">
        <v>95030040111</v>
      </c>
      <c r="B46041" t="s">
        <v>15055</v>
      </c>
    </row>
    <row r="46042" spans="1:2" x14ac:dyDescent="0.25">
      <c r="A46042">
        <v>95030040112</v>
      </c>
      <c r="B46042" t="s">
        <v>15056</v>
      </c>
    </row>
    <row r="46043" spans="1:2" x14ac:dyDescent="0.25">
      <c r="A46043">
        <v>95030040113</v>
      </c>
      <c r="B46043" t="s">
        <v>15057</v>
      </c>
    </row>
    <row r="46044" spans="1:2" x14ac:dyDescent="0.25">
      <c r="A46044">
        <v>95030040114</v>
      </c>
      <c r="B46044" t="s">
        <v>15058</v>
      </c>
    </row>
    <row r="46045" spans="1:2" x14ac:dyDescent="0.25">
      <c r="A46045">
        <v>95030040115</v>
      </c>
      <c r="B46045" t="s">
        <v>15059</v>
      </c>
    </row>
    <row r="46046" spans="1:2" x14ac:dyDescent="0.25">
      <c r="A46046">
        <v>95030040116</v>
      </c>
      <c r="B46046" t="s">
        <v>15060</v>
      </c>
    </row>
    <row r="46047" spans="1:2" x14ac:dyDescent="0.25">
      <c r="A46047">
        <v>95030040117</v>
      </c>
      <c r="B46047" t="s">
        <v>15061</v>
      </c>
    </row>
    <row r="46048" spans="1:2" x14ac:dyDescent="0.25">
      <c r="A46048">
        <v>95030040118</v>
      </c>
      <c r="B46048" t="s">
        <v>15062</v>
      </c>
    </row>
    <row r="46049" spans="1:2" x14ac:dyDescent="0.25">
      <c r="A46049">
        <v>95030040119</v>
      </c>
      <c r="B46049" t="s">
        <v>10</v>
      </c>
    </row>
    <row r="46050" spans="1:2" x14ac:dyDescent="0.25">
      <c r="A46050">
        <v>9503004012</v>
      </c>
      <c r="B46050" t="s">
        <v>15063</v>
      </c>
    </row>
    <row r="46051" spans="1:2" x14ac:dyDescent="0.25">
      <c r="A46051">
        <v>95030040121</v>
      </c>
      <c r="B46051" t="s">
        <v>15055</v>
      </c>
    </row>
    <row r="46052" spans="1:2" x14ac:dyDescent="0.25">
      <c r="A46052">
        <v>95030040122</v>
      </c>
      <c r="B46052" t="s">
        <v>15056</v>
      </c>
    </row>
    <row r="46053" spans="1:2" x14ac:dyDescent="0.25">
      <c r="A46053">
        <v>95030040123</v>
      </c>
      <c r="B46053" t="s">
        <v>15057</v>
      </c>
    </row>
    <row r="46054" spans="1:2" x14ac:dyDescent="0.25">
      <c r="A46054">
        <v>95030040124</v>
      </c>
      <c r="B46054" t="s">
        <v>15058</v>
      </c>
    </row>
    <row r="46055" spans="1:2" x14ac:dyDescent="0.25">
      <c r="A46055">
        <v>95030040125</v>
      </c>
      <c r="B46055" t="s">
        <v>15059</v>
      </c>
    </row>
    <row r="46056" spans="1:2" x14ac:dyDescent="0.25">
      <c r="A46056">
        <v>95030040126</v>
      </c>
      <c r="B46056" t="s">
        <v>15060</v>
      </c>
    </row>
    <row r="46057" spans="1:2" x14ac:dyDescent="0.25">
      <c r="A46057">
        <v>95030040127</v>
      </c>
      <c r="B46057" t="s">
        <v>15061</v>
      </c>
    </row>
    <row r="46058" spans="1:2" x14ac:dyDescent="0.25">
      <c r="A46058">
        <v>95030040128</v>
      </c>
      <c r="B46058" t="s">
        <v>15062</v>
      </c>
    </row>
    <row r="46059" spans="1:2" x14ac:dyDescent="0.25">
      <c r="A46059">
        <v>95030040129</v>
      </c>
      <c r="B46059" t="s">
        <v>10</v>
      </c>
    </row>
    <row r="46060" spans="1:2" x14ac:dyDescent="0.25">
      <c r="A46060">
        <v>9503004013</v>
      </c>
      <c r="B46060" t="s">
        <v>15064</v>
      </c>
    </row>
    <row r="46061" spans="1:2" x14ac:dyDescent="0.25">
      <c r="A46061">
        <v>95030040131</v>
      </c>
      <c r="B46061" t="s">
        <v>15055</v>
      </c>
    </row>
    <row r="46062" spans="1:2" x14ac:dyDescent="0.25">
      <c r="A46062">
        <v>95030040132</v>
      </c>
      <c r="B46062" t="s">
        <v>15056</v>
      </c>
    </row>
    <row r="46063" spans="1:2" x14ac:dyDescent="0.25">
      <c r="A46063">
        <v>95030040133</v>
      </c>
      <c r="B46063" t="s">
        <v>15057</v>
      </c>
    </row>
    <row r="46064" spans="1:2" x14ac:dyDescent="0.25">
      <c r="A46064">
        <v>95030040134</v>
      </c>
      <c r="B46064" t="s">
        <v>15058</v>
      </c>
    </row>
    <row r="46065" spans="1:2" x14ac:dyDescent="0.25">
      <c r="A46065">
        <v>95030040135</v>
      </c>
      <c r="B46065" t="s">
        <v>15059</v>
      </c>
    </row>
    <row r="46066" spans="1:2" x14ac:dyDescent="0.25">
      <c r="A46066">
        <v>95030040136</v>
      </c>
      <c r="B46066" t="s">
        <v>15060</v>
      </c>
    </row>
    <row r="46067" spans="1:2" x14ac:dyDescent="0.25">
      <c r="A46067">
        <v>95030040137</v>
      </c>
      <c r="B46067" t="s">
        <v>15061</v>
      </c>
    </row>
    <row r="46068" spans="1:2" x14ac:dyDescent="0.25">
      <c r="A46068">
        <v>95030040138</v>
      </c>
      <c r="B46068" t="s">
        <v>15062</v>
      </c>
    </row>
    <row r="46069" spans="1:2" x14ac:dyDescent="0.25">
      <c r="A46069">
        <v>95030040139</v>
      </c>
      <c r="B46069" t="s">
        <v>10</v>
      </c>
    </row>
    <row r="46070" spans="1:2" x14ac:dyDescent="0.25">
      <c r="A46070">
        <v>9503004019</v>
      </c>
      <c r="B46070" t="s">
        <v>10</v>
      </c>
    </row>
    <row r="46071" spans="1:2" x14ac:dyDescent="0.25">
      <c r="A46071">
        <v>95030040191</v>
      </c>
      <c r="B46071" t="s">
        <v>15055</v>
      </c>
    </row>
    <row r="46072" spans="1:2" x14ac:dyDescent="0.25">
      <c r="A46072">
        <v>95030040192</v>
      </c>
      <c r="B46072" t="s">
        <v>15056</v>
      </c>
    </row>
    <row r="46073" spans="1:2" x14ac:dyDescent="0.25">
      <c r="A46073">
        <v>95030040193</v>
      </c>
      <c r="B46073" t="s">
        <v>15057</v>
      </c>
    </row>
    <row r="46074" spans="1:2" x14ac:dyDescent="0.25">
      <c r="A46074">
        <v>95030040194</v>
      </c>
      <c r="B46074" t="s">
        <v>15058</v>
      </c>
    </row>
    <row r="46075" spans="1:2" x14ac:dyDescent="0.25">
      <c r="A46075">
        <v>95030040195</v>
      </c>
      <c r="B46075" t="s">
        <v>15059</v>
      </c>
    </row>
    <row r="46076" spans="1:2" x14ac:dyDescent="0.25">
      <c r="A46076">
        <v>95030040196</v>
      </c>
      <c r="B46076" t="s">
        <v>15060</v>
      </c>
    </row>
    <row r="46077" spans="1:2" x14ac:dyDescent="0.25">
      <c r="A46077">
        <v>95030040197</v>
      </c>
      <c r="B46077" t="s">
        <v>15061</v>
      </c>
    </row>
    <row r="46078" spans="1:2" x14ac:dyDescent="0.25">
      <c r="A46078">
        <v>95030040198</v>
      </c>
      <c r="B46078" t="s">
        <v>15062</v>
      </c>
    </row>
    <row r="46079" spans="1:2" x14ac:dyDescent="0.25">
      <c r="A46079">
        <v>95030040199</v>
      </c>
      <c r="B46079" t="s">
        <v>10</v>
      </c>
    </row>
    <row r="46080" spans="1:2" x14ac:dyDescent="0.25">
      <c r="A46080">
        <v>950300402</v>
      </c>
      <c r="B46080" t="s">
        <v>15065</v>
      </c>
    </row>
    <row r="46081" spans="1:2" x14ac:dyDescent="0.25">
      <c r="A46081">
        <v>95030040210</v>
      </c>
      <c r="B46081" t="s">
        <v>15055</v>
      </c>
    </row>
    <row r="46082" spans="1:2" x14ac:dyDescent="0.25">
      <c r="A46082">
        <v>95030040220</v>
      </c>
      <c r="B46082" t="s">
        <v>15056</v>
      </c>
    </row>
    <row r="46083" spans="1:2" x14ac:dyDescent="0.25">
      <c r="A46083">
        <v>95030040290</v>
      </c>
      <c r="B46083" t="s">
        <v>10</v>
      </c>
    </row>
    <row r="46084" spans="1:2" x14ac:dyDescent="0.25">
      <c r="A46084">
        <v>950300409</v>
      </c>
      <c r="B46084" t="s">
        <v>10</v>
      </c>
    </row>
    <row r="46085" spans="1:2" x14ac:dyDescent="0.25">
      <c r="A46085">
        <v>9503004091</v>
      </c>
      <c r="B46085" t="s">
        <v>14892</v>
      </c>
    </row>
    <row r="46086" spans="1:2" x14ac:dyDescent="0.25">
      <c r="A46086">
        <v>95030040911</v>
      </c>
      <c r="B46086" t="s">
        <v>15066</v>
      </c>
    </row>
    <row r="46087" spans="1:2" x14ac:dyDescent="0.25">
      <c r="A46087">
        <v>95030040912</v>
      </c>
      <c r="B46087" t="s">
        <v>12715</v>
      </c>
    </row>
    <row r="46088" spans="1:2" x14ac:dyDescent="0.25">
      <c r="A46088">
        <v>95030040919</v>
      </c>
      <c r="B46088" t="s">
        <v>10</v>
      </c>
    </row>
    <row r="46089" spans="1:2" x14ac:dyDescent="0.25">
      <c r="A46089">
        <v>9503004092</v>
      </c>
      <c r="B46089" t="s">
        <v>7612</v>
      </c>
    </row>
    <row r="46090" spans="1:2" x14ac:dyDescent="0.25">
      <c r="A46090">
        <v>95030040921</v>
      </c>
      <c r="B46090" t="s">
        <v>15066</v>
      </c>
    </row>
    <row r="46091" spans="1:2" x14ac:dyDescent="0.25">
      <c r="A46091">
        <v>95030040922</v>
      </c>
      <c r="B46091" t="s">
        <v>12715</v>
      </c>
    </row>
    <row r="46092" spans="1:2" x14ac:dyDescent="0.25">
      <c r="A46092">
        <v>95030040929</v>
      </c>
      <c r="B46092" t="s">
        <v>10</v>
      </c>
    </row>
    <row r="46093" spans="1:2" x14ac:dyDescent="0.25">
      <c r="A46093">
        <v>95030040990</v>
      </c>
      <c r="B46093" t="s">
        <v>10</v>
      </c>
    </row>
    <row r="46094" spans="1:2" x14ac:dyDescent="0.25">
      <c r="A46094">
        <v>95030050</v>
      </c>
      <c r="B46094" t="s">
        <v>15067</v>
      </c>
    </row>
    <row r="46095" spans="1:2" x14ac:dyDescent="0.25">
      <c r="A46095">
        <v>950300501</v>
      </c>
      <c r="B46095" t="s">
        <v>15035</v>
      </c>
    </row>
    <row r="46096" spans="1:2" x14ac:dyDescent="0.25">
      <c r="A46096">
        <v>95030050110</v>
      </c>
      <c r="B46096" t="s">
        <v>7612</v>
      </c>
    </row>
    <row r="46097" spans="1:2" x14ac:dyDescent="0.25">
      <c r="A46097">
        <v>95030050190</v>
      </c>
      <c r="B46097" t="s">
        <v>10</v>
      </c>
    </row>
    <row r="46098" spans="1:2" x14ac:dyDescent="0.25">
      <c r="A46098">
        <v>950300502</v>
      </c>
      <c r="B46098" t="s">
        <v>15068</v>
      </c>
    </row>
    <row r="46099" spans="1:2" x14ac:dyDescent="0.25">
      <c r="A46099">
        <v>9503005021</v>
      </c>
      <c r="B46099" t="s">
        <v>15069</v>
      </c>
    </row>
    <row r="46100" spans="1:2" x14ac:dyDescent="0.25">
      <c r="A46100">
        <v>95030050211</v>
      </c>
      <c r="B46100" t="s">
        <v>7612</v>
      </c>
    </row>
    <row r="46101" spans="1:2" x14ac:dyDescent="0.25">
      <c r="A46101">
        <v>95030050212</v>
      </c>
      <c r="B46101" t="s">
        <v>15070</v>
      </c>
    </row>
    <row r="46102" spans="1:2" x14ac:dyDescent="0.25">
      <c r="A46102">
        <v>95030050219</v>
      </c>
      <c r="B46102" t="s">
        <v>10</v>
      </c>
    </row>
    <row r="46103" spans="1:2" x14ac:dyDescent="0.25">
      <c r="A46103">
        <v>9503005029</v>
      </c>
      <c r="B46103" t="s">
        <v>10</v>
      </c>
    </row>
    <row r="46104" spans="1:2" x14ac:dyDescent="0.25">
      <c r="A46104">
        <v>95030050291</v>
      </c>
      <c r="B46104" t="s">
        <v>7612</v>
      </c>
    </row>
    <row r="46105" spans="1:2" x14ac:dyDescent="0.25">
      <c r="A46105">
        <v>95030050292</v>
      </c>
      <c r="B46105" t="s">
        <v>15070</v>
      </c>
    </row>
    <row r="46106" spans="1:2" x14ac:dyDescent="0.25">
      <c r="A46106">
        <v>95030050299</v>
      </c>
      <c r="B46106" t="s">
        <v>10</v>
      </c>
    </row>
    <row r="46107" spans="1:2" x14ac:dyDescent="0.25">
      <c r="A46107">
        <v>950300503</v>
      </c>
      <c r="B46107" t="s">
        <v>15071</v>
      </c>
    </row>
    <row r="46108" spans="1:2" x14ac:dyDescent="0.25">
      <c r="A46108">
        <v>9503005031</v>
      </c>
      <c r="B46108" t="s">
        <v>15069</v>
      </c>
    </row>
    <row r="46109" spans="1:2" x14ac:dyDescent="0.25">
      <c r="A46109">
        <v>95030050311</v>
      </c>
      <c r="B46109" t="s">
        <v>7612</v>
      </c>
    </row>
    <row r="46110" spans="1:2" x14ac:dyDescent="0.25">
      <c r="A46110">
        <v>95030050319</v>
      </c>
      <c r="B46110" t="s">
        <v>10</v>
      </c>
    </row>
    <row r="46111" spans="1:2" x14ac:dyDescent="0.25">
      <c r="A46111">
        <v>9503005039</v>
      </c>
      <c r="B46111" t="s">
        <v>10</v>
      </c>
    </row>
    <row r="46112" spans="1:2" x14ac:dyDescent="0.25">
      <c r="A46112">
        <v>95030050391</v>
      </c>
      <c r="B46112" t="s">
        <v>7612</v>
      </c>
    </row>
    <row r="46113" spans="1:2" x14ac:dyDescent="0.25">
      <c r="A46113">
        <v>95030050399</v>
      </c>
      <c r="B46113" t="s">
        <v>10</v>
      </c>
    </row>
    <row r="46114" spans="1:2" x14ac:dyDescent="0.25">
      <c r="A46114">
        <v>950300509</v>
      </c>
      <c r="B46114" t="s">
        <v>10</v>
      </c>
    </row>
    <row r="46115" spans="1:2" x14ac:dyDescent="0.25">
      <c r="A46115">
        <v>9503005091</v>
      </c>
      <c r="B46115" t="s">
        <v>15069</v>
      </c>
    </row>
    <row r="46116" spans="1:2" x14ac:dyDescent="0.25">
      <c r="A46116">
        <v>95030050911</v>
      </c>
      <c r="B46116" t="s">
        <v>7612</v>
      </c>
    </row>
    <row r="46117" spans="1:2" x14ac:dyDescent="0.25">
      <c r="A46117">
        <v>95030050919</v>
      </c>
      <c r="B46117" t="s">
        <v>10</v>
      </c>
    </row>
    <row r="46118" spans="1:2" x14ac:dyDescent="0.25">
      <c r="A46118">
        <v>9503005099</v>
      </c>
      <c r="B46118" t="s">
        <v>10</v>
      </c>
    </row>
    <row r="46119" spans="1:2" x14ac:dyDescent="0.25">
      <c r="A46119">
        <v>95030050991</v>
      </c>
      <c r="B46119" t="s">
        <v>7612</v>
      </c>
    </row>
    <row r="46120" spans="1:2" x14ac:dyDescent="0.25">
      <c r="A46120">
        <v>95030050999</v>
      </c>
      <c r="B46120" t="s">
        <v>10</v>
      </c>
    </row>
    <row r="46121" spans="1:2" x14ac:dyDescent="0.25">
      <c r="A46121">
        <v>95030060</v>
      </c>
      <c r="B46121" t="s">
        <v>15072</v>
      </c>
    </row>
    <row r="46122" spans="1:2" x14ac:dyDescent="0.25">
      <c r="A46122">
        <v>950300601</v>
      </c>
      <c r="B46122" t="s">
        <v>15035</v>
      </c>
    </row>
    <row r="46123" spans="1:2" x14ac:dyDescent="0.25">
      <c r="A46123">
        <v>9503006011</v>
      </c>
      <c r="B46123" t="s">
        <v>15045</v>
      </c>
    </row>
    <row r="46124" spans="1:2" x14ac:dyDescent="0.25">
      <c r="A46124">
        <v>95030060111</v>
      </c>
      <c r="B46124" t="s">
        <v>14892</v>
      </c>
    </row>
    <row r="46125" spans="1:2" x14ac:dyDescent="0.25">
      <c r="A46125">
        <v>95030060112</v>
      </c>
      <c r="B46125" t="s">
        <v>7612</v>
      </c>
    </row>
    <row r="46126" spans="1:2" x14ac:dyDescent="0.25">
      <c r="A46126">
        <v>95030060113</v>
      </c>
      <c r="B46126" t="s">
        <v>7614</v>
      </c>
    </row>
    <row r="46127" spans="1:2" x14ac:dyDescent="0.25">
      <c r="A46127">
        <v>95030060119</v>
      </c>
      <c r="B46127" t="s">
        <v>10</v>
      </c>
    </row>
    <row r="46128" spans="1:2" x14ac:dyDescent="0.25">
      <c r="A46128">
        <v>9503006019</v>
      </c>
      <c r="B46128" t="s">
        <v>10</v>
      </c>
    </row>
    <row r="46129" spans="1:2" x14ac:dyDescent="0.25">
      <c r="A46129">
        <v>95030060191</v>
      </c>
      <c r="B46129" t="s">
        <v>14892</v>
      </c>
    </row>
    <row r="46130" spans="1:2" x14ac:dyDescent="0.25">
      <c r="A46130">
        <v>95030060192</v>
      </c>
      <c r="B46130" t="s">
        <v>7612</v>
      </c>
    </row>
    <row r="46131" spans="1:2" x14ac:dyDescent="0.25">
      <c r="A46131">
        <v>95030060193</v>
      </c>
      <c r="B46131" t="s">
        <v>7614</v>
      </c>
    </row>
    <row r="46132" spans="1:2" x14ac:dyDescent="0.25">
      <c r="A46132">
        <v>95030060199</v>
      </c>
      <c r="B46132" t="s">
        <v>10</v>
      </c>
    </row>
    <row r="46133" spans="1:2" x14ac:dyDescent="0.25">
      <c r="A46133">
        <v>950300609</v>
      </c>
      <c r="B46133" t="s">
        <v>10</v>
      </c>
    </row>
    <row r="46134" spans="1:2" x14ac:dyDescent="0.25">
      <c r="A46134">
        <v>9503006091</v>
      </c>
      <c r="B46134" t="s">
        <v>15045</v>
      </c>
    </row>
    <row r="46135" spans="1:2" x14ac:dyDescent="0.25">
      <c r="A46135">
        <v>95030060911</v>
      </c>
      <c r="B46135" t="s">
        <v>14892</v>
      </c>
    </row>
    <row r="46136" spans="1:2" x14ac:dyDescent="0.25">
      <c r="A46136">
        <v>95030060912</v>
      </c>
      <c r="B46136" t="s">
        <v>7612</v>
      </c>
    </row>
    <row r="46137" spans="1:2" x14ac:dyDescent="0.25">
      <c r="A46137">
        <v>95030060913</v>
      </c>
      <c r="B46137" t="s">
        <v>7614</v>
      </c>
    </row>
    <row r="46138" spans="1:2" x14ac:dyDescent="0.25">
      <c r="A46138">
        <v>95030060919</v>
      </c>
      <c r="B46138" t="s">
        <v>10</v>
      </c>
    </row>
    <row r="46139" spans="1:2" x14ac:dyDescent="0.25">
      <c r="A46139">
        <v>95030060920</v>
      </c>
      <c r="B46139" t="s">
        <v>15073</v>
      </c>
    </row>
    <row r="46140" spans="1:2" x14ac:dyDescent="0.25">
      <c r="A46140">
        <v>9503006099</v>
      </c>
      <c r="B46140" t="s">
        <v>10</v>
      </c>
    </row>
    <row r="46141" spans="1:2" x14ac:dyDescent="0.25">
      <c r="A46141">
        <v>95030060991</v>
      </c>
      <c r="B46141" t="s">
        <v>14892</v>
      </c>
    </row>
    <row r="46142" spans="1:2" x14ac:dyDescent="0.25">
      <c r="A46142">
        <v>95030060992</v>
      </c>
      <c r="B46142" t="s">
        <v>7612</v>
      </c>
    </row>
    <row r="46143" spans="1:2" x14ac:dyDescent="0.25">
      <c r="A46143">
        <v>95030060993</v>
      </c>
      <c r="B46143" t="s">
        <v>7614</v>
      </c>
    </row>
    <row r="46144" spans="1:2" x14ac:dyDescent="0.25">
      <c r="A46144">
        <v>95030060999</v>
      </c>
      <c r="B46144" t="s">
        <v>10</v>
      </c>
    </row>
    <row r="46145" spans="1:2" x14ac:dyDescent="0.25">
      <c r="A46145">
        <v>95030070</v>
      </c>
      <c r="B46145" t="s">
        <v>15074</v>
      </c>
    </row>
    <row r="46146" spans="1:2" x14ac:dyDescent="0.25">
      <c r="A46146">
        <v>950300701</v>
      </c>
      <c r="B46146" t="s">
        <v>15075</v>
      </c>
    </row>
    <row r="46147" spans="1:2" x14ac:dyDescent="0.25">
      <c r="A46147">
        <v>95030070110</v>
      </c>
      <c r="B46147" t="s">
        <v>7612</v>
      </c>
    </row>
    <row r="46148" spans="1:2" x14ac:dyDescent="0.25">
      <c r="A46148">
        <v>95030070120</v>
      </c>
      <c r="B46148" t="s">
        <v>15076</v>
      </c>
    </row>
    <row r="46149" spans="1:2" x14ac:dyDescent="0.25">
      <c r="A46149">
        <v>95030070130</v>
      </c>
      <c r="B46149" t="s">
        <v>7614</v>
      </c>
    </row>
    <row r="46150" spans="1:2" x14ac:dyDescent="0.25">
      <c r="A46150">
        <v>95030070190</v>
      </c>
      <c r="B46150" t="s">
        <v>10</v>
      </c>
    </row>
    <row r="46151" spans="1:2" x14ac:dyDescent="0.25">
      <c r="A46151">
        <v>950300702</v>
      </c>
      <c r="B46151" t="s">
        <v>15073</v>
      </c>
    </row>
    <row r="46152" spans="1:2" x14ac:dyDescent="0.25">
      <c r="A46152">
        <v>95030070210</v>
      </c>
      <c r="B46152" t="s">
        <v>15026</v>
      </c>
    </row>
    <row r="46153" spans="1:2" x14ac:dyDescent="0.25">
      <c r="A46153">
        <v>95030070290</v>
      </c>
      <c r="B46153" t="s">
        <v>10</v>
      </c>
    </row>
    <row r="46154" spans="1:2" x14ac:dyDescent="0.25">
      <c r="A46154">
        <v>950300709</v>
      </c>
      <c r="B46154" t="s">
        <v>10</v>
      </c>
    </row>
    <row r="46155" spans="1:2" x14ac:dyDescent="0.25">
      <c r="A46155">
        <v>95030070910</v>
      </c>
      <c r="B46155" t="s">
        <v>7612</v>
      </c>
    </row>
    <row r="46156" spans="1:2" x14ac:dyDescent="0.25">
      <c r="A46156">
        <v>95030070920</v>
      </c>
      <c r="B46156" t="s">
        <v>15076</v>
      </c>
    </row>
    <row r="46157" spans="1:2" x14ac:dyDescent="0.25">
      <c r="A46157">
        <v>95030070930</v>
      </c>
      <c r="B46157" t="s">
        <v>7614</v>
      </c>
    </row>
    <row r="46158" spans="1:2" x14ac:dyDescent="0.25">
      <c r="A46158">
        <v>95030070990</v>
      </c>
      <c r="B46158" t="s">
        <v>10</v>
      </c>
    </row>
    <row r="46159" spans="1:2" x14ac:dyDescent="0.25">
      <c r="A46159">
        <v>95030080</v>
      </c>
      <c r="B46159" t="s">
        <v>15077</v>
      </c>
    </row>
    <row r="46160" spans="1:2" x14ac:dyDescent="0.25">
      <c r="A46160">
        <v>95030080200</v>
      </c>
      <c r="B46160" t="s">
        <v>15078</v>
      </c>
    </row>
    <row r="46161" spans="1:2" x14ac:dyDescent="0.25">
      <c r="A46161">
        <v>950300803</v>
      </c>
      <c r="B46161" t="s">
        <v>15000</v>
      </c>
    </row>
    <row r="46162" spans="1:2" x14ac:dyDescent="0.25">
      <c r="A46162">
        <v>9503008031</v>
      </c>
      <c r="B46162" t="s">
        <v>15079</v>
      </c>
    </row>
    <row r="46163" spans="1:2" x14ac:dyDescent="0.25">
      <c r="A46163">
        <v>95030080311</v>
      </c>
      <c r="B46163" t="s">
        <v>6945</v>
      </c>
    </row>
    <row r="46164" spans="1:2" x14ac:dyDescent="0.25">
      <c r="A46164">
        <v>95030080319</v>
      </c>
      <c r="B46164" t="s">
        <v>10</v>
      </c>
    </row>
    <row r="46165" spans="1:2" x14ac:dyDescent="0.25">
      <c r="A46165">
        <v>9503008032</v>
      </c>
      <c r="B46165" t="s">
        <v>15080</v>
      </c>
    </row>
    <row r="46166" spans="1:2" x14ac:dyDescent="0.25">
      <c r="A46166">
        <v>95030080321</v>
      </c>
      <c r="B46166" t="s">
        <v>15081</v>
      </c>
    </row>
    <row r="46167" spans="1:2" x14ac:dyDescent="0.25">
      <c r="A46167">
        <v>95030080322</v>
      </c>
      <c r="B46167" t="s">
        <v>15082</v>
      </c>
    </row>
    <row r="46168" spans="1:2" x14ac:dyDescent="0.25">
      <c r="A46168">
        <v>95030080323</v>
      </c>
      <c r="B46168" t="s">
        <v>15083</v>
      </c>
    </row>
    <row r="46169" spans="1:2" x14ac:dyDescent="0.25">
      <c r="A46169">
        <v>95030080324</v>
      </c>
      <c r="B46169" t="s">
        <v>15084</v>
      </c>
    </row>
    <row r="46170" spans="1:2" x14ac:dyDescent="0.25">
      <c r="A46170">
        <v>95030080325</v>
      </c>
      <c r="B46170" t="s">
        <v>15085</v>
      </c>
    </row>
    <row r="46171" spans="1:2" x14ac:dyDescent="0.25">
      <c r="A46171">
        <v>95030080326</v>
      </c>
      <c r="B46171" t="s">
        <v>15086</v>
      </c>
    </row>
    <row r="46172" spans="1:2" x14ac:dyDescent="0.25">
      <c r="A46172">
        <v>95030080327</v>
      </c>
      <c r="B46172" t="s">
        <v>15087</v>
      </c>
    </row>
    <row r="46173" spans="1:2" x14ac:dyDescent="0.25">
      <c r="A46173">
        <v>95030080328</v>
      </c>
      <c r="B46173" t="s">
        <v>15088</v>
      </c>
    </row>
    <row r="46174" spans="1:2" x14ac:dyDescent="0.25">
      <c r="A46174">
        <v>95030080329</v>
      </c>
      <c r="B46174" t="s">
        <v>57</v>
      </c>
    </row>
    <row r="46175" spans="1:2" x14ac:dyDescent="0.25">
      <c r="A46175">
        <v>9503008033</v>
      </c>
      <c r="B46175" t="s">
        <v>15089</v>
      </c>
    </row>
    <row r="46176" spans="1:2" x14ac:dyDescent="0.25">
      <c r="A46176">
        <v>95030080331</v>
      </c>
      <c r="B46176" t="s">
        <v>15090</v>
      </c>
    </row>
    <row r="46177" spans="1:2" x14ac:dyDescent="0.25">
      <c r="A46177">
        <v>95030080332</v>
      </c>
      <c r="B46177" t="s">
        <v>15091</v>
      </c>
    </row>
    <row r="46178" spans="1:2" x14ac:dyDescent="0.25">
      <c r="A46178">
        <v>95030080333</v>
      </c>
      <c r="B46178" t="s">
        <v>15092</v>
      </c>
    </row>
    <row r="46179" spans="1:2" x14ac:dyDescent="0.25">
      <c r="A46179">
        <v>95030080334</v>
      </c>
      <c r="B46179" t="s">
        <v>15093</v>
      </c>
    </row>
    <row r="46180" spans="1:2" x14ac:dyDescent="0.25">
      <c r="A46180">
        <v>95030080335</v>
      </c>
      <c r="B46180" t="s">
        <v>15094</v>
      </c>
    </row>
    <row r="46181" spans="1:2" x14ac:dyDescent="0.25">
      <c r="A46181">
        <v>95030080339</v>
      </c>
      <c r="B46181" t="s">
        <v>57</v>
      </c>
    </row>
    <row r="46182" spans="1:2" x14ac:dyDescent="0.25">
      <c r="A46182">
        <v>95030080340</v>
      </c>
      <c r="B46182" t="s">
        <v>15095</v>
      </c>
    </row>
    <row r="46183" spans="1:2" x14ac:dyDescent="0.25">
      <c r="A46183">
        <v>95030080350</v>
      </c>
      <c r="B46183" t="s">
        <v>15096</v>
      </c>
    </row>
    <row r="46184" spans="1:2" x14ac:dyDescent="0.25">
      <c r="A46184">
        <v>95030080380</v>
      </c>
      <c r="B46184" t="s">
        <v>15027</v>
      </c>
    </row>
    <row r="46185" spans="1:2" x14ac:dyDescent="0.25">
      <c r="A46185">
        <v>9503008039</v>
      </c>
      <c r="B46185" t="s">
        <v>10</v>
      </c>
    </row>
    <row r="46186" spans="1:2" x14ac:dyDescent="0.25">
      <c r="A46186">
        <v>95030080391</v>
      </c>
      <c r="B46186" t="s">
        <v>15097</v>
      </c>
    </row>
    <row r="46187" spans="1:2" x14ac:dyDescent="0.25">
      <c r="A46187">
        <v>95030080392</v>
      </c>
      <c r="B46187" t="s">
        <v>15098</v>
      </c>
    </row>
    <row r="46188" spans="1:2" x14ac:dyDescent="0.25">
      <c r="A46188">
        <v>95030080394</v>
      </c>
      <c r="B46188" t="s">
        <v>15099</v>
      </c>
    </row>
    <row r="46189" spans="1:2" x14ac:dyDescent="0.25">
      <c r="A46189">
        <v>95030080395</v>
      </c>
      <c r="B46189" t="s">
        <v>15100</v>
      </c>
    </row>
    <row r="46190" spans="1:2" x14ac:dyDescent="0.25">
      <c r="A46190">
        <v>95030080396</v>
      </c>
      <c r="B46190" t="s">
        <v>15101</v>
      </c>
    </row>
    <row r="46191" spans="1:2" x14ac:dyDescent="0.25">
      <c r="A46191">
        <v>95030080399</v>
      </c>
      <c r="B46191" t="s">
        <v>10</v>
      </c>
    </row>
    <row r="46192" spans="1:2" x14ac:dyDescent="0.25">
      <c r="A46192">
        <v>95030080800</v>
      </c>
      <c r="B46192" t="s">
        <v>15027</v>
      </c>
    </row>
    <row r="46193" spans="1:2" x14ac:dyDescent="0.25">
      <c r="A46193">
        <v>950300809</v>
      </c>
      <c r="B46193" t="s">
        <v>10</v>
      </c>
    </row>
    <row r="46194" spans="1:2" x14ac:dyDescent="0.25">
      <c r="A46194">
        <v>9503008091</v>
      </c>
      <c r="B46194" t="s">
        <v>15079</v>
      </c>
    </row>
    <row r="46195" spans="1:2" x14ac:dyDescent="0.25">
      <c r="A46195">
        <v>95030080911</v>
      </c>
      <c r="B46195" t="s">
        <v>15102</v>
      </c>
    </row>
    <row r="46196" spans="1:2" x14ac:dyDescent="0.25">
      <c r="A46196">
        <v>95030080912</v>
      </c>
      <c r="B46196" t="s">
        <v>15103</v>
      </c>
    </row>
    <row r="46197" spans="1:2" x14ac:dyDescent="0.25">
      <c r="A46197">
        <v>95030080913</v>
      </c>
      <c r="B46197" t="s">
        <v>15104</v>
      </c>
    </row>
    <row r="46198" spans="1:2" x14ac:dyDescent="0.25">
      <c r="A46198">
        <v>95030080919</v>
      </c>
      <c r="B46198" t="s">
        <v>57</v>
      </c>
    </row>
    <row r="46199" spans="1:2" x14ac:dyDescent="0.25">
      <c r="A46199">
        <v>9503008092</v>
      </c>
      <c r="B46199" t="s">
        <v>15080</v>
      </c>
    </row>
    <row r="46200" spans="1:2" x14ac:dyDescent="0.25">
      <c r="A46200">
        <v>95030080921</v>
      </c>
      <c r="B46200" t="s">
        <v>15081</v>
      </c>
    </row>
    <row r="46201" spans="1:2" x14ac:dyDescent="0.25">
      <c r="A46201">
        <v>95030080922</v>
      </c>
      <c r="B46201" t="s">
        <v>15082</v>
      </c>
    </row>
    <row r="46202" spans="1:2" x14ac:dyDescent="0.25">
      <c r="A46202">
        <v>95030080923</v>
      </c>
      <c r="B46202" t="s">
        <v>15083</v>
      </c>
    </row>
    <row r="46203" spans="1:2" x14ac:dyDescent="0.25">
      <c r="A46203">
        <v>95030080924</v>
      </c>
      <c r="B46203" t="s">
        <v>15084</v>
      </c>
    </row>
    <row r="46204" spans="1:2" x14ac:dyDescent="0.25">
      <c r="A46204">
        <v>95030080925</v>
      </c>
      <c r="B46204" t="s">
        <v>15085</v>
      </c>
    </row>
    <row r="46205" spans="1:2" x14ac:dyDescent="0.25">
      <c r="A46205">
        <v>95030080926</v>
      </c>
      <c r="B46205" t="s">
        <v>15086</v>
      </c>
    </row>
    <row r="46206" spans="1:2" x14ac:dyDescent="0.25">
      <c r="A46206">
        <v>95030080927</v>
      </c>
      <c r="B46206" t="s">
        <v>15087</v>
      </c>
    </row>
    <row r="46207" spans="1:2" x14ac:dyDescent="0.25">
      <c r="A46207">
        <v>95030080928</v>
      </c>
      <c r="B46207" t="s">
        <v>15088</v>
      </c>
    </row>
    <row r="46208" spans="1:2" x14ac:dyDescent="0.25">
      <c r="A46208">
        <v>95030080929</v>
      </c>
      <c r="B46208" t="s">
        <v>57</v>
      </c>
    </row>
    <row r="46209" spans="1:2" x14ac:dyDescent="0.25">
      <c r="A46209">
        <v>9503008093</v>
      </c>
      <c r="B46209" t="s">
        <v>15089</v>
      </c>
    </row>
    <row r="46210" spans="1:2" x14ac:dyDescent="0.25">
      <c r="A46210">
        <v>95030080931</v>
      </c>
      <c r="B46210" t="s">
        <v>15090</v>
      </c>
    </row>
    <row r="46211" spans="1:2" x14ac:dyDescent="0.25">
      <c r="A46211">
        <v>95030080932</v>
      </c>
      <c r="B46211" t="s">
        <v>15091</v>
      </c>
    </row>
    <row r="46212" spans="1:2" x14ac:dyDescent="0.25">
      <c r="A46212">
        <v>95030080939</v>
      </c>
      <c r="B46212" t="s">
        <v>57</v>
      </c>
    </row>
    <row r="46213" spans="1:2" x14ac:dyDescent="0.25">
      <c r="A46213">
        <v>95030080990</v>
      </c>
      <c r="B46213" t="s">
        <v>10</v>
      </c>
    </row>
    <row r="46214" spans="1:2" x14ac:dyDescent="0.25">
      <c r="A46214">
        <v>9503009</v>
      </c>
      <c r="B46214" t="s">
        <v>15105</v>
      </c>
    </row>
    <row r="46215" spans="1:2" x14ac:dyDescent="0.25">
      <c r="A46215">
        <v>95030091</v>
      </c>
      <c r="B46215" t="s">
        <v>15106</v>
      </c>
    </row>
    <row r="46216" spans="1:2" x14ac:dyDescent="0.25">
      <c r="A46216">
        <v>95030091100</v>
      </c>
      <c r="B46216" t="s">
        <v>15035</v>
      </c>
    </row>
    <row r="46217" spans="1:2" x14ac:dyDescent="0.25">
      <c r="A46217">
        <v>950300912</v>
      </c>
      <c r="B46217" t="s">
        <v>7612</v>
      </c>
    </row>
    <row r="46218" spans="1:2" x14ac:dyDescent="0.25">
      <c r="A46218">
        <v>9503009121</v>
      </c>
      <c r="B46218" t="s">
        <v>11385</v>
      </c>
    </row>
    <row r="46219" spans="1:2" x14ac:dyDescent="0.25">
      <c r="A46219">
        <v>95030091211</v>
      </c>
      <c r="B46219" t="s">
        <v>15107</v>
      </c>
    </row>
    <row r="46220" spans="1:2" x14ac:dyDescent="0.25">
      <c r="A46220">
        <v>95030091212</v>
      </c>
      <c r="B46220" t="s">
        <v>14814</v>
      </c>
    </row>
    <row r="46221" spans="1:2" x14ac:dyDescent="0.25">
      <c r="A46221">
        <v>95030091213</v>
      </c>
      <c r="B46221" t="s">
        <v>15108</v>
      </c>
    </row>
    <row r="46222" spans="1:2" x14ac:dyDescent="0.25">
      <c r="A46222">
        <v>95030091219</v>
      </c>
      <c r="B46222" t="s">
        <v>10</v>
      </c>
    </row>
    <row r="46223" spans="1:2" x14ac:dyDescent="0.25">
      <c r="A46223">
        <v>95030091280</v>
      </c>
      <c r="B46223" t="s">
        <v>15027</v>
      </c>
    </row>
    <row r="46224" spans="1:2" x14ac:dyDescent="0.25">
      <c r="A46224">
        <v>9503009129</v>
      </c>
      <c r="B46224" t="s">
        <v>10</v>
      </c>
    </row>
    <row r="46225" spans="1:2" x14ac:dyDescent="0.25">
      <c r="A46225">
        <v>95030091291</v>
      </c>
      <c r="B46225" t="s">
        <v>15107</v>
      </c>
    </row>
    <row r="46226" spans="1:2" x14ac:dyDescent="0.25">
      <c r="A46226">
        <v>95030091292</v>
      </c>
      <c r="B46226" t="s">
        <v>14814</v>
      </c>
    </row>
    <row r="46227" spans="1:2" x14ac:dyDescent="0.25">
      <c r="A46227">
        <v>95030091293</v>
      </c>
      <c r="B46227" t="s">
        <v>15109</v>
      </c>
    </row>
    <row r="46228" spans="1:2" x14ac:dyDescent="0.25">
      <c r="A46228">
        <v>95030091294</v>
      </c>
      <c r="B46228" t="s">
        <v>15110</v>
      </c>
    </row>
    <row r="46229" spans="1:2" x14ac:dyDescent="0.25">
      <c r="A46229">
        <v>95030091295</v>
      </c>
      <c r="B46229" t="s">
        <v>15111</v>
      </c>
    </row>
    <row r="46230" spans="1:2" x14ac:dyDescent="0.25">
      <c r="A46230">
        <v>95030091299</v>
      </c>
      <c r="B46230" t="s">
        <v>10</v>
      </c>
    </row>
    <row r="46231" spans="1:2" x14ac:dyDescent="0.25">
      <c r="A46231">
        <v>950300913</v>
      </c>
      <c r="B46231" t="s">
        <v>7614</v>
      </c>
    </row>
    <row r="46232" spans="1:2" x14ac:dyDescent="0.25">
      <c r="A46232">
        <v>95030091310</v>
      </c>
      <c r="B46232" t="s">
        <v>15107</v>
      </c>
    </row>
    <row r="46233" spans="1:2" x14ac:dyDescent="0.25">
      <c r="A46233">
        <v>95030091320</v>
      </c>
      <c r="B46233" t="s">
        <v>14814</v>
      </c>
    </row>
    <row r="46234" spans="1:2" x14ac:dyDescent="0.25">
      <c r="A46234">
        <v>95030091390</v>
      </c>
      <c r="B46234" t="s">
        <v>10</v>
      </c>
    </row>
    <row r="46235" spans="1:2" x14ac:dyDescent="0.25">
      <c r="A46235">
        <v>950300919</v>
      </c>
      <c r="B46235" t="s">
        <v>10</v>
      </c>
    </row>
    <row r="46236" spans="1:2" x14ac:dyDescent="0.25">
      <c r="A46236">
        <v>95030091910</v>
      </c>
      <c r="B46236" t="s">
        <v>15107</v>
      </c>
    </row>
    <row r="46237" spans="1:2" x14ac:dyDescent="0.25">
      <c r="A46237">
        <v>95030091920</v>
      </c>
      <c r="B46237" t="s">
        <v>14814</v>
      </c>
    </row>
    <row r="46238" spans="1:2" x14ac:dyDescent="0.25">
      <c r="A46238">
        <v>9503009199</v>
      </c>
      <c r="B46238" t="s">
        <v>10</v>
      </c>
    </row>
    <row r="46239" spans="1:2" x14ac:dyDescent="0.25">
      <c r="A46239">
        <v>95030091991</v>
      </c>
      <c r="B46239" t="s">
        <v>6945</v>
      </c>
    </row>
    <row r="46240" spans="1:2" x14ac:dyDescent="0.25">
      <c r="A46240">
        <v>95030091999</v>
      </c>
      <c r="B46240" t="s">
        <v>10</v>
      </c>
    </row>
    <row r="46241" spans="1:2" x14ac:dyDescent="0.25">
      <c r="A46241">
        <v>95030097</v>
      </c>
      <c r="B46241" t="s">
        <v>15112</v>
      </c>
    </row>
    <row r="46242" spans="1:2" x14ac:dyDescent="0.25">
      <c r="A46242">
        <v>95030097100</v>
      </c>
      <c r="B46242" t="s">
        <v>15035</v>
      </c>
    </row>
    <row r="46243" spans="1:2" x14ac:dyDescent="0.25">
      <c r="A46243">
        <v>950300972</v>
      </c>
      <c r="B46243" t="s">
        <v>15113</v>
      </c>
    </row>
    <row r="46244" spans="1:2" x14ac:dyDescent="0.25">
      <c r="A46244">
        <v>95030097210</v>
      </c>
      <c r="B46244" t="s">
        <v>15114</v>
      </c>
    </row>
    <row r="46245" spans="1:2" x14ac:dyDescent="0.25">
      <c r="A46245">
        <v>95030097290</v>
      </c>
      <c r="B46245" t="s">
        <v>10</v>
      </c>
    </row>
    <row r="46246" spans="1:2" x14ac:dyDescent="0.25">
      <c r="A46246">
        <v>950300973</v>
      </c>
      <c r="B46246" t="s">
        <v>15115</v>
      </c>
    </row>
    <row r="46247" spans="1:2" x14ac:dyDescent="0.25">
      <c r="A46247">
        <v>95030097310</v>
      </c>
      <c r="B46247" t="s">
        <v>15114</v>
      </c>
    </row>
    <row r="46248" spans="1:2" x14ac:dyDescent="0.25">
      <c r="A46248">
        <v>95030097390</v>
      </c>
      <c r="B46248" t="s">
        <v>10</v>
      </c>
    </row>
    <row r="46249" spans="1:2" x14ac:dyDescent="0.25">
      <c r="A46249">
        <v>950300974</v>
      </c>
      <c r="B46249" t="s">
        <v>15116</v>
      </c>
    </row>
    <row r="46250" spans="1:2" x14ac:dyDescent="0.25">
      <c r="A46250">
        <v>95030097410</v>
      </c>
      <c r="B46250" t="s">
        <v>15114</v>
      </c>
    </row>
    <row r="46251" spans="1:2" x14ac:dyDescent="0.25">
      <c r="A46251">
        <v>95030097490</v>
      </c>
      <c r="B46251" t="s">
        <v>10</v>
      </c>
    </row>
    <row r="46252" spans="1:2" x14ac:dyDescent="0.25">
      <c r="A46252">
        <v>950300975</v>
      </c>
      <c r="B46252" t="s">
        <v>15117</v>
      </c>
    </row>
    <row r="46253" spans="1:2" x14ac:dyDescent="0.25">
      <c r="A46253">
        <v>95030097510</v>
      </c>
      <c r="B46253" t="s">
        <v>15114</v>
      </c>
    </row>
    <row r="46254" spans="1:2" x14ac:dyDescent="0.25">
      <c r="A46254">
        <v>95030097590</v>
      </c>
      <c r="B46254" t="s">
        <v>10</v>
      </c>
    </row>
    <row r="46255" spans="1:2" x14ac:dyDescent="0.25">
      <c r="A46255">
        <v>950300976</v>
      </c>
      <c r="B46255" t="s">
        <v>15118</v>
      </c>
    </row>
    <row r="46256" spans="1:2" x14ac:dyDescent="0.25">
      <c r="A46256">
        <v>95030097610</v>
      </c>
      <c r="B46256" t="s">
        <v>15114</v>
      </c>
    </row>
    <row r="46257" spans="1:2" x14ac:dyDescent="0.25">
      <c r="A46257">
        <v>95030097690</v>
      </c>
      <c r="B46257" t="s">
        <v>10</v>
      </c>
    </row>
    <row r="46258" spans="1:2" x14ac:dyDescent="0.25">
      <c r="A46258">
        <v>950300979</v>
      </c>
      <c r="B46258" t="s">
        <v>10</v>
      </c>
    </row>
    <row r="46259" spans="1:2" x14ac:dyDescent="0.25">
      <c r="A46259">
        <v>95030097910</v>
      </c>
      <c r="B46259" t="s">
        <v>15114</v>
      </c>
    </row>
    <row r="46260" spans="1:2" x14ac:dyDescent="0.25">
      <c r="A46260">
        <v>95030097990</v>
      </c>
      <c r="B46260" t="s">
        <v>10</v>
      </c>
    </row>
    <row r="46261" spans="1:2" x14ac:dyDescent="0.25">
      <c r="A46261">
        <v>95030098</v>
      </c>
      <c r="B46261" t="s">
        <v>15119</v>
      </c>
    </row>
    <row r="46262" spans="1:2" x14ac:dyDescent="0.25">
      <c r="A46262">
        <v>95030098100</v>
      </c>
      <c r="B46262" t="s">
        <v>15035</v>
      </c>
    </row>
    <row r="46263" spans="1:2" x14ac:dyDescent="0.25">
      <c r="A46263">
        <v>950300982</v>
      </c>
      <c r="B46263" t="s">
        <v>15120</v>
      </c>
    </row>
    <row r="46264" spans="1:2" x14ac:dyDescent="0.25">
      <c r="A46264">
        <v>9503009821</v>
      </c>
      <c r="B46264" t="s">
        <v>7612</v>
      </c>
    </row>
    <row r="46265" spans="1:2" x14ac:dyDescent="0.25">
      <c r="A46265">
        <v>95030098211</v>
      </c>
      <c r="B46265" t="s">
        <v>15121</v>
      </c>
    </row>
    <row r="46266" spans="1:2" x14ac:dyDescent="0.25">
      <c r="A46266">
        <v>95030098219</v>
      </c>
      <c r="B46266" t="s">
        <v>10</v>
      </c>
    </row>
    <row r="46267" spans="1:2" x14ac:dyDescent="0.25">
      <c r="A46267">
        <v>9503009822</v>
      </c>
      <c r="B46267" t="s">
        <v>14916</v>
      </c>
    </row>
    <row r="46268" spans="1:2" x14ac:dyDescent="0.25">
      <c r="A46268">
        <v>95030098221</v>
      </c>
      <c r="B46268" t="s">
        <v>15121</v>
      </c>
    </row>
    <row r="46269" spans="1:2" x14ac:dyDescent="0.25">
      <c r="A46269">
        <v>95030098229</v>
      </c>
      <c r="B46269" t="s">
        <v>10</v>
      </c>
    </row>
    <row r="46270" spans="1:2" x14ac:dyDescent="0.25">
      <c r="A46270">
        <v>9503009829</v>
      </c>
      <c r="B46270" t="s">
        <v>10</v>
      </c>
    </row>
    <row r="46271" spans="1:2" x14ac:dyDescent="0.25">
      <c r="A46271">
        <v>95030098291</v>
      </c>
      <c r="B46271" t="s">
        <v>15121</v>
      </c>
    </row>
    <row r="46272" spans="1:2" x14ac:dyDescent="0.25">
      <c r="A46272">
        <v>95030098299</v>
      </c>
      <c r="B46272" t="s">
        <v>10</v>
      </c>
    </row>
    <row r="46273" spans="1:2" x14ac:dyDescent="0.25">
      <c r="A46273">
        <v>950300983</v>
      </c>
      <c r="B46273" t="s">
        <v>15122</v>
      </c>
    </row>
    <row r="46274" spans="1:2" x14ac:dyDescent="0.25">
      <c r="A46274">
        <v>9503009831</v>
      </c>
      <c r="B46274" t="s">
        <v>7612</v>
      </c>
    </row>
    <row r="46275" spans="1:2" x14ac:dyDescent="0.25">
      <c r="A46275">
        <v>95030098311</v>
      </c>
      <c r="B46275" t="s">
        <v>15121</v>
      </c>
    </row>
    <row r="46276" spans="1:2" x14ac:dyDescent="0.25">
      <c r="A46276">
        <v>95030098312</v>
      </c>
      <c r="B46276" t="s">
        <v>15123</v>
      </c>
    </row>
    <row r="46277" spans="1:2" x14ac:dyDescent="0.25">
      <c r="A46277">
        <v>95030098319</v>
      </c>
      <c r="B46277" t="s">
        <v>10</v>
      </c>
    </row>
    <row r="46278" spans="1:2" x14ac:dyDescent="0.25">
      <c r="A46278">
        <v>9503009832</v>
      </c>
      <c r="B46278" t="s">
        <v>14916</v>
      </c>
    </row>
    <row r="46279" spans="1:2" x14ac:dyDescent="0.25">
      <c r="A46279">
        <v>95030098321</v>
      </c>
      <c r="B46279" t="s">
        <v>15121</v>
      </c>
    </row>
    <row r="46280" spans="1:2" x14ac:dyDescent="0.25">
      <c r="A46280">
        <v>95030098329</v>
      </c>
      <c r="B46280" t="s">
        <v>10</v>
      </c>
    </row>
    <row r="46281" spans="1:2" x14ac:dyDescent="0.25">
      <c r="A46281">
        <v>9503009839</v>
      </c>
      <c r="B46281" t="s">
        <v>10</v>
      </c>
    </row>
    <row r="46282" spans="1:2" x14ac:dyDescent="0.25">
      <c r="A46282">
        <v>95030098391</v>
      </c>
      <c r="B46282" t="s">
        <v>15121</v>
      </c>
    </row>
    <row r="46283" spans="1:2" x14ac:dyDescent="0.25">
      <c r="A46283">
        <v>95030098399</v>
      </c>
      <c r="B46283" t="s">
        <v>10</v>
      </c>
    </row>
    <row r="46284" spans="1:2" x14ac:dyDescent="0.25">
      <c r="A46284">
        <v>950300984</v>
      </c>
      <c r="B46284" t="s">
        <v>15124</v>
      </c>
    </row>
    <row r="46285" spans="1:2" x14ac:dyDescent="0.25">
      <c r="A46285">
        <v>95030098410</v>
      </c>
      <c r="B46285" t="s">
        <v>7612</v>
      </c>
    </row>
    <row r="46286" spans="1:2" x14ac:dyDescent="0.25">
      <c r="A46286">
        <v>95030098420</v>
      </c>
      <c r="B46286" t="s">
        <v>14916</v>
      </c>
    </row>
    <row r="46287" spans="1:2" x14ac:dyDescent="0.25">
      <c r="A46287">
        <v>95030098490</v>
      </c>
      <c r="B46287" t="s">
        <v>10</v>
      </c>
    </row>
    <row r="46288" spans="1:2" x14ac:dyDescent="0.25">
      <c r="A46288">
        <v>950300989</v>
      </c>
      <c r="B46288" t="s">
        <v>10</v>
      </c>
    </row>
    <row r="46289" spans="1:2" x14ac:dyDescent="0.25">
      <c r="A46289">
        <v>9503009891</v>
      </c>
      <c r="B46289" t="s">
        <v>7612</v>
      </c>
    </row>
    <row r="46290" spans="1:2" x14ac:dyDescent="0.25">
      <c r="A46290">
        <v>95030098911</v>
      </c>
      <c r="B46290" t="s">
        <v>15113</v>
      </c>
    </row>
    <row r="46291" spans="1:2" x14ac:dyDescent="0.25">
      <c r="A46291">
        <v>95030098912</v>
      </c>
      <c r="B46291" t="s">
        <v>15116</v>
      </c>
    </row>
    <row r="46292" spans="1:2" x14ac:dyDescent="0.25">
      <c r="A46292">
        <v>95030098913</v>
      </c>
      <c r="B46292" t="s">
        <v>15117</v>
      </c>
    </row>
    <row r="46293" spans="1:2" x14ac:dyDescent="0.25">
      <c r="A46293">
        <v>95030098914</v>
      </c>
      <c r="B46293" t="s">
        <v>15118</v>
      </c>
    </row>
    <row r="46294" spans="1:2" x14ac:dyDescent="0.25">
      <c r="A46294">
        <v>95030098915</v>
      </c>
      <c r="B46294" t="s">
        <v>15125</v>
      </c>
    </row>
    <row r="46295" spans="1:2" x14ac:dyDescent="0.25">
      <c r="A46295">
        <v>95030098916</v>
      </c>
      <c r="B46295" t="s">
        <v>15126</v>
      </c>
    </row>
    <row r="46296" spans="1:2" x14ac:dyDescent="0.25">
      <c r="A46296">
        <v>95030098919</v>
      </c>
      <c r="B46296" t="s">
        <v>10</v>
      </c>
    </row>
    <row r="46297" spans="1:2" x14ac:dyDescent="0.25">
      <c r="A46297">
        <v>9503009892</v>
      </c>
      <c r="B46297" t="s">
        <v>14916</v>
      </c>
    </row>
    <row r="46298" spans="1:2" x14ac:dyDescent="0.25">
      <c r="A46298">
        <v>95030098921</v>
      </c>
      <c r="B46298" t="s">
        <v>15113</v>
      </c>
    </row>
    <row r="46299" spans="1:2" x14ac:dyDescent="0.25">
      <c r="A46299">
        <v>95030098922</v>
      </c>
      <c r="B46299" t="s">
        <v>15116</v>
      </c>
    </row>
    <row r="46300" spans="1:2" x14ac:dyDescent="0.25">
      <c r="A46300">
        <v>95030098923</v>
      </c>
      <c r="B46300" t="s">
        <v>15117</v>
      </c>
    </row>
    <row r="46301" spans="1:2" x14ac:dyDescent="0.25">
      <c r="A46301">
        <v>95030098924</v>
      </c>
      <c r="B46301" t="s">
        <v>15118</v>
      </c>
    </row>
    <row r="46302" spans="1:2" x14ac:dyDescent="0.25">
      <c r="A46302">
        <v>95030098925</v>
      </c>
      <c r="B46302" t="s">
        <v>15125</v>
      </c>
    </row>
    <row r="46303" spans="1:2" x14ac:dyDescent="0.25">
      <c r="A46303">
        <v>95030098926</v>
      </c>
      <c r="B46303" t="s">
        <v>15126</v>
      </c>
    </row>
    <row r="46304" spans="1:2" x14ac:dyDescent="0.25">
      <c r="A46304">
        <v>95030098929</v>
      </c>
      <c r="B46304" t="s">
        <v>10</v>
      </c>
    </row>
    <row r="46305" spans="1:2" x14ac:dyDescent="0.25">
      <c r="A46305">
        <v>9503009893</v>
      </c>
      <c r="B46305" t="s">
        <v>7614</v>
      </c>
    </row>
    <row r="46306" spans="1:2" x14ac:dyDescent="0.25">
      <c r="A46306">
        <v>95030098931</v>
      </c>
      <c r="B46306" t="s">
        <v>15113</v>
      </c>
    </row>
    <row r="46307" spans="1:2" x14ac:dyDescent="0.25">
      <c r="A46307">
        <v>95030098932</v>
      </c>
      <c r="B46307" t="s">
        <v>15116</v>
      </c>
    </row>
    <row r="46308" spans="1:2" x14ac:dyDescent="0.25">
      <c r="A46308">
        <v>95030098933</v>
      </c>
      <c r="B46308" t="s">
        <v>15117</v>
      </c>
    </row>
    <row r="46309" spans="1:2" x14ac:dyDescent="0.25">
      <c r="A46309">
        <v>95030098934</v>
      </c>
      <c r="B46309" t="s">
        <v>15118</v>
      </c>
    </row>
    <row r="46310" spans="1:2" x14ac:dyDescent="0.25">
      <c r="A46310">
        <v>95030098935</v>
      </c>
      <c r="B46310" t="s">
        <v>15125</v>
      </c>
    </row>
    <row r="46311" spans="1:2" x14ac:dyDescent="0.25">
      <c r="A46311">
        <v>95030098936</v>
      </c>
      <c r="B46311" t="s">
        <v>15126</v>
      </c>
    </row>
    <row r="46312" spans="1:2" x14ac:dyDescent="0.25">
      <c r="A46312">
        <v>95030098939</v>
      </c>
      <c r="B46312" t="s">
        <v>10</v>
      </c>
    </row>
    <row r="46313" spans="1:2" x14ac:dyDescent="0.25">
      <c r="A46313">
        <v>9503009899</v>
      </c>
      <c r="B46313" t="s">
        <v>10</v>
      </c>
    </row>
    <row r="46314" spans="1:2" x14ac:dyDescent="0.25">
      <c r="A46314">
        <v>95030098991</v>
      </c>
      <c r="B46314" t="s">
        <v>15113</v>
      </c>
    </row>
    <row r="46315" spans="1:2" x14ac:dyDescent="0.25">
      <c r="A46315">
        <v>95030098992</v>
      </c>
      <c r="B46315" t="s">
        <v>15116</v>
      </c>
    </row>
    <row r="46316" spans="1:2" x14ac:dyDescent="0.25">
      <c r="A46316">
        <v>95030098993</v>
      </c>
      <c r="B46316" t="s">
        <v>15117</v>
      </c>
    </row>
    <row r="46317" spans="1:2" x14ac:dyDescent="0.25">
      <c r="A46317">
        <v>95030098994</v>
      </c>
      <c r="B46317" t="s">
        <v>15118</v>
      </c>
    </row>
    <row r="46318" spans="1:2" x14ac:dyDescent="0.25">
      <c r="A46318">
        <v>95030098995</v>
      </c>
      <c r="B46318" t="s">
        <v>15125</v>
      </c>
    </row>
    <row r="46319" spans="1:2" x14ac:dyDescent="0.25">
      <c r="A46319">
        <v>95030098996</v>
      </c>
      <c r="B46319" t="s">
        <v>15126</v>
      </c>
    </row>
    <row r="46320" spans="1:2" x14ac:dyDescent="0.25">
      <c r="A46320">
        <v>95030098999</v>
      </c>
      <c r="B46320" t="s">
        <v>10</v>
      </c>
    </row>
    <row r="46321" spans="1:2" x14ac:dyDescent="0.25">
      <c r="A46321">
        <v>95030099</v>
      </c>
      <c r="B46321" t="s">
        <v>10</v>
      </c>
    </row>
    <row r="46322" spans="1:2" x14ac:dyDescent="0.25">
      <c r="A46322">
        <v>95030099100</v>
      </c>
      <c r="B46322" t="s">
        <v>15035</v>
      </c>
    </row>
    <row r="46323" spans="1:2" x14ac:dyDescent="0.25">
      <c r="A46323">
        <v>950300992</v>
      </c>
      <c r="B46323" t="s">
        <v>15127</v>
      </c>
    </row>
    <row r="46324" spans="1:2" x14ac:dyDescent="0.25">
      <c r="A46324">
        <v>9503009921</v>
      </c>
      <c r="B46324" t="s">
        <v>15128</v>
      </c>
    </row>
    <row r="46325" spans="1:2" x14ac:dyDescent="0.25">
      <c r="A46325">
        <v>95030099211</v>
      </c>
      <c r="B46325" t="s">
        <v>8116</v>
      </c>
    </row>
    <row r="46326" spans="1:2" x14ac:dyDescent="0.25">
      <c r="A46326">
        <v>95030099219</v>
      </c>
      <c r="B46326" t="s">
        <v>10</v>
      </c>
    </row>
    <row r="46327" spans="1:2" x14ac:dyDescent="0.25">
      <c r="A46327">
        <v>9503009922</v>
      </c>
      <c r="B46327" t="s">
        <v>15129</v>
      </c>
    </row>
    <row r="46328" spans="1:2" x14ac:dyDescent="0.25">
      <c r="A46328">
        <v>95030099221</v>
      </c>
      <c r="B46328" t="s">
        <v>8116</v>
      </c>
    </row>
    <row r="46329" spans="1:2" x14ac:dyDescent="0.25">
      <c r="A46329">
        <v>95030099229</v>
      </c>
      <c r="B46329" t="s">
        <v>10</v>
      </c>
    </row>
    <row r="46330" spans="1:2" x14ac:dyDescent="0.25">
      <c r="A46330">
        <v>9503009923</v>
      </c>
      <c r="B46330" t="s">
        <v>8128</v>
      </c>
    </row>
    <row r="46331" spans="1:2" x14ac:dyDescent="0.25">
      <c r="A46331">
        <v>95030099231</v>
      </c>
      <c r="B46331" t="s">
        <v>8116</v>
      </c>
    </row>
    <row r="46332" spans="1:2" x14ac:dyDescent="0.25">
      <c r="A46332">
        <v>95030099239</v>
      </c>
      <c r="B46332" t="s">
        <v>10</v>
      </c>
    </row>
    <row r="46333" spans="1:2" x14ac:dyDescent="0.25">
      <c r="A46333">
        <v>9503009929</v>
      </c>
      <c r="B46333" t="s">
        <v>15130</v>
      </c>
    </row>
    <row r="46334" spans="1:2" x14ac:dyDescent="0.25">
      <c r="A46334">
        <v>95030099291</v>
      </c>
      <c r="B46334" t="s">
        <v>8116</v>
      </c>
    </row>
    <row r="46335" spans="1:2" x14ac:dyDescent="0.25">
      <c r="A46335">
        <v>95030099299</v>
      </c>
      <c r="B46335" t="s">
        <v>10</v>
      </c>
    </row>
    <row r="46336" spans="1:2" x14ac:dyDescent="0.25">
      <c r="A46336">
        <v>950300993</v>
      </c>
      <c r="B46336" t="s">
        <v>15131</v>
      </c>
    </row>
    <row r="46337" spans="1:2" x14ac:dyDescent="0.25">
      <c r="A46337">
        <v>9503009931</v>
      </c>
      <c r="B46337" t="s">
        <v>15113</v>
      </c>
    </row>
    <row r="46338" spans="1:2" x14ac:dyDescent="0.25">
      <c r="A46338">
        <v>95030099311</v>
      </c>
      <c r="B46338" t="s">
        <v>7612</v>
      </c>
    </row>
    <row r="46339" spans="1:2" x14ac:dyDescent="0.25">
      <c r="A46339">
        <v>95030099312</v>
      </c>
      <c r="B46339" t="s">
        <v>14916</v>
      </c>
    </row>
    <row r="46340" spans="1:2" x14ac:dyDescent="0.25">
      <c r="A46340">
        <v>95030099319</v>
      </c>
      <c r="B46340" t="s">
        <v>10</v>
      </c>
    </row>
    <row r="46341" spans="1:2" x14ac:dyDescent="0.25">
      <c r="A46341">
        <v>9503009932</v>
      </c>
      <c r="B46341" t="s">
        <v>15132</v>
      </c>
    </row>
    <row r="46342" spans="1:2" x14ac:dyDescent="0.25">
      <c r="A46342">
        <v>95030099321</v>
      </c>
      <c r="B46342" t="s">
        <v>15068</v>
      </c>
    </row>
    <row r="46343" spans="1:2" x14ac:dyDescent="0.25">
      <c r="A46343">
        <v>95030099329</v>
      </c>
      <c r="B46343" t="s">
        <v>10</v>
      </c>
    </row>
    <row r="46344" spans="1:2" x14ac:dyDescent="0.25">
      <c r="A46344">
        <v>9503009933</v>
      </c>
      <c r="B46344" t="s">
        <v>15133</v>
      </c>
    </row>
    <row r="46345" spans="1:2" x14ac:dyDescent="0.25">
      <c r="A46345">
        <v>95030099331</v>
      </c>
      <c r="B46345" t="s">
        <v>15068</v>
      </c>
    </row>
    <row r="46346" spans="1:2" x14ac:dyDescent="0.25">
      <c r="A46346">
        <v>95030099339</v>
      </c>
      <c r="B46346" t="s">
        <v>10</v>
      </c>
    </row>
    <row r="46347" spans="1:2" x14ac:dyDescent="0.25">
      <c r="A46347">
        <v>9503009934</v>
      </c>
      <c r="B46347" t="s">
        <v>15134</v>
      </c>
    </row>
    <row r="46348" spans="1:2" x14ac:dyDescent="0.25">
      <c r="A46348">
        <v>95030099341</v>
      </c>
      <c r="B46348" t="s">
        <v>15068</v>
      </c>
    </row>
    <row r="46349" spans="1:2" x14ac:dyDescent="0.25">
      <c r="A46349">
        <v>95030099349</v>
      </c>
      <c r="B46349" t="s">
        <v>10</v>
      </c>
    </row>
    <row r="46350" spans="1:2" x14ac:dyDescent="0.25">
      <c r="A46350">
        <v>9503009935</v>
      </c>
      <c r="B46350" t="s">
        <v>15135</v>
      </c>
    </row>
    <row r="46351" spans="1:2" x14ac:dyDescent="0.25">
      <c r="A46351">
        <v>95030099351</v>
      </c>
      <c r="B46351" t="s">
        <v>15068</v>
      </c>
    </row>
    <row r="46352" spans="1:2" x14ac:dyDescent="0.25">
      <c r="A46352">
        <v>95030099359</v>
      </c>
      <c r="B46352" t="s">
        <v>10</v>
      </c>
    </row>
    <row r="46353" spans="1:2" x14ac:dyDescent="0.25">
      <c r="A46353">
        <v>9503009936</v>
      </c>
      <c r="B46353" t="s">
        <v>15116</v>
      </c>
    </row>
    <row r="46354" spans="1:2" x14ac:dyDescent="0.25">
      <c r="A46354">
        <v>95030099361</v>
      </c>
      <c r="B46354" t="s">
        <v>7612</v>
      </c>
    </row>
    <row r="46355" spans="1:2" x14ac:dyDescent="0.25">
      <c r="A46355">
        <v>95030099362</v>
      </c>
      <c r="B46355" t="s">
        <v>14916</v>
      </c>
    </row>
    <row r="46356" spans="1:2" x14ac:dyDescent="0.25">
      <c r="A46356">
        <v>95030099369</v>
      </c>
      <c r="B46356" t="s">
        <v>10</v>
      </c>
    </row>
    <row r="46357" spans="1:2" x14ac:dyDescent="0.25">
      <c r="A46357">
        <v>9503009937</v>
      </c>
      <c r="B46357" t="s">
        <v>15117</v>
      </c>
    </row>
    <row r="46358" spans="1:2" x14ac:dyDescent="0.25">
      <c r="A46358">
        <v>95030099371</v>
      </c>
      <c r="B46358" t="s">
        <v>7612</v>
      </c>
    </row>
    <row r="46359" spans="1:2" x14ac:dyDescent="0.25">
      <c r="A46359">
        <v>95030099372</v>
      </c>
      <c r="B46359" t="s">
        <v>14916</v>
      </c>
    </row>
    <row r="46360" spans="1:2" x14ac:dyDescent="0.25">
      <c r="A46360">
        <v>95030099379</v>
      </c>
      <c r="B46360" t="s">
        <v>10</v>
      </c>
    </row>
    <row r="46361" spans="1:2" x14ac:dyDescent="0.25">
      <c r="A46361">
        <v>9503009938</v>
      </c>
      <c r="B46361" t="s">
        <v>15118</v>
      </c>
    </row>
    <row r="46362" spans="1:2" x14ac:dyDescent="0.25">
      <c r="A46362">
        <v>95030099381</v>
      </c>
      <c r="B46362" t="s">
        <v>7612</v>
      </c>
    </row>
    <row r="46363" spans="1:2" x14ac:dyDescent="0.25">
      <c r="A46363">
        <v>95030099382</v>
      </c>
      <c r="B46363" t="s">
        <v>14916</v>
      </c>
    </row>
    <row r="46364" spans="1:2" x14ac:dyDescent="0.25">
      <c r="A46364">
        <v>95030099389</v>
      </c>
      <c r="B46364" t="s">
        <v>10</v>
      </c>
    </row>
    <row r="46365" spans="1:2" x14ac:dyDescent="0.25">
      <c r="A46365">
        <v>9503009939</v>
      </c>
      <c r="B46365" t="s">
        <v>10</v>
      </c>
    </row>
    <row r="46366" spans="1:2" x14ac:dyDescent="0.25">
      <c r="A46366">
        <v>95030099391</v>
      </c>
      <c r="B46366" t="s">
        <v>7612</v>
      </c>
    </row>
    <row r="46367" spans="1:2" x14ac:dyDescent="0.25">
      <c r="A46367">
        <v>95030099392</v>
      </c>
      <c r="B46367" t="s">
        <v>14916</v>
      </c>
    </row>
    <row r="46368" spans="1:2" x14ac:dyDescent="0.25">
      <c r="A46368">
        <v>95030099399</v>
      </c>
      <c r="B46368" t="s">
        <v>10</v>
      </c>
    </row>
    <row r="46369" spans="1:2" x14ac:dyDescent="0.25">
      <c r="A46369">
        <v>950300994</v>
      </c>
      <c r="B46369" t="s">
        <v>15136</v>
      </c>
    </row>
    <row r="46370" spans="1:2" x14ac:dyDescent="0.25">
      <c r="A46370">
        <v>9503009941</v>
      </c>
      <c r="B46370" t="s">
        <v>15137</v>
      </c>
    </row>
    <row r="46371" spans="1:2" x14ac:dyDescent="0.25">
      <c r="A46371">
        <v>95030099411</v>
      </c>
      <c r="B46371" t="s">
        <v>15138</v>
      </c>
    </row>
    <row r="46372" spans="1:2" x14ac:dyDescent="0.25">
      <c r="A46372">
        <v>95030099419</v>
      </c>
      <c r="B46372" t="s">
        <v>57</v>
      </c>
    </row>
    <row r="46373" spans="1:2" x14ac:dyDescent="0.25">
      <c r="A46373">
        <v>9503009942</v>
      </c>
      <c r="B46373" t="s">
        <v>15139</v>
      </c>
    </row>
    <row r="46374" spans="1:2" x14ac:dyDescent="0.25">
      <c r="A46374">
        <v>95030099421</v>
      </c>
      <c r="B46374" t="s">
        <v>7612</v>
      </c>
    </row>
    <row r="46375" spans="1:2" x14ac:dyDescent="0.25">
      <c r="A46375">
        <v>95030099422</v>
      </c>
      <c r="B46375" t="s">
        <v>15140</v>
      </c>
    </row>
    <row r="46376" spans="1:2" x14ac:dyDescent="0.25">
      <c r="A46376">
        <v>95030099429</v>
      </c>
      <c r="B46376" t="s">
        <v>57</v>
      </c>
    </row>
    <row r="46377" spans="1:2" x14ac:dyDescent="0.25">
      <c r="A46377">
        <v>95030099500</v>
      </c>
      <c r="B46377" t="s">
        <v>15141</v>
      </c>
    </row>
    <row r="46378" spans="1:2" x14ac:dyDescent="0.25">
      <c r="A46378">
        <v>950300996</v>
      </c>
      <c r="B46378" t="s">
        <v>15142</v>
      </c>
    </row>
    <row r="46379" spans="1:2" x14ac:dyDescent="0.25">
      <c r="A46379">
        <v>9503009961</v>
      </c>
      <c r="B46379" t="s">
        <v>15073</v>
      </c>
    </row>
    <row r="46380" spans="1:2" x14ac:dyDescent="0.25">
      <c r="A46380">
        <v>95030099611</v>
      </c>
      <c r="B46380" t="s">
        <v>7612</v>
      </c>
    </row>
    <row r="46381" spans="1:2" x14ac:dyDescent="0.25">
      <c r="A46381">
        <v>95030099612</v>
      </c>
      <c r="B46381" t="s">
        <v>7614</v>
      </c>
    </row>
    <row r="46382" spans="1:2" x14ac:dyDescent="0.25">
      <c r="A46382">
        <v>95030099613</v>
      </c>
      <c r="B46382" t="s">
        <v>14916</v>
      </c>
    </row>
    <row r="46383" spans="1:2" x14ac:dyDescent="0.25">
      <c r="A46383">
        <v>95030099619</v>
      </c>
      <c r="B46383" t="s">
        <v>10</v>
      </c>
    </row>
    <row r="46384" spans="1:2" x14ac:dyDescent="0.25">
      <c r="A46384">
        <v>9503009969</v>
      </c>
      <c r="B46384" t="s">
        <v>10</v>
      </c>
    </row>
    <row r="46385" spans="1:2" x14ac:dyDescent="0.25">
      <c r="A46385">
        <v>95030099691</v>
      </c>
      <c r="B46385" t="s">
        <v>7612</v>
      </c>
    </row>
    <row r="46386" spans="1:2" x14ac:dyDescent="0.25">
      <c r="A46386">
        <v>95030099692</v>
      </c>
      <c r="B46386" t="s">
        <v>7614</v>
      </c>
    </row>
    <row r="46387" spans="1:2" x14ac:dyDescent="0.25">
      <c r="A46387">
        <v>95030099693</v>
      </c>
      <c r="B46387" t="s">
        <v>14916</v>
      </c>
    </row>
    <row r="46388" spans="1:2" x14ac:dyDescent="0.25">
      <c r="A46388">
        <v>95030099699</v>
      </c>
      <c r="B46388" t="s">
        <v>10</v>
      </c>
    </row>
    <row r="46389" spans="1:2" x14ac:dyDescent="0.25">
      <c r="A46389">
        <v>95030099700</v>
      </c>
      <c r="B46389" t="s">
        <v>15123</v>
      </c>
    </row>
    <row r="46390" spans="1:2" x14ac:dyDescent="0.25">
      <c r="A46390">
        <v>95030099800</v>
      </c>
      <c r="B46390" t="s">
        <v>6945</v>
      </c>
    </row>
    <row r="46391" spans="1:2" x14ac:dyDescent="0.25">
      <c r="A46391">
        <v>950300999</v>
      </c>
      <c r="B46391" t="s">
        <v>10</v>
      </c>
    </row>
    <row r="46392" spans="1:2" x14ac:dyDescent="0.25">
      <c r="A46392">
        <v>9503009991</v>
      </c>
      <c r="B46392" t="s">
        <v>15073</v>
      </c>
    </row>
    <row r="46393" spans="1:2" x14ac:dyDescent="0.25">
      <c r="A46393">
        <v>95030099911</v>
      </c>
      <c r="B46393" t="s">
        <v>7612</v>
      </c>
    </row>
    <row r="46394" spans="1:2" x14ac:dyDescent="0.25">
      <c r="A46394">
        <v>95030099912</v>
      </c>
      <c r="B46394" t="s">
        <v>14916</v>
      </c>
    </row>
    <row r="46395" spans="1:2" x14ac:dyDescent="0.25">
      <c r="A46395">
        <v>95030099913</v>
      </c>
      <c r="B46395" t="s">
        <v>7614</v>
      </c>
    </row>
    <row r="46396" spans="1:2" x14ac:dyDescent="0.25">
      <c r="A46396">
        <v>95030099919</v>
      </c>
      <c r="B46396" t="s">
        <v>10</v>
      </c>
    </row>
    <row r="46397" spans="1:2" x14ac:dyDescent="0.25">
      <c r="A46397">
        <v>9503009992</v>
      </c>
      <c r="B46397" t="s">
        <v>15143</v>
      </c>
    </row>
    <row r="46398" spans="1:2" x14ac:dyDescent="0.25">
      <c r="A46398">
        <v>95030099921</v>
      </c>
      <c r="B46398" t="s">
        <v>7612</v>
      </c>
    </row>
    <row r="46399" spans="1:2" x14ac:dyDescent="0.25">
      <c r="A46399">
        <v>95030099922</v>
      </c>
      <c r="B46399" t="s">
        <v>9350</v>
      </c>
    </row>
    <row r="46400" spans="1:2" x14ac:dyDescent="0.25">
      <c r="A46400">
        <v>95030099929</v>
      </c>
      <c r="B46400" t="s">
        <v>10</v>
      </c>
    </row>
    <row r="46401" spans="1:2" x14ac:dyDescent="0.25">
      <c r="A46401">
        <v>95030099930</v>
      </c>
      <c r="B46401" t="s">
        <v>15144</v>
      </c>
    </row>
    <row r="46402" spans="1:2" x14ac:dyDescent="0.25">
      <c r="A46402">
        <v>9503009994</v>
      </c>
      <c r="B46402" t="s">
        <v>15145</v>
      </c>
    </row>
    <row r="46403" spans="1:2" x14ac:dyDescent="0.25">
      <c r="A46403">
        <v>95030099941</v>
      </c>
      <c r="B46403" t="s">
        <v>7612</v>
      </c>
    </row>
    <row r="46404" spans="1:2" x14ac:dyDescent="0.25">
      <c r="A46404">
        <v>95030099942</v>
      </c>
      <c r="B46404" t="s">
        <v>14916</v>
      </c>
    </row>
    <row r="46405" spans="1:2" x14ac:dyDescent="0.25">
      <c r="A46405">
        <v>95030099949</v>
      </c>
      <c r="B46405" t="s">
        <v>57</v>
      </c>
    </row>
    <row r="46406" spans="1:2" x14ac:dyDescent="0.25">
      <c r="A46406">
        <v>95030099950</v>
      </c>
      <c r="B46406" t="s">
        <v>15146</v>
      </c>
    </row>
    <row r="46407" spans="1:2" x14ac:dyDescent="0.25">
      <c r="A46407">
        <v>95030099960</v>
      </c>
      <c r="B46407" t="s">
        <v>15147</v>
      </c>
    </row>
    <row r="46408" spans="1:2" x14ac:dyDescent="0.25">
      <c r="A46408">
        <v>95030099970</v>
      </c>
      <c r="B46408" t="s">
        <v>15148</v>
      </c>
    </row>
    <row r="46409" spans="1:2" x14ac:dyDescent="0.25">
      <c r="A46409">
        <v>9503009999</v>
      </c>
      <c r="B46409" t="s">
        <v>10</v>
      </c>
    </row>
    <row r="46410" spans="1:2" x14ac:dyDescent="0.25">
      <c r="A46410">
        <v>95030099991</v>
      </c>
      <c r="B46410" t="s">
        <v>7612</v>
      </c>
    </row>
    <row r="46411" spans="1:2" x14ac:dyDescent="0.25">
      <c r="A46411">
        <v>95030099992</v>
      </c>
      <c r="B46411" t="s">
        <v>14916</v>
      </c>
    </row>
    <row r="46412" spans="1:2" x14ac:dyDescent="0.25">
      <c r="A46412">
        <v>95030099993</v>
      </c>
      <c r="B46412" t="s">
        <v>7614</v>
      </c>
    </row>
    <row r="46413" spans="1:2" x14ac:dyDescent="0.25">
      <c r="A46413">
        <v>95030099999</v>
      </c>
      <c r="B46413" t="s">
        <v>10</v>
      </c>
    </row>
    <row r="46414" spans="1:2" x14ac:dyDescent="0.25">
      <c r="A46414">
        <v>9504</v>
      </c>
      <c r="B46414" t="s">
        <v>15149</v>
      </c>
    </row>
    <row r="46415" spans="1:2" x14ac:dyDescent="0.25">
      <c r="A46415">
        <v>95042000</v>
      </c>
      <c r="B46415" t="e">
        <f>- Billares de cualquier clase y sus accesorios</f>
        <v>#NAME?</v>
      </c>
    </row>
    <row r="46416" spans="1:2" x14ac:dyDescent="0.25">
      <c r="A46416">
        <v>950420001</v>
      </c>
      <c r="B46416" t="s">
        <v>15150</v>
      </c>
    </row>
    <row r="46417" spans="1:2" x14ac:dyDescent="0.25">
      <c r="A46417">
        <v>9504200011</v>
      </c>
      <c r="B46417" t="s">
        <v>15151</v>
      </c>
    </row>
    <row r="46418" spans="1:2" x14ac:dyDescent="0.25">
      <c r="A46418">
        <v>95042000111</v>
      </c>
      <c r="B46418" t="s">
        <v>14902</v>
      </c>
    </row>
    <row r="46419" spans="1:2" x14ac:dyDescent="0.25">
      <c r="A46419">
        <v>95042000119</v>
      </c>
      <c r="B46419" t="s">
        <v>10</v>
      </c>
    </row>
    <row r="46420" spans="1:2" x14ac:dyDescent="0.25">
      <c r="A46420">
        <v>9504200019</v>
      </c>
      <c r="B46420" t="s">
        <v>10</v>
      </c>
    </row>
    <row r="46421" spans="1:2" x14ac:dyDescent="0.25">
      <c r="A46421">
        <v>95042000191</v>
      </c>
      <c r="B46421" t="s">
        <v>5635</v>
      </c>
    </row>
    <row r="46422" spans="1:2" x14ac:dyDescent="0.25">
      <c r="A46422">
        <v>95042000199</v>
      </c>
      <c r="B46422" t="s">
        <v>10</v>
      </c>
    </row>
    <row r="46423" spans="1:2" x14ac:dyDescent="0.25">
      <c r="A46423">
        <v>950420002</v>
      </c>
      <c r="B46423" t="s">
        <v>14362</v>
      </c>
    </row>
    <row r="46424" spans="1:2" x14ac:dyDescent="0.25">
      <c r="A46424">
        <v>95042000210</v>
      </c>
      <c r="B46424" t="s">
        <v>15152</v>
      </c>
    </row>
    <row r="46425" spans="1:2" x14ac:dyDescent="0.25">
      <c r="A46425">
        <v>9504200022</v>
      </c>
      <c r="B46425" t="s">
        <v>15153</v>
      </c>
    </row>
    <row r="46426" spans="1:2" x14ac:dyDescent="0.25">
      <c r="A46426">
        <v>95042000221</v>
      </c>
      <c r="B46426" t="s">
        <v>15154</v>
      </c>
    </row>
    <row r="46427" spans="1:2" x14ac:dyDescent="0.25">
      <c r="A46427">
        <v>95042000229</v>
      </c>
      <c r="B46427" t="s">
        <v>57</v>
      </c>
    </row>
    <row r="46428" spans="1:2" x14ac:dyDescent="0.25">
      <c r="A46428">
        <v>95042000290</v>
      </c>
      <c r="B46428" t="s">
        <v>10</v>
      </c>
    </row>
    <row r="46429" spans="1:2" x14ac:dyDescent="0.25">
      <c r="A46429">
        <v>95043000</v>
      </c>
      <c r="B46429" t="s">
        <v>15155</v>
      </c>
    </row>
    <row r="46430" spans="1:2" x14ac:dyDescent="0.25">
      <c r="A46430">
        <v>950430001</v>
      </c>
      <c r="B46430" t="s">
        <v>15156</v>
      </c>
    </row>
    <row r="46431" spans="1:2" x14ac:dyDescent="0.25">
      <c r="A46431">
        <v>95043000110</v>
      </c>
      <c r="B46431" t="s">
        <v>9268</v>
      </c>
    </row>
    <row r="46432" spans="1:2" x14ac:dyDescent="0.25">
      <c r="A46432">
        <v>95043000120</v>
      </c>
      <c r="B46432" t="s">
        <v>15157</v>
      </c>
    </row>
    <row r="46433" spans="1:2" x14ac:dyDescent="0.25">
      <c r="A46433">
        <v>95043000130</v>
      </c>
      <c r="B46433" t="s">
        <v>15158</v>
      </c>
    </row>
    <row r="46434" spans="1:2" x14ac:dyDescent="0.25">
      <c r="A46434">
        <v>95043000190</v>
      </c>
      <c r="B46434" t="s">
        <v>10</v>
      </c>
    </row>
    <row r="46435" spans="1:2" x14ac:dyDescent="0.25">
      <c r="A46435">
        <v>95043000200</v>
      </c>
      <c r="B46435" t="s">
        <v>15159</v>
      </c>
    </row>
    <row r="46436" spans="1:2" x14ac:dyDescent="0.25">
      <c r="A46436">
        <v>950430009</v>
      </c>
      <c r="B46436" t="s">
        <v>10</v>
      </c>
    </row>
    <row r="46437" spans="1:2" x14ac:dyDescent="0.25">
      <c r="A46437">
        <v>95043000910</v>
      </c>
      <c r="B46437" t="s">
        <v>14362</v>
      </c>
    </row>
    <row r="46438" spans="1:2" x14ac:dyDescent="0.25">
      <c r="A46438">
        <v>95043000990</v>
      </c>
      <c r="B46438" t="s">
        <v>10</v>
      </c>
    </row>
    <row r="46439" spans="1:2" x14ac:dyDescent="0.25">
      <c r="A46439">
        <v>95044000</v>
      </c>
      <c r="B46439" t="e">
        <f>- Naipes</f>
        <v>#NAME?</v>
      </c>
    </row>
    <row r="46440" spans="1:2" x14ac:dyDescent="0.25">
      <c r="A46440">
        <v>950440001</v>
      </c>
      <c r="B46440" t="s">
        <v>15160</v>
      </c>
    </row>
    <row r="46441" spans="1:2" x14ac:dyDescent="0.25">
      <c r="A46441">
        <v>95044000110</v>
      </c>
      <c r="B46441" t="s">
        <v>15161</v>
      </c>
    </row>
    <row r="46442" spans="1:2" x14ac:dyDescent="0.25">
      <c r="A46442">
        <v>95044000120</v>
      </c>
      <c r="B46442" t="s">
        <v>15162</v>
      </c>
    </row>
    <row r="46443" spans="1:2" x14ac:dyDescent="0.25">
      <c r="A46443">
        <v>95044000130</v>
      </c>
      <c r="B46443" t="s">
        <v>15163</v>
      </c>
    </row>
    <row r="46444" spans="1:2" x14ac:dyDescent="0.25">
      <c r="A46444">
        <v>95044000140</v>
      </c>
      <c r="B46444" t="s">
        <v>15164</v>
      </c>
    </row>
    <row r="46445" spans="1:2" x14ac:dyDescent="0.25">
      <c r="A46445">
        <v>9504400019</v>
      </c>
      <c r="B46445" t="s">
        <v>10</v>
      </c>
    </row>
    <row r="46446" spans="1:2" x14ac:dyDescent="0.25">
      <c r="A46446">
        <v>95044000191</v>
      </c>
      <c r="B46446" t="s">
        <v>5635</v>
      </c>
    </row>
    <row r="46447" spans="1:2" x14ac:dyDescent="0.25">
      <c r="A46447">
        <v>95044000199</v>
      </c>
      <c r="B46447" t="s">
        <v>10</v>
      </c>
    </row>
    <row r="46448" spans="1:2" x14ac:dyDescent="0.25">
      <c r="A46448">
        <v>950440009</v>
      </c>
      <c r="B46448" t="s">
        <v>10</v>
      </c>
    </row>
    <row r="46449" spans="1:2" x14ac:dyDescent="0.25">
      <c r="A46449">
        <v>95044000910</v>
      </c>
      <c r="B46449" t="s">
        <v>15161</v>
      </c>
    </row>
    <row r="46450" spans="1:2" x14ac:dyDescent="0.25">
      <c r="A46450">
        <v>95044000920</v>
      </c>
      <c r="B46450" t="s">
        <v>15162</v>
      </c>
    </row>
    <row r="46451" spans="1:2" x14ac:dyDescent="0.25">
      <c r="A46451">
        <v>95044000930</v>
      </c>
      <c r="B46451" t="s">
        <v>15163</v>
      </c>
    </row>
    <row r="46452" spans="1:2" x14ac:dyDescent="0.25">
      <c r="A46452">
        <v>95044000940</v>
      </c>
      <c r="B46452" t="s">
        <v>15165</v>
      </c>
    </row>
    <row r="46453" spans="1:2" x14ac:dyDescent="0.25">
      <c r="A46453">
        <v>9504400099</v>
      </c>
      <c r="B46453" t="s">
        <v>10</v>
      </c>
    </row>
    <row r="46454" spans="1:2" x14ac:dyDescent="0.25">
      <c r="A46454">
        <v>95044000991</v>
      </c>
      <c r="B46454" t="s">
        <v>5635</v>
      </c>
    </row>
    <row r="46455" spans="1:2" x14ac:dyDescent="0.25">
      <c r="A46455">
        <v>95044000999</v>
      </c>
      <c r="B46455" t="s">
        <v>10</v>
      </c>
    </row>
    <row r="46456" spans="1:2" x14ac:dyDescent="0.25">
      <c r="A46456">
        <v>95045000</v>
      </c>
      <c r="B46456" t="s">
        <v>15166</v>
      </c>
    </row>
    <row r="46457" spans="1:2" x14ac:dyDescent="0.25">
      <c r="A46457">
        <v>95045000100</v>
      </c>
      <c r="B46457" t="s">
        <v>15167</v>
      </c>
    </row>
    <row r="46458" spans="1:2" x14ac:dyDescent="0.25">
      <c r="A46458">
        <v>95045000200</v>
      </c>
      <c r="B46458" t="s">
        <v>15168</v>
      </c>
    </row>
    <row r="46459" spans="1:2" x14ac:dyDescent="0.25">
      <c r="A46459">
        <v>950450009</v>
      </c>
      <c r="B46459" t="s">
        <v>14362</v>
      </c>
    </row>
    <row r="46460" spans="1:2" x14ac:dyDescent="0.25">
      <c r="A46460">
        <v>9504500091</v>
      </c>
      <c r="B46460" t="s">
        <v>15169</v>
      </c>
    </row>
    <row r="46461" spans="1:2" x14ac:dyDescent="0.25">
      <c r="A46461">
        <v>95045000911</v>
      </c>
      <c r="B46461" t="s">
        <v>15170</v>
      </c>
    </row>
    <row r="46462" spans="1:2" x14ac:dyDescent="0.25">
      <c r="A46462">
        <v>95045000912</v>
      </c>
      <c r="B46462" t="s">
        <v>15171</v>
      </c>
    </row>
    <row r="46463" spans="1:2" x14ac:dyDescent="0.25">
      <c r="A46463">
        <v>95045000919</v>
      </c>
      <c r="B46463" t="s">
        <v>10</v>
      </c>
    </row>
    <row r="46464" spans="1:2" x14ac:dyDescent="0.25">
      <c r="A46464">
        <v>95045000920</v>
      </c>
      <c r="B46464" t="s">
        <v>15172</v>
      </c>
    </row>
    <row r="46465" spans="1:2" x14ac:dyDescent="0.25">
      <c r="A46465">
        <v>950490</v>
      </c>
      <c r="B46465" t="e">
        <f>- Los demas</f>
        <v>#NAME?</v>
      </c>
    </row>
    <row r="46466" spans="1:2" x14ac:dyDescent="0.25">
      <c r="A46466">
        <v>95049010</v>
      </c>
      <c r="B46466" t="s">
        <v>15173</v>
      </c>
    </row>
    <row r="46467" spans="1:2" x14ac:dyDescent="0.25">
      <c r="A46467">
        <v>95049010100</v>
      </c>
      <c r="B46467" t="s">
        <v>14362</v>
      </c>
    </row>
    <row r="46468" spans="1:2" x14ac:dyDescent="0.25">
      <c r="A46468">
        <v>95049010900</v>
      </c>
      <c r="B46468" t="s">
        <v>10</v>
      </c>
    </row>
    <row r="46469" spans="1:2" x14ac:dyDescent="0.25">
      <c r="A46469">
        <v>95049090</v>
      </c>
      <c r="B46469" t="s">
        <v>10</v>
      </c>
    </row>
    <row r="46470" spans="1:2" x14ac:dyDescent="0.25">
      <c r="A46470">
        <v>95049090100</v>
      </c>
      <c r="B46470" t="s">
        <v>15174</v>
      </c>
    </row>
    <row r="46471" spans="1:2" x14ac:dyDescent="0.25">
      <c r="A46471">
        <v>95049090200</v>
      </c>
      <c r="B46471" t="s">
        <v>15175</v>
      </c>
    </row>
    <row r="46472" spans="1:2" x14ac:dyDescent="0.25">
      <c r="A46472">
        <v>95049090300</v>
      </c>
      <c r="B46472" t="s">
        <v>15176</v>
      </c>
    </row>
    <row r="46473" spans="1:2" x14ac:dyDescent="0.25">
      <c r="A46473">
        <v>95049090400</v>
      </c>
      <c r="B46473" t="s">
        <v>15177</v>
      </c>
    </row>
    <row r="46474" spans="1:2" x14ac:dyDescent="0.25">
      <c r="A46474">
        <v>95049090500</v>
      </c>
      <c r="B46474" t="s">
        <v>15178</v>
      </c>
    </row>
    <row r="46475" spans="1:2" x14ac:dyDescent="0.25">
      <c r="A46475">
        <v>950490906</v>
      </c>
      <c r="B46475" t="s">
        <v>15179</v>
      </c>
    </row>
    <row r="46476" spans="1:2" x14ac:dyDescent="0.25">
      <c r="A46476">
        <v>95049090610</v>
      </c>
      <c r="B46476" t="s">
        <v>15180</v>
      </c>
    </row>
    <row r="46477" spans="1:2" x14ac:dyDescent="0.25">
      <c r="A46477">
        <v>95049090620</v>
      </c>
      <c r="B46477" t="s">
        <v>15181</v>
      </c>
    </row>
    <row r="46478" spans="1:2" x14ac:dyDescent="0.25">
      <c r="A46478">
        <v>9504909069</v>
      </c>
      <c r="B46478" t="s">
        <v>10</v>
      </c>
    </row>
    <row r="46479" spans="1:2" x14ac:dyDescent="0.25">
      <c r="A46479">
        <v>95049090691</v>
      </c>
      <c r="B46479" t="s">
        <v>15182</v>
      </c>
    </row>
    <row r="46480" spans="1:2" x14ac:dyDescent="0.25">
      <c r="A46480">
        <v>95049090699</v>
      </c>
      <c r="B46480" t="s">
        <v>10</v>
      </c>
    </row>
    <row r="46481" spans="1:2" x14ac:dyDescent="0.25">
      <c r="A46481">
        <v>950490909</v>
      </c>
      <c r="B46481" t="s">
        <v>10</v>
      </c>
    </row>
    <row r="46482" spans="1:2" x14ac:dyDescent="0.25">
      <c r="A46482">
        <v>95049090910</v>
      </c>
      <c r="B46482" t="s">
        <v>15183</v>
      </c>
    </row>
    <row r="46483" spans="1:2" x14ac:dyDescent="0.25">
      <c r="A46483">
        <v>95049090920</v>
      </c>
      <c r="B46483" t="s">
        <v>15184</v>
      </c>
    </row>
    <row r="46484" spans="1:2" x14ac:dyDescent="0.25">
      <c r="A46484">
        <v>9504909099</v>
      </c>
      <c r="B46484" t="s">
        <v>10</v>
      </c>
    </row>
    <row r="46485" spans="1:2" x14ac:dyDescent="0.25">
      <c r="A46485">
        <v>95049090991</v>
      </c>
      <c r="B46485" t="s">
        <v>6648</v>
      </c>
    </row>
    <row r="46486" spans="1:2" x14ac:dyDescent="0.25">
      <c r="A46486">
        <v>95049090992</v>
      </c>
      <c r="B46486" t="s">
        <v>14362</v>
      </c>
    </row>
    <row r="46487" spans="1:2" x14ac:dyDescent="0.25">
      <c r="A46487">
        <v>95049090999</v>
      </c>
      <c r="B46487" t="s">
        <v>10</v>
      </c>
    </row>
    <row r="46488" spans="1:2" x14ac:dyDescent="0.25">
      <c r="A46488">
        <v>9505</v>
      </c>
      <c r="B46488" t="s">
        <v>15185</v>
      </c>
    </row>
    <row r="46489" spans="1:2" x14ac:dyDescent="0.25">
      <c r="A46489">
        <v>95051000</v>
      </c>
      <c r="B46489" t="e">
        <f>- Articulos para fiestas de Navidad</f>
        <v>#NAME?</v>
      </c>
    </row>
    <row r="46490" spans="1:2" x14ac:dyDescent="0.25">
      <c r="A46490">
        <v>950510001</v>
      </c>
      <c r="B46490" t="s">
        <v>15186</v>
      </c>
    </row>
    <row r="46491" spans="1:2" x14ac:dyDescent="0.25">
      <c r="A46491">
        <v>9505100011</v>
      </c>
      <c r="B46491" t="s">
        <v>7612</v>
      </c>
    </row>
    <row r="46492" spans="1:2" x14ac:dyDescent="0.25">
      <c r="A46492">
        <v>95051000111</v>
      </c>
      <c r="B46492" t="s">
        <v>15187</v>
      </c>
    </row>
    <row r="46493" spans="1:2" x14ac:dyDescent="0.25">
      <c r="A46493">
        <v>95051000112</v>
      </c>
      <c r="B46493" t="s">
        <v>15188</v>
      </c>
    </row>
    <row r="46494" spans="1:2" x14ac:dyDescent="0.25">
      <c r="A46494">
        <v>95051000119</v>
      </c>
      <c r="B46494" t="s">
        <v>10</v>
      </c>
    </row>
    <row r="46495" spans="1:2" x14ac:dyDescent="0.25">
      <c r="A46495">
        <v>95051000190</v>
      </c>
      <c r="B46495" t="s">
        <v>10</v>
      </c>
    </row>
    <row r="46496" spans="1:2" x14ac:dyDescent="0.25">
      <c r="A46496">
        <v>950510009</v>
      </c>
      <c r="B46496" t="s">
        <v>10</v>
      </c>
    </row>
    <row r="46497" spans="1:2" x14ac:dyDescent="0.25">
      <c r="A46497">
        <v>95051000910</v>
      </c>
      <c r="B46497" t="s">
        <v>5635</v>
      </c>
    </row>
    <row r="46498" spans="1:2" x14ac:dyDescent="0.25">
      <c r="A46498">
        <v>95051000990</v>
      </c>
      <c r="B46498" t="s">
        <v>10</v>
      </c>
    </row>
    <row r="46499" spans="1:2" x14ac:dyDescent="0.25">
      <c r="A46499">
        <v>95059000</v>
      </c>
      <c r="B46499" t="e">
        <f>- Los demas</f>
        <v>#NAME?</v>
      </c>
    </row>
    <row r="46500" spans="1:2" x14ac:dyDescent="0.25">
      <c r="A46500">
        <v>95059000100</v>
      </c>
      <c r="B46500" t="s">
        <v>15189</v>
      </c>
    </row>
    <row r="46501" spans="1:2" x14ac:dyDescent="0.25">
      <c r="A46501">
        <v>95059000200</v>
      </c>
      <c r="B46501" t="s">
        <v>15190</v>
      </c>
    </row>
    <row r="46502" spans="1:2" x14ac:dyDescent="0.25">
      <c r="A46502">
        <v>950590009</v>
      </c>
      <c r="B46502" t="s">
        <v>10</v>
      </c>
    </row>
    <row r="46503" spans="1:2" x14ac:dyDescent="0.25">
      <c r="A46503">
        <v>9505900091</v>
      </c>
      <c r="B46503" t="s">
        <v>6945</v>
      </c>
    </row>
    <row r="46504" spans="1:2" x14ac:dyDescent="0.25">
      <c r="A46504">
        <v>95059000911</v>
      </c>
      <c r="B46504" t="s">
        <v>5635</v>
      </c>
    </row>
    <row r="46505" spans="1:2" x14ac:dyDescent="0.25">
      <c r="A46505">
        <v>95059000919</v>
      </c>
      <c r="B46505" t="s">
        <v>10</v>
      </c>
    </row>
    <row r="46506" spans="1:2" x14ac:dyDescent="0.25">
      <c r="A46506">
        <v>9505900099</v>
      </c>
      <c r="B46506" t="s">
        <v>10</v>
      </c>
    </row>
    <row r="46507" spans="1:2" x14ac:dyDescent="0.25">
      <c r="A46507">
        <v>95059000991</v>
      </c>
      <c r="B46507" t="s">
        <v>5635</v>
      </c>
    </row>
    <row r="46508" spans="1:2" x14ac:dyDescent="0.25">
      <c r="A46508">
        <v>95059000999</v>
      </c>
      <c r="B46508" t="s">
        <v>10</v>
      </c>
    </row>
    <row r="46509" spans="1:2" x14ac:dyDescent="0.25">
      <c r="A46509">
        <v>9506</v>
      </c>
      <c r="B46509" t="s">
        <v>15191</v>
      </c>
    </row>
    <row r="46510" spans="1:2" x14ac:dyDescent="0.25">
      <c r="A46510">
        <v>95061</v>
      </c>
      <c r="B46510" t="s">
        <v>15192</v>
      </c>
    </row>
    <row r="46511" spans="1:2" x14ac:dyDescent="0.25">
      <c r="A46511">
        <v>95061100000</v>
      </c>
      <c r="B46511" t="e">
        <f>--Esquis</f>
        <v>#NAME?</v>
      </c>
    </row>
    <row r="46512" spans="1:2" x14ac:dyDescent="0.25">
      <c r="A46512">
        <v>95061200000</v>
      </c>
      <c r="B46512" t="e">
        <f>--Fijadores de esqui</f>
        <v>#NAME?</v>
      </c>
    </row>
    <row r="46513" spans="1:2" x14ac:dyDescent="0.25">
      <c r="A46513">
        <v>95061900</v>
      </c>
      <c r="B46513" t="e">
        <f>- - Los demas</f>
        <v>#NAME?</v>
      </c>
    </row>
    <row r="46514" spans="1:2" x14ac:dyDescent="0.25">
      <c r="A46514">
        <v>95061900100</v>
      </c>
      <c r="B46514" t="s">
        <v>5635</v>
      </c>
    </row>
    <row r="46515" spans="1:2" x14ac:dyDescent="0.25">
      <c r="A46515">
        <v>95061900900</v>
      </c>
      <c r="B46515" t="s">
        <v>10</v>
      </c>
    </row>
    <row r="46516" spans="1:2" x14ac:dyDescent="0.25">
      <c r="A46516">
        <v>95062</v>
      </c>
      <c r="B46516" t="s">
        <v>15193</v>
      </c>
    </row>
    <row r="46517" spans="1:2" x14ac:dyDescent="0.25">
      <c r="A46517">
        <v>95062100000</v>
      </c>
      <c r="B46517" t="e">
        <f>--deslizadores de vela</f>
        <v>#NAME?</v>
      </c>
    </row>
    <row r="46518" spans="1:2" x14ac:dyDescent="0.25">
      <c r="A46518">
        <v>95062900</v>
      </c>
      <c r="B46518" t="e">
        <f>- - Los demas</f>
        <v>#NAME?</v>
      </c>
    </row>
    <row r="46519" spans="1:2" x14ac:dyDescent="0.25">
      <c r="A46519">
        <v>950629001</v>
      </c>
      <c r="B46519" t="s">
        <v>15194</v>
      </c>
    </row>
    <row r="46520" spans="1:2" x14ac:dyDescent="0.25">
      <c r="A46520">
        <v>95062900110</v>
      </c>
      <c r="B46520" t="s">
        <v>7614</v>
      </c>
    </row>
    <row r="46521" spans="1:2" x14ac:dyDescent="0.25">
      <c r="A46521">
        <v>95062900120</v>
      </c>
      <c r="B46521" t="s">
        <v>14999</v>
      </c>
    </row>
    <row r="46522" spans="1:2" x14ac:dyDescent="0.25">
      <c r="A46522">
        <v>95062900190</v>
      </c>
      <c r="B46522" t="s">
        <v>57</v>
      </c>
    </row>
    <row r="46523" spans="1:2" x14ac:dyDescent="0.25">
      <c r="A46523">
        <v>95062900200</v>
      </c>
      <c r="B46523" t="s">
        <v>15195</v>
      </c>
    </row>
    <row r="46524" spans="1:2" x14ac:dyDescent="0.25">
      <c r="A46524">
        <v>95062900300</v>
      </c>
      <c r="B46524" t="s">
        <v>15196</v>
      </c>
    </row>
    <row r="46525" spans="1:2" x14ac:dyDescent="0.25">
      <c r="A46525">
        <v>95062900400</v>
      </c>
      <c r="B46525" t="s">
        <v>15197</v>
      </c>
    </row>
    <row r="46526" spans="1:2" x14ac:dyDescent="0.25">
      <c r="A46526">
        <v>950629009</v>
      </c>
      <c r="B46526" t="s">
        <v>10</v>
      </c>
    </row>
    <row r="46527" spans="1:2" x14ac:dyDescent="0.25">
      <c r="A46527">
        <v>95062900910</v>
      </c>
      <c r="B46527" t="s">
        <v>5635</v>
      </c>
    </row>
    <row r="46528" spans="1:2" x14ac:dyDescent="0.25">
      <c r="A46528">
        <v>95062900920</v>
      </c>
      <c r="B46528" t="s">
        <v>15198</v>
      </c>
    </row>
    <row r="46529" spans="1:2" x14ac:dyDescent="0.25">
      <c r="A46529">
        <v>95062900930</v>
      </c>
      <c r="B46529" t="s">
        <v>346</v>
      </c>
    </row>
    <row r="46530" spans="1:2" x14ac:dyDescent="0.25">
      <c r="A46530">
        <v>95062900990</v>
      </c>
      <c r="B46530" t="s">
        <v>10</v>
      </c>
    </row>
    <row r="46531" spans="1:2" x14ac:dyDescent="0.25">
      <c r="A46531">
        <v>95063</v>
      </c>
      <c r="B46531" t="s">
        <v>15199</v>
      </c>
    </row>
    <row r="46532" spans="1:2" x14ac:dyDescent="0.25">
      <c r="A46532">
        <v>95063100</v>
      </c>
      <c r="B46532" t="s">
        <v>15200</v>
      </c>
    </row>
    <row r="46533" spans="1:2" x14ac:dyDescent="0.25">
      <c r="A46533">
        <v>95063100100</v>
      </c>
      <c r="B46533" t="s">
        <v>15201</v>
      </c>
    </row>
    <row r="46534" spans="1:2" x14ac:dyDescent="0.25">
      <c r="A46534">
        <v>95063100200</v>
      </c>
      <c r="B46534" t="s">
        <v>15202</v>
      </c>
    </row>
    <row r="46535" spans="1:2" x14ac:dyDescent="0.25">
      <c r="A46535">
        <v>95063100900</v>
      </c>
      <c r="B46535" t="s">
        <v>10</v>
      </c>
    </row>
    <row r="46536" spans="1:2" x14ac:dyDescent="0.25">
      <c r="A46536">
        <v>95063200000</v>
      </c>
      <c r="B46536" t="e">
        <f>--Pelotas</f>
        <v>#NAME?</v>
      </c>
    </row>
    <row r="46537" spans="1:2" x14ac:dyDescent="0.25">
      <c r="A46537">
        <v>95063900</v>
      </c>
      <c r="B46537" t="e">
        <f>- - Los demas</f>
        <v>#NAME?</v>
      </c>
    </row>
    <row r="46538" spans="1:2" x14ac:dyDescent="0.25">
      <c r="A46538">
        <v>950639001</v>
      </c>
      <c r="B46538" t="s">
        <v>15203</v>
      </c>
    </row>
    <row r="46539" spans="1:2" x14ac:dyDescent="0.25">
      <c r="A46539">
        <v>95063900110</v>
      </c>
      <c r="B46539" t="s">
        <v>9514</v>
      </c>
    </row>
    <row r="46540" spans="1:2" x14ac:dyDescent="0.25">
      <c r="A46540">
        <v>95063900120</v>
      </c>
      <c r="B46540" t="s">
        <v>14999</v>
      </c>
    </row>
    <row r="46541" spans="1:2" x14ac:dyDescent="0.25">
      <c r="A46541">
        <v>95063900190</v>
      </c>
      <c r="B46541" t="s">
        <v>57</v>
      </c>
    </row>
    <row r="46542" spans="1:2" x14ac:dyDescent="0.25">
      <c r="A46542">
        <v>95063900900</v>
      </c>
      <c r="B46542" t="s">
        <v>10</v>
      </c>
    </row>
    <row r="46543" spans="1:2" x14ac:dyDescent="0.25">
      <c r="A46543">
        <v>95064000</v>
      </c>
      <c r="B46543" t="e">
        <f>- Articulos y Material para tenis de mesa</f>
        <v>#NAME?</v>
      </c>
    </row>
    <row r="46544" spans="1:2" x14ac:dyDescent="0.25">
      <c r="A46544">
        <v>95064000100</v>
      </c>
      <c r="B46544" t="s">
        <v>14931</v>
      </c>
    </row>
    <row r="46545" spans="1:2" x14ac:dyDescent="0.25">
      <c r="A46545">
        <v>95064000200</v>
      </c>
      <c r="B46545" t="s">
        <v>15204</v>
      </c>
    </row>
    <row r="46546" spans="1:2" x14ac:dyDescent="0.25">
      <c r="A46546">
        <v>95064000300</v>
      </c>
      <c r="B46546" t="s">
        <v>15137</v>
      </c>
    </row>
    <row r="46547" spans="1:2" x14ac:dyDescent="0.25">
      <c r="A46547">
        <v>95064000900</v>
      </c>
      <c r="B46547" t="s">
        <v>10</v>
      </c>
    </row>
    <row r="46548" spans="1:2" x14ac:dyDescent="0.25">
      <c r="A46548">
        <v>95065</v>
      </c>
      <c r="B46548" t="s">
        <v>15205</v>
      </c>
    </row>
    <row r="46549" spans="1:2" x14ac:dyDescent="0.25">
      <c r="A46549">
        <v>95065100</v>
      </c>
      <c r="B46549" t="e">
        <f>- - Raquetas de tenis. incluso sin cordaje</f>
        <v>#NAME?</v>
      </c>
    </row>
    <row r="46550" spans="1:2" x14ac:dyDescent="0.25">
      <c r="A46550">
        <v>950651001</v>
      </c>
      <c r="B46550" t="s">
        <v>9514</v>
      </c>
    </row>
    <row r="46551" spans="1:2" x14ac:dyDescent="0.25">
      <c r="A46551">
        <v>95065100110</v>
      </c>
      <c r="B46551" t="s">
        <v>9752</v>
      </c>
    </row>
    <row r="46552" spans="1:2" x14ac:dyDescent="0.25">
      <c r="A46552">
        <v>95065100120</v>
      </c>
      <c r="B46552" t="s">
        <v>15206</v>
      </c>
    </row>
    <row r="46553" spans="1:2" x14ac:dyDescent="0.25">
      <c r="A46553">
        <v>950651002</v>
      </c>
      <c r="B46553" t="s">
        <v>15207</v>
      </c>
    </row>
    <row r="46554" spans="1:2" x14ac:dyDescent="0.25">
      <c r="A46554">
        <v>95065100210</v>
      </c>
      <c r="B46554" t="s">
        <v>9752</v>
      </c>
    </row>
    <row r="46555" spans="1:2" x14ac:dyDescent="0.25">
      <c r="A46555">
        <v>95065100220</v>
      </c>
      <c r="B46555" t="s">
        <v>15206</v>
      </c>
    </row>
    <row r="46556" spans="1:2" x14ac:dyDescent="0.25">
      <c r="A46556">
        <v>950651003</v>
      </c>
      <c r="B46556" t="s">
        <v>2240</v>
      </c>
    </row>
    <row r="46557" spans="1:2" x14ac:dyDescent="0.25">
      <c r="A46557">
        <v>95065100310</v>
      </c>
      <c r="B46557" t="s">
        <v>9752</v>
      </c>
    </row>
    <row r="46558" spans="1:2" x14ac:dyDescent="0.25">
      <c r="A46558">
        <v>95065100320</v>
      </c>
      <c r="B46558" t="s">
        <v>15206</v>
      </c>
    </row>
    <row r="46559" spans="1:2" x14ac:dyDescent="0.25">
      <c r="A46559">
        <v>950651004</v>
      </c>
      <c r="B46559" t="s">
        <v>2226</v>
      </c>
    </row>
    <row r="46560" spans="1:2" x14ac:dyDescent="0.25">
      <c r="A46560">
        <v>95065100410</v>
      </c>
      <c r="B46560" t="s">
        <v>9752</v>
      </c>
    </row>
    <row r="46561" spans="1:2" x14ac:dyDescent="0.25">
      <c r="A46561">
        <v>95065100420</v>
      </c>
      <c r="B46561" t="s">
        <v>15206</v>
      </c>
    </row>
    <row r="46562" spans="1:2" x14ac:dyDescent="0.25">
      <c r="A46562">
        <v>95065100900</v>
      </c>
      <c r="B46562" t="s">
        <v>9351</v>
      </c>
    </row>
    <row r="46563" spans="1:2" x14ac:dyDescent="0.25">
      <c r="A46563">
        <v>95065900</v>
      </c>
      <c r="B46563" t="e">
        <f>- - las demas</f>
        <v>#NAME?</v>
      </c>
    </row>
    <row r="46564" spans="1:2" x14ac:dyDescent="0.25">
      <c r="A46564">
        <v>95065900100</v>
      </c>
      <c r="B46564" t="s">
        <v>15208</v>
      </c>
    </row>
    <row r="46565" spans="1:2" x14ac:dyDescent="0.25">
      <c r="A46565">
        <v>95065900200</v>
      </c>
      <c r="B46565" t="s">
        <v>15209</v>
      </c>
    </row>
    <row r="46566" spans="1:2" x14ac:dyDescent="0.25">
      <c r="A46566">
        <v>95065900900</v>
      </c>
      <c r="B46566" t="s">
        <v>57</v>
      </c>
    </row>
    <row r="46567" spans="1:2" x14ac:dyDescent="0.25">
      <c r="A46567">
        <v>95066</v>
      </c>
      <c r="B46567" t="s">
        <v>15210</v>
      </c>
    </row>
    <row r="46568" spans="1:2" x14ac:dyDescent="0.25">
      <c r="A46568">
        <v>95066100</v>
      </c>
      <c r="B46568" t="e">
        <f>- - Pelotas de tenis</f>
        <v>#NAME?</v>
      </c>
    </row>
    <row r="46569" spans="1:2" x14ac:dyDescent="0.25">
      <c r="A46569">
        <v>95066100100</v>
      </c>
      <c r="B46569" t="s">
        <v>15211</v>
      </c>
    </row>
    <row r="46570" spans="1:2" x14ac:dyDescent="0.25">
      <c r="A46570">
        <v>95066100900</v>
      </c>
      <c r="B46570" t="s">
        <v>57</v>
      </c>
    </row>
    <row r="46571" spans="1:2" x14ac:dyDescent="0.25">
      <c r="A46571">
        <v>95066200</v>
      </c>
      <c r="B46571" t="e">
        <f>- - inflables</f>
        <v>#NAME?</v>
      </c>
    </row>
    <row r="46572" spans="1:2" x14ac:dyDescent="0.25">
      <c r="A46572">
        <v>950662001</v>
      </c>
      <c r="B46572" t="s">
        <v>15212</v>
      </c>
    </row>
    <row r="46573" spans="1:2" x14ac:dyDescent="0.25">
      <c r="A46573">
        <v>9506620011</v>
      </c>
      <c r="B46573" t="s">
        <v>15213</v>
      </c>
    </row>
    <row r="46574" spans="1:2" x14ac:dyDescent="0.25">
      <c r="A46574">
        <v>95066200111</v>
      </c>
      <c r="B46574" t="s">
        <v>7605</v>
      </c>
    </row>
    <row r="46575" spans="1:2" x14ac:dyDescent="0.25">
      <c r="A46575">
        <v>95066200112</v>
      </c>
      <c r="B46575" t="s">
        <v>9114</v>
      </c>
    </row>
    <row r="46576" spans="1:2" x14ac:dyDescent="0.25">
      <c r="A46576">
        <v>95066200113</v>
      </c>
      <c r="B46576" t="s">
        <v>15214</v>
      </c>
    </row>
    <row r="46577" spans="1:2" x14ac:dyDescent="0.25">
      <c r="A46577">
        <v>95066200114</v>
      </c>
      <c r="B46577" t="s">
        <v>15215</v>
      </c>
    </row>
    <row r="46578" spans="1:2" x14ac:dyDescent="0.25">
      <c r="A46578">
        <v>95066200119</v>
      </c>
      <c r="B46578" t="s">
        <v>10</v>
      </c>
    </row>
    <row r="46579" spans="1:2" x14ac:dyDescent="0.25">
      <c r="A46579">
        <v>9506620019</v>
      </c>
      <c r="B46579" t="s">
        <v>10</v>
      </c>
    </row>
    <row r="46580" spans="1:2" x14ac:dyDescent="0.25">
      <c r="A46580">
        <v>95066200191</v>
      </c>
      <c r="B46580" t="s">
        <v>7605</v>
      </c>
    </row>
    <row r="46581" spans="1:2" x14ac:dyDescent="0.25">
      <c r="A46581">
        <v>95066200192</v>
      </c>
      <c r="B46581" t="s">
        <v>9114</v>
      </c>
    </row>
    <row r="46582" spans="1:2" x14ac:dyDescent="0.25">
      <c r="A46582">
        <v>95066200193</v>
      </c>
      <c r="B46582" t="s">
        <v>15214</v>
      </c>
    </row>
    <row r="46583" spans="1:2" x14ac:dyDescent="0.25">
      <c r="A46583">
        <v>95066200194</v>
      </c>
      <c r="B46583" t="s">
        <v>15215</v>
      </c>
    </row>
    <row r="46584" spans="1:2" x14ac:dyDescent="0.25">
      <c r="A46584">
        <v>95066200199</v>
      </c>
      <c r="B46584" t="s">
        <v>10</v>
      </c>
    </row>
    <row r="46585" spans="1:2" x14ac:dyDescent="0.25">
      <c r="A46585">
        <v>950662002</v>
      </c>
      <c r="B46585" t="s">
        <v>15216</v>
      </c>
    </row>
    <row r="46586" spans="1:2" x14ac:dyDescent="0.25">
      <c r="A46586">
        <v>9506620021</v>
      </c>
      <c r="B46586" t="s">
        <v>15213</v>
      </c>
    </row>
    <row r="46587" spans="1:2" x14ac:dyDescent="0.25">
      <c r="A46587">
        <v>95066200211</v>
      </c>
      <c r="B46587" t="s">
        <v>7605</v>
      </c>
    </row>
    <row r="46588" spans="1:2" x14ac:dyDescent="0.25">
      <c r="A46588">
        <v>95066200212</v>
      </c>
      <c r="B46588" t="s">
        <v>9114</v>
      </c>
    </row>
    <row r="46589" spans="1:2" x14ac:dyDescent="0.25">
      <c r="A46589">
        <v>95066200213</v>
      </c>
      <c r="B46589" t="s">
        <v>15214</v>
      </c>
    </row>
    <row r="46590" spans="1:2" x14ac:dyDescent="0.25">
      <c r="A46590">
        <v>95066200214</v>
      </c>
      <c r="B46590" t="s">
        <v>15215</v>
      </c>
    </row>
    <row r="46591" spans="1:2" x14ac:dyDescent="0.25">
      <c r="A46591">
        <v>95066200219</v>
      </c>
      <c r="B46591" t="s">
        <v>10</v>
      </c>
    </row>
    <row r="46592" spans="1:2" x14ac:dyDescent="0.25">
      <c r="A46592">
        <v>9506620029</v>
      </c>
      <c r="B46592" t="s">
        <v>10</v>
      </c>
    </row>
    <row r="46593" spans="1:2" x14ac:dyDescent="0.25">
      <c r="A46593">
        <v>95066200291</v>
      </c>
      <c r="B46593" t="s">
        <v>7605</v>
      </c>
    </row>
    <row r="46594" spans="1:2" x14ac:dyDescent="0.25">
      <c r="A46594">
        <v>95066200292</v>
      </c>
      <c r="B46594" t="s">
        <v>9114</v>
      </c>
    </row>
    <row r="46595" spans="1:2" x14ac:dyDescent="0.25">
      <c r="A46595">
        <v>95066200293</v>
      </c>
      <c r="B46595" t="s">
        <v>15214</v>
      </c>
    </row>
    <row r="46596" spans="1:2" x14ac:dyDescent="0.25">
      <c r="A46596">
        <v>95066200294</v>
      </c>
      <c r="B46596" t="s">
        <v>15215</v>
      </c>
    </row>
    <row r="46597" spans="1:2" x14ac:dyDescent="0.25">
      <c r="A46597">
        <v>95066200299</v>
      </c>
      <c r="B46597" t="s">
        <v>10</v>
      </c>
    </row>
    <row r="46598" spans="1:2" x14ac:dyDescent="0.25">
      <c r="A46598">
        <v>950662003</v>
      </c>
      <c r="B46598" t="s">
        <v>15217</v>
      </c>
    </row>
    <row r="46599" spans="1:2" x14ac:dyDescent="0.25">
      <c r="A46599">
        <v>9506620031</v>
      </c>
      <c r="B46599" t="s">
        <v>15213</v>
      </c>
    </row>
    <row r="46600" spans="1:2" x14ac:dyDescent="0.25">
      <c r="A46600">
        <v>95066200311</v>
      </c>
      <c r="B46600" t="s">
        <v>7605</v>
      </c>
    </row>
    <row r="46601" spans="1:2" x14ac:dyDescent="0.25">
      <c r="A46601">
        <v>95066200312</v>
      </c>
      <c r="B46601" t="s">
        <v>9114</v>
      </c>
    </row>
    <row r="46602" spans="1:2" x14ac:dyDescent="0.25">
      <c r="A46602">
        <v>95066200313</v>
      </c>
      <c r="B46602" t="s">
        <v>15214</v>
      </c>
    </row>
    <row r="46603" spans="1:2" x14ac:dyDescent="0.25">
      <c r="A46603">
        <v>95066200314</v>
      </c>
      <c r="B46603" t="s">
        <v>15215</v>
      </c>
    </row>
    <row r="46604" spans="1:2" x14ac:dyDescent="0.25">
      <c r="A46604">
        <v>95066200319</v>
      </c>
      <c r="B46604" t="s">
        <v>10</v>
      </c>
    </row>
    <row r="46605" spans="1:2" x14ac:dyDescent="0.25">
      <c r="A46605">
        <v>9506620039</v>
      </c>
      <c r="B46605" t="s">
        <v>10</v>
      </c>
    </row>
    <row r="46606" spans="1:2" x14ac:dyDescent="0.25">
      <c r="A46606">
        <v>95066200391</v>
      </c>
      <c r="B46606" t="s">
        <v>7605</v>
      </c>
    </row>
    <row r="46607" spans="1:2" x14ac:dyDescent="0.25">
      <c r="A46607">
        <v>95066200392</v>
      </c>
      <c r="B46607" t="s">
        <v>9114</v>
      </c>
    </row>
    <row r="46608" spans="1:2" x14ac:dyDescent="0.25">
      <c r="A46608">
        <v>95066200393</v>
      </c>
      <c r="B46608" t="s">
        <v>15214</v>
      </c>
    </row>
    <row r="46609" spans="1:2" x14ac:dyDescent="0.25">
      <c r="A46609">
        <v>95066200394</v>
      </c>
      <c r="B46609" t="s">
        <v>15215</v>
      </c>
    </row>
    <row r="46610" spans="1:2" x14ac:dyDescent="0.25">
      <c r="A46610">
        <v>95066200399</v>
      </c>
      <c r="B46610" t="s">
        <v>10</v>
      </c>
    </row>
    <row r="46611" spans="1:2" x14ac:dyDescent="0.25">
      <c r="A46611">
        <v>950662004</v>
      </c>
      <c r="B46611" t="s">
        <v>15218</v>
      </c>
    </row>
    <row r="46612" spans="1:2" x14ac:dyDescent="0.25">
      <c r="A46612">
        <v>95066200410</v>
      </c>
      <c r="B46612" t="s">
        <v>7605</v>
      </c>
    </row>
    <row r="46613" spans="1:2" x14ac:dyDescent="0.25">
      <c r="A46613">
        <v>95066200420</v>
      </c>
      <c r="B46613" t="s">
        <v>9114</v>
      </c>
    </row>
    <row r="46614" spans="1:2" x14ac:dyDescent="0.25">
      <c r="A46614">
        <v>95066200430</v>
      </c>
      <c r="B46614" t="s">
        <v>15214</v>
      </c>
    </row>
    <row r="46615" spans="1:2" x14ac:dyDescent="0.25">
      <c r="A46615">
        <v>95066200440</v>
      </c>
      <c r="B46615" t="s">
        <v>15215</v>
      </c>
    </row>
    <row r="46616" spans="1:2" x14ac:dyDescent="0.25">
      <c r="A46616">
        <v>95066200490</v>
      </c>
      <c r="B46616" t="s">
        <v>10</v>
      </c>
    </row>
    <row r="46617" spans="1:2" x14ac:dyDescent="0.25">
      <c r="A46617">
        <v>950662005</v>
      </c>
      <c r="B46617" t="s">
        <v>15219</v>
      </c>
    </row>
    <row r="46618" spans="1:2" x14ac:dyDescent="0.25">
      <c r="A46618">
        <v>9506620051</v>
      </c>
      <c r="B46618" t="s">
        <v>15213</v>
      </c>
    </row>
    <row r="46619" spans="1:2" x14ac:dyDescent="0.25">
      <c r="A46619">
        <v>95066200511</v>
      </c>
      <c r="B46619" t="s">
        <v>7605</v>
      </c>
    </row>
    <row r="46620" spans="1:2" x14ac:dyDescent="0.25">
      <c r="A46620">
        <v>95066200512</v>
      </c>
      <c r="B46620" t="s">
        <v>9114</v>
      </c>
    </row>
    <row r="46621" spans="1:2" x14ac:dyDescent="0.25">
      <c r="A46621">
        <v>95066200513</v>
      </c>
      <c r="B46621" t="s">
        <v>15214</v>
      </c>
    </row>
    <row r="46622" spans="1:2" x14ac:dyDescent="0.25">
      <c r="A46622">
        <v>95066200514</v>
      </c>
      <c r="B46622" t="s">
        <v>15215</v>
      </c>
    </row>
    <row r="46623" spans="1:2" x14ac:dyDescent="0.25">
      <c r="A46623">
        <v>95066200519</v>
      </c>
      <c r="B46623" t="s">
        <v>10</v>
      </c>
    </row>
    <row r="46624" spans="1:2" x14ac:dyDescent="0.25">
      <c r="A46624">
        <v>9506620059</v>
      </c>
      <c r="B46624" t="s">
        <v>10</v>
      </c>
    </row>
    <row r="46625" spans="1:2" x14ac:dyDescent="0.25">
      <c r="A46625">
        <v>95066200591</v>
      </c>
      <c r="B46625" t="s">
        <v>7605</v>
      </c>
    </row>
    <row r="46626" spans="1:2" x14ac:dyDescent="0.25">
      <c r="A46626">
        <v>95066200592</v>
      </c>
      <c r="B46626" t="s">
        <v>9114</v>
      </c>
    </row>
    <row r="46627" spans="1:2" x14ac:dyDescent="0.25">
      <c r="A46627">
        <v>95066200593</v>
      </c>
      <c r="B46627" t="s">
        <v>15214</v>
      </c>
    </row>
    <row r="46628" spans="1:2" x14ac:dyDescent="0.25">
      <c r="A46628">
        <v>95066200594</v>
      </c>
      <c r="B46628" t="s">
        <v>15215</v>
      </c>
    </row>
    <row r="46629" spans="1:2" x14ac:dyDescent="0.25">
      <c r="A46629">
        <v>95066200599</v>
      </c>
      <c r="B46629" t="s">
        <v>10</v>
      </c>
    </row>
    <row r="46630" spans="1:2" x14ac:dyDescent="0.25">
      <c r="A46630">
        <v>950662009</v>
      </c>
      <c r="B46630" t="s">
        <v>14362</v>
      </c>
    </row>
    <row r="46631" spans="1:2" x14ac:dyDescent="0.25">
      <c r="A46631">
        <v>95066200910</v>
      </c>
      <c r="B46631" t="s">
        <v>15220</v>
      </c>
    </row>
    <row r="46632" spans="1:2" x14ac:dyDescent="0.25">
      <c r="A46632">
        <v>95066200990</v>
      </c>
      <c r="B46632" t="s">
        <v>10</v>
      </c>
    </row>
    <row r="46633" spans="1:2" x14ac:dyDescent="0.25">
      <c r="A46633">
        <v>95066900</v>
      </c>
      <c r="B46633" t="e">
        <f>- - Los demas</f>
        <v>#NAME?</v>
      </c>
    </row>
    <row r="46634" spans="1:2" x14ac:dyDescent="0.25">
      <c r="A46634">
        <v>95066900100</v>
      </c>
      <c r="B46634" t="s">
        <v>15221</v>
      </c>
    </row>
    <row r="46635" spans="1:2" x14ac:dyDescent="0.25">
      <c r="A46635">
        <v>95066900200</v>
      </c>
      <c r="B46635" t="s">
        <v>15222</v>
      </c>
    </row>
    <row r="46636" spans="1:2" x14ac:dyDescent="0.25">
      <c r="A46636">
        <v>95066900300</v>
      </c>
      <c r="B46636" t="s">
        <v>15223</v>
      </c>
    </row>
    <row r="46637" spans="1:2" x14ac:dyDescent="0.25">
      <c r="A46637">
        <v>95066900900</v>
      </c>
      <c r="B46637" t="s">
        <v>10</v>
      </c>
    </row>
    <row r="46638" spans="1:2" x14ac:dyDescent="0.25">
      <c r="A46638">
        <v>95067000</v>
      </c>
      <c r="B46638" t="e">
        <f>- Patines para hielo y Patines de Ruedas. incluido el calzado Con Patines fijos</f>
        <v>#NAME?</v>
      </c>
    </row>
    <row r="46639" spans="1:2" x14ac:dyDescent="0.25">
      <c r="A46639">
        <v>950670001</v>
      </c>
      <c r="B46639" t="s">
        <v>15224</v>
      </c>
    </row>
    <row r="46640" spans="1:2" x14ac:dyDescent="0.25">
      <c r="A46640">
        <v>9506700011</v>
      </c>
      <c r="B46640" t="s">
        <v>15225</v>
      </c>
    </row>
    <row r="46641" spans="1:2" x14ac:dyDescent="0.25">
      <c r="A46641">
        <v>95067000111</v>
      </c>
      <c r="B46641" t="s">
        <v>7605</v>
      </c>
    </row>
    <row r="46642" spans="1:2" x14ac:dyDescent="0.25">
      <c r="A46642">
        <v>95067000112</v>
      </c>
      <c r="B46642" t="s">
        <v>7612</v>
      </c>
    </row>
    <row r="46643" spans="1:2" x14ac:dyDescent="0.25">
      <c r="A46643">
        <v>95067000119</v>
      </c>
      <c r="B46643" t="s">
        <v>10</v>
      </c>
    </row>
    <row r="46644" spans="1:2" x14ac:dyDescent="0.25">
      <c r="A46644">
        <v>95067000190</v>
      </c>
      <c r="B46644" t="s">
        <v>10</v>
      </c>
    </row>
    <row r="46645" spans="1:2" x14ac:dyDescent="0.25">
      <c r="A46645">
        <v>950670002</v>
      </c>
      <c r="B46645" t="s">
        <v>15226</v>
      </c>
    </row>
    <row r="46646" spans="1:2" x14ac:dyDescent="0.25">
      <c r="A46646">
        <v>9506700021</v>
      </c>
      <c r="B46646" t="s">
        <v>15225</v>
      </c>
    </row>
    <row r="46647" spans="1:2" x14ac:dyDescent="0.25">
      <c r="A46647">
        <v>95067000211</v>
      </c>
      <c r="B46647" t="s">
        <v>7605</v>
      </c>
    </row>
    <row r="46648" spans="1:2" x14ac:dyDescent="0.25">
      <c r="A46648">
        <v>95067000212</v>
      </c>
      <c r="B46648" t="s">
        <v>7612</v>
      </c>
    </row>
    <row r="46649" spans="1:2" x14ac:dyDescent="0.25">
      <c r="A46649">
        <v>95067000219</v>
      </c>
      <c r="B46649" t="s">
        <v>10</v>
      </c>
    </row>
    <row r="46650" spans="1:2" x14ac:dyDescent="0.25">
      <c r="A46650">
        <v>95067000220</v>
      </c>
      <c r="B46650" t="s">
        <v>15227</v>
      </c>
    </row>
    <row r="46651" spans="1:2" x14ac:dyDescent="0.25">
      <c r="A46651">
        <v>95067000290</v>
      </c>
      <c r="B46651" t="s">
        <v>10</v>
      </c>
    </row>
    <row r="46652" spans="1:2" x14ac:dyDescent="0.25">
      <c r="A46652">
        <v>950670003</v>
      </c>
      <c r="B46652" t="s">
        <v>15228</v>
      </c>
    </row>
    <row r="46653" spans="1:2" x14ac:dyDescent="0.25">
      <c r="A46653">
        <v>9506700031</v>
      </c>
      <c r="B46653" t="s">
        <v>15225</v>
      </c>
    </row>
    <row r="46654" spans="1:2" x14ac:dyDescent="0.25">
      <c r="A46654">
        <v>95067000311</v>
      </c>
      <c r="B46654" t="s">
        <v>7605</v>
      </c>
    </row>
    <row r="46655" spans="1:2" x14ac:dyDescent="0.25">
      <c r="A46655">
        <v>95067000312</v>
      </c>
      <c r="B46655" t="s">
        <v>14379</v>
      </c>
    </row>
    <row r="46656" spans="1:2" x14ac:dyDescent="0.25">
      <c r="A46656">
        <v>95067000319</v>
      </c>
      <c r="B46656" t="s">
        <v>10</v>
      </c>
    </row>
    <row r="46657" spans="1:2" x14ac:dyDescent="0.25">
      <c r="A46657">
        <v>95067000320</v>
      </c>
      <c r="B46657" t="s">
        <v>15227</v>
      </c>
    </row>
    <row r="46658" spans="1:2" x14ac:dyDescent="0.25">
      <c r="A46658">
        <v>9506700039</v>
      </c>
      <c r="B46658" t="s">
        <v>10</v>
      </c>
    </row>
    <row r="46659" spans="1:2" x14ac:dyDescent="0.25">
      <c r="A46659">
        <v>95067000391</v>
      </c>
      <c r="B46659" t="s">
        <v>14379</v>
      </c>
    </row>
    <row r="46660" spans="1:2" x14ac:dyDescent="0.25">
      <c r="A46660">
        <v>95067000399</v>
      </c>
      <c r="B46660" t="s">
        <v>10</v>
      </c>
    </row>
    <row r="46661" spans="1:2" x14ac:dyDescent="0.25">
      <c r="A46661">
        <v>95069</v>
      </c>
      <c r="B46661" t="s">
        <v>28</v>
      </c>
    </row>
    <row r="46662" spans="1:2" x14ac:dyDescent="0.25">
      <c r="A46662">
        <v>95069100</v>
      </c>
      <c r="B46662" t="e">
        <f>- - Articulos y Material para cultura fisica. gimnasia o atletismo</f>
        <v>#NAME?</v>
      </c>
    </row>
    <row r="46663" spans="1:2" x14ac:dyDescent="0.25">
      <c r="A46663">
        <v>950691001</v>
      </c>
      <c r="B46663" t="s">
        <v>15229</v>
      </c>
    </row>
    <row r="46664" spans="1:2" x14ac:dyDescent="0.25">
      <c r="A46664">
        <v>9506910011</v>
      </c>
      <c r="B46664" t="s">
        <v>15230</v>
      </c>
    </row>
    <row r="46665" spans="1:2" x14ac:dyDescent="0.25">
      <c r="A46665">
        <v>95069100111</v>
      </c>
      <c r="B46665" t="s">
        <v>15231</v>
      </c>
    </row>
    <row r="46666" spans="1:2" x14ac:dyDescent="0.25">
      <c r="A46666">
        <v>95069100112</v>
      </c>
      <c r="B46666" t="s">
        <v>12168</v>
      </c>
    </row>
    <row r="46667" spans="1:2" x14ac:dyDescent="0.25">
      <c r="A46667">
        <v>95069100119</v>
      </c>
      <c r="B46667" t="s">
        <v>57</v>
      </c>
    </row>
    <row r="46668" spans="1:2" x14ac:dyDescent="0.25">
      <c r="A46668">
        <v>9506910012</v>
      </c>
      <c r="B46668" t="s">
        <v>15232</v>
      </c>
    </row>
    <row r="46669" spans="1:2" x14ac:dyDescent="0.25">
      <c r="A46669">
        <v>95069100121</v>
      </c>
      <c r="B46669" t="s">
        <v>15233</v>
      </c>
    </row>
    <row r="46670" spans="1:2" x14ac:dyDescent="0.25">
      <c r="A46670">
        <v>95069100129</v>
      </c>
      <c r="B46670" t="s">
        <v>57</v>
      </c>
    </row>
    <row r="46671" spans="1:2" x14ac:dyDescent="0.25">
      <c r="A46671">
        <v>9506910013</v>
      </c>
      <c r="B46671" t="s">
        <v>15234</v>
      </c>
    </row>
    <row r="46672" spans="1:2" x14ac:dyDescent="0.25">
      <c r="A46672">
        <v>95069100131</v>
      </c>
      <c r="B46672" t="s">
        <v>15235</v>
      </c>
    </row>
    <row r="46673" spans="1:2" x14ac:dyDescent="0.25">
      <c r="A46673">
        <v>95069100139</v>
      </c>
      <c r="B46673" t="s">
        <v>10</v>
      </c>
    </row>
    <row r="46674" spans="1:2" x14ac:dyDescent="0.25">
      <c r="A46674">
        <v>9506910019</v>
      </c>
      <c r="B46674" t="s">
        <v>10</v>
      </c>
    </row>
    <row r="46675" spans="1:2" x14ac:dyDescent="0.25">
      <c r="A46675">
        <v>95069100191</v>
      </c>
      <c r="B46675" t="s">
        <v>15236</v>
      </c>
    </row>
    <row r="46676" spans="1:2" x14ac:dyDescent="0.25">
      <c r="A46676">
        <v>95069100192</v>
      </c>
      <c r="B46676" t="s">
        <v>15237</v>
      </c>
    </row>
    <row r="46677" spans="1:2" x14ac:dyDescent="0.25">
      <c r="A46677">
        <v>95069100193</v>
      </c>
      <c r="B46677" t="s">
        <v>15238</v>
      </c>
    </row>
    <row r="46678" spans="1:2" x14ac:dyDescent="0.25">
      <c r="A46678">
        <v>95069100194</v>
      </c>
      <c r="B46678" t="s">
        <v>15197</v>
      </c>
    </row>
    <row r="46679" spans="1:2" x14ac:dyDescent="0.25">
      <c r="A46679">
        <v>95069100195</v>
      </c>
      <c r="B46679" t="s">
        <v>15239</v>
      </c>
    </row>
    <row r="46680" spans="1:2" x14ac:dyDescent="0.25">
      <c r="A46680">
        <v>95069100196</v>
      </c>
      <c r="B46680" t="s">
        <v>15240</v>
      </c>
    </row>
    <row r="46681" spans="1:2" x14ac:dyDescent="0.25">
      <c r="A46681">
        <v>95069100197</v>
      </c>
      <c r="B46681" t="s">
        <v>15241</v>
      </c>
    </row>
    <row r="46682" spans="1:2" x14ac:dyDescent="0.25">
      <c r="A46682">
        <v>95069100198</v>
      </c>
      <c r="B46682" t="s">
        <v>15242</v>
      </c>
    </row>
    <row r="46683" spans="1:2" x14ac:dyDescent="0.25">
      <c r="A46683">
        <v>95069100199</v>
      </c>
      <c r="B46683" t="s">
        <v>10</v>
      </c>
    </row>
    <row r="46684" spans="1:2" x14ac:dyDescent="0.25">
      <c r="A46684">
        <v>950691002</v>
      </c>
      <c r="B46684" t="s">
        <v>9281</v>
      </c>
    </row>
    <row r="46685" spans="1:2" x14ac:dyDescent="0.25">
      <c r="A46685">
        <v>95069100210</v>
      </c>
      <c r="B46685" t="s">
        <v>15243</v>
      </c>
    </row>
    <row r="46686" spans="1:2" x14ac:dyDescent="0.25">
      <c r="A46686">
        <v>95069100220</v>
      </c>
      <c r="B46686" t="s">
        <v>15244</v>
      </c>
    </row>
    <row r="46687" spans="1:2" x14ac:dyDescent="0.25">
      <c r="A46687">
        <v>95069100230</v>
      </c>
      <c r="B46687" t="s">
        <v>15245</v>
      </c>
    </row>
    <row r="46688" spans="1:2" x14ac:dyDescent="0.25">
      <c r="A46688">
        <v>95069100240</v>
      </c>
      <c r="B46688" t="s">
        <v>15246</v>
      </c>
    </row>
    <row r="46689" spans="1:2" x14ac:dyDescent="0.25">
      <c r="A46689">
        <v>95069100250</v>
      </c>
      <c r="B46689" t="s">
        <v>15247</v>
      </c>
    </row>
    <row r="46690" spans="1:2" x14ac:dyDescent="0.25">
      <c r="A46690">
        <v>95069100260</v>
      </c>
      <c r="B46690" t="s">
        <v>10763</v>
      </c>
    </row>
    <row r="46691" spans="1:2" x14ac:dyDescent="0.25">
      <c r="A46691">
        <v>95069100290</v>
      </c>
      <c r="B46691" t="s">
        <v>10</v>
      </c>
    </row>
    <row r="46692" spans="1:2" x14ac:dyDescent="0.25">
      <c r="A46692">
        <v>95069100900</v>
      </c>
      <c r="B46692" t="s">
        <v>10</v>
      </c>
    </row>
    <row r="46693" spans="1:2" x14ac:dyDescent="0.25">
      <c r="A46693">
        <v>95069900</v>
      </c>
      <c r="B46693" t="e">
        <f>- - Los demas</f>
        <v>#NAME?</v>
      </c>
    </row>
    <row r="46694" spans="1:2" x14ac:dyDescent="0.25">
      <c r="A46694">
        <v>950699001</v>
      </c>
      <c r="B46694" t="s">
        <v>15248</v>
      </c>
    </row>
    <row r="46695" spans="1:2" x14ac:dyDescent="0.25">
      <c r="A46695">
        <v>95069900110</v>
      </c>
      <c r="B46695" t="s">
        <v>15249</v>
      </c>
    </row>
    <row r="46696" spans="1:2" x14ac:dyDescent="0.25">
      <c r="A46696">
        <v>95069900120</v>
      </c>
      <c r="B46696" t="s">
        <v>15243</v>
      </c>
    </row>
    <row r="46697" spans="1:2" x14ac:dyDescent="0.25">
      <c r="A46697">
        <v>95069900190</v>
      </c>
      <c r="B46697" t="s">
        <v>10</v>
      </c>
    </row>
    <row r="46698" spans="1:2" x14ac:dyDescent="0.25">
      <c r="A46698">
        <v>950699002</v>
      </c>
      <c r="B46698" t="s">
        <v>15250</v>
      </c>
    </row>
    <row r="46699" spans="1:2" x14ac:dyDescent="0.25">
      <c r="A46699">
        <v>95069900210</v>
      </c>
      <c r="B46699" t="s">
        <v>15251</v>
      </c>
    </row>
    <row r="46700" spans="1:2" x14ac:dyDescent="0.25">
      <c r="A46700">
        <v>95069900220</v>
      </c>
      <c r="B46700" t="s">
        <v>15252</v>
      </c>
    </row>
    <row r="46701" spans="1:2" x14ac:dyDescent="0.25">
      <c r="A46701">
        <v>95069900290</v>
      </c>
      <c r="B46701" t="s">
        <v>10</v>
      </c>
    </row>
    <row r="46702" spans="1:2" x14ac:dyDescent="0.25">
      <c r="A46702">
        <v>950699003</v>
      </c>
      <c r="B46702" t="s">
        <v>15253</v>
      </c>
    </row>
    <row r="46703" spans="1:2" x14ac:dyDescent="0.25">
      <c r="A46703">
        <v>9506990031</v>
      </c>
      <c r="B46703" t="s">
        <v>15254</v>
      </c>
    </row>
    <row r="46704" spans="1:2" x14ac:dyDescent="0.25">
      <c r="A46704">
        <v>95069900311</v>
      </c>
      <c r="B46704" t="s">
        <v>5635</v>
      </c>
    </row>
    <row r="46705" spans="1:2" x14ac:dyDescent="0.25">
      <c r="A46705">
        <v>95069900319</v>
      </c>
      <c r="B46705" t="s">
        <v>10</v>
      </c>
    </row>
    <row r="46706" spans="1:2" x14ac:dyDescent="0.25">
      <c r="A46706">
        <v>95069900320</v>
      </c>
      <c r="B46706" t="s">
        <v>15255</v>
      </c>
    </row>
    <row r="46707" spans="1:2" x14ac:dyDescent="0.25">
      <c r="A46707">
        <v>95069900330</v>
      </c>
      <c r="B46707" t="s">
        <v>15256</v>
      </c>
    </row>
    <row r="46708" spans="1:2" x14ac:dyDescent="0.25">
      <c r="A46708">
        <v>9506990039</v>
      </c>
      <c r="B46708" t="s">
        <v>10</v>
      </c>
    </row>
    <row r="46709" spans="1:2" x14ac:dyDescent="0.25">
      <c r="A46709">
        <v>95069900391</v>
      </c>
      <c r="B46709" t="s">
        <v>5635</v>
      </c>
    </row>
    <row r="46710" spans="1:2" x14ac:dyDescent="0.25">
      <c r="A46710">
        <v>95069900399</v>
      </c>
      <c r="B46710" t="s">
        <v>10</v>
      </c>
    </row>
    <row r="46711" spans="1:2" x14ac:dyDescent="0.25">
      <c r="A46711">
        <v>950699004</v>
      </c>
      <c r="B46711" t="s">
        <v>15257</v>
      </c>
    </row>
    <row r="46712" spans="1:2" x14ac:dyDescent="0.25">
      <c r="A46712">
        <v>9506990041</v>
      </c>
      <c r="B46712" t="s">
        <v>15138</v>
      </c>
    </row>
    <row r="46713" spans="1:2" x14ac:dyDescent="0.25">
      <c r="A46713">
        <v>95069900411</v>
      </c>
      <c r="B46713" t="s">
        <v>5635</v>
      </c>
    </row>
    <row r="46714" spans="1:2" x14ac:dyDescent="0.25">
      <c r="A46714">
        <v>95069900412</v>
      </c>
      <c r="B46714" t="s">
        <v>15258</v>
      </c>
    </row>
    <row r="46715" spans="1:2" x14ac:dyDescent="0.25">
      <c r="A46715">
        <v>95069900413</v>
      </c>
      <c r="B46715" t="s">
        <v>13253</v>
      </c>
    </row>
    <row r="46716" spans="1:2" x14ac:dyDescent="0.25">
      <c r="A46716">
        <v>95069900419</v>
      </c>
      <c r="B46716" t="s">
        <v>57</v>
      </c>
    </row>
    <row r="46717" spans="1:2" x14ac:dyDescent="0.25">
      <c r="A46717">
        <v>9506990049</v>
      </c>
      <c r="B46717" t="s">
        <v>57</v>
      </c>
    </row>
    <row r="46718" spans="1:2" x14ac:dyDescent="0.25">
      <c r="A46718">
        <v>95069900491</v>
      </c>
      <c r="B46718" t="s">
        <v>15259</v>
      </c>
    </row>
    <row r="46719" spans="1:2" x14ac:dyDescent="0.25">
      <c r="A46719">
        <v>95069900492</v>
      </c>
      <c r="B46719" t="s">
        <v>15260</v>
      </c>
    </row>
    <row r="46720" spans="1:2" x14ac:dyDescent="0.25">
      <c r="A46720">
        <v>95069900493</v>
      </c>
      <c r="B46720" t="s">
        <v>13253</v>
      </c>
    </row>
    <row r="46721" spans="1:2" x14ac:dyDescent="0.25">
      <c r="A46721">
        <v>95069900499</v>
      </c>
      <c r="B46721" t="s">
        <v>57</v>
      </c>
    </row>
    <row r="46722" spans="1:2" x14ac:dyDescent="0.25">
      <c r="A46722">
        <v>950699009</v>
      </c>
      <c r="B46722" t="s">
        <v>10</v>
      </c>
    </row>
    <row r="46723" spans="1:2" x14ac:dyDescent="0.25">
      <c r="A46723">
        <v>9506990091</v>
      </c>
      <c r="B46723" t="s">
        <v>15261</v>
      </c>
    </row>
    <row r="46724" spans="1:2" x14ac:dyDescent="0.25">
      <c r="A46724">
        <v>95069900911</v>
      </c>
      <c r="B46724" t="s">
        <v>15224</v>
      </c>
    </row>
    <row r="46725" spans="1:2" x14ac:dyDescent="0.25">
      <c r="A46725">
        <v>95069900919</v>
      </c>
      <c r="B46725" t="s">
        <v>10</v>
      </c>
    </row>
    <row r="46726" spans="1:2" x14ac:dyDescent="0.25">
      <c r="A46726">
        <v>95069900920</v>
      </c>
      <c r="B46726" t="s">
        <v>15262</v>
      </c>
    </row>
    <row r="46727" spans="1:2" x14ac:dyDescent="0.25">
      <c r="A46727">
        <v>95069900930</v>
      </c>
      <c r="B46727" t="s">
        <v>15263</v>
      </c>
    </row>
    <row r="46728" spans="1:2" x14ac:dyDescent="0.25">
      <c r="A46728">
        <v>9506990099</v>
      </c>
      <c r="B46728" t="s">
        <v>10</v>
      </c>
    </row>
    <row r="46729" spans="1:2" x14ac:dyDescent="0.25">
      <c r="A46729">
        <v>95069900991</v>
      </c>
      <c r="B46729" t="s">
        <v>5635</v>
      </c>
    </row>
    <row r="46730" spans="1:2" x14ac:dyDescent="0.25">
      <c r="A46730">
        <v>95069900999</v>
      </c>
      <c r="B46730" t="s">
        <v>10</v>
      </c>
    </row>
    <row r="46731" spans="1:2" x14ac:dyDescent="0.25">
      <c r="A46731">
        <v>9507</v>
      </c>
      <c r="B46731" t="s">
        <v>15264</v>
      </c>
    </row>
    <row r="46732" spans="1:2" x14ac:dyDescent="0.25">
      <c r="A46732">
        <v>95071000</v>
      </c>
      <c r="B46732" t="e">
        <f>- Cañas de pescar</f>
        <v>#NAME?</v>
      </c>
    </row>
    <row r="46733" spans="1:2" x14ac:dyDescent="0.25">
      <c r="A46733">
        <v>950710001</v>
      </c>
      <c r="B46733" t="s">
        <v>15265</v>
      </c>
    </row>
    <row r="46734" spans="1:2" x14ac:dyDescent="0.25">
      <c r="A46734">
        <v>9507100011</v>
      </c>
      <c r="B46734" t="s">
        <v>9514</v>
      </c>
    </row>
    <row r="46735" spans="1:2" x14ac:dyDescent="0.25">
      <c r="A46735">
        <v>95071000111</v>
      </c>
      <c r="B46735" t="s">
        <v>15266</v>
      </c>
    </row>
    <row r="46736" spans="1:2" x14ac:dyDescent="0.25">
      <c r="A46736">
        <v>95071000119</v>
      </c>
      <c r="B46736" t="s">
        <v>57</v>
      </c>
    </row>
    <row r="46737" spans="1:2" x14ac:dyDescent="0.25">
      <c r="A46737">
        <v>9507100012</v>
      </c>
      <c r="B46737" t="s">
        <v>14999</v>
      </c>
    </row>
    <row r="46738" spans="1:2" x14ac:dyDescent="0.25">
      <c r="A46738">
        <v>95071000121</v>
      </c>
      <c r="B46738" t="s">
        <v>15266</v>
      </c>
    </row>
    <row r="46739" spans="1:2" x14ac:dyDescent="0.25">
      <c r="A46739">
        <v>95071000129</v>
      </c>
      <c r="B46739" t="s">
        <v>57</v>
      </c>
    </row>
    <row r="46740" spans="1:2" x14ac:dyDescent="0.25">
      <c r="A46740">
        <v>9507100019</v>
      </c>
      <c r="B46740" t="s">
        <v>57</v>
      </c>
    </row>
    <row r="46741" spans="1:2" x14ac:dyDescent="0.25">
      <c r="A46741">
        <v>95071000191</v>
      </c>
      <c r="B46741" t="s">
        <v>15266</v>
      </c>
    </row>
    <row r="46742" spans="1:2" x14ac:dyDescent="0.25">
      <c r="A46742">
        <v>95071000199</v>
      </c>
      <c r="B46742" t="s">
        <v>57</v>
      </c>
    </row>
    <row r="46743" spans="1:2" x14ac:dyDescent="0.25">
      <c r="A46743">
        <v>950710002</v>
      </c>
      <c r="B46743" t="s">
        <v>15267</v>
      </c>
    </row>
    <row r="46744" spans="1:2" x14ac:dyDescent="0.25">
      <c r="A46744">
        <v>9507100021</v>
      </c>
      <c r="B46744" t="s">
        <v>486</v>
      </c>
    </row>
    <row r="46745" spans="1:2" x14ac:dyDescent="0.25">
      <c r="A46745">
        <v>95071000211</v>
      </c>
      <c r="B46745" t="s">
        <v>9514</v>
      </c>
    </row>
    <row r="46746" spans="1:2" x14ac:dyDescent="0.25">
      <c r="A46746">
        <v>95071000212</v>
      </c>
      <c r="B46746" t="s">
        <v>14999</v>
      </c>
    </row>
    <row r="46747" spans="1:2" x14ac:dyDescent="0.25">
      <c r="A46747">
        <v>95071000219</v>
      </c>
      <c r="B46747" t="s">
        <v>57</v>
      </c>
    </row>
    <row r="46748" spans="1:2" x14ac:dyDescent="0.25">
      <c r="A46748">
        <v>9507100022</v>
      </c>
      <c r="B46748" t="s">
        <v>57</v>
      </c>
    </row>
    <row r="46749" spans="1:2" x14ac:dyDescent="0.25">
      <c r="A46749">
        <v>95071000221</v>
      </c>
      <c r="B46749" t="s">
        <v>9514</v>
      </c>
    </row>
    <row r="46750" spans="1:2" x14ac:dyDescent="0.25">
      <c r="A46750">
        <v>95071000222</v>
      </c>
      <c r="B46750" t="s">
        <v>14999</v>
      </c>
    </row>
    <row r="46751" spans="1:2" x14ac:dyDescent="0.25">
      <c r="A46751">
        <v>95071000229</v>
      </c>
      <c r="B46751" t="s">
        <v>57</v>
      </c>
    </row>
    <row r="46752" spans="1:2" x14ac:dyDescent="0.25">
      <c r="A46752">
        <v>950710009</v>
      </c>
      <c r="B46752" t="s">
        <v>57</v>
      </c>
    </row>
    <row r="46753" spans="1:2" x14ac:dyDescent="0.25">
      <c r="A46753">
        <v>95071000910</v>
      </c>
      <c r="B46753" t="s">
        <v>9514</v>
      </c>
    </row>
    <row r="46754" spans="1:2" x14ac:dyDescent="0.25">
      <c r="A46754">
        <v>95071000920</v>
      </c>
      <c r="B46754" t="s">
        <v>14999</v>
      </c>
    </row>
    <row r="46755" spans="1:2" x14ac:dyDescent="0.25">
      <c r="A46755">
        <v>95071000990</v>
      </c>
      <c r="B46755" t="s">
        <v>57</v>
      </c>
    </row>
    <row r="46756" spans="1:2" x14ac:dyDescent="0.25">
      <c r="A46756">
        <v>95072000000</v>
      </c>
      <c r="B46756" t="e">
        <f>-Anzuelos. incluso montados En sedal (tanza)</f>
        <v>#NAME?</v>
      </c>
    </row>
    <row r="46757" spans="1:2" x14ac:dyDescent="0.25">
      <c r="A46757">
        <v>95073000</v>
      </c>
      <c r="B46757" t="e">
        <f>- carretes de pesca</f>
        <v>#NAME?</v>
      </c>
    </row>
    <row r="46758" spans="1:2" x14ac:dyDescent="0.25">
      <c r="A46758">
        <v>950730001</v>
      </c>
      <c r="B46758" t="s">
        <v>15268</v>
      </c>
    </row>
    <row r="46759" spans="1:2" x14ac:dyDescent="0.25">
      <c r="A46759">
        <v>95073000110</v>
      </c>
      <c r="B46759" t="s">
        <v>9514</v>
      </c>
    </row>
    <row r="46760" spans="1:2" x14ac:dyDescent="0.25">
      <c r="A46760">
        <v>95073000120</v>
      </c>
      <c r="B46760" t="s">
        <v>14999</v>
      </c>
    </row>
    <row r="46761" spans="1:2" x14ac:dyDescent="0.25">
      <c r="A46761">
        <v>95073000190</v>
      </c>
      <c r="B46761" t="s">
        <v>10</v>
      </c>
    </row>
    <row r="46762" spans="1:2" x14ac:dyDescent="0.25">
      <c r="A46762">
        <v>950730009</v>
      </c>
      <c r="B46762" t="s">
        <v>10</v>
      </c>
    </row>
    <row r="46763" spans="1:2" x14ac:dyDescent="0.25">
      <c r="A46763">
        <v>95073000910</v>
      </c>
      <c r="B46763" t="s">
        <v>9514</v>
      </c>
    </row>
    <row r="46764" spans="1:2" x14ac:dyDescent="0.25">
      <c r="A46764">
        <v>95073000920</v>
      </c>
      <c r="B46764" t="s">
        <v>14999</v>
      </c>
    </row>
    <row r="46765" spans="1:2" x14ac:dyDescent="0.25">
      <c r="A46765">
        <v>95073000990</v>
      </c>
      <c r="B46765" t="s">
        <v>10</v>
      </c>
    </row>
    <row r="46766" spans="1:2" x14ac:dyDescent="0.25">
      <c r="A46766">
        <v>95079000</v>
      </c>
      <c r="B46766" t="e">
        <f>- Los demas</f>
        <v>#NAME?</v>
      </c>
    </row>
    <row r="46767" spans="1:2" x14ac:dyDescent="0.25">
      <c r="A46767">
        <v>95079000100</v>
      </c>
      <c r="B46767" t="s">
        <v>15269</v>
      </c>
    </row>
    <row r="46768" spans="1:2" x14ac:dyDescent="0.25">
      <c r="A46768">
        <v>95079000900</v>
      </c>
      <c r="B46768" t="s">
        <v>10</v>
      </c>
    </row>
    <row r="46769" spans="1:2" x14ac:dyDescent="0.25">
      <c r="A46769">
        <v>9508</v>
      </c>
      <c r="B46769" t="s">
        <v>15270</v>
      </c>
    </row>
    <row r="46770" spans="1:2" x14ac:dyDescent="0.25">
      <c r="A46770">
        <v>95081000</v>
      </c>
      <c r="B46770" t="e">
        <f>- Circos y zoologicos. ambulantes</f>
        <v>#NAME?</v>
      </c>
    </row>
    <row r="46771" spans="1:2" x14ac:dyDescent="0.25">
      <c r="A46771">
        <v>95081000100</v>
      </c>
      <c r="B46771" t="s">
        <v>15271</v>
      </c>
    </row>
    <row r="46772" spans="1:2" x14ac:dyDescent="0.25">
      <c r="A46772">
        <v>95081000900</v>
      </c>
      <c r="B46772" t="s">
        <v>10</v>
      </c>
    </row>
    <row r="46773" spans="1:2" x14ac:dyDescent="0.25">
      <c r="A46773">
        <v>950890</v>
      </c>
      <c r="B46773" t="e">
        <f>- Los demas</f>
        <v>#NAME?</v>
      </c>
    </row>
    <row r="46774" spans="1:2" x14ac:dyDescent="0.25">
      <c r="A46774">
        <v>95089010000</v>
      </c>
      <c r="B46774" t="s">
        <v>15272</v>
      </c>
    </row>
    <row r="46775" spans="1:2" x14ac:dyDescent="0.25">
      <c r="A46775">
        <v>95089020000</v>
      </c>
      <c r="B46775" t="s">
        <v>15273</v>
      </c>
    </row>
    <row r="46776" spans="1:2" x14ac:dyDescent="0.25">
      <c r="A46776">
        <v>95089030000</v>
      </c>
      <c r="B46776" t="s">
        <v>15274</v>
      </c>
    </row>
    <row r="46777" spans="1:2" x14ac:dyDescent="0.25">
      <c r="A46777">
        <v>95089090000</v>
      </c>
      <c r="B46777" t="s">
        <v>10</v>
      </c>
    </row>
    <row r="46778" spans="1:2" x14ac:dyDescent="0.25">
      <c r="A46778">
        <v>9601</v>
      </c>
      <c r="B46778" t="s">
        <v>15275</v>
      </c>
    </row>
    <row r="46779" spans="1:2" x14ac:dyDescent="0.25">
      <c r="A46779">
        <v>96011000000</v>
      </c>
      <c r="B46779" t="e">
        <f>-Marfil trabajado y sus manufacturas</f>
        <v>#NAME?</v>
      </c>
    </row>
    <row r="46780" spans="1:2" x14ac:dyDescent="0.25">
      <c r="A46780">
        <v>96019000000</v>
      </c>
      <c r="B46780" t="e">
        <f>-Los demas</f>
        <v>#NAME?</v>
      </c>
    </row>
    <row r="46781" spans="1:2" x14ac:dyDescent="0.25">
      <c r="A46781">
        <v>960200</v>
      </c>
      <c r="B46781" t="s">
        <v>15276</v>
      </c>
    </row>
    <row r="46782" spans="1:2" x14ac:dyDescent="0.25">
      <c r="A46782">
        <v>96020010</v>
      </c>
      <c r="B46782" t="s">
        <v>15277</v>
      </c>
    </row>
    <row r="46783" spans="1:2" x14ac:dyDescent="0.25">
      <c r="A46783">
        <v>96020010100</v>
      </c>
      <c r="B46783" t="s">
        <v>15278</v>
      </c>
    </row>
    <row r="46784" spans="1:2" x14ac:dyDescent="0.25">
      <c r="A46784">
        <v>96020010200</v>
      </c>
      <c r="B46784" t="s">
        <v>15279</v>
      </c>
    </row>
    <row r="46785" spans="1:2" x14ac:dyDescent="0.25">
      <c r="A46785">
        <v>96020020000</v>
      </c>
      <c r="B46785" t="s">
        <v>15280</v>
      </c>
    </row>
    <row r="46786" spans="1:2" x14ac:dyDescent="0.25">
      <c r="A46786">
        <v>96020090</v>
      </c>
      <c r="B46786" t="s">
        <v>57</v>
      </c>
    </row>
    <row r="46787" spans="1:2" x14ac:dyDescent="0.25">
      <c r="A46787">
        <v>96020090100</v>
      </c>
      <c r="B46787" t="s">
        <v>15281</v>
      </c>
    </row>
    <row r="46788" spans="1:2" x14ac:dyDescent="0.25">
      <c r="A46788">
        <v>96020090900</v>
      </c>
      <c r="B46788" t="s">
        <v>57</v>
      </c>
    </row>
    <row r="46789" spans="1:2" x14ac:dyDescent="0.25">
      <c r="A46789">
        <v>9603</v>
      </c>
      <c r="B46789" t="s">
        <v>15282</v>
      </c>
    </row>
    <row r="46790" spans="1:2" x14ac:dyDescent="0.25">
      <c r="A46790">
        <v>96031000000</v>
      </c>
      <c r="B46790" t="e">
        <f>-Escobas y Escobillas de ramitas u otra materia vegetal atada En haces. incluso Con mango</f>
        <v>#NAME?</v>
      </c>
    </row>
    <row r="46791" spans="1:2" x14ac:dyDescent="0.25">
      <c r="A46791">
        <v>96032</v>
      </c>
      <c r="B46791" t="s">
        <v>15283</v>
      </c>
    </row>
    <row r="46792" spans="1:2" x14ac:dyDescent="0.25">
      <c r="A46792">
        <v>96032100</v>
      </c>
      <c r="B46792" t="e">
        <f>- - Cepillos de dientes. incluidos Los Cepillos para dentaduras postizas</f>
        <v>#NAME?</v>
      </c>
    </row>
    <row r="46793" spans="1:2" x14ac:dyDescent="0.25">
      <c r="A46793">
        <v>96032100100</v>
      </c>
      <c r="B46793" t="s">
        <v>15284</v>
      </c>
    </row>
    <row r="46794" spans="1:2" x14ac:dyDescent="0.25">
      <c r="A46794">
        <v>960321002</v>
      </c>
      <c r="B46794" t="s">
        <v>15285</v>
      </c>
    </row>
    <row r="46795" spans="1:2" x14ac:dyDescent="0.25">
      <c r="A46795">
        <v>96032100210</v>
      </c>
      <c r="B46795" t="s">
        <v>15286</v>
      </c>
    </row>
    <row r="46796" spans="1:2" x14ac:dyDescent="0.25">
      <c r="A46796">
        <v>96032100220</v>
      </c>
      <c r="B46796" t="s">
        <v>15287</v>
      </c>
    </row>
    <row r="46797" spans="1:2" x14ac:dyDescent="0.25">
      <c r="A46797">
        <v>96032100290</v>
      </c>
      <c r="B46797" t="s">
        <v>823</v>
      </c>
    </row>
    <row r="46798" spans="1:2" x14ac:dyDescent="0.25">
      <c r="A46798">
        <v>96032100900</v>
      </c>
      <c r="B46798" t="s">
        <v>10</v>
      </c>
    </row>
    <row r="46799" spans="1:2" x14ac:dyDescent="0.25">
      <c r="A46799">
        <v>96032900</v>
      </c>
      <c r="B46799" t="e">
        <f>- - Los demas</f>
        <v>#NAME?</v>
      </c>
    </row>
    <row r="46800" spans="1:2" x14ac:dyDescent="0.25">
      <c r="A46800">
        <v>960329001</v>
      </c>
      <c r="B46800" t="s">
        <v>15288</v>
      </c>
    </row>
    <row r="46801" spans="1:2" x14ac:dyDescent="0.25">
      <c r="A46801">
        <v>96032900110</v>
      </c>
      <c r="B46801" t="s">
        <v>15289</v>
      </c>
    </row>
    <row r="46802" spans="1:2" x14ac:dyDescent="0.25">
      <c r="A46802">
        <v>96032900190</v>
      </c>
      <c r="B46802" t="s">
        <v>10</v>
      </c>
    </row>
    <row r="46803" spans="1:2" x14ac:dyDescent="0.25">
      <c r="A46803">
        <v>960329002</v>
      </c>
      <c r="B46803" t="s">
        <v>15290</v>
      </c>
    </row>
    <row r="46804" spans="1:2" x14ac:dyDescent="0.25">
      <c r="A46804">
        <v>9603290021</v>
      </c>
      <c r="B46804" t="s">
        <v>15291</v>
      </c>
    </row>
    <row r="46805" spans="1:2" x14ac:dyDescent="0.25">
      <c r="A46805">
        <v>96032900211</v>
      </c>
      <c r="B46805" t="s">
        <v>15289</v>
      </c>
    </row>
    <row r="46806" spans="1:2" x14ac:dyDescent="0.25">
      <c r="A46806">
        <v>96032900212</v>
      </c>
      <c r="B46806" t="s">
        <v>15292</v>
      </c>
    </row>
    <row r="46807" spans="1:2" x14ac:dyDescent="0.25">
      <c r="A46807">
        <v>96032900213</v>
      </c>
      <c r="B46807" t="s">
        <v>15293</v>
      </c>
    </row>
    <row r="46808" spans="1:2" x14ac:dyDescent="0.25">
      <c r="A46808">
        <v>96032900214</v>
      </c>
      <c r="B46808" t="s">
        <v>15294</v>
      </c>
    </row>
    <row r="46809" spans="1:2" x14ac:dyDescent="0.25">
      <c r="A46809">
        <v>9603290029</v>
      </c>
      <c r="B46809" t="s">
        <v>10</v>
      </c>
    </row>
    <row r="46810" spans="1:2" x14ac:dyDescent="0.25">
      <c r="A46810">
        <v>96032900291</v>
      </c>
      <c r="B46810" t="s">
        <v>15289</v>
      </c>
    </row>
    <row r="46811" spans="1:2" x14ac:dyDescent="0.25">
      <c r="A46811">
        <v>96032900292</v>
      </c>
      <c r="B46811" t="s">
        <v>15292</v>
      </c>
    </row>
    <row r="46812" spans="1:2" x14ac:dyDescent="0.25">
      <c r="A46812">
        <v>96032900293</v>
      </c>
      <c r="B46812" t="s">
        <v>15293</v>
      </c>
    </row>
    <row r="46813" spans="1:2" x14ac:dyDescent="0.25">
      <c r="A46813">
        <v>96032900294</v>
      </c>
      <c r="B46813" t="s">
        <v>15294</v>
      </c>
    </row>
    <row r="46814" spans="1:2" x14ac:dyDescent="0.25">
      <c r="A46814">
        <v>960329009</v>
      </c>
      <c r="B46814" t="s">
        <v>10</v>
      </c>
    </row>
    <row r="46815" spans="1:2" x14ac:dyDescent="0.25">
      <c r="A46815">
        <v>96032900910</v>
      </c>
      <c r="B46815" t="s">
        <v>15289</v>
      </c>
    </row>
    <row r="46816" spans="1:2" x14ac:dyDescent="0.25">
      <c r="A46816">
        <v>96032900920</v>
      </c>
      <c r="B46816" t="s">
        <v>15292</v>
      </c>
    </row>
    <row r="46817" spans="1:2" x14ac:dyDescent="0.25">
      <c r="A46817">
        <v>96032900930</v>
      </c>
      <c r="B46817" t="s">
        <v>15293</v>
      </c>
    </row>
    <row r="46818" spans="1:2" x14ac:dyDescent="0.25">
      <c r="A46818">
        <v>96032900940</v>
      </c>
      <c r="B46818" t="s">
        <v>15294</v>
      </c>
    </row>
    <row r="46819" spans="1:2" x14ac:dyDescent="0.25">
      <c r="A46819">
        <v>96033000000</v>
      </c>
      <c r="B46819" t="e">
        <f>-Pinceles y brochas para pintura artistica. Pinceles para escribir y Pinceles similares para aplicacion de cosmeticos</f>
        <v>#NAME?</v>
      </c>
    </row>
    <row r="46820" spans="1:2" x14ac:dyDescent="0.25">
      <c r="A46820">
        <v>960340</v>
      </c>
      <c r="B46820" t="s">
        <v>15295</v>
      </c>
    </row>
    <row r="46821" spans="1:2" x14ac:dyDescent="0.25">
      <c r="A46821">
        <v>96034010000</v>
      </c>
      <c r="B46821" t="s">
        <v>15296</v>
      </c>
    </row>
    <row r="46822" spans="1:2" x14ac:dyDescent="0.25">
      <c r="A46822">
        <v>96034090000</v>
      </c>
      <c r="B46822" t="s">
        <v>10</v>
      </c>
    </row>
    <row r="46823" spans="1:2" x14ac:dyDescent="0.25">
      <c r="A46823">
        <v>96035000</v>
      </c>
      <c r="B46823" t="e">
        <f>- Los demas Cepillos que constituyan partes de maquinas. aparatos o vehiculos</f>
        <v>#NAME?</v>
      </c>
    </row>
    <row r="46824" spans="1:2" x14ac:dyDescent="0.25">
      <c r="A46824">
        <v>96035000100</v>
      </c>
      <c r="B46824" t="s">
        <v>15297</v>
      </c>
    </row>
    <row r="46825" spans="1:2" x14ac:dyDescent="0.25">
      <c r="A46825">
        <v>960350002</v>
      </c>
      <c r="B46825" t="s">
        <v>15298</v>
      </c>
    </row>
    <row r="46826" spans="1:2" x14ac:dyDescent="0.25">
      <c r="A46826">
        <v>9603500021</v>
      </c>
      <c r="B46826" t="s">
        <v>15299</v>
      </c>
    </row>
    <row r="46827" spans="1:2" x14ac:dyDescent="0.25">
      <c r="A46827">
        <v>96035000211</v>
      </c>
      <c r="B46827" t="s">
        <v>15300</v>
      </c>
    </row>
    <row r="46828" spans="1:2" x14ac:dyDescent="0.25">
      <c r="A46828">
        <v>96035000212</v>
      </c>
      <c r="B46828" t="s">
        <v>15301</v>
      </c>
    </row>
    <row r="46829" spans="1:2" x14ac:dyDescent="0.25">
      <c r="A46829">
        <v>96035000213</v>
      </c>
      <c r="B46829" t="s">
        <v>15302</v>
      </c>
    </row>
    <row r="46830" spans="1:2" x14ac:dyDescent="0.25">
      <c r="A46830">
        <v>96035000214</v>
      </c>
      <c r="B46830" t="s">
        <v>15303</v>
      </c>
    </row>
    <row r="46831" spans="1:2" x14ac:dyDescent="0.25">
      <c r="A46831">
        <v>96035000215</v>
      </c>
      <c r="B46831" t="s">
        <v>15304</v>
      </c>
    </row>
    <row r="46832" spans="1:2" x14ac:dyDescent="0.25">
      <c r="A46832">
        <v>96035000216</v>
      </c>
      <c r="B46832" t="s">
        <v>15305</v>
      </c>
    </row>
    <row r="46833" spans="1:2" x14ac:dyDescent="0.25">
      <c r="A46833">
        <v>96035000219</v>
      </c>
      <c r="B46833" t="s">
        <v>10</v>
      </c>
    </row>
    <row r="46834" spans="1:2" x14ac:dyDescent="0.25">
      <c r="A46834">
        <v>9603500022</v>
      </c>
      <c r="B46834" t="s">
        <v>15306</v>
      </c>
    </row>
    <row r="46835" spans="1:2" x14ac:dyDescent="0.25">
      <c r="A46835">
        <v>96035000221</v>
      </c>
      <c r="B46835" t="s">
        <v>15307</v>
      </c>
    </row>
    <row r="46836" spans="1:2" x14ac:dyDescent="0.25">
      <c r="A46836">
        <v>96035000222</v>
      </c>
      <c r="B46836" t="s">
        <v>15302</v>
      </c>
    </row>
    <row r="46837" spans="1:2" x14ac:dyDescent="0.25">
      <c r="A46837">
        <v>96035000223</v>
      </c>
      <c r="B46837" t="s">
        <v>15303</v>
      </c>
    </row>
    <row r="46838" spans="1:2" x14ac:dyDescent="0.25">
      <c r="A46838">
        <v>96035000229</v>
      </c>
      <c r="B46838" t="s">
        <v>10</v>
      </c>
    </row>
    <row r="46839" spans="1:2" x14ac:dyDescent="0.25">
      <c r="A46839">
        <v>9603500023</v>
      </c>
      <c r="B46839" t="s">
        <v>15308</v>
      </c>
    </row>
    <row r="46840" spans="1:2" x14ac:dyDescent="0.25">
      <c r="A46840">
        <v>96035000231</v>
      </c>
      <c r="B46840" t="s">
        <v>15309</v>
      </c>
    </row>
    <row r="46841" spans="1:2" x14ac:dyDescent="0.25">
      <c r="A46841">
        <v>96035000232</v>
      </c>
      <c r="B46841" t="s">
        <v>15310</v>
      </c>
    </row>
    <row r="46842" spans="1:2" x14ac:dyDescent="0.25">
      <c r="A46842">
        <v>96035000233</v>
      </c>
      <c r="B46842" t="s">
        <v>15311</v>
      </c>
    </row>
    <row r="46843" spans="1:2" x14ac:dyDescent="0.25">
      <c r="A46843">
        <v>96035000234</v>
      </c>
      <c r="B46843" t="s">
        <v>15312</v>
      </c>
    </row>
    <row r="46844" spans="1:2" x14ac:dyDescent="0.25">
      <c r="A46844">
        <v>96035000239</v>
      </c>
      <c r="B46844" t="s">
        <v>10</v>
      </c>
    </row>
    <row r="46845" spans="1:2" x14ac:dyDescent="0.25">
      <c r="A46845">
        <v>9603500024</v>
      </c>
      <c r="B46845" t="s">
        <v>15313</v>
      </c>
    </row>
    <row r="46846" spans="1:2" x14ac:dyDescent="0.25">
      <c r="A46846">
        <v>96035000241</v>
      </c>
      <c r="B46846" t="s">
        <v>15300</v>
      </c>
    </row>
    <row r="46847" spans="1:2" x14ac:dyDescent="0.25">
      <c r="A46847">
        <v>96035000242</v>
      </c>
      <c r="B46847" t="s">
        <v>15301</v>
      </c>
    </row>
    <row r="46848" spans="1:2" x14ac:dyDescent="0.25">
      <c r="A46848">
        <v>96035000243</v>
      </c>
      <c r="B46848" t="s">
        <v>15302</v>
      </c>
    </row>
    <row r="46849" spans="1:2" x14ac:dyDescent="0.25">
      <c r="A46849">
        <v>96035000244</v>
      </c>
      <c r="B46849" t="s">
        <v>15314</v>
      </c>
    </row>
    <row r="46850" spans="1:2" x14ac:dyDescent="0.25">
      <c r="A46850">
        <v>96035000249</v>
      </c>
      <c r="B46850" t="s">
        <v>10</v>
      </c>
    </row>
    <row r="46851" spans="1:2" x14ac:dyDescent="0.25">
      <c r="A46851">
        <v>9603500025</v>
      </c>
      <c r="B46851" t="s">
        <v>15315</v>
      </c>
    </row>
    <row r="46852" spans="1:2" x14ac:dyDescent="0.25">
      <c r="A46852">
        <v>96035000251</v>
      </c>
      <c r="B46852" t="s">
        <v>15300</v>
      </c>
    </row>
    <row r="46853" spans="1:2" x14ac:dyDescent="0.25">
      <c r="A46853">
        <v>96035000252</v>
      </c>
      <c r="B46853" t="s">
        <v>15301</v>
      </c>
    </row>
    <row r="46854" spans="1:2" x14ac:dyDescent="0.25">
      <c r="A46854">
        <v>96035000253</v>
      </c>
      <c r="B46854" t="s">
        <v>15302</v>
      </c>
    </row>
    <row r="46855" spans="1:2" x14ac:dyDescent="0.25">
      <c r="A46855">
        <v>96035000254</v>
      </c>
      <c r="B46855" t="s">
        <v>15314</v>
      </c>
    </row>
    <row r="46856" spans="1:2" x14ac:dyDescent="0.25">
      <c r="A46856">
        <v>96035000259</v>
      </c>
      <c r="B46856" t="s">
        <v>10</v>
      </c>
    </row>
    <row r="46857" spans="1:2" x14ac:dyDescent="0.25">
      <c r="A46857">
        <v>9603500026</v>
      </c>
      <c r="B46857" t="s">
        <v>15316</v>
      </c>
    </row>
    <row r="46858" spans="1:2" x14ac:dyDescent="0.25">
      <c r="A46858">
        <v>96035000261</v>
      </c>
      <c r="B46858" t="s">
        <v>15309</v>
      </c>
    </row>
    <row r="46859" spans="1:2" x14ac:dyDescent="0.25">
      <c r="A46859">
        <v>96035000262</v>
      </c>
      <c r="B46859" t="s">
        <v>15310</v>
      </c>
    </row>
    <row r="46860" spans="1:2" x14ac:dyDescent="0.25">
      <c r="A46860">
        <v>96035000263</v>
      </c>
      <c r="B46860" t="s">
        <v>15311</v>
      </c>
    </row>
    <row r="46861" spans="1:2" x14ac:dyDescent="0.25">
      <c r="A46861">
        <v>96035000264</v>
      </c>
      <c r="B46861" t="s">
        <v>15312</v>
      </c>
    </row>
    <row r="46862" spans="1:2" x14ac:dyDescent="0.25">
      <c r="A46862">
        <v>96035000269</v>
      </c>
      <c r="B46862" t="s">
        <v>10</v>
      </c>
    </row>
    <row r="46863" spans="1:2" x14ac:dyDescent="0.25">
      <c r="A46863">
        <v>96035000290</v>
      </c>
      <c r="B46863" t="s">
        <v>10</v>
      </c>
    </row>
    <row r="46864" spans="1:2" x14ac:dyDescent="0.25">
      <c r="A46864">
        <v>960350003</v>
      </c>
      <c r="B46864" t="s">
        <v>15317</v>
      </c>
    </row>
    <row r="46865" spans="1:2" x14ac:dyDescent="0.25">
      <c r="A46865">
        <v>9603500031</v>
      </c>
      <c r="B46865" t="s">
        <v>15299</v>
      </c>
    </row>
    <row r="46866" spans="1:2" x14ac:dyDescent="0.25">
      <c r="A46866">
        <v>96035000311</v>
      </c>
      <c r="B46866" t="s">
        <v>15300</v>
      </c>
    </row>
    <row r="46867" spans="1:2" x14ac:dyDescent="0.25">
      <c r="A46867">
        <v>96035000312</v>
      </c>
      <c r="B46867" t="s">
        <v>15301</v>
      </c>
    </row>
    <row r="46868" spans="1:2" x14ac:dyDescent="0.25">
      <c r="A46868">
        <v>96035000313</v>
      </c>
      <c r="B46868" t="s">
        <v>15318</v>
      </c>
    </row>
    <row r="46869" spans="1:2" x14ac:dyDescent="0.25">
      <c r="A46869">
        <v>96035000319</v>
      </c>
      <c r="B46869" t="s">
        <v>10</v>
      </c>
    </row>
    <row r="46870" spans="1:2" x14ac:dyDescent="0.25">
      <c r="A46870">
        <v>96035000390</v>
      </c>
      <c r="B46870" t="s">
        <v>10</v>
      </c>
    </row>
    <row r="46871" spans="1:2" x14ac:dyDescent="0.25">
      <c r="A46871">
        <v>96035000900</v>
      </c>
      <c r="B46871" t="s">
        <v>10</v>
      </c>
    </row>
    <row r="46872" spans="1:2" x14ac:dyDescent="0.25">
      <c r="A46872">
        <v>96039000</v>
      </c>
      <c r="B46872" t="e">
        <f>- Los demas</f>
        <v>#NAME?</v>
      </c>
    </row>
    <row r="46873" spans="1:2" x14ac:dyDescent="0.25">
      <c r="A46873">
        <v>960390001</v>
      </c>
      <c r="B46873" t="s">
        <v>15319</v>
      </c>
    </row>
    <row r="46874" spans="1:2" x14ac:dyDescent="0.25">
      <c r="A46874">
        <v>96039000110</v>
      </c>
      <c r="B46874" t="s">
        <v>15320</v>
      </c>
    </row>
    <row r="46875" spans="1:2" x14ac:dyDescent="0.25">
      <c r="A46875">
        <v>96039000120</v>
      </c>
      <c r="B46875" t="s">
        <v>15321</v>
      </c>
    </row>
    <row r="46876" spans="1:2" x14ac:dyDescent="0.25">
      <c r="A46876">
        <v>9603900013</v>
      </c>
      <c r="B46876" t="s">
        <v>15322</v>
      </c>
    </row>
    <row r="46877" spans="1:2" x14ac:dyDescent="0.25">
      <c r="A46877">
        <v>96039000131</v>
      </c>
      <c r="B46877" t="s">
        <v>15323</v>
      </c>
    </row>
    <row r="46878" spans="1:2" x14ac:dyDescent="0.25">
      <c r="A46878">
        <v>96039000139</v>
      </c>
      <c r="B46878" t="s">
        <v>10</v>
      </c>
    </row>
    <row r="46879" spans="1:2" x14ac:dyDescent="0.25">
      <c r="A46879">
        <v>96039000190</v>
      </c>
      <c r="B46879" t="s">
        <v>10</v>
      </c>
    </row>
    <row r="46880" spans="1:2" x14ac:dyDescent="0.25">
      <c r="A46880">
        <v>960390009</v>
      </c>
      <c r="B46880" t="s">
        <v>10</v>
      </c>
    </row>
    <row r="46881" spans="1:2" x14ac:dyDescent="0.25">
      <c r="A46881">
        <v>96039000910</v>
      </c>
      <c r="B46881" t="s">
        <v>15320</v>
      </c>
    </row>
    <row r="46882" spans="1:2" x14ac:dyDescent="0.25">
      <c r="A46882">
        <v>96039000920</v>
      </c>
      <c r="B46882" t="s">
        <v>15321</v>
      </c>
    </row>
    <row r="46883" spans="1:2" x14ac:dyDescent="0.25">
      <c r="A46883">
        <v>96039000930</v>
      </c>
      <c r="B46883" t="s">
        <v>15322</v>
      </c>
    </row>
    <row r="46884" spans="1:2" x14ac:dyDescent="0.25">
      <c r="A46884">
        <v>96039000990</v>
      </c>
      <c r="B46884" t="s">
        <v>10</v>
      </c>
    </row>
    <row r="46885" spans="1:2" x14ac:dyDescent="0.25">
      <c r="A46885">
        <v>96040000000</v>
      </c>
      <c r="B46885" t="s">
        <v>15324</v>
      </c>
    </row>
    <row r="46886" spans="1:2" x14ac:dyDescent="0.25">
      <c r="A46886">
        <v>96050000000</v>
      </c>
      <c r="B46886" t="s">
        <v>15325</v>
      </c>
    </row>
    <row r="46887" spans="1:2" x14ac:dyDescent="0.25">
      <c r="A46887">
        <v>9606</v>
      </c>
      <c r="B46887" t="s">
        <v>15326</v>
      </c>
    </row>
    <row r="46888" spans="1:2" x14ac:dyDescent="0.25">
      <c r="A46888">
        <v>96061000</v>
      </c>
      <c r="B46888" t="e">
        <f>- Botones de presion y sus partes</f>
        <v>#NAME?</v>
      </c>
    </row>
    <row r="46889" spans="1:2" x14ac:dyDescent="0.25">
      <c r="A46889">
        <v>96061000100</v>
      </c>
      <c r="B46889" t="s">
        <v>7612</v>
      </c>
    </row>
    <row r="46890" spans="1:2" x14ac:dyDescent="0.25">
      <c r="A46890">
        <v>96061000200</v>
      </c>
      <c r="B46890" t="s">
        <v>15327</v>
      </c>
    </row>
    <row r="46891" spans="1:2" x14ac:dyDescent="0.25">
      <c r="A46891">
        <v>96061000900</v>
      </c>
      <c r="B46891" t="s">
        <v>10</v>
      </c>
    </row>
    <row r="46892" spans="1:2" x14ac:dyDescent="0.25">
      <c r="A46892">
        <v>96062</v>
      </c>
      <c r="B46892" t="s">
        <v>15328</v>
      </c>
    </row>
    <row r="46893" spans="1:2" x14ac:dyDescent="0.25">
      <c r="A46893">
        <v>96062100</v>
      </c>
      <c r="B46893" t="e">
        <f>- - de plastico. sin forrar Con materia textil</f>
        <v>#NAME?</v>
      </c>
    </row>
    <row r="46894" spans="1:2" x14ac:dyDescent="0.25">
      <c r="A46894">
        <v>960621001</v>
      </c>
      <c r="B46894" t="s">
        <v>6930</v>
      </c>
    </row>
    <row r="46895" spans="1:2" x14ac:dyDescent="0.25">
      <c r="A46895">
        <v>9606210011</v>
      </c>
      <c r="B46895" t="s">
        <v>8116</v>
      </c>
    </row>
    <row r="46896" spans="1:2" x14ac:dyDescent="0.25">
      <c r="A46896">
        <v>96062100111</v>
      </c>
      <c r="B46896" t="s">
        <v>15329</v>
      </c>
    </row>
    <row r="46897" spans="1:2" x14ac:dyDescent="0.25">
      <c r="A46897">
        <v>96062100119</v>
      </c>
      <c r="B46897" t="s">
        <v>10</v>
      </c>
    </row>
    <row r="46898" spans="1:2" x14ac:dyDescent="0.25">
      <c r="A46898">
        <v>9606210019</v>
      </c>
      <c r="B46898" t="s">
        <v>10</v>
      </c>
    </row>
    <row r="46899" spans="1:2" x14ac:dyDescent="0.25">
      <c r="A46899">
        <v>96062100191</v>
      </c>
      <c r="B46899" t="s">
        <v>15329</v>
      </c>
    </row>
    <row r="46900" spans="1:2" x14ac:dyDescent="0.25">
      <c r="A46900">
        <v>96062100199</v>
      </c>
      <c r="B46900" t="s">
        <v>10</v>
      </c>
    </row>
    <row r="46901" spans="1:2" x14ac:dyDescent="0.25">
      <c r="A46901">
        <v>960621002</v>
      </c>
      <c r="B46901" t="s">
        <v>15330</v>
      </c>
    </row>
    <row r="46902" spans="1:2" x14ac:dyDescent="0.25">
      <c r="A46902">
        <v>9606210021</v>
      </c>
      <c r="B46902" t="s">
        <v>8116</v>
      </c>
    </row>
    <row r="46903" spans="1:2" x14ac:dyDescent="0.25">
      <c r="A46903">
        <v>96062100211</v>
      </c>
      <c r="B46903" t="s">
        <v>15329</v>
      </c>
    </row>
    <row r="46904" spans="1:2" x14ac:dyDescent="0.25">
      <c r="A46904">
        <v>96062100219</v>
      </c>
      <c r="B46904" t="s">
        <v>10</v>
      </c>
    </row>
    <row r="46905" spans="1:2" x14ac:dyDescent="0.25">
      <c r="A46905">
        <v>9606210029</v>
      </c>
      <c r="B46905" t="s">
        <v>10</v>
      </c>
    </row>
    <row r="46906" spans="1:2" x14ac:dyDescent="0.25">
      <c r="A46906">
        <v>96062100291</v>
      </c>
      <c r="B46906" t="s">
        <v>15329</v>
      </c>
    </row>
    <row r="46907" spans="1:2" x14ac:dyDescent="0.25">
      <c r="A46907">
        <v>96062100299</v>
      </c>
      <c r="B46907" t="s">
        <v>10</v>
      </c>
    </row>
    <row r="46908" spans="1:2" x14ac:dyDescent="0.25">
      <c r="A46908">
        <v>960621003</v>
      </c>
      <c r="B46908" t="s">
        <v>15331</v>
      </c>
    </row>
    <row r="46909" spans="1:2" x14ac:dyDescent="0.25">
      <c r="A46909">
        <v>9606210031</v>
      </c>
      <c r="B46909" t="s">
        <v>8116</v>
      </c>
    </row>
    <row r="46910" spans="1:2" x14ac:dyDescent="0.25">
      <c r="A46910">
        <v>96062100311</v>
      </c>
      <c r="B46910" t="s">
        <v>15329</v>
      </c>
    </row>
    <row r="46911" spans="1:2" x14ac:dyDescent="0.25">
      <c r="A46911">
        <v>96062100319</v>
      </c>
      <c r="B46911" t="s">
        <v>10</v>
      </c>
    </row>
    <row r="46912" spans="1:2" x14ac:dyDescent="0.25">
      <c r="A46912">
        <v>9606210039</v>
      </c>
      <c r="B46912" t="s">
        <v>10</v>
      </c>
    </row>
    <row r="46913" spans="1:2" x14ac:dyDescent="0.25">
      <c r="A46913">
        <v>96062100391</v>
      </c>
      <c r="B46913" t="s">
        <v>15329</v>
      </c>
    </row>
    <row r="46914" spans="1:2" x14ac:dyDescent="0.25">
      <c r="A46914">
        <v>96062100399</v>
      </c>
      <c r="B46914" t="s">
        <v>10</v>
      </c>
    </row>
    <row r="46915" spans="1:2" x14ac:dyDescent="0.25">
      <c r="A46915">
        <v>960621009</v>
      </c>
      <c r="B46915" t="s">
        <v>10</v>
      </c>
    </row>
    <row r="46916" spans="1:2" x14ac:dyDescent="0.25">
      <c r="A46916">
        <v>9606210091</v>
      </c>
      <c r="B46916" t="s">
        <v>8116</v>
      </c>
    </row>
    <row r="46917" spans="1:2" x14ac:dyDescent="0.25">
      <c r="A46917">
        <v>96062100911</v>
      </c>
      <c r="B46917" t="s">
        <v>15329</v>
      </c>
    </row>
    <row r="46918" spans="1:2" x14ac:dyDescent="0.25">
      <c r="A46918">
        <v>96062100919</v>
      </c>
      <c r="B46918" t="s">
        <v>10</v>
      </c>
    </row>
    <row r="46919" spans="1:2" x14ac:dyDescent="0.25">
      <c r="A46919">
        <v>9606210099</v>
      </c>
      <c r="B46919" t="s">
        <v>10</v>
      </c>
    </row>
    <row r="46920" spans="1:2" x14ac:dyDescent="0.25">
      <c r="A46920">
        <v>96062100991</v>
      </c>
      <c r="B46920" t="s">
        <v>15329</v>
      </c>
    </row>
    <row r="46921" spans="1:2" x14ac:dyDescent="0.25">
      <c r="A46921">
        <v>96062100999</v>
      </c>
      <c r="B46921" t="s">
        <v>10</v>
      </c>
    </row>
    <row r="46922" spans="1:2" x14ac:dyDescent="0.25">
      <c r="A46922">
        <v>96062200</v>
      </c>
      <c r="B46922" t="e">
        <f>- - de Metal comun. sin forrar Con materia textil</f>
        <v>#NAME?</v>
      </c>
    </row>
    <row r="46923" spans="1:2" x14ac:dyDescent="0.25">
      <c r="A46923">
        <v>960622001</v>
      </c>
      <c r="B46923" t="s">
        <v>15332</v>
      </c>
    </row>
    <row r="46924" spans="1:2" x14ac:dyDescent="0.25">
      <c r="A46924">
        <v>9606220011</v>
      </c>
      <c r="B46924" t="s">
        <v>15333</v>
      </c>
    </row>
    <row r="46925" spans="1:2" x14ac:dyDescent="0.25">
      <c r="A46925">
        <v>96062200111</v>
      </c>
      <c r="B46925" t="s">
        <v>15329</v>
      </c>
    </row>
    <row r="46926" spans="1:2" x14ac:dyDescent="0.25">
      <c r="A46926">
        <v>96062200119</v>
      </c>
      <c r="B46926" t="s">
        <v>10</v>
      </c>
    </row>
    <row r="46927" spans="1:2" x14ac:dyDescent="0.25">
      <c r="A46927">
        <v>9606220019</v>
      </c>
      <c r="B46927" t="s">
        <v>10</v>
      </c>
    </row>
    <row r="46928" spans="1:2" x14ac:dyDescent="0.25">
      <c r="A46928">
        <v>96062200191</v>
      </c>
      <c r="B46928" t="s">
        <v>15329</v>
      </c>
    </row>
    <row r="46929" spans="1:2" x14ac:dyDescent="0.25">
      <c r="A46929">
        <v>96062200199</v>
      </c>
      <c r="B46929" t="s">
        <v>10</v>
      </c>
    </row>
    <row r="46930" spans="1:2" x14ac:dyDescent="0.25">
      <c r="A46930">
        <v>960622002</v>
      </c>
      <c r="B46930" t="s">
        <v>11011</v>
      </c>
    </row>
    <row r="46931" spans="1:2" x14ac:dyDescent="0.25">
      <c r="A46931">
        <v>9606220021</v>
      </c>
      <c r="B46931" t="s">
        <v>15333</v>
      </c>
    </row>
    <row r="46932" spans="1:2" x14ac:dyDescent="0.25">
      <c r="A46932">
        <v>96062200211</v>
      </c>
      <c r="B46932" t="s">
        <v>15329</v>
      </c>
    </row>
    <row r="46933" spans="1:2" x14ac:dyDescent="0.25">
      <c r="A46933">
        <v>96062200219</v>
      </c>
      <c r="B46933" t="s">
        <v>10</v>
      </c>
    </row>
    <row r="46934" spans="1:2" x14ac:dyDescent="0.25">
      <c r="A46934">
        <v>9606220029</v>
      </c>
      <c r="B46934" t="s">
        <v>10</v>
      </c>
    </row>
    <row r="46935" spans="1:2" x14ac:dyDescent="0.25">
      <c r="A46935">
        <v>96062200291</v>
      </c>
      <c r="B46935" t="s">
        <v>15329</v>
      </c>
    </row>
    <row r="46936" spans="1:2" x14ac:dyDescent="0.25">
      <c r="A46936">
        <v>96062200299</v>
      </c>
      <c r="B46936" t="s">
        <v>10</v>
      </c>
    </row>
    <row r="46937" spans="1:2" x14ac:dyDescent="0.25">
      <c r="A46937">
        <v>960622009</v>
      </c>
      <c r="B46937" t="s">
        <v>10</v>
      </c>
    </row>
    <row r="46938" spans="1:2" x14ac:dyDescent="0.25">
      <c r="A46938">
        <v>9606220091</v>
      </c>
      <c r="B46938" t="s">
        <v>15333</v>
      </c>
    </row>
    <row r="46939" spans="1:2" x14ac:dyDescent="0.25">
      <c r="A46939">
        <v>96062200911</v>
      </c>
      <c r="B46939" t="s">
        <v>15329</v>
      </c>
    </row>
    <row r="46940" spans="1:2" x14ac:dyDescent="0.25">
      <c r="A46940">
        <v>96062200919</v>
      </c>
      <c r="B46940" t="s">
        <v>10</v>
      </c>
    </row>
    <row r="46941" spans="1:2" x14ac:dyDescent="0.25">
      <c r="A46941">
        <v>9606220099</v>
      </c>
      <c r="B46941" t="s">
        <v>10</v>
      </c>
    </row>
    <row r="46942" spans="1:2" x14ac:dyDescent="0.25">
      <c r="A46942">
        <v>96062200991</v>
      </c>
      <c r="B46942" t="s">
        <v>15329</v>
      </c>
    </row>
    <row r="46943" spans="1:2" x14ac:dyDescent="0.25">
      <c r="A46943">
        <v>96062200999</v>
      </c>
      <c r="B46943" t="s">
        <v>10</v>
      </c>
    </row>
    <row r="46944" spans="1:2" x14ac:dyDescent="0.25">
      <c r="A46944">
        <v>96062900</v>
      </c>
      <c r="B46944" t="e">
        <f>- - Los demas</f>
        <v>#NAME?</v>
      </c>
    </row>
    <row r="46945" spans="1:2" x14ac:dyDescent="0.25">
      <c r="A46945">
        <v>960629001</v>
      </c>
      <c r="B46945" t="s">
        <v>7614</v>
      </c>
    </row>
    <row r="46946" spans="1:2" x14ac:dyDescent="0.25">
      <c r="A46946">
        <v>9606290011</v>
      </c>
      <c r="B46946" t="s">
        <v>8116</v>
      </c>
    </row>
    <row r="46947" spans="1:2" x14ac:dyDescent="0.25">
      <c r="A46947">
        <v>96062900111</v>
      </c>
      <c r="B46947" t="s">
        <v>15329</v>
      </c>
    </row>
    <row r="46948" spans="1:2" x14ac:dyDescent="0.25">
      <c r="A46948">
        <v>96062900119</v>
      </c>
      <c r="B46948" t="s">
        <v>10</v>
      </c>
    </row>
    <row r="46949" spans="1:2" x14ac:dyDescent="0.25">
      <c r="A46949">
        <v>9606290019</v>
      </c>
      <c r="B46949" t="s">
        <v>10</v>
      </c>
    </row>
    <row r="46950" spans="1:2" x14ac:dyDescent="0.25">
      <c r="A46950">
        <v>96062900191</v>
      </c>
      <c r="B46950" t="s">
        <v>15329</v>
      </c>
    </row>
    <row r="46951" spans="1:2" x14ac:dyDescent="0.25">
      <c r="A46951">
        <v>96062900199</v>
      </c>
      <c r="B46951" t="s">
        <v>10</v>
      </c>
    </row>
    <row r="46952" spans="1:2" x14ac:dyDescent="0.25">
      <c r="A46952">
        <v>960629002</v>
      </c>
      <c r="B46952" t="s">
        <v>15334</v>
      </c>
    </row>
    <row r="46953" spans="1:2" x14ac:dyDescent="0.25">
      <c r="A46953">
        <v>9606290021</v>
      </c>
      <c r="B46953" t="s">
        <v>8116</v>
      </c>
    </row>
    <row r="46954" spans="1:2" x14ac:dyDescent="0.25">
      <c r="A46954">
        <v>96062900211</v>
      </c>
      <c r="B46954" t="s">
        <v>15335</v>
      </c>
    </row>
    <row r="46955" spans="1:2" x14ac:dyDescent="0.25">
      <c r="A46955">
        <v>96062900219</v>
      </c>
      <c r="B46955" t="s">
        <v>10</v>
      </c>
    </row>
    <row r="46956" spans="1:2" x14ac:dyDescent="0.25">
      <c r="A46956">
        <v>9606290029</v>
      </c>
      <c r="B46956" t="s">
        <v>10</v>
      </c>
    </row>
    <row r="46957" spans="1:2" x14ac:dyDescent="0.25">
      <c r="A46957">
        <v>96062900291</v>
      </c>
      <c r="B46957" t="s">
        <v>15335</v>
      </c>
    </row>
    <row r="46958" spans="1:2" x14ac:dyDescent="0.25">
      <c r="A46958">
        <v>96062900299</v>
      </c>
      <c r="B46958" t="s">
        <v>10</v>
      </c>
    </row>
    <row r="46959" spans="1:2" x14ac:dyDescent="0.25">
      <c r="A46959">
        <v>960629003</v>
      </c>
      <c r="B46959" t="s">
        <v>15336</v>
      </c>
    </row>
    <row r="46960" spans="1:2" x14ac:dyDescent="0.25">
      <c r="A46960">
        <v>9606290031</v>
      </c>
      <c r="B46960" t="s">
        <v>15337</v>
      </c>
    </row>
    <row r="46961" spans="1:2" x14ac:dyDescent="0.25">
      <c r="A46961">
        <v>96062900311</v>
      </c>
      <c r="B46961" t="s">
        <v>8116</v>
      </c>
    </row>
    <row r="46962" spans="1:2" x14ac:dyDescent="0.25">
      <c r="A46962">
        <v>96062900319</v>
      </c>
      <c r="B46962" t="s">
        <v>10</v>
      </c>
    </row>
    <row r="46963" spans="1:2" x14ac:dyDescent="0.25">
      <c r="A46963">
        <v>9606290032</v>
      </c>
      <c r="B46963" t="s">
        <v>15338</v>
      </c>
    </row>
    <row r="46964" spans="1:2" x14ac:dyDescent="0.25">
      <c r="A46964">
        <v>96062900321</v>
      </c>
      <c r="B46964" t="s">
        <v>8116</v>
      </c>
    </row>
    <row r="46965" spans="1:2" x14ac:dyDescent="0.25">
      <c r="A46965">
        <v>96062900329</v>
      </c>
      <c r="B46965" t="s">
        <v>10</v>
      </c>
    </row>
    <row r="46966" spans="1:2" x14ac:dyDescent="0.25">
      <c r="A46966">
        <v>9606290033</v>
      </c>
      <c r="B46966" t="s">
        <v>15339</v>
      </c>
    </row>
    <row r="46967" spans="1:2" x14ac:dyDescent="0.25">
      <c r="A46967">
        <v>96062900331</v>
      </c>
      <c r="B46967" t="s">
        <v>8116</v>
      </c>
    </row>
    <row r="46968" spans="1:2" x14ac:dyDescent="0.25">
      <c r="A46968">
        <v>96062900339</v>
      </c>
      <c r="B46968" t="s">
        <v>10</v>
      </c>
    </row>
    <row r="46969" spans="1:2" x14ac:dyDescent="0.25">
      <c r="A46969">
        <v>9606290039</v>
      </c>
      <c r="B46969" t="s">
        <v>15340</v>
      </c>
    </row>
    <row r="46970" spans="1:2" x14ac:dyDescent="0.25">
      <c r="A46970">
        <v>96062900391</v>
      </c>
      <c r="B46970" t="s">
        <v>8116</v>
      </c>
    </row>
    <row r="46971" spans="1:2" x14ac:dyDescent="0.25">
      <c r="A46971">
        <v>96062900399</v>
      </c>
      <c r="B46971" t="s">
        <v>10</v>
      </c>
    </row>
    <row r="46972" spans="1:2" x14ac:dyDescent="0.25">
      <c r="A46972">
        <v>96062900900</v>
      </c>
      <c r="B46972" t="s">
        <v>10</v>
      </c>
    </row>
    <row r="46973" spans="1:2" x14ac:dyDescent="0.25">
      <c r="A46973">
        <v>96063000000</v>
      </c>
      <c r="B46973" t="e">
        <f>-formas para Botones y demas partes de Botones, esbozos de Botones</f>
        <v>#NAME?</v>
      </c>
    </row>
    <row r="46974" spans="1:2" x14ac:dyDescent="0.25">
      <c r="A46974">
        <v>9607</v>
      </c>
      <c r="B46974" t="s">
        <v>15341</v>
      </c>
    </row>
    <row r="46975" spans="1:2" x14ac:dyDescent="0.25">
      <c r="A46975">
        <v>96071</v>
      </c>
      <c r="B46975" t="s">
        <v>15342</v>
      </c>
    </row>
    <row r="46976" spans="1:2" x14ac:dyDescent="0.25">
      <c r="A46976">
        <v>96071100</v>
      </c>
      <c r="B46976" t="e">
        <f>- - Con Dientes de Metal comun</f>
        <v>#NAME?</v>
      </c>
    </row>
    <row r="46977" spans="1:2" x14ac:dyDescent="0.25">
      <c r="A46977">
        <v>960711001</v>
      </c>
      <c r="B46977" t="s">
        <v>11032</v>
      </c>
    </row>
    <row r="46978" spans="1:2" x14ac:dyDescent="0.25">
      <c r="A46978">
        <v>9607110011</v>
      </c>
      <c r="B46978" t="s">
        <v>15343</v>
      </c>
    </row>
    <row r="46979" spans="1:2" x14ac:dyDescent="0.25">
      <c r="A46979">
        <v>96071100111</v>
      </c>
      <c r="B46979" t="s">
        <v>15344</v>
      </c>
    </row>
    <row r="46980" spans="1:2" x14ac:dyDescent="0.25">
      <c r="A46980">
        <v>96071100119</v>
      </c>
      <c r="B46980" t="s">
        <v>10</v>
      </c>
    </row>
    <row r="46981" spans="1:2" x14ac:dyDescent="0.25">
      <c r="A46981">
        <v>9607110012</v>
      </c>
      <c r="B46981" t="s">
        <v>15345</v>
      </c>
    </row>
    <row r="46982" spans="1:2" x14ac:dyDescent="0.25">
      <c r="A46982">
        <v>96071100121</v>
      </c>
      <c r="B46982" t="s">
        <v>15344</v>
      </c>
    </row>
    <row r="46983" spans="1:2" x14ac:dyDescent="0.25">
      <c r="A46983">
        <v>96071100129</v>
      </c>
      <c r="B46983" t="s">
        <v>10</v>
      </c>
    </row>
    <row r="46984" spans="1:2" x14ac:dyDescent="0.25">
      <c r="A46984">
        <v>960711002</v>
      </c>
      <c r="B46984" t="s">
        <v>2240</v>
      </c>
    </row>
    <row r="46985" spans="1:2" x14ac:dyDescent="0.25">
      <c r="A46985">
        <v>9607110021</v>
      </c>
      <c r="B46985" t="s">
        <v>15343</v>
      </c>
    </row>
    <row r="46986" spans="1:2" x14ac:dyDescent="0.25">
      <c r="A46986">
        <v>96071100211</v>
      </c>
      <c r="B46986" t="s">
        <v>15344</v>
      </c>
    </row>
    <row r="46987" spans="1:2" x14ac:dyDescent="0.25">
      <c r="A46987">
        <v>96071100219</v>
      </c>
      <c r="B46987" t="s">
        <v>10</v>
      </c>
    </row>
    <row r="46988" spans="1:2" x14ac:dyDescent="0.25">
      <c r="A46988">
        <v>9607110022</v>
      </c>
      <c r="B46988" t="s">
        <v>15345</v>
      </c>
    </row>
    <row r="46989" spans="1:2" x14ac:dyDescent="0.25">
      <c r="A46989">
        <v>96071100221</v>
      </c>
      <c r="B46989" t="s">
        <v>15344</v>
      </c>
    </row>
    <row r="46990" spans="1:2" x14ac:dyDescent="0.25">
      <c r="A46990">
        <v>96071100229</v>
      </c>
      <c r="B46990" t="s">
        <v>10</v>
      </c>
    </row>
    <row r="46991" spans="1:2" x14ac:dyDescent="0.25">
      <c r="A46991">
        <v>960711009</v>
      </c>
      <c r="B46991" t="s">
        <v>10</v>
      </c>
    </row>
    <row r="46992" spans="1:2" x14ac:dyDescent="0.25">
      <c r="A46992">
        <v>9607110091</v>
      </c>
      <c r="B46992" t="s">
        <v>15343</v>
      </c>
    </row>
    <row r="46993" spans="1:2" x14ac:dyDescent="0.25">
      <c r="A46993">
        <v>96071100911</v>
      </c>
      <c r="B46993" t="s">
        <v>15344</v>
      </c>
    </row>
    <row r="46994" spans="1:2" x14ac:dyDescent="0.25">
      <c r="A46994">
        <v>96071100919</v>
      </c>
      <c r="B46994" t="s">
        <v>10</v>
      </c>
    </row>
    <row r="46995" spans="1:2" x14ac:dyDescent="0.25">
      <c r="A46995">
        <v>9607110092</v>
      </c>
      <c r="B46995" t="s">
        <v>15345</v>
      </c>
    </row>
    <row r="46996" spans="1:2" x14ac:dyDescent="0.25">
      <c r="A46996">
        <v>96071100921</v>
      </c>
      <c r="B46996" t="s">
        <v>15344</v>
      </c>
    </row>
    <row r="46997" spans="1:2" x14ac:dyDescent="0.25">
      <c r="A46997">
        <v>96071100929</v>
      </c>
      <c r="B46997" t="s">
        <v>10</v>
      </c>
    </row>
    <row r="46998" spans="1:2" x14ac:dyDescent="0.25">
      <c r="A46998">
        <v>96071900</v>
      </c>
      <c r="B46998" t="e">
        <f>- - Los demas</f>
        <v>#NAME?</v>
      </c>
    </row>
    <row r="46999" spans="1:2" x14ac:dyDescent="0.25">
      <c r="A46999">
        <v>960719001</v>
      </c>
      <c r="B46999" t="s">
        <v>15346</v>
      </c>
    </row>
    <row r="47000" spans="1:2" x14ac:dyDescent="0.25">
      <c r="A47000">
        <v>9607190011</v>
      </c>
      <c r="B47000" t="s">
        <v>15343</v>
      </c>
    </row>
    <row r="47001" spans="1:2" x14ac:dyDescent="0.25">
      <c r="A47001">
        <v>96071900111</v>
      </c>
      <c r="B47001" t="s">
        <v>15344</v>
      </c>
    </row>
    <row r="47002" spans="1:2" x14ac:dyDescent="0.25">
      <c r="A47002">
        <v>96071900119</v>
      </c>
      <c r="B47002" t="s">
        <v>10</v>
      </c>
    </row>
    <row r="47003" spans="1:2" x14ac:dyDescent="0.25">
      <c r="A47003">
        <v>9607190012</v>
      </c>
      <c r="B47003" t="s">
        <v>15345</v>
      </c>
    </row>
    <row r="47004" spans="1:2" x14ac:dyDescent="0.25">
      <c r="A47004">
        <v>96071900121</v>
      </c>
      <c r="B47004" t="s">
        <v>15344</v>
      </c>
    </row>
    <row r="47005" spans="1:2" x14ac:dyDescent="0.25">
      <c r="A47005">
        <v>96071900129</v>
      </c>
      <c r="B47005" t="s">
        <v>10</v>
      </c>
    </row>
    <row r="47006" spans="1:2" x14ac:dyDescent="0.25">
      <c r="A47006">
        <v>960719002</v>
      </c>
      <c r="B47006" t="s">
        <v>15215</v>
      </c>
    </row>
    <row r="47007" spans="1:2" x14ac:dyDescent="0.25">
      <c r="A47007">
        <v>9607190021</v>
      </c>
      <c r="B47007" t="s">
        <v>15343</v>
      </c>
    </row>
    <row r="47008" spans="1:2" x14ac:dyDescent="0.25">
      <c r="A47008">
        <v>96071900211</v>
      </c>
      <c r="B47008" t="s">
        <v>15344</v>
      </c>
    </row>
    <row r="47009" spans="1:2" x14ac:dyDescent="0.25">
      <c r="A47009">
        <v>96071900219</v>
      </c>
      <c r="B47009" t="s">
        <v>10</v>
      </c>
    </row>
    <row r="47010" spans="1:2" x14ac:dyDescent="0.25">
      <c r="A47010">
        <v>9607190022</v>
      </c>
      <c r="B47010" t="s">
        <v>15345</v>
      </c>
    </row>
    <row r="47011" spans="1:2" x14ac:dyDescent="0.25">
      <c r="A47011">
        <v>96071900221</v>
      </c>
      <c r="B47011" t="s">
        <v>15344</v>
      </c>
    </row>
    <row r="47012" spans="1:2" x14ac:dyDescent="0.25">
      <c r="A47012">
        <v>96071900229</v>
      </c>
      <c r="B47012" t="s">
        <v>10</v>
      </c>
    </row>
    <row r="47013" spans="1:2" x14ac:dyDescent="0.25">
      <c r="A47013">
        <v>960719009</v>
      </c>
      <c r="B47013" t="s">
        <v>10</v>
      </c>
    </row>
    <row r="47014" spans="1:2" x14ac:dyDescent="0.25">
      <c r="A47014">
        <v>96071900910</v>
      </c>
      <c r="B47014" t="s">
        <v>15343</v>
      </c>
    </row>
    <row r="47015" spans="1:2" x14ac:dyDescent="0.25">
      <c r="A47015">
        <v>96071900920</v>
      </c>
      <c r="B47015" t="s">
        <v>15345</v>
      </c>
    </row>
    <row r="47016" spans="1:2" x14ac:dyDescent="0.25">
      <c r="A47016">
        <v>96072000</v>
      </c>
      <c r="B47016" t="e">
        <f>- partes</f>
        <v>#NAME?</v>
      </c>
    </row>
    <row r="47017" spans="1:2" x14ac:dyDescent="0.25">
      <c r="A47017">
        <v>960720001</v>
      </c>
      <c r="B47017" t="s">
        <v>15347</v>
      </c>
    </row>
    <row r="47018" spans="1:2" x14ac:dyDescent="0.25">
      <c r="A47018">
        <v>96072000110</v>
      </c>
      <c r="B47018" t="s">
        <v>15348</v>
      </c>
    </row>
    <row r="47019" spans="1:2" x14ac:dyDescent="0.25">
      <c r="A47019">
        <v>96072000120</v>
      </c>
      <c r="B47019" t="s">
        <v>15349</v>
      </c>
    </row>
    <row r="47020" spans="1:2" x14ac:dyDescent="0.25">
      <c r="A47020">
        <v>9607200013</v>
      </c>
      <c r="B47020" t="s">
        <v>15350</v>
      </c>
    </row>
    <row r="47021" spans="1:2" x14ac:dyDescent="0.25">
      <c r="A47021">
        <v>96072000131</v>
      </c>
      <c r="B47021" t="s">
        <v>620</v>
      </c>
    </row>
    <row r="47022" spans="1:2" x14ac:dyDescent="0.25">
      <c r="A47022">
        <v>96072000139</v>
      </c>
      <c r="B47022" t="s">
        <v>57</v>
      </c>
    </row>
    <row r="47023" spans="1:2" x14ac:dyDescent="0.25">
      <c r="A47023">
        <v>96072000140</v>
      </c>
      <c r="B47023" t="s">
        <v>15351</v>
      </c>
    </row>
    <row r="47024" spans="1:2" x14ac:dyDescent="0.25">
      <c r="A47024">
        <v>96072000190</v>
      </c>
      <c r="B47024" t="s">
        <v>57</v>
      </c>
    </row>
    <row r="47025" spans="1:2" x14ac:dyDescent="0.25">
      <c r="A47025">
        <v>960720002</v>
      </c>
      <c r="B47025" t="s">
        <v>15352</v>
      </c>
    </row>
    <row r="47026" spans="1:2" x14ac:dyDescent="0.25">
      <c r="A47026">
        <v>96072000210</v>
      </c>
      <c r="B47026" t="s">
        <v>12166</v>
      </c>
    </row>
    <row r="47027" spans="1:2" x14ac:dyDescent="0.25">
      <c r="A47027">
        <v>96072000290</v>
      </c>
      <c r="B47027" t="s">
        <v>57</v>
      </c>
    </row>
    <row r="47028" spans="1:2" x14ac:dyDescent="0.25">
      <c r="A47028">
        <v>96072000900</v>
      </c>
      <c r="B47028" t="s">
        <v>57</v>
      </c>
    </row>
    <row r="47029" spans="1:2" x14ac:dyDescent="0.25">
      <c r="A47029">
        <v>9608</v>
      </c>
      <c r="B47029" t="s">
        <v>15353</v>
      </c>
    </row>
    <row r="47030" spans="1:2" x14ac:dyDescent="0.25">
      <c r="A47030">
        <v>96081000</v>
      </c>
      <c r="B47030" t="e">
        <f>- Boligrafos</f>
        <v>#NAME?</v>
      </c>
    </row>
    <row r="47031" spans="1:2" x14ac:dyDescent="0.25">
      <c r="A47031">
        <v>960810001</v>
      </c>
      <c r="B47031" t="s">
        <v>15354</v>
      </c>
    </row>
    <row r="47032" spans="1:2" x14ac:dyDescent="0.25">
      <c r="A47032">
        <v>9608100011</v>
      </c>
      <c r="B47032" t="s">
        <v>15355</v>
      </c>
    </row>
    <row r="47033" spans="1:2" x14ac:dyDescent="0.25">
      <c r="A47033">
        <v>96081000111</v>
      </c>
      <c r="B47033" t="s">
        <v>15356</v>
      </c>
    </row>
    <row r="47034" spans="1:2" x14ac:dyDescent="0.25">
      <c r="A47034">
        <v>96081000119</v>
      </c>
      <c r="B47034" t="s">
        <v>10</v>
      </c>
    </row>
    <row r="47035" spans="1:2" x14ac:dyDescent="0.25">
      <c r="A47035">
        <v>9608100019</v>
      </c>
      <c r="B47035" t="s">
        <v>10</v>
      </c>
    </row>
    <row r="47036" spans="1:2" x14ac:dyDescent="0.25">
      <c r="A47036">
        <v>96081000191</v>
      </c>
      <c r="B47036" t="s">
        <v>9751</v>
      </c>
    </row>
    <row r="47037" spans="1:2" x14ac:dyDescent="0.25">
      <c r="A47037">
        <v>96081000192</v>
      </c>
      <c r="B47037" t="s">
        <v>1963</v>
      </c>
    </row>
    <row r="47038" spans="1:2" x14ac:dyDescent="0.25">
      <c r="A47038">
        <v>96081000199</v>
      </c>
      <c r="B47038" t="s">
        <v>15357</v>
      </c>
    </row>
    <row r="47039" spans="1:2" x14ac:dyDescent="0.25">
      <c r="A47039">
        <v>960810002</v>
      </c>
      <c r="B47039" t="s">
        <v>14892</v>
      </c>
    </row>
    <row r="47040" spans="1:2" x14ac:dyDescent="0.25">
      <c r="A47040">
        <v>9608100021</v>
      </c>
      <c r="B47040" t="s">
        <v>15333</v>
      </c>
    </row>
    <row r="47041" spans="1:2" x14ac:dyDescent="0.25">
      <c r="A47041">
        <v>96081000211</v>
      </c>
      <c r="B47041" t="s">
        <v>15358</v>
      </c>
    </row>
    <row r="47042" spans="1:2" x14ac:dyDescent="0.25">
      <c r="A47042">
        <v>96081000219</v>
      </c>
      <c r="B47042" t="s">
        <v>10</v>
      </c>
    </row>
    <row r="47043" spans="1:2" x14ac:dyDescent="0.25">
      <c r="A47043">
        <v>9608100029</v>
      </c>
      <c r="B47043" t="s">
        <v>10</v>
      </c>
    </row>
    <row r="47044" spans="1:2" x14ac:dyDescent="0.25">
      <c r="A47044">
        <v>96081000291</v>
      </c>
      <c r="B47044" t="s">
        <v>15358</v>
      </c>
    </row>
    <row r="47045" spans="1:2" x14ac:dyDescent="0.25">
      <c r="A47045">
        <v>96081000299</v>
      </c>
      <c r="B47045" t="s">
        <v>10</v>
      </c>
    </row>
    <row r="47046" spans="1:2" x14ac:dyDescent="0.25">
      <c r="A47046">
        <v>960810003</v>
      </c>
      <c r="B47046" t="s">
        <v>7612</v>
      </c>
    </row>
    <row r="47047" spans="1:2" x14ac:dyDescent="0.25">
      <c r="A47047">
        <v>9608100031</v>
      </c>
      <c r="B47047" t="s">
        <v>15358</v>
      </c>
    </row>
    <row r="47048" spans="1:2" x14ac:dyDescent="0.25">
      <c r="A47048">
        <v>96081000311</v>
      </c>
      <c r="B47048" t="s">
        <v>15359</v>
      </c>
    </row>
    <row r="47049" spans="1:2" x14ac:dyDescent="0.25">
      <c r="A47049">
        <v>96081000319</v>
      </c>
      <c r="B47049" t="s">
        <v>10</v>
      </c>
    </row>
    <row r="47050" spans="1:2" x14ac:dyDescent="0.25">
      <c r="A47050">
        <v>9608100039</v>
      </c>
      <c r="B47050" t="s">
        <v>10</v>
      </c>
    </row>
    <row r="47051" spans="1:2" x14ac:dyDescent="0.25">
      <c r="A47051">
        <v>96081000391</v>
      </c>
      <c r="B47051" t="s">
        <v>15359</v>
      </c>
    </row>
    <row r="47052" spans="1:2" x14ac:dyDescent="0.25">
      <c r="A47052">
        <v>96081000399</v>
      </c>
      <c r="B47052" t="s">
        <v>10</v>
      </c>
    </row>
    <row r="47053" spans="1:2" x14ac:dyDescent="0.25">
      <c r="A47053">
        <v>960810009</v>
      </c>
      <c r="B47053" t="s">
        <v>9351</v>
      </c>
    </row>
    <row r="47054" spans="1:2" x14ac:dyDescent="0.25">
      <c r="A47054">
        <v>9608100091</v>
      </c>
      <c r="B47054" t="s">
        <v>15358</v>
      </c>
    </row>
    <row r="47055" spans="1:2" x14ac:dyDescent="0.25">
      <c r="A47055">
        <v>96081000911</v>
      </c>
      <c r="B47055" t="s">
        <v>15359</v>
      </c>
    </row>
    <row r="47056" spans="1:2" x14ac:dyDescent="0.25">
      <c r="A47056">
        <v>96081000919</v>
      </c>
      <c r="B47056" t="s">
        <v>10</v>
      </c>
    </row>
    <row r="47057" spans="1:2" x14ac:dyDescent="0.25">
      <c r="A47057">
        <v>9608100099</v>
      </c>
      <c r="B47057" t="s">
        <v>10</v>
      </c>
    </row>
    <row r="47058" spans="1:2" x14ac:dyDescent="0.25">
      <c r="A47058">
        <v>96081000991</v>
      </c>
      <c r="B47058" t="s">
        <v>15359</v>
      </c>
    </row>
    <row r="47059" spans="1:2" x14ac:dyDescent="0.25">
      <c r="A47059">
        <v>96081000999</v>
      </c>
      <c r="B47059" t="s">
        <v>10</v>
      </c>
    </row>
    <row r="47060" spans="1:2" x14ac:dyDescent="0.25">
      <c r="A47060">
        <v>96082000</v>
      </c>
      <c r="B47060" t="e">
        <f>- Rotuladores y marcadores Con punta de fieltro u otra punta porosa</f>
        <v>#NAME?</v>
      </c>
    </row>
    <row r="47061" spans="1:2" x14ac:dyDescent="0.25">
      <c r="A47061">
        <v>960820001</v>
      </c>
      <c r="B47061" t="s">
        <v>7612</v>
      </c>
    </row>
    <row r="47062" spans="1:2" x14ac:dyDescent="0.25">
      <c r="A47062">
        <v>9608200011</v>
      </c>
      <c r="B47062" t="s">
        <v>15360</v>
      </c>
    </row>
    <row r="47063" spans="1:2" x14ac:dyDescent="0.25">
      <c r="A47063">
        <v>96082000111</v>
      </c>
      <c r="B47063" t="s">
        <v>15361</v>
      </c>
    </row>
    <row r="47064" spans="1:2" x14ac:dyDescent="0.25">
      <c r="A47064">
        <v>96082000119</v>
      </c>
      <c r="B47064" t="s">
        <v>10</v>
      </c>
    </row>
    <row r="47065" spans="1:2" x14ac:dyDescent="0.25">
      <c r="A47065">
        <v>9608200019</v>
      </c>
      <c r="B47065" t="s">
        <v>10</v>
      </c>
    </row>
    <row r="47066" spans="1:2" x14ac:dyDescent="0.25">
      <c r="A47066">
        <v>96082000191</v>
      </c>
      <c r="B47066" t="s">
        <v>15361</v>
      </c>
    </row>
    <row r="47067" spans="1:2" x14ac:dyDescent="0.25">
      <c r="A47067">
        <v>96082000199</v>
      </c>
      <c r="B47067" t="s">
        <v>10</v>
      </c>
    </row>
    <row r="47068" spans="1:2" x14ac:dyDescent="0.25">
      <c r="A47068">
        <v>960820002</v>
      </c>
      <c r="B47068" t="s">
        <v>14892</v>
      </c>
    </row>
    <row r="47069" spans="1:2" x14ac:dyDescent="0.25">
      <c r="A47069">
        <v>9608200021</v>
      </c>
      <c r="B47069" t="s">
        <v>15360</v>
      </c>
    </row>
    <row r="47070" spans="1:2" x14ac:dyDescent="0.25">
      <c r="A47070">
        <v>96082000211</v>
      </c>
      <c r="B47070" t="s">
        <v>15361</v>
      </c>
    </row>
    <row r="47071" spans="1:2" x14ac:dyDescent="0.25">
      <c r="A47071">
        <v>96082000219</v>
      </c>
      <c r="B47071" t="s">
        <v>10</v>
      </c>
    </row>
    <row r="47072" spans="1:2" x14ac:dyDescent="0.25">
      <c r="A47072">
        <v>9608200029</v>
      </c>
      <c r="B47072" t="s">
        <v>10</v>
      </c>
    </row>
    <row r="47073" spans="1:2" x14ac:dyDescent="0.25">
      <c r="A47073">
        <v>96082000291</v>
      </c>
      <c r="B47073" t="s">
        <v>15361</v>
      </c>
    </row>
    <row r="47074" spans="1:2" x14ac:dyDescent="0.25">
      <c r="A47074">
        <v>96082000299</v>
      </c>
      <c r="B47074" t="s">
        <v>10</v>
      </c>
    </row>
    <row r="47075" spans="1:2" x14ac:dyDescent="0.25">
      <c r="A47075">
        <v>960820009</v>
      </c>
      <c r="B47075" t="s">
        <v>10</v>
      </c>
    </row>
    <row r="47076" spans="1:2" x14ac:dyDescent="0.25">
      <c r="A47076">
        <v>9608200091</v>
      </c>
      <c r="B47076" t="s">
        <v>15360</v>
      </c>
    </row>
    <row r="47077" spans="1:2" x14ac:dyDescent="0.25">
      <c r="A47077">
        <v>96082000911</v>
      </c>
      <c r="B47077" t="s">
        <v>15361</v>
      </c>
    </row>
    <row r="47078" spans="1:2" x14ac:dyDescent="0.25">
      <c r="A47078">
        <v>96082000919</v>
      </c>
      <c r="B47078" t="s">
        <v>10</v>
      </c>
    </row>
    <row r="47079" spans="1:2" x14ac:dyDescent="0.25">
      <c r="A47079">
        <v>9608200099</v>
      </c>
      <c r="B47079" t="s">
        <v>10</v>
      </c>
    </row>
    <row r="47080" spans="1:2" x14ac:dyDescent="0.25">
      <c r="A47080">
        <v>96082000991</v>
      </c>
      <c r="B47080" t="s">
        <v>15361</v>
      </c>
    </row>
    <row r="47081" spans="1:2" x14ac:dyDescent="0.25">
      <c r="A47081">
        <v>96082000999</v>
      </c>
      <c r="B47081" t="s">
        <v>10</v>
      </c>
    </row>
    <row r="47082" spans="1:2" x14ac:dyDescent="0.25">
      <c r="A47082">
        <v>96083000</v>
      </c>
      <c r="B47082" t="e">
        <f>- Estilograficas y demas Plumas</f>
        <v>#NAME?</v>
      </c>
    </row>
    <row r="47083" spans="1:2" x14ac:dyDescent="0.25">
      <c r="A47083">
        <v>960830001</v>
      </c>
      <c r="B47083" t="s">
        <v>15354</v>
      </c>
    </row>
    <row r="47084" spans="1:2" x14ac:dyDescent="0.25">
      <c r="A47084">
        <v>9608300011</v>
      </c>
      <c r="B47084" t="s">
        <v>15355</v>
      </c>
    </row>
    <row r="47085" spans="1:2" x14ac:dyDescent="0.25">
      <c r="A47085">
        <v>96083000111</v>
      </c>
      <c r="B47085" t="s">
        <v>15356</v>
      </c>
    </row>
    <row r="47086" spans="1:2" x14ac:dyDescent="0.25">
      <c r="A47086">
        <v>96083000119</v>
      </c>
      <c r="B47086" t="s">
        <v>57</v>
      </c>
    </row>
    <row r="47087" spans="1:2" x14ac:dyDescent="0.25">
      <c r="A47087">
        <v>9608300019</v>
      </c>
      <c r="B47087" t="s">
        <v>57</v>
      </c>
    </row>
    <row r="47088" spans="1:2" x14ac:dyDescent="0.25">
      <c r="A47088">
        <v>96083000191</v>
      </c>
      <c r="B47088" t="s">
        <v>9751</v>
      </c>
    </row>
    <row r="47089" spans="1:2" x14ac:dyDescent="0.25">
      <c r="A47089">
        <v>96083000192</v>
      </c>
      <c r="B47089" t="s">
        <v>1963</v>
      </c>
    </row>
    <row r="47090" spans="1:2" x14ac:dyDescent="0.25">
      <c r="A47090">
        <v>96083000199</v>
      </c>
      <c r="B47090" t="s">
        <v>15357</v>
      </c>
    </row>
    <row r="47091" spans="1:2" x14ac:dyDescent="0.25">
      <c r="A47091">
        <v>960830002</v>
      </c>
      <c r="B47091" t="s">
        <v>14892</v>
      </c>
    </row>
    <row r="47092" spans="1:2" x14ac:dyDescent="0.25">
      <c r="A47092">
        <v>9608300021</v>
      </c>
      <c r="B47092" t="s">
        <v>15362</v>
      </c>
    </row>
    <row r="47093" spans="1:2" x14ac:dyDescent="0.25">
      <c r="A47093">
        <v>96083000211</v>
      </c>
      <c r="B47093" t="s">
        <v>15363</v>
      </c>
    </row>
    <row r="47094" spans="1:2" x14ac:dyDescent="0.25">
      <c r="A47094">
        <v>96083000219</v>
      </c>
      <c r="B47094" t="s">
        <v>57</v>
      </c>
    </row>
    <row r="47095" spans="1:2" x14ac:dyDescent="0.25">
      <c r="A47095">
        <v>9608300029</v>
      </c>
      <c r="B47095" t="s">
        <v>57</v>
      </c>
    </row>
    <row r="47096" spans="1:2" x14ac:dyDescent="0.25">
      <c r="A47096">
        <v>96083000291</v>
      </c>
      <c r="B47096" t="s">
        <v>15363</v>
      </c>
    </row>
    <row r="47097" spans="1:2" x14ac:dyDescent="0.25">
      <c r="A47097">
        <v>96083000299</v>
      </c>
      <c r="B47097" t="s">
        <v>57</v>
      </c>
    </row>
    <row r="47098" spans="1:2" x14ac:dyDescent="0.25">
      <c r="A47098">
        <v>96083000300</v>
      </c>
      <c r="B47098" t="s">
        <v>7612</v>
      </c>
    </row>
    <row r="47099" spans="1:2" x14ac:dyDescent="0.25">
      <c r="A47099">
        <v>96083000900</v>
      </c>
      <c r="B47099" t="s">
        <v>9351</v>
      </c>
    </row>
    <row r="47100" spans="1:2" x14ac:dyDescent="0.25">
      <c r="A47100">
        <v>96084000000</v>
      </c>
      <c r="B47100" t="e">
        <f>-Portaminas</f>
        <v>#NAME?</v>
      </c>
    </row>
    <row r="47101" spans="1:2" x14ac:dyDescent="0.25">
      <c r="A47101">
        <v>96085000</v>
      </c>
      <c r="B47101" t="e">
        <f>- juegos de Articulos pertenecientes. por lo menos. a dos de las subpartidas anteriores</f>
        <v>#NAME?</v>
      </c>
    </row>
    <row r="47102" spans="1:2" x14ac:dyDescent="0.25">
      <c r="A47102">
        <v>960850001</v>
      </c>
      <c r="B47102" t="s">
        <v>15364</v>
      </c>
    </row>
    <row r="47103" spans="1:2" x14ac:dyDescent="0.25">
      <c r="A47103">
        <v>9608500011</v>
      </c>
      <c r="B47103" t="s">
        <v>15355</v>
      </c>
    </row>
    <row r="47104" spans="1:2" x14ac:dyDescent="0.25">
      <c r="A47104">
        <v>96085000111</v>
      </c>
      <c r="B47104" t="s">
        <v>15356</v>
      </c>
    </row>
    <row r="47105" spans="1:2" x14ac:dyDescent="0.25">
      <c r="A47105">
        <v>96085000119</v>
      </c>
      <c r="B47105" t="s">
        <v>10</v>
      </c>
    </row>
    <row r="47106" spans="1:2" x14ac:dyDescent="0.25">
      <c r="A47106">
        <v>9608500012</v>
      </c>
      <c r="B47106" t="s">
        <v>15365</v>
      </c>
    </row>
    <row r="47107" spans="1:2" x14ac:dyDescent="0.25">
      <c r="A47107">
        <v>96085000121</v>
      </c>
      <c r="B47107" t="s">
        <v>9751</v>
      </c>
    </row>
    <row r="47108" spans="1:2" x14ac:dyDescent="0.25">
      <c r="A47108">
        <v>96085000122</v>
      </c>
      <c r="B47108" t="s">
        <v>1963</v>
      </c>
    </row>
    <row r="47109" spans="1:2" x14ac:dyDescent="0.25">
      <c r="A47109">
        <v>96085000129</v>
      </c>
      <c r="B47109" t="s">
        <v>15357</v>
      </c>
    </row>
    <row r="47110" spans="1:2" x14ac:dyDescent="0.25">
      <c r="A47110">
        <v>9608500013</v>
      </c>
      <c r="B47110" t="s">
        <v>14892</v>
      </c>
    </row>
    <row r="47111" spans="1:2" x14ac:dyDescent="0.25">
      <c r="A47111">
        <v>96085000131</v>
      </c>
      <c r="B47111" t="s">
        <v>15333</v>
      </c>
    </row>
    <row r="47112" spans="1:2" x14ac:dyDescent="0.25">
      <c r="A47112">
        <v>96085000139</v>
      </c>
      <c r="B47112" t="s">
        <v>10</v>
      </c>
    </row>
    <row r="47113" spans="1:2" x14ac:dyDescent="0.25">
      <c r="A47113">
        <v>96085000140</v>
      </c>
      <c r="B47113" t="s">
        <v>7612</v>
      </c>
    </row>
    <row r="47114" spans="1:2" x14ac:dyDescent="0.25">
      <c r="A47114">
        <v>96085000190</v>
      </c>
      <c r="B47114" t="s">
        <v>9351</v>
      </c>
    </row>
    <row r="47115" spans="1:2" x14ac:dyDescent="0.25">
      <c r="A47115">
        <v>960850002</v>
      </c>
      <c r="B47115" t="s">
        <v>15366</v>
      </c>
    </row>
    <row r="47116" spans="1:2" x14ac:dyDescent="0.25">
      <c r="A47116">
        <v>9608500021</v>
      </c>
      <c r="B47116" t="s">
        <v>15355</v>
      </c>
    </row>
    <row r="47117" spans="1:2" x14ac:dyDescent="0.25">
      <c r="A47117">
        <v>96085000211</v>
      </c>
      <c r="B47117" t="s">
        <v>15356</v>
      </c>
    </row>
    <row r="47118" spans="1:2" x14ac:dyDescent="0.25">
      <c r="A47118">
        <v>96085000219</v>
      </c>
      <c r="B47118" t="s">
        <v>10</v>
      </c>
    </row>
    <row r="47119" spans="1:2" x14ac:dyDescent="0.25">
      <c r="A47119">
        <v>9608500022</v>
      </c>
      <c r="B47119" t="s">
        <v>15365</v>
      </c>
    </row>
    <row r="47120" spans="1:2" x14ac:dyDescent="0.25">
      <c r="A47120">
        <v>96085000221</v>
      </c>
      <c r="B47120" t="s">
        <v>9751</v>
      </c>
    </row>
    <row r="47121" spans="1:2" x14ac:dyDescent="0.25">
      <c r="A47121">
        <v>96085000222</v>
      </c>
      <c r="B47121" t="s">
        <v>1963</v>
      </c>
    </row>
    <row r="47122" spans="1:2" x14ac:dyDescent="0.25">
      <c r="A47122">
        <v>96085000229</v>
      </c>
      <c r="B47122" t="s">
        <v>15357</v>
      </c>
    </row>
    <row r="47123" spans="1:2" x14ac:dyDescent="0.25">
      <c r="A47123">
        <v>9608500023</v>
      </c>
      <c r="B47123" t="s">
        <v>14892</v>
      </c>
    </row>
    <row r="47124" spans="1:2" x14ac:dyDescent="0.25">
      <c r="A47124">
        <v>96085000231</v>
      </c>
      <c r="B47124" t="s">
        <v>15333</v>
      </c>
    </row>
    <row r="47125" spans="1:2" x14ac:dyDescent="0.25">
      <c r="A47125">
        <v>96085000239</v>
      </c>
      <c r="B47125" t="s">
        <v>10</v>
      </c>
    </row>
    <row r="47126" spans="1:2" x14ac:dyDescent="0.25">
      <c r="A47126">
        <v>96085000240</v>
      </c>
      <c r="B47126" t="s">
        <v>7612</v>
      </c>
    </row>
    <row r="47127" spans="1:2" x14ac:dyDescent="0.25">
      <c r="A47127">
        <v>96085000290</v>
      </c>
      <c r="B47127" t="s">
        <v>9351</v>
      </c>
    </row>
    <row r="47128" spans="1:2" x14ac:dyDescent="0.25">
      <c r="A47128">
        <v>960850003</v>
      </c>
      <c r="B47128" t="s">
        <v>15367</v>
      </c>
    </row>
    <row r="47129" spans="1:2" x14ac:dyDescent="0.25">
      <c r="A47129">
        <v>9608500031</v>
      </c>
      <c r="B47129" t="s">
        <v>15355</v>
      </c>
    </row>
    <row r="47130" spans="1:2" x14ac:dyDescent="0.25">
      <c r="A47130">
        <v>96085000311</v>
      </c>
      <c r="B47130" t="s">
        <v>15356</v>
      </c>
    </row>
    <row r="47131" spans="1:2" x14ac:dyDescent="0.25">
      <c r="A47131">
        <v>96085000319</v>
      </c>
      <c r="B47131" t="s">
        <v>10</v>
      </c>
    </row>
    <row r="47132" spans="1:2" x14ac:dyDescent="0.25">
      <c r="A47132">
        <v>9608500032</v>
      </c>
      <c r="B47132" t="s">
        <v>15365</v>
      </c>
    </row>
    <row r="47133" spans="1:2" x14ac:dyDescent="0.25">
      <c r="A47133">
        <v>96085000321</v>
      </c>
      <c r="B47133" t="s">
        <v>9751</v>
      </c>
    </row>
    <row r="47134" spans="1:2" x14ac:dyDescent="0.25">
      <c r="A47134">
        <v>96085000322</v>
      </c>
      <c r="B47134" t="s">
        <v>1963</v>
      </c>
    </row>
    <row r="47135" spans="1:2" x14ac:dyDescent="0.25">
      <c r="A47135">
        <v>96085000329</v>
      </c>
      <c r="B47135" t="s">
        <v>15357</v>
      </c>
    </row>
    <row r="47136" spans="1:2" x14ac:dyDescent="0.25">
      <c r="A47136">
        <v>9608500033</v>
      </c>
      <c r="B47136" t="s">
        <v>14892</v>
      </c>
    </row>
    <row r="47137" spans="1:2" x14ac:dyDescent="0.25">
      <c r="A47137">
        <v>96085000331</v>
      </c>
      <c r="B47137" t="s">
        <v>15333</v>
      </c>
    </row>
    <row r="47138" spans="1:2" x14ac:dyDescent="0.25">
      <c r="A47138">
        <v>96085000339</v>
      </c>
      <c r="B47138" t="s">
        <v>10</v>
      </c>
    </row>
    <row r="47139" spans="1:2" x14ac:dyDescent="0.25">
      <c r="A47139">
        <v>96085000340</v>
      </c>
      <c r="B47139" t="s">
        <v>7612</v>
      </c>
    </row>
    <row r="47140" spans="1:2" x14ac:dyDescent="0.25">
      <c r="A47140">
        <v>96085000390</v>
      </c>
      <c r="B47140" t="s">
        <v>9351</v>
      </c>
    </row>
    <row r="47141" spans="1:2" x14ac:dyDescent="0.25">
      <c r="A47141">
        <v>960850009</v>
      </c>
      <c r="B47141" t="s">
        <v>10</v>
      </c>
    </row>
    <row r="47142" spans="1:2" x14ac:dyDescent="0.25">
      <c r="A47142">
        <v>9608500091</v>
      </c>
      <c r="B47142" t="s">
        <v>15355</v>
      </c>
    </row>
    <row r="47143" spans="1:2" x14ac:dyDescent="0.25">
      <c r="A47143">
        <v>96085000911</v>
      </c>
      <c r="B47143" t="s">
        <v>15356</v>
      </c>
    </row>
    <row r="47144" spans="1:2" x14ac:dyDescent="0.25">
      <c r="A47144">
        <v>96085000919</v>
      </c>
      <c r="B47144" t="s">
        <v>10</v>
      </c>
    </row>
    <row r="47145" spans="1:2" x14ac:dyDescent="0.25">
      <c r="A47145">
        <v>9608500092</v>
      </c>
      <c r="B47145" t="s">
        <v>15365</v>
      </c>
    </row>
    <row r="47146" spans="1:2" x14ac:dyDescent="0.25">
      <c r="A47146">
        <v>96085000921</v>
      </c>
      <c r="B47146" t="s">
        <v>9751</v>
      </c>
    </row>
    <row r="47147" spans="1:2" x14ac:dyDescent="0.25">
      <c r="A47147">
        <v>96085000922</v>
      </c>
      <c r="B47147" t="s">
        <v>1963</v>
      </c>
    </row>
    <row r="47148" spans="1:2" x14ac:dyDescent="0.25">
      <c r="A47148">
        <v>96085000929</v>
      </c>
      <c r="B47148" t="s">
        <v>15357</v>
      </c>
    </row>
    <row r="47149" spans="1:2" x14ac:dyDescent="0.25">
      <c r="A47149">
        <v>9608500093</v>
      </c>
      <c r="B47149" t="s">
        <v>14892</v>
      </c>
    </row>
    <row r="47150" spans="1:2" x14ac:dyDescent="0.25">
      <c r="A47150">
        <v>96085000931</v>
      </c>
      <c r="B47150" t="s">
        <v>15333</v>
      </c>
    </row>
    <row r="47151" spans="1:2" x14ac:dyDescent="0.25">
      <c r="A47151">
        <v>96085000939</v>
      </c>
      <c r="B47151" t="s">
        <v>10</v>
      </c>
    </row>
    <row r="47152" spans="1:2" x14ac:dyDescent="0.25">
      <c r="A47152">
        <v>96085000940</v>
      </c>
      <c r="B47152" t="s">
        <v>7612</v>
      </c>
    </row>
    <row r="47153" spans="1:2" x14ac:dyDescent="0.25">
      <c r="A47153">
        <v>96085000990</v>
      </c>
      <c r="B47153" t="s">
        <v>9351</v>
      </c>
    </row>
    <row r="47154" spans="1:2" x14ac:dyDescent="0.25">
      <c r="A47154">
        <v>96086000000</v>
      </c>
      <c r="B47154" t="e">
        <f>-cartuchos de repuesto Con su punta para boligrafo</f>
        <v>#NAME?</v>
      </c>
    </row>
    <row r="47155" spans="1:2" x14ac:dyDescent="0.25">
      <c r="A47155">
        <v>96089</v>
      </c>
      <c r="B47155" t="s">
        <v>28</v>
      </c>
    </row>
    <row r="47156" spans="1:2" x14ac:dyDescent="0.25">
      <c r="A47156">
        <v>96089100000</v>
      </c>
      <c r="B47156" t="e">
        <f>--Plumillas y puntos para Plumillas</f>
        <v>#NAME?</v>
      </c>
    </row>
    <row r="47157" spans="1:2" x14ac:dyDescent="0.25">
      <c r="A47157">
        <v>960899</v>
      </c>
      <c r="B47157" t="e">
        <f>- - Los demas</f>
        <v>#NAME?</v>
      </c>
    </row>
    <row r="47158" spans="1:2" x14ac:dyDescent="0.25">
      <c r="A47158">
        <v>9608998</v>
      </c>
      <c r="B47158" t="s">
        <v>10194</v>
      </c>
    </row>
    <row r="47159" spans="1:2" x14ac:dyDescent="0.25">
      <c r="A47159">
        <v>96089981000</v>
      </c>
      <c r="B47159" t="s">
        <v>15368</v>
      </c>
    </row>
    <row r="47160" spans="1:2" x14ac:dyDescent="0.25">
      <c r="A47160">
        <v>96089989000</v>
      </c>
      <c r="B47160" t="s">
        <v>57</v>
      </c>
    </row>
    <row r="47161" spans="1:2" x14ac:dyDescent="0.25">
      <c r="A47161">
        <v>96089990000</v>
      </c>
      <c r="B47161" t="s">
        <v>10</v>
      </c>
    </row>
    <row r="47162" spans="1:2" x14ac:dyDescent="0.25">
      <c r="A47162">
        <v>9609</v>
      </c>
      <c r="B47162" t="s">
        <v>15369</v>
      </c>
    </row>
    <row r="47163" spans="1:2" x14ac:dyDescent="0.25">
      <c r="A47163">
        <v>96091000</v>
      </c>
      <c r="B47163" t="e">
        <f>- Lapices</f>
        <v>#NAME?</v>
      </c>
    </row>
    <row r="47164" spans="1:2" x14ac:dyDescent="0.25">
      <c r="A47164">
        <v>960910001</v>
      </c>
      <c r="B47164" t="s">
        <v>9514</v>
      </c>
    </row>
    <row r="47165" spans="1:2" x14ac:dyDescent="0.25">
      <c r="A47165">
        <v>9609100011</v>
      </c>
      <c r="B47165" t="s">
        <v>8116</v>
      </c>
    </row>
    <row r="47166" spans="1:2" x14ac:dyDescent="0.25">
      <c r="A47166">
        <v>96091000111</v>
      </c>
      <c r="B47166" t="s">
        <v>15370</v>
      </c>
    </row>
    <row r="47167" spans="1:2" x14ac:dyDescent="0.25">
      <c r="A47167">
        <v>96091000119</v>
      </c>
      <c r="B47167" t="s">
        <v>10</v>
      </c>
    </row>
    <row r="47168" spans="1:2" x14ac:dyDescent="0.25">
      <c r="A47168">
        <v>9609100012</v>
      </c>
      <c r="B47168" t="s">
        <v>15371</v>
      </c>
    </row>
    <row r="47169" spans="1:2" x14ac:dyDescent="0.25">
      <c r="A47169">
        <v>96091000121</v>
      </c>
      <c r="B47169" t="s">
        <v>15370</v>
      </c>
    </row>
    <row r="47170" spans="1:2" x14ac:dyDescent="0.25">
      <c r="A47170">
        <v>96091000129</v>
      </c>
      <c r="B47170" t="s">
        <v>10</v>
      </c>
    </row>
    <row r="47171" spans="1:2" x14ac:dyDescent="0.25">
      <c r="A47171">
        <v>9609100019</v>
      </c>
      <c r="B47171" t="s">
        <v>10</v>
      </c>
    </row>
    <row r="47172" spans="1:2" x14ac:dyDescent="0.25">
      <c r="A47172">
        <v>96091000191</v>
      </c>
      <c r="B47172" t="s">
        <v>15370</v>
      </c>
    </row>
    <row r="47173" spans="1:2" x14ac:dyDescent="0.25">
      <c r="A47173">
        <v>96091000199</v>
      </c>
      <c r="B47173" t="s">
        <v>10</v>
      </c>
    </row>
    <row r="47174" spans="1:2" x14ac:dyDescent="0.25">
      <c r="A47174">
        <v>960910002</v>
      </c>
      <c r="B47174" t="s">
        <v>15372</v>
      </c>
    </row>
    <row r="47175" spans="1:2" x14ac:dyDescent="0.25">
      <c r="A47175">
        <v>9609100021</v>
      </c>
      <c r="B47175" t="s">
        <v>8116</v>
      </c>
    </row>
    <row r="47176" spans="1:2" x14ac:dyDescent="0.25">
      <c r="A47176">
        <v>96091000211</v>
      </c>
      <c r="B47176" t="s">
        <v>15370</v>
      </c>
    </row>
    <row r="47177" spans="1:2" x14ac:dyDescent="0.25">
      <c r="A47177">
        <v>96091000219</v>
      </c>
      <c r="B47177" t="s">
        <v>10</v>
      </c>
    </row>
    <row r="47178" spans="1:2" x14ac:dyDescent="0.25">
      <c r="A47178">
        <v>9609100029</v>
      </c>
      <c r="B47178" t="s">
        <v>10</v>
      </c>
    </row>
    <row r="47179" spans="1:2" x14ac:dyDescent="0.25">
      <c r="A47179">
        <v>96091000291</v>
      </c>
      <c r="B47179" t="s">
        <v>15370</v>
      </c>
    </row>
    <row r="47180" spans="1:2" x14ac:dyDescent="0.25">
      <c r="A47180">
        <v>96091000299</v>
      </c>
      <c r="B47180" t="s">
        <v>10</v>
      </c>
    </row>
    <row r="47181" spans="1:2" x14ac:dyDescent="0.25">
      <c r="A47181">
        <v>960910009</v>
      </c>
      <c r="B47181" t="s">
        <v>10</v>
      </c>
    </row>
    <row r="47182" spans="1:2" x14ac:dyDescent="0.25">
      <c r="A47182">
        <v>9609100091</v>
      </c>
      <c r="B47182" t="s">
        <v>8116</v>
      </c>
    </row>
    <row r="47183" spans="1:2" x14ac:dyDescent="0.25">
      <c r="A47183">
        <v>96091000911</v>
      </c>
      <c r="B47183" t="s">
        <v>15373</v>
      </c>
    </row>
    <row r="47184" spans="1:2" x14ac:dyDescent="0.25">
      <c r="A47184">
        <v>96091000919</v>
      </c>
      <c r="B47184" t="s">
        <v>10</v>
      </c>
    </row>
    <row r="47185" spans="1:2" x14ac:dyDescent="0.25">
      <c r="A47185">
        <v>9609100092</v>
      </c>
      <c r="B47185" t="s">
        <v>15374</v>
      </c>
    </row>
    <row r="47186" spans="1:2" x14ac:dyDescent="0.25">
      <c r="A47186">
        <v>96091000921</v>
      </c>
      <c r="B47186" t="s">
        <v>15373</v>
      </c>
    </row>
    <row r="47187" spans="1:2" x14ac:dyDescent="0.25">
      <c r="A47187">
        <v>96091000929</v>
      </c>
      <c r="B47187" t="s">
        <v>10</v>
      </c>
    </row>
    <row r="47188" spans="1:2" x14ac:dyDescent="0.25">
      <c r="A47188">
        <v>9609100093</v>
      </c>
      <c r="B47188" t="s">
        <v>15371</v>
      </c>
    </row>
    <row r="47189" spans="1:2" x14ac:dyDescent="0.25">
      <c r="A47189">
        <v>96091000931</v>
      </c>
      <c r="B47189" t="s">
        <v>15373</v>
      </c>
    </row>
    <row r="47190" spans="1:2" x14ac:dyDescent="0.25">
      <c r="A47190">
        <v>96091000939</v>
      </c>
      <c r="B47190" t="s">
        <v>10</v>
      </c>
    </row>
    <row r="47191" spans="1:2" x14ac:dyDescent="0.25">
      <c r="A47191">
        <v>9609100099</v>
      </c>
      <c r="B47191" t="s">
        <v>10</v>
      </c>
    </row>
    <row r="47192" spans="1:2" x14ac:dyDescent="0.25">
      <c r="A47192">
        <v>96091000991</v>
      </c>
      <c r="B47192" t="s">
        <v>15373</v>
      </c>
    </row>
    <row r="47193" spans="1:2" x14ac:dyDescent="0.25">
      <c r="A47193">
        <v>96091000999</v>
      </c>
      <c r="B47193" t="s">
        <v>10</v>
      </c>
    </row>
    <row r="47194" spans="1:2" x14ac:dyDescent="0.25">
      <c r="A47194">
        <v>96092000000</v>
      </c>
      <c r="B47194" t="e">
        <f>-minas para Lapices o Portaminas</f>
        <v>#NAME?</v>
      </c>
    </row>
    <row r="47195" spans="1:2" x14ac:dyDescent="0.25">
      <c r="A47195">
        <v>96099000000</v>
      </c>
      <c r="B47195" t="e">
        <f>-Los demas</f>
        <v>#NAME?</v>
      </c>
    </row>
    <row r="47196" spans="1:2" x14ac:dyDescent="0.25">
      <c r="A47196">
        <v>96100000000</v>
      </c>
      <c r="B47196" t="s">
        <v>15375</v>
      </c>
    </row>
    <row r="47197" spans="1:2" x14ac:dyDescent="0.25">
      <c r="A47197">
        <v>96110000000</v>
      </c>
      <c r="B47197" t="s">
        <v>15376</v>
      </c>
    </row>
    <row r="47198" spans="1:2" x14ac:dyDescent="0.25">
      <c r="A47198">
        <v>9612</v>
      </c>
      <c r="B47198" t="s">
        <v>15377</v>
      </c>
    </row>
    <row r="47199" spans="1:2" x14ac:dyDescent="0.25">
      <c r="A47199">
        <v>961210</v>
      </c>
      <c r="B47199" t="e">
        <f>- Cintas</f>
        <v>#NAME?</v>
      </c>
    </row>
    <row r="47200" spans="1:2" x14ac:dyDescent="0.25">
      <c r="A47200">
        <v>9612101</v>
      </c>
      <c r="B47200" t="s">
        <v>7612</v>
      </c>
    </row>
    <row r="47201" spans="1:2" x14ac:dyDescent="0.25">
      <c r="A47201">
        <v>96121011000</v>
      </c>
      <c r="B47201" t="s">
        <v>15378</v>
      </c>
    </row>
    <row r="47202" spans="1:2" x14ac:dyDescent="0.25">
      <c r="A47202">
        <v>96121012000</v>
      </c>
      <c r="B47202" t="s">
        <v>15379</v>
      </c>
    </row>
    <row r="47203" spans="1:2" x14ac:dyDescent="0.25">
      <c r="A47203">
        <v>96121013000</v>
      </c>
      <c r="B47203" t="s">
        <v>15380</v>
      </c>
    </row>
    <row r="47204" spans="1:2" x14ac:dyDescent="0.25">
      <c r="A47204">
        <v>96121019000</v>
      </c>
      <c r="B47204" t="s">
        <v>57</v>
      </c>
    </row>
    <row r="47205" spans="1:2" x14ac:dyDescent="0.25">
      <c r="A47205">
        <v>96121090000</v>
      </c>
      <c r="B47205" t="s">
        <v>57</v>
      </c>
    </row>
    <row r="47206" spans="1:2" x14ac:dyDescent="0.25">
      <c r="A47206">
        <v>96122000000</v>
      </c>
      <c r="B47206" t="e">
        <f>-Tampones</f>
        <v>#NAME?</v>
      </c>
    </row>
    <row r="47207" spans="1:2" x14ac:dyDescent="0.25">
      <c r="A47207">
        <v>9613</v>
      </c>
      <c r="B47207" t="s">
        <v>15381</v>
      </c>
    </row>
    <row r="47208" spans="1:2" x14ac:dyDescent="0.25">
      <c r="A47208">
        <v>96131000</v>
      </c>
      <c r="B47208" t="e">
        <f>- encendedores de Gas no recargables. de bolsillo</f>
        <v>#NAME?</v>
      </c>
    </row>
    <row r="47209" spans="1:2" x14ac:dyDescent="0.25">
      <c r="A47209">
        <v>961310001</v>
      </c>
      <c r="B47209" t="s">
        <v>15382</v>
      </c>
    </row>
    <row r="47210" spans="1:2" x14ac:dyDescent="0.25">
      <c r="A47210">
        <v>96131000110</v>
      </c>
      <c r="B47210" t="s">
        <v>15383</v>
      </c>
    </row>
    <row r="47211" spans="1:2" x14ac:dyDescent="0.25">
      <c r="A47211">
        <v>96131000190</v>
      </c>
      <c r="B47211" t="s">
        <v>10</v>
      </c>
    </row>
    <row r="47212" spans="1:2" x14ac:dyDescent="0.25">
      <c r="A47212">
        <v>96131000900</v>
      </c>
      <c r="B47212" t="s">
        <v>10</v>
      </c>
    </row>
    <row r="47213" spans="1:2" x14ac:dyDescent="0.25">
      <c r="A47213">
        <v>96132000</v>
      </c>
      <c r="B47213" t="e">
        <f>- encendedores de Gas recargables. de bolsillo</f>
        <v>#NAME?</v>
      </c>
    </row>
    <row r="47214" spans="1:2" x14ac:dyDescent="0.25">
      <c r="A47214">
        <v>961320001</v>
      </c>
      <c r="B47214" t="s">
        <v>15382</v>
      </c>
    </row>
    <row r="47215" spans="1:2" x14ac:dyDescent="0.25">
      <c r="A47215">
        <v>9613200011</v>
      </c>
      <c r="B47215" t="s">
        <v>15383</v>
      </c>
    </row>
    <row r="47216" spans="1:2" x14ac:dyDescent="0.25">
      <c r="A47216">
        <v>96132000111</v>
      </c>
      <c r="B47216" t="s">
        <v>15384</v>
      </c>
    </row>
    <row r="47217" spans="1:2" x14ac:dyDescent="0.25">
      <c r="A47217">
        <v>96132000119</v>
      </c>
      <c r="B47217" t="s">
        <v>10</v>
      </c>
    </row>
    <row r="47218" spans="1:2" x14ac:dyDescent="0.25">
      <c r="A47218">
        <v>9613200019</v>
      </c>
      <c r="B47218" t="s">
        <v>10</v>
      </c>
    </row>
    <row r="47219" spans="1:2" x14ac:dyDescent="0.25">
      <c r="A47219">
        <v>96132000191</v>
      </c>
      <c r="B47219" t="s">
        <v>15384</v>
      </c>
    </row>
    <row r="47220" spans="1:2" x14ac:dyDescent="0.25">
      <c r="A47220">
        <v>96132000199</v>
      </c>
      <c r="B47220" t="s">
        <v>10</v>
      </c>
    </row>
    <row r="47221" spans="1:2" x14ac:dyDescent="0.25">
      <c r="A47221">
        <v>961320009</v>
      </c>
      <c r="B47221" t="s">
        <v>10</v>
      </c>
    </row>
    <row r="47222" spans="1:2" x14ac:dyDescent="0.25">
      <c r="A47222">
        <v>96132000910</v>
      </c>
      <c r="B47222" t="s">
        <v>15384</v>
      </c>
    </row>
    <row r="47223" spans="1:2" x14ac:dyDescent="0.25">
      <c r="A47223">
        <v>96132000990</v>
      </c>
      <c r="B47223" t="s">
        <v>10</v>
      </c>
    </row>
    <row r="47224" spans="1:2" x14ac:dyDescent="0.25">
      <c r="A47224">
        <v>96138000</v>
      </c>
      <c r="B47224" t="e">
        <f>- Los demas encendedores y mecheros</f>
        <v>#NAME?</v>
      </c>
    </row>
    <row r="47225" spans="1:2" x14ac:dyDescent="0.25">
      <c r="A47225">
        <v>961380001</v>
      </c>
      <c r="B47225" t="s">
        <v>15385</v>
      </c>
    </row>
    <row r="47226" spans="1:2" x14ac:dyDescent="0.25">
      <c r="A47226">
        <v>9613800011</v>
      </c>
      <c r="B47226" t="s">
        <v>15386</v>
      </c>
    </row>
    <row r="47227" spans="1:2" x14ac:dyDescent="0.25">
      <c r="A47227">
        <v>96138000111</v>
      </c>
      <c r="B47227" t="s">
        <v>15360</v>
      </c>
    </row>
    <row r="47228" spans="1:2" x14ac:dyDescent="0.25">
      <c r="A47228">
        <v>96138000119</v>
      </c>
      <c r="B47228" t="s">
        <v>10</v>
      </c>
    </row>
    <row r="47229" spans="1:2" x14ac:dyDescent="0.25">
      <c r="A47229">
        <v>9613800019</v>
      </c>
      <c r="B47229" t="s">
        <v>10</v>
      </c>
    </row>
    <row r="47230" spans="1:2" x14ac:dyDescent="0.25">
      <c r="A47230">
        <v>96138000191</v>
      </c>
      <c r="B47230" t="s">
        <v>15387</v>
      </c>
    </row>
    <row r="47231" spans="1:2" x14ac:dyDescent="0.25">
      <c r="A47231">
        <v>96138000192</v>
      </c>
      <c r="B47231" t="s">
        <v>15388</v>
      </c>
    </row>
    <row r="47232" spans="1:2" x14ac:dyDescent="0.25">
      <c r="A47232">
        <v>96138000199</v>
      </c>
      <c r="B47232" t="s">
        <v>10</v>
      </c>
    </row>
    <row r="47233" spans="1:2" x14ac:dyDescent="0.25">
      <c r="A47233">
        <v>96138000200</v>
      </c>
      <c r="B47233" t="s">
        <v>15389</v>
      </c>
    </row>
    <row r="47234" spans="1:2" x14ac:dyDescent="0.25">
      <c r="A47234">
        <v>96138000300</v>
      </c>
      <c r="B47234" t="s">
        <v>15390</v>
      </c>
    </row>
    <row r="47235" spans="1:2" x14ac:dyDescent="0.25">
      <c r="A47235">
        <v>961380004</v>
      </c>
      <c r="B47235" t="s">
        <v>11274</v>
      </c>
    </row>
    <row r="47236" spans="1:2" x14ac:dyDescent="0.25">
      <c r="A47236">
        <v>9613800041</v>
      </c>
      <c r="B47236" t="s">
        <v>15382</v>
      </c>
    </row>
    <row r="47237" spans="1:2" x14ac:dyDescent="0.25">
      <c r="A47237">
        <v>96138000411</v>
      </c>
      <c r="B47237" t="s">
        <v>15383</v>
      </c>
    </row>
    <row r="47238" spans="1:2" x14ac:dyDescent="0.25">
      <c r="A47238">
        <v>96138000419</v>
      </c>
      <c r="B47238" t="s">
        <v>10</v>
      </c>
    </row>
    <row r="47239" spans="1:2" x14ac:dyDescent="0.25">
      <c r="A47239">
        <v>96138000490</v>
      </c>
      <c r="B47239" t="s">
        <v>10</v>
      </c>
    </row>
    <row r="47240" spans="1:2" x14ac:dyDescent="0.25">
      <c r="A47240">
        <v>961380009</v>
      </c>
      <c r="B47240" t="s">
        <v>10</v>
      </c>
    </row>
    <row r="47241" spans="1:2" x14ac:dyDescent="0.25">
      <c r="A47241">
        <v>96138000910</v>
      </c>
      <c r="B47241" t="s">
        <v>15391</v>
      </c>
    </row>
    <row r="47242" spans="1:2" x14ac:dyDescent="0.25">
      <c r="A47242">
        <v>96138000990</v>
      </c>
      <c r="B47242" t="s">
        <v>10</v>
      </c>
    </row>
    <row r="47243" spans="1:2" x14ac:dyDescent="0.25">
      <c r="A47243">
        <v>96139000000</v>
      </c>
      <c r="B47243" t="e">
        <f>-partes</f>
        <v>#NAME?</v>
      </c>
    </row>
    <row r="47244" spans="1:2" x14ac:dyDescent="0.25">
      <c r="A47244">
        <v>96140000</v>
      </c>
      <c r="B47244" t="s">
        <v>15392</v>
      </c>
    </row>
    <row r="47245" spans="1:2" x14ac:dyDescent="0.25">
      <c r="A47245">
        <v>96140000100</v>
      </c>
      <c r="B47245" t="s">
        <v>15393</v>
      </c>
    </row>
    <row r="47246" spans="1:2" x14ac:dyDescent="0.25">
      <c r="A47246">
        <v>96140000900</v>
      </c>
      <c r="B47246" t="s">
        <v>57</v>
      </c>
    </row>
    <row r="47247" spans="1:2" x14ac:dyDescent="0.25">
      <c r="A47247">
        <v>9615</v>
      </c>
      <c r="B47247" t="s">
        <v>15394</v>
      </c>
    </row>
    <row r="47248" spans="1:2" x14ac:dyDescent="0.25">
      <c r="A47248">
        <v>96151</v>
      </c>
      <c r="B47248" t="s">
        <v>15395</v>
      </c>
    </row>
    <row r="47249" spans="1:2" x14ac:dyDescent="0.25">
      <c r="A47249">
        <v>96151100000</v>
      </c>
      <c r="B47249" t="e">
        <f>--de caucho endurecido o plastico</f>
        <v>#NAME?</v>
      </c>
    </row>
    <row r="47250" spans="1:2" x14ac:dyDescent="0.25">
      <c r="A47250">
        <v>96151900000</v>
      </c>
      <c r="B47250" t="e">
        <f>--Los demas</f>
        <v>#NAME?</v>
      </c>
    </row>
    <row r="47251" spans="1:2" x14ac:dyDescent="0.25">
      <c r="A47251">
        <v>96159000000</v>
      </c>
      <c r="B47251" t="e">
        <f>-Los demas</f>
        <v>#NAME?</v>
      </c>
    </row>
    <row r="47252" spans="1:2" x14ac:dyDescent="0.25">
      <c r="A47252">
        <v>9616</v>
      </c>
      <c r="B47252" t="s">
        <v>15396</v>
      </c>
    </row>
    <row r="47253" spans="1:2" x14ac:dyDescent="0.25">
      <c r="A47253">
        <v>96161000000</v>
      </c>
      <c r="B47253" t="e">
        <f>-Pulverizadores de tocador. sus Monturas y cabezas de Monturas</f>
        <v>#NAME?</v>
      </c>
    </row>
    <row r="47254" spans="1:2" x14ac:dyDescent="0.25">
      <c r="A47254">
        <v>96162000000</v>
      </c>
      <c r="B47254" t="e">
        <f>-Borlas y similares para aplicacion de Polvos. otros cosmeticos o Productos de tocador</f>
        <v>#NAME?</v>
      </c>
    </row>
    <row r="47255" spans="1:2" x14ac:dyDescent="0.25">
      <c r="A47255">
        <v>961700</v>
      </c>
      <c r="B47255" t="s">
        <v>15397</v>
      </c>
    </row>
    <row r="47256" spans="1:2" x14ac:dyDescent="0.25">
      <c r="A47256">
        <v>96170010</v>
      </c>
      <c r="B47256" t="s">
        <v>15398</v>
      </c>
    </row>
    <row r="47257" spans="1:2" x14ac:dyDescent="0.25">
      <c r="A47257">
        <v>961700101</v>
      </c>
      <c r="B47257" t="s">
        <v>15399</v>
      </c>
    </row>
    <row r="47258" spans="1:2" x14ac:dyDescent="0.25">
      <c r="A47258">
        <v>96170010110</v>
      </c>
      <c r="B47258" t="s">
        <v>15400</v>
      </c>
    </row>
    <row r="47259" spans="1:2" x14ac:dyDescent="0.25">
      <c r="A47259">
        <v>9617001012</v>
      </c>
      <c r="B47259" t="s">
        <v>15401</v>
      </c>
    </row>
    <row r="47260" spans="1:2" x14ac:dyDescent="0.25">
      <c r="A47260">
        <v>96170010121</v>
      </c>
      <c r="B47260" t="s">
        <v>9795</v>
      </c>
    </row>
    <row r="47261" spans="1:2" x14ac:dyDescent="0.25">
      <c r="A47261">
        <v>96170010129</v>
      </c>
      <c r="B47261" t="s">
        <v>10</v>
      </c>
    </row>
    <row r="47262" spans="1:2" x14ac:dyDescent="0.25">
      <c r="A47262">
        <v>96170010190</v>
      </c>
      <c r="B47262" t="s">
        <v>10</v>
      </c>
    </row>
    <row r="47263" spans="1:2" x14ac:dyDescent="0.25">
      <c r="A47263">
        <v>961700102</v>
      </c>
      <c r="B47263" t="s">
        <v>15402</v>
      </c>
    </row>
    <row r="47264" spans="1:2" x14ac:dyDescent="0.25">
      <c r="A47264">
        <v>96170010210</v>
      </c>
      <c r="B47264" t="s">
        <v>15400</v>
      </c>
    </row>
    <row r="47265" spans="1:2" x14ac:dyDescent="0.25">
      <c r="A47265">
        <v>9617001022</v>
      </c>
      <c r="B47265" t="s">
        <v>15401</v>
      </c>
    </row>
    <row r="47266" spans="1:2" x14ac:dyDescent="0.25">
      <c r="A47266">
        <v>96170010221</v>
      </c>
      <c r="B47266" t="s">
        <v>9795</v>
      </c>
    </row>
    <row r="47267" spans="1:2" x14ac:dyDescent="0.25">
      <c r="A47267">
        <v>96170010229</v>
      </c>
      <c r="B47267" t="s">
        <v>10</v>
      </c>
    </row>
    <row r="47268" spans="1:2" x14ac:dyDescent="0.25">
      <c r="A47268">
        <v>96170010290</v>
      </c>
      <c r="B47268" t="s">
        <v>10</v>
      </c>
    </row>
    <row r="47269" spans="1:2" x14ac:dyDescent="0.25">
      <c r="A47269">
        <v>961700103</v>
      </c>
      <c r="B47269" t="s">
        <v>15403</v>
      </c>
    </row>
    <row r="47270" spans="1:2" x14ac:dyDescent="0.25">
      <c r="A47270">
        <v>96170010310</v>
      </c>
      <c r="B47270" t="s">
        <v>15400</v>
      </c>
    </row>
    <row r="47271" spans="1:2" x14ac:dyDescent="0.25">
      <c r="A47271">
        <v>9617001032</v>
      </c>
      <c r="B47271" t="s">
        <v>15401</v>
      </c>
    </row>
    <row r="47272" spans="1:2" x14ac:dyDescent="0.25">
      <c r="A47272">
        <v>96170010321</v>
      </c>
      <c r="B47272" t="s">
        <v>9795</v>
      </c>
    </row>
    <row r="47273" spans="1:2" x14ac:dyDescent="0.25">
      <c r="A47273">
        <v>96170010329</v>
      </c>
      <c r="B47273" t="s">
        <v>10</v>
      </c>
    </row>
    <row r="47274" spans="1:2" x14ac:dyDescent="0.25">
      <c r="A47274">
        <v>96170010390</v>
      </c>
      <c r="B47274" t="s">
        <v>10</v>
      </c>
    </row>
    <row r="47275" spans="1:2" x14ac:dyDescent="0.25">
      <c r="A47275">
        <v>96170020000</v>
      </c>
      <c r="B47275" t="s">
        <v>15404</v>
      </c>
    </row>
    <row r="47276" spans="1:2" x14ac:dyDescent="0.25">
      <c r="A47276">
        <v>96180000000</v>
      </c>
      <c r="B47276" t="s">
        <v>15405</v>
      </c>
    </row>
    <row r="47277" spans="1:2" x14ac:dyDescent="0.25">
      <c r="A47277">
        <v>96190000</v>
      </c>
      <c r="B47277" t="s">
        <v>15406</v>
      </c>
    </row>
    <row r="47278" spans="1:2" x14ac:dyDescent="0.25">
      <c r="A47278">
        <v>961900001</v>
      </c>
      <c r="B47278" t="s">
        <v>15407</v>
      </c>
    </row>
    <row r="47279" spans="1:2" x14ac:dyDescent="0.25">
      <c r="A47279">
        <v>9619000012</v>
      </c>
      <c r="B47279" t="s">
        <v>15408</v>
      </c>
    </row>
    <row r="47280" spans="1:2" x14ac:dyDescent="0.25">
      <c r="A47280">
        <v>96190000121</v>
      </c>
      <c r="B47280" t="s">
        <v>15409</v>
      </c>
    </row>
    <row r="47281" spans="1:2" x14ac:dyDescent="0.25">
      <c r="A47281">
        <v>96190000122</v>
      </c>
      <c r="B47281" t="s">
        <v>15410</v>
      </c>
    </row>
    <row r="47282" spans="1:2" x14ac:dyDescent="0.25">
      <c r="A47282">
        <v>96190000123</v>
      </c>
      <c r="B47282" t="s">
        <v>15411</v>
      </c>
    </row>
    <row r="47283" spans="1:2" x14ac:dyDescent="0.25">
      <c r="A47283">
        <v>96190000124</v>
      </c>
      <c r="B47283" t="s">
        <v>15412</v>
      </c>
    </row>
    <row r="47284" spans="1:2" x14ac:dyDescent="0.25">
      <c r="A47284">
        <v>96190000125</v>
      </c>
      <c r="B47284" t="s">
        <v>15413</v>
      </c>
    </row>
    <row r="47285" spans="1:2" x14ac:dyDescent="0.25">
      <c r="A47285">
        <v>96190000126</v>
      </c>
      <c r="B47285" t="s">
        <v>15414</v>
      </c>
    </row>
    <row r="47286" spans="1:2" x14ac:dyDescent="0.25">
      <c r="A47286">
        <v>96190000129</v>
      </c>
      <c r="B47286" t="s">
        <v>10</v>
      </c>
    </row>
    <row r="47287" spans="1:2" x14ac:dyDescent="0.25">
      <c r="A47287">
        <v>9619000019</v>
      </c>
      <c r="B47287" t="s">
        <v>10</v>
      </c>
    </row>
    <row r="47288" spans="1:2" x14ac:dyDescent="0.25">
      <c r="A47288">
        <v>96190000191</v>
      </c>
      <c r="B47288" t="s">
        <v>15415</v>
      </c>
    </row>
    <row r="47289" spans="1:2" x14ac:dyDescent="0.25">
      <c r="A47289">
        <v>96190000199</v>
      </c>
      <c r="B47289" t="s">
        <v>10</v>
      </c>
    </row>
    <row r="47290" spans="1:2" x14ac:dyDescent="0.25">
      <c r="A47290">
        <v>961900002</v>
      </c>
      <c r="B47290" t="s">
        <v>15416</v>
      </c>
    </row>
    <row r="47291" spans="1:2" x14ac:dyDescent="0.25">
      <c r="A47291">
        <v>96190000210</v>
      </c>
      <c r="B47291" t="s">
        <v>15415</v>
      </c>
    </row>
    <row r="47292" spans="1:2" x14ac:dyDescent="0.25">
      <c r="A47292">
        <v>96190000220</v>
      </c>
      <c r="B47292" t="s">
        <v>15417</v>
      </c>
    </row>
    <row r="47293" spans="1:2" x14ac:dyDescent="0.25">
      <c r="A47293">
        <v>96190000290</v>
      </c>
      <c r="B47293" t="s">
        <v>57</v>
      </c>
    </row>
    <row r="47294" spans="1:2" x14ac:dyDescent="0.25">
      <c r="A47294">
        <v>96200000000</v>
      </c>
      <c r="B47294" t="s">
        <v>15418</v>
      </c>
    </row>
    <row r="47295" spans="1:2" x14ac:dyDescent="0.25">
      <c r="A47295">
        <v>9701</v>
      </c>
      <c r="B47295" t="s">
        <v>15419</v>
      </c>
    </row>
    <row r="47296" spans="1:2" x14ac:dyDescent="0.25">
      <c r="A47296">
        <v>97011000</v>
      </c>
      <c r="B47296" t="e">
        <f>- Pinturas y dibujos</f>
        <v>#NAME?</v>
      </c>
    </row>
    <row r="47297" spans="1:2" x14ac:dyDescent="0.25">
      <c r="A47297">
        <v>970110001</v>
      </c>
      <c r="B47297" t="s">
        <v>15420</v>
      </c>
    </row>
    <row r="47298" spans="1:2" x14ac:dyDescent="0.25">
      <c r="A47298">
        <v>97011000110</v>
      </c>
      <c r="B47298" t="s">
        <v>15421</v>
      </c>
    </row>
    <row r="47299" spans="1:2" x14ac:dyDescent="0.25">
      <c r="A47299">
        <v>97011000190</v>
      </c>
      <c r="B47299" t="s">
        <v>10</v>
      </c>
    </row>
    <row r="47300" spans="1:2" x14ac:dyDescent="0.25">
      <c r="A47300">
        <v>97011000900</v>
      </c>
      <c r="B47300" t="s">
        <v>10</v>
      </c>
    </row>
    <row r="47301" spans="1:2" x14ac:dyDescent="0.25">
      <c r="A47301">
        <v>97019000</v>
      </c>
      <c r="B47301" t="e">
        <f>- Los demas</f>
        <v>#NAME?</v>
      </c>
    </row>
    <row r="47302" spans="1:2" x14ac:dyDescent="0.25">
      <c r="A47302">
        <v>970190001</v>
      </c>
      <c r="B47302" t="s">
        <v>15420</v>
      </c>
    </row>
    <row r="47303" spans="1:2" x14ac:dyDescent="0.25">
      <c r="A47303">
        <v>97019000110</v>
      </c>
      <c r="B47303" t="s">
        <v>15421</v>
      </c>
    </row>
    <row r="47304" spans="1:2" x14ac:dyDescent="0.25">
      <c r="A47304">
        <v>97019000190</v>
      </c>
      <c r="B47304" t="s">
        <v>10</v>
      </c>
    </row>
    <row r="47305" spans="1:2" x14ac:dyDescent="0.25">
      <c r="A47305">
        <v>97019000900</v>
      </c>
      <c r="B47305" t="s">
        <v>10</v>
      </c>
    </row>
    <row r="47306" spans="1:2" x14ac:dyDescent="0.25">
      <c r="A47306">
        <v>97020000</v>
      </c>
      <c r="B47306" t="s">
        <v>15422</v>
      </c>
    </row>
    <row r="47307" spans="1:2" x14ac:dyDescent="0.25">
      <c r="A47307">
        <v>97020000100</v>
      </c>
      <c r="B47307" t="s">
        <v>15421</v>
      </c>
    </row>
    <row r="47308" spans="1:2" x14ac:dyDescent="0.25">
      <c r="A47308">
        <v>97020000900</v>
      </c>
      <c r="B47308" t="s">
        <v>10</v>
      </c>
    </row>
    <row r="47309" spans="1:2" x14ac:dyDescent="0.25">
      <c r="A47309">
        <v>97030000</v>
      </c>
      <c r="B47309" t="s">
        <v>15423</v>
      </c>
    </row>
    <row r="47310" spans="1:2" x14ac:dyDescent="0.25">
      <c r="A47310">
        <v>97030000100</v>
      </c>
      <c r="B47310" t="s">
        <v>15421</v>
      </c>
    </row>
    <row r="47311" spans="1:2" x14ac:dyDescent="0.25">
      <c r="A47311">
        <v>97030000900</v>
      </c>
      <c r="B47311" t="s">
        <v>10</v>
      </c>
    </row>
    <row r="47312" spans="1:2" x14ac:dyDescent="0.25">
      <c r="A47312">
        <v>97040000000</v>
      </c>
      <c r="B47312" t="s">
        <v>15424</v>
      </c>
    </row>
    <row r="47313" spans="1:2" x14ac:dyDescent="0.25">
      <c r="A47313">
        <v>97050000</v>
      </c>
      <c r="B47313" t="s">
        <v>15425</v>
      </c>
    </row>
    <row r="47314" spans="1:2" x14ac:dyDescent="0.25">
      <c r="A47314">
        <v>970500001</v>
      </c>
      <c r="B47314" t="s">
        <v>15426</v>
      </c>
    </row>
    <row r="47315" spans="1:2" x14ac:dyDescent="0.25">
      <c r="A47315">
        <v>97050000110</v>
      </c>
      <c r="B47315" t="s">
        <v>15427</v>
      </c>
    </row>
    <row r="47316" spans="1:2" x14ac:dyDescent="0.25">
      <c r="A47316">
        <v>97050000190</v>
      </c>
      <c r="B47316" t="s">
        <v>10</v>
      </c>
    </row>
    <row r="47317" spans="1:2" x14ac:dyDescent="0.25">
      <c r="A47317">
        <v>970500002</v>
      </c>
      <c r="B47317" t="s">
        <v>15428</v>
      </c>
    </row>
    <row r="47318" spans="1:2" x14ac:dyDescent="0.25">
      <c r="A47318">
        <v>97050000210</v>
      </c>
      <c r="B47318" t="s">
        <v>15429</v>
      </c>
    </row>
    <row r="47319" spans="1:2" x14ac:dyDescent="0.25">
      <c r="A47319">
        <v>97050000290</v>
      </c>
      <c r="B47319" t="s">
        <v>10</v>
      </c>
    </row>
    <row r="47320" spans="1:2" x14ac:dyDescent="0.25">
      <c r="A47320">
        <v>97050000300</v>
      </c>
      <c r="B47320" t="s">
        <v>15430</v>
      </c>
    </row>
    <row r="47321" spans="1:2" x14ac:dyDescent="0.25">
      <c r="A47321">
        <v>97050000400</v>
      </c>
      <c r="B47321" t="s">
        <v>15431</v>
      </c>
    </row>
    <row r="47322" spans="1:2" x14ac:dyDescent="0.25">
      <c r="A47322">
        <v>97050000500</v>
      </c>
      <c r="B47322" t="s">
        <v>15432</v>
      </c>
    </row>
    <row r="47323" spans="1:2" x14ac:dyDescent="0.25">
      <c r="A47323">
        <v>97050000600</v>
      </c>
      <c r="B47323" t="s">
        <v>14829</v>
      </c>
    </row>
    <row r="47324" spans="1:2" x14ac:dyDescent="0.25">
      <c r="A47324">
        <v>97050000900</v>
      </c>
      <c r="B47324" t="s">
        <v>10</v>
      </c>
    </row>
    <row r="47325" spans="1:2" x14ac:dyDescent="0.25">
      <c r="A47325">
        <v>97060000</v>
      </c>
      <c r="B47325" t="s">
        <v>15433</v>
      </c>
    </row>
    <row r="47326" spans="1:2" x14ac:dyDescent="0.25">
      <c r="A47326">
        <v>97060000100</v>
      </c>
      <c r="B47326" t="s">
        <v>15429</v>
      </c>
    </row>
    <row r="47327" spans="1:2" x14ac:dyDescent="0.25">
      <c r="A47327">
        <v>970600002</v>
      </c>
      <c r="B47327" t="s">
        <v>15434</v>
      </c>
    </row>
    <row r="47328" spans="1:2" x14ac:dyDescent="0.25">
      <c r="A47328">
        <v>97060000210</v>
      </c>
      <c r="B47328" t="s">
        <v>14829</v>
      </c>
    </row>
    <row r="47329" spans="1:2" x14ac:dyDescent="0.25">
      <c r="A47329">
        <v>97060000290</v>
      </c>
      <c r="B47329" t="s">
        <v>10</v>
      </c>
    </row>
    <row r="47330" spans="1:2" x14ac:dyDescent="0.25">
      <c r="A47330">
        <v>970600009</v>
      </c>
      <c r="B47330" t="s">
        <v>10</v>
      </c>
    </row>
    <row r="47331" spans="1:2" x14ac:dyDescent="0.25">
      <c r="A47331">
        <v>97060000910</v>
      </c>
      <c r="B47331" t="s">
        <v>7614</v>
      </c>
    </row>
    <row r="47332" spans="1:2" x14ac:dyDescent="0.25">
      <c r="A47332">
        <v>9706000092</v>
      </c>
      <c r="B47332" t="s">
        <v>15435</v>
      </c>
    </row>
    <row r="47333" spans="1:2" x14ac:dyDescent="0.25">
      <c r="A47333">
        <v>97060000921</v>
      </c>
      <c r="B47333" t="s">
        <v>15436</v>
      </c>
    </row>
    <row r="47334" spans="1:2" x14ac:dyDescent="0.25">
      <c r="A47334">
        <v>97060000929</v>
      </c>
      <c r="B47334" t="s">
        <v>10</v>
      </c>
    </row>
    <row r="47335" spans="1:2" x14ac:dyDescent="0.25">
      <c r="A47335">
        <v>9706000093</v>
      </c>
      <c r="B47335" t="s">
        <v>7613</v>
      </c>
    </row>
    <row r="47336" spans="1:2" x14ac:dyDescent="0.25">
      <c r="A47336">
        <v>97060000931</v>
      </c>
      <c r="B47336" t="s">
        <v>15436</v>
      </c>
    </row>
    <row r="47337" spans="1:2" x14ac:dyDescent="0.25">
      <c r="A47337">
        <v>97060000939</v>
      </c>
      <c r="B47337" t="s">
        <v>10</v>
      </c>
    </row>
    <row r="47338" spans="1:2" x14ac:dyDescent="0.25">
      <c r="A47338">
        <v>97060000990</v>
      </c>
      <c r="B47338"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NCM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Rodriguez Sade</dc:creator>
  <cp:lastModifiedBy>Ivan Rodriguez Sade</cp:lastModifiedBy>
  <dcterms:created xsi:type="dcterms:W3CDTF">2025-11-05T22:42:00Z</dcterms:created>
  <dcterms:modified xsi:type="dcterms:W3CDTF">2025-11-05T23:46:42Z</dcterms:modified>
</cp:coreProperties>
</file>